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ink/ink1.xml" ContentType="application/inkml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0107664fccc56cc/"/>
    </mc:Choice>
  </mc:AlternateContent>
  <xr:revisionPtr revIDLastSave="0" documentId="8_{660834ED-EB75-43FB-8FBA-8C013F38C6E1}" xr6:coauthVersionLast="47" xr6:coauthVersionMax="47" xr10:uidLastSave="{00000000-0000-0000-0000-000000000000}"/>
  <bookViews>
    <workbookView xWindow="-120" yWindow="-120" windowWidth="20730" windowHeight="11160" activeTab="4" xr2:uid="{783C2FE3-0B54-4727-964D-D24DB9A9F372}"/>
  </bookViews>
  <sheets>
    <sheet name="Inventory" sheetId="1" r:id="rId1"/>
    <sheet name="Purchases" sheetId="2" r:id="rId2"/>
    <sheet name="Inventory as of 12th Aug 2024" sheetId="14" r:id="rId3"/>
    <sheet name="Purchases from 13th Aug 2024" sheetId="15" r:id="rId4"/>
    <sheet name="Sales" sheetId="4" r:id="rId5"/>
    <sheet name="Expired + loaned" sheetId="16" r:id="rId6"/>
    <sheet name="Creditors_and_amt" sheetId="12" r:id="rId7"/>
    <sheet name="Summary Per Day" sheetId="6" r:id="rId8"/>
    <sheet name="Time vs item sold" sheetId="11" r:id="rId9"/>
  </sheets>
  <calcPr calcId="191028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8070" i="4" l="1"/>
  <c r="B8068" i="4"/>
  <c r="B8069" i="4"/>
  <c r="C8069" i="4"/>
  <c r="C8068" i="4"/>
  <c r="C8067" i="4"/>
  <c r="B8067" i="4"/>
  <c r="B8066" i="4"/>
  <c r="C8066" i="4"/>
  <c r="B8060" i="4"/>
  <c r="B8061" i="4"/>
  <c r="B8062" i="4"/>
  <c r="B8063" i="4"/>
  <c r="B8064" i="4"/>
  <c r="B8065" i="4"/>
  <c r="C8065" i="4"/>
  <c r="C8064" i="4"/>
  <c r="C8063" i="4"/>
  <c r="C8062" i="4"/>
  <c r="C8061" i="4"/>
  <c r="C8060" i="4"/>
  <c r="C8059" i="4"/>
  <c r="B8059" i="4"/>
  <c r="B8055" i="4"/>
  <c r="B8056" i="4"/>
  <c r="B8057" i="4"/>
  <c r="B8058" i="4"/>
  <c r="C8058" i="4"/>
  <c r="C8057" i="4"/>
  <c r="C8056" i="4"/>
  <c r="C8055" i="4"/>
  <c r="C8054" i="4"/>
  <c r="B8054" i="4"/>
  <c r="B8053" i="4"/>
  <c r="C8053" i="4"/>
  <c r="C8052" i="4"/>
  <c r="C8051" i="4"/>
  <c r="C8050" i="4"/>
  <c r="B8050" i="4"/>
  <c r="B8051" i="4"/>
  <c r="B8052" i="4"/>
  <c r="C8048" i="4"/>
  <c r="B8049" i="4"/>
  <c r="B8046" i="4"/>
  <c r="B8047" i="4"/>
  <c r="B8048" i="4"/>
  <c r="C8049" i="4"/>
  <c r="C8047" i="4"/>
  <c r="C8046" i="4"/>
  <c r="C8045" i="4"/>
  <c r="B8045" i="4"/>
  <c r="C8044" i="4"/>
  <c r="C8043" i="4"/>
  <c r="B8042" i="4"/>
  <c r="B8043" i="4"/>
  <c r="B8044" i="4"/>
  <c r="B8041" i="4"/>
  <c r="B8040" i="4"/>
  <c r="B8039" i="4"/>
  <c r="B8038" i="4"/>
  <c r="B8036" i="4"/>
  <c r="B8037" i="4"/>
  <c r="B8035" i="4"/>
  <c r="B8034" i="4"/>
  <c r="C8042" i="4"/>
  <c r="C8041" i="4"/>
  <c r="C8040" i="4"/>
  <c r="C8039" i="4"/>
  <c r="C8038" i="4"/>
  <c r="C8037" i="4"/>
  <c r="C8036" i="4"/>
  <c r="C8035" i="4"/>
  <c r="C8034" i="4"/>
  <c r="C8033" i="4"/>
  <c r="B8033" i="4"/>
  <c r="C8032" i="4"/>
  <c r="C8031" i="4"/>
  <c r="C8030" i="4"/>
  <c r="C8029" i="4"/>
  <c r="B8032" i="4"/>
  <c r="B8031" i="4"/>
  <c r="B8030" i="4"/>
  <c r="B8029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B8010" i="4"/>
  <c r="B8005" i="4"/>
  <c r="B8006" i="4"/>
  <c r="B8007" i="4"/>
  <c r="B8008" i="4"/>
  <c r="B8009" i="4"/>
  <c r="B8004" i="4"/>
  <c r="B8002" i="4"/>
  <c r="B8003" i="4"/>
  <c r="C8009" i="4"/>
  <c r="C8008" i="4"/>
  <c r="C8007" i="4"/>
  <c r="C8006" i="4"/>
  <c r="C8005" i="4"/>
  <c r="C8004" i="4"/>
  <c r="C8003" i="4"/>
  <c r="C8002" i="4"/>
  <c r="C8001" i="4"/>
  <c r="B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01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B7998" i="4"/>
  <c r="B7999" i="4"/>
  <c r="B8000" i="4"/>
  <c r="B7997" i="4"/>
  <c r="B7996" i="4"/>
  <c r="B7995" i="4"/>
  <c r="B7994" i="4"/>
  <c r="B7992" i="4"/>
  <c r="B7993" i="4"/>
  <c r="B7991" i="4"/>
  <c r="B7987" i="4"/>
  <c r="B7988" i="4"/>
  <c r="B7989" i="4"/>
  <c r="B7990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B7986" i="4"/>
  <c r="B7985" i="4"/>
  <c r="B7984" i="4"/>
  <c r="B7978" i="4"/>
  <c r="B7979" i="4"/>
  <c r="B7980" i="4"/>
  <c r="B7981" i="4"/>
  <c r="B7982" i="4"/>
  <c r="B7983" i="4"/>
  <c r="C7985" i="4"/>
  <c r="C7984" i="4"/>
  <c r="C7983" i="4"/>
  <c r="C7982" i="4"/>
  <c r="C7981" i="4"/>
  <c r="C7980" i="4"/>
  <c r="C7979" i="4"/>
  <c r="C7978" i="4"/>
  <c r="C7977" i="4"/>
  <c r="B7977" i="4"/>
  <c r="B7975" i="4"/>
  <c r="B7976" i="4"/>
  <c r="B7974" i="4"/>
  <c r="B7971" i="4"/>
  <c r="B7972" i="4"/>
  <c r="B7973" i="4"/>
  <c r="B7970" i="4"/>
  <c r="C7976" i="4"/>
  <c r="C7975" i="4"/>
  <c r="C7974" i="4"/>
  <c r="C7973" i="4"/>
  <c r="C7972" i="4"/>
  <c r="C7971" i="4"/>
  <c r="C7970" i="4"/>
  <c r="C7969" i="4"/>
  <c r="B7969" i="4"/>
  <c r="B7959" i="4"/>
  <c r="B7960" i="4"/>
  <c r="B7961" i="4"/>
  <c r="B7962" i="4"/>
  <c r="B7963" i="4"/>
  <c r="B7964" i="4"/>
  <c r="B7965" i="4"/>
  <c r="B7966" i="4"/>
  <c r="B7967" i="4"/>
  <c r="B7968" i="4"/>
  <c r="C7968" i="4"/>
  <c r="C7967" i="4"/>
  <c r="C7966" i="4"/>
  <c r="C7965" i="4"/>
  <c r="C7964" i="4"/>
  <c r="C7963" i="4"/>
  <c r="C7962" i="4"/>
  <c r="C7961" i="4"/>
  <c r="C7960" i="4"/>
  <c r="C7959" i="4"/>
  <c r="C7958" i="4"/>
  <c r="B7958" i="4"/>
  <c r="B7953" i="4"/>
  <c r="B7954" i="4"/>
  <c r="B7955" i="4"/>
  <c r="B7956" i="4"/>
  <c r="B7957" i="4"/>
  <c r="B7952" i="4"/>
  <c r="C7957" i="4"/>
  <c r="C7956" i="4"/>
  <c r="C7955" i="4"/>
  <c r="C7954" i="4"/>
  <c r="C7953" i="4"/>
  <c r="C7952" i="4"/>
  <c r="B7950" i="4"/>
  <c r="B7951" i="4"/>
  <c r="B7949" i="4"/>
  <c r="B7948" i="4"/>
  <c r="B7947" i="4"/>
  <c r="B7945" i="4"/>
  <c r="B7946" i="4"/>
  <c r="B7944" i="4"/>
  <c r="B7943" i="4"/>
  <c r="B7941" i="4"/>
  <c r="B7942" i="4"/>
  <c r="B7940" i="4"/>
  <c r="B7937" i="4"/>
  <c r="B7938" i="4"/>
  <c r="B7939" i="4"/>
  <c r="B7936" i="4"/>
  <c r="B7935" i="4"/>
  <c r="B7934" i="4"/>
  <c r="B7929" i="4"/>
  <c r="B7930" i="4"/>
  <c r="B7931" i="4"/>
  <c r="B7932" i="4"/>
  <c r="B7933" i="4"/>
  <c r="B7928" i="4"/>
  <c r="B7927" i="4"/>
  <c r="B7925" i="4"/>
  <c r="B7926" i="4"/>
  <c r="B7924" i="4"/>
  <c r="B7923" i="4"/>
  <c r="B7922" i="4"/>
  <c r="B7921" i="4"/>
  <c r="B7920" i="4"/>
  <c r="B7919" i="4"/>
  <c r="B7918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18" i="4"/>
  <c r="B7917" i="4"/>
  <c r="B7916" i="4"/>
  <c r="B7911" i="4"/>
  <c r="B7912" i="4"/>
  <c r="B7913" i="4"/>
  <c r="B7914" i="4"/>
  <c r="B7915" i="4"/>
  <c r="B7910" i="4"/>
  <c r="B7907" i="4"/>
  <c r="B7908" i="4"/>
  <c r="B7909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B7906" i="4"/>
  <c r="B7903" i="4"/>
  <c r="B7904" i="4"/>
  <c r="B7905" i="4"/>
  <c r="B7902" i="4"/>
  <c r="B7901" i="4"/>
  <c r="B7900" i="4"/>
  <c r="B7899" i="4"/>
  <c r="B7898" i="4"/>
  <c r="B7896" i="4"/>
  <c r="B7897" i="4"/>
  <c r="B7895" i="4"/>
  <c r="B7890" i="4"/>
  <c r="B7891" i="4"/>
  <c r="B7892" i="4"/>
  <c r="B7893" i="4"/>
  <c r="B7894" i="4"/>
  <c r="B7889" i="4"/>
  <c r="B7884" i="4"/>
  <c r="B7885" i="4"/>
  <c r="B7886" i="4"/>
  <c r="B7887" i="4"/>
  <c r="B7888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B7883" i="4"/>
  <c r="B7881" i="4"/>
  <c r="B7882" i="4"/>
  <c r="B7880" i="4"/>
  <c r="B7879" i="4"/>
  <c r="C7882" i="4"/>
  <c r="C7881" i="4"/>
  <c r="C7880" i="4"/>
  <c r="C7879" i="4"/>
  <c r="C7878" i="4"/>
  <c r="C7877" i="4"/>
  <c r="C7876" i="4"/>
  <c r="B7878" i="4"/>
  <c r="B7877" i="4"/>
  <c r="B7876" i="4"/>
  <c r="C7856" i="4"/>
  <c r="B7869" i="4"/>
  <c r="B7870" i="4"/>
  <c r="B7871" i="4"/>
  <c r="B7872" i="4"/>
  <c r="B7873" i="4"/>
  <c r="B7874" i="4"/>
  <c r="B7875" i="4"/>
  <c r="B7868" i="4"/>
  <c r="B7862" i="4"/>
  <c r="B7863" i="4"/>
  <c r="B7864" i="4"/>
  <c r="B7865" i="4"/>
  <c r="B7866" i="4"/>
  <c r="B7867" i="4"/>
  <c r="B7861" i="4"/>
  <c r="B7860" i="4"/>
  <c r="B7859" i="4"/>
  <c r="B7856" i="4"/>
  <c r="B7857" i="4"/>
  <c r="B7858" i="4"/>
  <c r="B7855" i="4"/>
  <c r="B7852" i="4"/>
  <c r="B7853" i="4"/>
  <c r="B7854" i="4"/>
  <c r="B7851" i="4"/>
  <c r="B7850" i="4"/>
  <c r="B7849" i="4"/>
  <c r="B7848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5" i="4"/>
  <c r="C7854" i="4"/>
  <c r="C7853" i="4"/>
  <c r="C7852" i="4"/>
  <c r="C7851" i="4"/>
  <c r="C7850" i="4"/>
  <c r="C7849" i="4"/>
  <c r="C7848" i="4"/>
  <c r="C7847" i="4"/>
  <c r="C7846" i="4"/>
  <c r="B7847" i="4"/>
  <c r="B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846" i="4"/>
  <c r="B7845" i="4" l="1"/>
  <c r="C7845" i="4"/>
  <c r="C7844" i="4"/>
  <c r="B7844" i="4"/>
  <c r="B7843" i="4"/>
  <c r="C7843" i="4"/>
  <c r="C7842" i="4"/>
  <c r="B7842" i="4"/>
  <c r="C7841" i="4"/>
  <c r="C7840" i="4"/>
  <c r="C7839" i="4"/>
  <c r="C7838" i="4"/>
  <c r="C7837" i="4"/>
  <c r="C7836" i="4"/>
  <c r="B7841" i="4"/>
  <c r="B7840" i="4"/>
  <c r="B7839" i="4"/>
  <c r="B7838" i="4"/>
  <c r="B7837" i="4"/>
  <c r="B7836" i="4"/>
  <c r="B7834" i="4"/>
  <c r="B7835" i="4"/>
  <c r="C7835" i="4"/>
  <c r="C7834" i="4"/>
  <c r="C7833" i="4"/>
  <c r="B7833" i="4"/>
  <c r="C7832" i="4"/>
  <c r="B7832" i="4"/>
  <c r="B7830" i="4"/>
  <c r="B7831" i="4"/>
  <c r="C7831" i="4"/>
  <c r="C7830" i="4"/>
  <c r="C7829" i="4"/>
  <c r="B7829" i="4"/>
  <c r="B7828" i="4"/>
  <c r="B7827" i="4"/>
  <c r="B7826" i="4"/>
  <c r="B7825" i="4"/>
  <c r="C7828" i="4"/>
  <c r="C7827" i="4"/>
  <c r="C7826" i="4"/>
  <c r="C7825" i="4"/>
  <c r="B7824" i="4"/>
  <c r="B7823" i="4"/>
  <c r="C7824" i="4"/>
  <c r="C7823" i="4"/>
  <c r="C7822" i="4"/>
  <c r="B7822" i="4"/>
  <c r="B7821" i="4"/>
  <c r="B7820" i="4"/>
  <c r="C7821" i="4"/>
  <c r="C7820" i="4"/>
  <c r="B7817" i="4"/>
  <c r="B7818" i="4"/>
  <c r="B7819" i="4"/>
  <c r="C7819" i="4"/>
  <c r="C7818" i="4"/>
  <c r="C7817" i="4"/>
  <c r="C7816" i="4"/>
  <c r="B7816" i="4"/>
  <c r="C7815" i="4"/>
  <c r="B7815" i="4"/>
  <c r="B7813" i="4"/>
  <c r="B7814" i="4"/>
  <c r="C7814" i="4"/>
  <c r="C7813" i="4"/>
  <c r="C7812" i="4"/>
  <c r="B7812" i="4"/>
  <c r="B7811" i="4"/>
  <c r="B7810" i="4"/>
  <c r="C7811" i="4"/>
  <c r="C7810" i="4"/>
  <c r="C7809" i="4"/>
  <c r="B7809" i="4"/>
  <c r="B7808" i="4"/>
  <c r="C7808" i="4"/>
  <c r="C7807" i="4"/>
  <c r="B7807" i="4"/>
  <c r="B7788" i="4" l="1"/>
  <c r="B7789" i="4"/>
  <c r="B7787" i="4"/>
  <c r="B7785" i="4"/>
  <c r="B7786" i="4"/>
  <c r="B7784" i="4"/>
  <c r="B7781" i="4"/>
  <c r="B7782" i="4"/>
  <c r="B7783" i="4"/>
  <c r="B7780" i="4"/>
  <c r="B7779" i="4"/>
  <c r="B7778" i="4"/>
  <c r="B7777" i="4"/>
  <c r="B7776" i="4"/>
  <c r="B7774" i="4"/>
  <c r="B7775" i="4"/>
  <c r="B7773" i="4"/>
  <c r="B7772" i="4"/>
  <c r="B7769" i="4"/>
  <c r="B7770" i="4"/>
  <c r="B7771" i="4"/>
  <c r="B7768" i="4"/>
  <c r="B7767" i="4"/>
  <c r="B7766" i="4"/>
  <c r="B7806" i="4"/>
  <c r="B7805" i="4"/>
  <c r="B7803" i="4"/>
  <c r="B7804" i="4"/>
  <c r="B7802" i="4"/>
  <c r="B7801" i="4"/>
  <c r="B7800" i="4"/>
  <c r="B7793" i="4"/>
  <c r="B7794" i="4"/>
  <c r="B7795" i="4"/>
  <c r="B7796" i="4"/>
  <c r="B7797" i="4"/>
  <c r="B7798" i="4"/>
  <c r="B7799" i="4"/>
  <c r="B7792" i="4"/>
  <c r="B7791" i="4"/>
  <c r="B7790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B7764" i="4"/>
  <c r="B7765" i="4"/>
  <c r="B7763" i="4"/>
  <c r="B7762" i="4"/>
  <c r="B7761" i="4"/>
  <c r="B7760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B7759" i="4"/>
  <c r="B7758" i="4"/>
  <c r="B7756" i="4"/>
  <c r="B7757" i="4"/>
  <c r="B7755" i="4"/>
  <c r="B7754" i="4"/>
  <c r="B7753" i="4"/>
  <c r="A7750" i="4"/>
  <c r="A7751" i="4"/>
  <c r="A7752" i="4"/>
  <c r="B7752" i="4"/>
  <c r="B7751" i="4"/>
  <c r="B7750" i="4"/>
  <c r="C7752" i="4"/>
  <c r="C7751" i="4"/>
  <c r="C7750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C7749" i="4" l="1"/>
  <c r="B7749" i="4"/>
  <c r="C7748" i="4" l="1"/>
  <c r="C7747" i="4"/>
  <c r="C7746" i="4"/>
  <c r="B7747" i="4"/>
  <c r="B7748" i="4"/>
  <c r="B7746" i="4"/>
  <c r="C7745" i="4"/>
  <c r="B7745" i="4"/>
  <c r="B7744" i="4"/>
  <c r="B7743" i="4"/>
  <c r="B7742" i="4"/>
  <c r="C7744" i="4"/>
  <c r="C7743" i="4"/>
  <c r="C7742" i="4"/>
  <c r="C7741" i="4"/>
  <c r="C7740" i="4"/>
  <c r="C7739" i="4"/>
  <c r="C7738" i="4"/>
  <c r="C7737" i="4"/>
  <c r="B7741" i="4"/>
  <c r="B7739" i="4"/>
  <c r="B7740" i="4"/>
  <c r="B7738" i="4"/>
  <c r="B7737" i="4"/>
  <c r="C7736" i="4"/>
  <c r="B7736" i="4"/>
  <c r="B7735" i="4"/>
  <c r="C7735" i="4"/>
  <c r="C7734" i="4"/>
  <c r="B7734" i="4"/>
  <c r="C452" i="15"/>
  <c r="A451" i="15"/>
  <c r="A452" i="15"/>
  <c r="A450" i="15"/>
  <c r="C451" i="15"/>
  <c r="C450" i="15"/>
  <c r="B7733" i="4"/>
  <c r="C7733" i="4"/>
  <c r="C7732" i="4"/>
  <c r="B7732" i="4"/>
  <c r="C7731" i="4"/>
  <c r="B7731" i="4"/>
  <c r="B7730" i="4"/>
  <c r="B7729" i="4"/>
  <c r="B7728" i="4"/>
  <c r="B7727" i="4"/>
  <c r="B7726" i="4"/>
  <c r="B7725" i="4"/>
  <c r="B7724" i="4"/>
  <c r="B7723" i="4"/>
  <c r="B7722" i="4"/>
  <c r="B7721" i="4"/>
  <c r="B7720" i="4"/>
  <c r="B7719" i="4"/>
  <c r="B7718" i="4"/>
  <c r="B7714" i="4"/>
  <c r="B7715" i="4"/>
  <c r="B7716" i="4"/>
  <c r="B7717" i="4"/>
  <c r="B7713" i="4"/>
  <c r="B7712" i="4"/>
  <c r="B7711" i="4"/>
  <c r="B7710" i="4"/>
  <c r="B7709" i="4"/>
  <c r="B7703" i="4"/>
  <c r="B7704" i="4"/>
  <c r="B7705" i="4"/>
  <c r="B7706" i="4"/>
  <c r="B7707" i="4"/>
  <c r="B7708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B7702" i="4"/>
  <c r="B7701" i="4"/>
  <c r="B7700" i="4"/>
  <c r="B7699" i="4"/>
  <c r="B7698" i="4"/>
  <c r="B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697" i="4"/>
  <c r="A7690" i="4"/>
  <c r="A7691" i="4"/>
  <c r="A7692" i="4"/>
  <c r="A7693" i="4"/>
  <c r="A7694" i="4"/>
  <c r="A7695" i="4"/>
  <c r="A7696" i="4"/>
  <c r="B7696" i="4" l="1"/>
  <c r="B7695" i="4"/>
  <c r="C7696" i="4"/>
  <c r="C7695" i="4"/>
  <c r="C7694" i="4"/>
  <c r="B7694" i="4"/>
  <c r="B7693" i="4"/>
  <c r="B7692" i="4"/>
  <c r="C7693" i="4"/>
  <c r="C7692" i="4"/>
  <c r="B7691" i="4"/>
  <c r="B7690" i="4"/>
  <c r="C7691" i="4"/>
  <c r="C7690" i="4"/>
  <c r="B7689" i="4"/>
  <c r="C7689" i="4"/>
  <c r="C7688" i="4"/>
  <c r="B7688" i="4"/>
  <c r="B7681" i="4"/>
  <c r="B7682" i="4"/>
  <c r="B7683" i="4"/>
  <c r="B7684" i="4"/>
  <c r="B7685" i="4"/>
  <c r="B7686" i="4"/>
  <c r="B7687" i="4"/>
  <c r="C7687" i="4"/>
  <c r="C7686" i="4"/>
  <c r="C7685" i="4"/>
  <c r="C7684" i="4"/>
  <c r="C7683" i="4"/>
  <c r="C7682" i="4"/>
  <c r="C7681" i="4"/>
  <c r="C7680" i="4"/>
  <c r="B7680" i="4"/>
  <c r="B7679" i="4"/>
  <c r="C7679" i="4"/>
  <c r="A435" i="15"/>
  <c r="C449" i="15"/>
  <c r="C448" i="15"/>
  <c r="A448" i="15"/>
  <c r="A445" i="15"/>
  <c r="A446" i="15"/>
  <c r="A447" i="15"/>
  <c r="A449" i="15"/>
  <c r="A444" i="15"/>
  <c r="C446" i="15"/>
  <c r="C445" i="15"/>
  <c r="C444" i="15"/>
  <c r="C7678" i="4"/>
  <c r="C7677" i="4"/>
  <c r="B7678" i="4"/>
  <c r="B7677" i="4"/>
  <c r="B7675" i="4"/>
  <c r="B7676" i="4"/>
  <c r="B7674" i="4"/>
  <c r="B7671" i="4"/>
  <c r="B7672" i="4"/>
  <c r="B7673" i="4"/>
  <c r="B7670" i="4"/>
  <c r="B7669" i="4"/>
  <c r="B7668" i="4"/>
  <c r="B7667" i="4"/>
  <c r="B7666" i="4"/>
  <c r="B7665" i="4"/>
  <c r="B7660" i="4"/>
  <c r="B7661" i="4"/>
  <c r="B7662" i="4"/>
  <c r="B7663" i="4"/>
  <c r="B7664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B7659" i="4"/>
  <c r="B7658" i="4"/>
  <c r="B7657" i="4"/>
  <c r="B7656" i="4"/>
  <c r="B7655" i="4"/>
  <c r="B7654" i="4"/>
  <c r="B7653" i="4"/>
  <c r="C7659" i="4"/>
  <c r="C7658" i="4"/>
  <c r="C7657" i="4"/>
  <c r="C7656" i="4"/>
  <c r="C7655" i="4"/>
  <c r="C7654" i="4"/>
  <c r="C7653" i="4"/>
  <c r="C7652" i="4"/>
  <c r="C7651" i="4"/>
  <c r="B7651" i="4"/>
  <c r="B7652" i="4"/>
  <c r="C7650" i="4"/>
  <c r="B7650" i="4"/>
  <c r="B7649" i="4"/>
  <c r="B7648" i="4"/>
  <c r="B7646" i="4"/>
  <c r="B7647" i="4"/>
  <c r="B7645" i="4"/>
  <c r="C7649" i="4"/>
  <c r="C7648" i="4"/>
  <c r="C7647" i="4"/>
  <c r="C7646" i="4"/>
  <c r="C7645" i="4"/>
  <c r="C7644" i="4"/>
  <c r="B7644" i="4"/>
  <c r="B7643" i="4"/>
  <c r="C7642" i="4"/>
  <c r="B7642" i="4"/>
  <c r="B7640" i="4"/>
  <c r="B7641" i="4"/>
  <c r="C7641" i="4"/>
  <c r="C7640" i="4"/>
  <c r="C7639" i="4"/>
  <c r="C7638" i="4"/>
  <c r="C7637" i="4"/>
  <c r="B7639" i="4"/>
  <c r="B7638" i="4"/>
  <c r="B7637" i="4"/>
  <c r="B7636" i="4"/>
  <c r="B7635" i="4"/>
  <c r="B7634" i="4"/>
  <c r="B7633" i="4"/>
  <c r="B7632" i="4"/>
  <c r="B7631" i="4"/>
  <c r="C7635" i="4"/>
  <c r="C7634" i="4"/>
  <c r="C7633" i="4"/>
  <c r="C7632" i="4"/>
  <c r="C7631" i="4"/>
  <c r="C7630" i="4"/>
  <c r="C7629" i="4"/>
  <c r="C7628" i="4"/>
  <c r="C7627" i="4"/>
  <c r="C7626" i="4"/>
  <c r="B7630" i="4"/>
  <c r="B7629" i="4"/>
  <c r="B7628" i="4"/>
  <c r="B7627" i="4"/>
  <c r="B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26" i="4"/>
  <c r="C7624" i="4"/>
  <c r="C7625" i="4"/>
  <c r="B7625" i="4"/>
  <c r="B7624" i="4"/>
  <c r="A443" i="15" l="1"/>
  <c r="A433" i="15"/>
  <c r="A434" i="15"/>
  <c r="A436" i="15"/>
  <c r="A437" i="15"/>
  <c r="A438" i="15"/>
  <c r="A439" i="15"/>
  <c r="A440" i="15"/>
  <c r="A441" i="15"/>
  <c r="A432" i="15"/>
  <c r="A442" i="15"/>
  <c r="C443" i="15"/>
  <c r="C442" i="15"/>
  <c r="C441" i="15"/>
  <c r="C440" i="15"/>
  <c r="C439" i="15"/>
  <c r="C438" i="15"/>
  <c r="C437" i="15"/>
  <c r="C436" i="15"/>
  <c r="C434" i="15"/>
  <c r="B7623" i="4" l="1"/>
  <c r="B7622" i="4"/>
  <c r="B7621" i="4"/>
  <c r="C7623" i="4"/>
  <c r="C7622" i="4"/>
  <c r="C7621" i="4"/>
  <c r="C7620" i="4"/>
  <c r="B7620" i="4"/>
  <c r="B7619" i="4"/>
  <c r="B7618" i="4"/>
  <c r="B7617" i="4"/>
  <c r="B7616" i="4"/>
  <c r="B7615" i="4"/>
  <c r="B7610" i="4"/>
  <c r="B7611" i="4"/>
  <c r="B7612" i="4"/>
  <c r="B7613" i="4"/>
  <c r="B7614" i="4"/>
  <c r="C7618" i="4"/>
  <c r="C7617" i="4"/>
  <c r="C7616" i="4"/>
  <c r="C7615" i="4"/>
  <c r="C7614" i="4"/>
  <c r="C7612" i="4"/>
  <c r="C7611" i="4"/>
  <c r="C7610" i="4"/>
  <c r="C7609" i="4"/>
  <c r="B7609" i="4"/>
  <c r="C7608" i="4"/>
  <c r="B7608" i="4"/>
  <c r="B7606" i="4"/>
  <c r="B7607" i="4"/>
  <c r="B7605" i="4"/>
  <c r="B7603" i="4"/>
  <c r="B7604" i="4"/>
  <c r="C7607" i="4"/>
  <c r="C7605" i="4"/>
  <c r="C7604" i="4"/>
  <c r="C7603" i="4"/>
  <c r="C7602" i="4"/>
  <c r="C7601" i="4"/>
  <c r="B7602" i="4"/>
  <c r="B7601" i="4"/>
  <c r="C7600" i="4"/>
  <c r="B7600" i="4"/>
  <c r="B7599" i="4"/>
  <c r="B7598" i="4"/>
  <c r="B7597" i="4"/>
  <c r="B7596" i="4"/>
  <c r="B7595" i="4"/>
  <c r="B7594" i="4"/>
  <c r="C7598" i="4"/>
  <c r="C7597" i="4"/>
  <c r="C7596" i="4"/>
  <c r="C7594" i="4"/>
  <c r="C7593" i="4"/>
  <c r="C7592" i="4"/>
  <c r="B7593" i="4"/>
  <c r="B7592" i="4"/>
  <c r="B7591" i="4"/>
  <c r="B7590" i="4"/>
  <c r="B7589" i="4"/>
  <c r="B7588" i="4"/>
  <c r="B7585" i="4"/>
  <c r="B7586" i="4"/>
  <c r="B7587" i="4"/>
  <c r="B7584" i="4"/>
  <c r="C7591" i="4"/>
  <c r="C7590" i="4"/>
  <c r="C7589" i="4"/>
  <c r="C7588" i="4"/>
  <c r="C7587" i="4"/>
  <c r="C7586" i="4"/>
  <c r="C7585" i="4"/>
  <c r="C7584" i="4"/>
  <c r="C7583" i="4"/>
  <c r="B7583" i="4"/>
  <c r="B7582" i="4"/>
  <c r="B7576" i="4"/>
  <c r="B7577" i="4"/>
  <c r="B7578" i="4"/>
  <c r="B7579" i="4"/>
  <c r="B7580" i="4"/>
  <c r="B7581" i="4"/>
  <c r="C7582" i="4"/>
  <c r="C7581" i="4"/>
  <c r="C7580" i="4"/>
  <c r="C7579" i="4"/>
  <c r="C7578" i="4"/>
  <c r="C7577" i="4"/>
  <c r="C7576" i="4"/>
  <c r="C7575" i="4"/>
  <c r="B7575" i="4"/>
  <c r="C7574" i="4"/>
  <c r="C7573" i="4"/>
  <c r="B7573" i="4"/>
  <c r="B7574" i="4"/>
  <c r="B7572" i="4"/>
  <c r="B7571" i="4"/>
  <c r="B7570" i="4"/>
  <c r="B7569" i="4"/>
  <c r="B7568" i="4"/>
  <c r="B7567" i="4"/>
  <c r="B7566" i="4"/>
  <c r="C7572" i="4"/>
  <c r="C7571" i="4"/>
  <c r="C7570" i="4"/>
  <c r="C7569" i="4"/>
  <c r="C7568" i="4"/>
  <c r="C7566" i="4"/>
  <c r="C7565" i="4"/>
  <c r="B7565" i="4"/>
  <c r="B7564" i="4"/>
  <c r="B7563" i="4"/>
  <c r="B7561" i="4"/>
  <c r="B7562" i="4"/>
  <c r="C7564" i="4"/>
  <c r="C7563" i="4"/>
  <c r="C7562" i="4"/>
  <c r="C7561" i="4"/>
  <c r="C7560" i="4"/>
  <c r="C7559" i="4"/>
  <c r="C7558" i="4"/>
  <c r="C7557" i="4"/>
  <c r="B7560" i="4"/>
  <c r="B7559" i="4"/>
  <c r="B7558" i="4"/>
  <c r="B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557" i="4"/>
  <c r="B7554" i="4" l="1"/>
  <c r="B7555" i="4"/>
  <c r="B7556" i="4"/>
  <c r="C7556" i="4"/>
  <c r="C7555" i="4"/>
  <c r="C7554" i="4"/>
  <c r="C7553" i="4"/>
  <c r="B7553" i="4"/>
  <c r="B7552" i="4"/>
  <c r="B7551" i="4"/>
  <c r="C7552" i="4"/>
  <c r="C7551" i="4"/>
  <c r="C7550" i="4"/>
  <c r="B7550" i="4"/>
  <c r="C7549" i="4"/>
  <c r="B7549" i="4"/>
  <c r="B7544" i="4"/>
  <c r="B7546" i="4"/>
  <c r="B7547" i="4"/>
  <c r="B7548" i="4"/>
  <c r="B7545" i="4"/>
  <c r="B7542" i="4"/>
  <c r="B7543" i="4"/>
  <c r="B7541" i="4"/>
  <c r="C7540" i="4"/>
  <c r="C7548" i="4"/>
  <c r="C7547" i="4"/>
  <c r="C7545" i="4"/>
  <c r="C7544" i="4"/>
  <c r="C7543" i="4"/>
  <c r="C7542" i="4"/>
  <c r="C7541" i="4"/>
  <c r="B7540" i="4"/>
  <c r="B7539" i="4"/>
  <c r="B7538" i="4"/>
  <c r="B7537" i="4"/>
  <c r="B7536" i="4"/>
  <c r="B7534" i="4"/>
  <c r="B7535" i="4"/>
  <c r="B7533" i="4"/>
  <c r="B7532" i="4"/>
  <c r="B7531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B7530" i="4"/>
  <c r="B7529" i="4"/>
  <c r="B7528" i="4"/>
  <c r="C7527" i="4"/>
  <c r="B7527" i="4"/>
  <c r="B7526" i="4"/>
  <c r="B7525" i="4"/>
  <c r="C7525" i="4"/>
  <c r="C7524" i="4"/>
  <c r="B7524" i="4"/>
  <c r="B7523" i="4"/>
  <c r="C7523" i="4"/>
  <c r="C7522" i="4"/>
  <c r="B7522" i="4"/>
  <c r="B7520" i="4"/>
  <c r="B7521" i="4"/>
  <c r="C7521" i="4"/>
  <c r="C7520" i="4"/>
  <c r="C7519" i="4"/>
  <c r="C7518" i="4"/>
  <c r="C7517" i="4"/>
  <c r="B7519" i="4"/>
  <c r="B7518" i="4"/>
  <c r="B7517" i="4"/>
  <c r="C7516" i="4"/>
  <c r="C7515" i="4"/>
  <c r="C7514" i="4"/>
  <c r="C7513" i="4"/>
  <c r="B7516" i="4"/>
  <c r="B7515" i="4"/>
  <c r="B7514" i="4"/>
  <c r="B7513" i="4"/>
  <c r="B7512" i="4"/>
  <c r="C7512" i="4"/>
  <c r="C7511" i="4"/>
  <c r="B7511" i="4"/>
  <c r="B7508" i="4"/>
  <c r="B7509" i="4"/>
  <c r="B7510" i="4"/>
  <c r="C7510" i="4"/>
  <c r="C7509" i="4"/>
  <c r="C7508" i="4"/>
  <c r="C7507" i="4"/>
  <c r="C7506" i="4"/>
  <c r="B7507" i="4"/>
  <c r="B7506" i="4"/>
  <c r="B7505" i="4"/>
  <c r="B7502" i="4"/>
  <c r="B7503" i="4"/>
  <c r="B7504" i="4"/>
  <c r="C7505" i="4"/>
  <c r="C7504" i="4"/>
  <c r="C7503" i="4"/>
  <c r="C7502" i="4"/>
  <c r="C7501" i="4"/>
  <c r="B7501" i="4"/>
  <c r="B7497" i="4"/>
  <c r="B7498" i="4"/>
  <c r="B7499" i="4"/>
  <c r="B7500" i="4"/>
  <c r="C7500" i="4"/>
  <c r="C7499" i="4"/>
  <c r="C7498" i="4"/>
  <c r="C7497" i="4"/>
  <c r="C7496" i="4"/>
  <c r="C7495" i="4"/>
  <c r="C7494" i="4"/>
  <c r="C7493" i="4"/>
  <c r="B7496" i="4"/>
  <c r="B7495" i="4"/>
  <c r="B7494" i="4"/>
  <c r="B7493" i="4"/>
  <c r="B7492" i="4"/>
  <c r="B7491" i="4"/>
  <c r="B7490" i="4"/>
  <c r="B7489" i="4"/>
  <c r="B7488" i="4"/>
  <c r="B7487" i="4"/>
  <c r="B7486" i="4"/>
  <c r="B7485" i="4"/>
  <c r="B7484" i="4"/>
  <c r="B748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B7482" i="4"/>
  <c r="B7481" i="4"/>
  <c r="B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480" i="4"/>
  <c r="C7479" i="4"/>
  <c r="C7478" i="4"/>
  <c r="B7479" i="4"/>
  <c r="B7478" i="4"/>
  <c r="B7476" i="4"/>
  <c r="B7477" i="4"/>
  <c r="C7477" i="4"/>
  <c r="C7476" i="4"/>
  <c r="C7475" i="4"/>
  <c r="C7474" i="4"/>
  <c r="B7475" i="4"/>
  <c r="B7474" i="4"/>
  <c r="C7473" i="4" l="1"/>
  <c r="C7472" i="4"/>
  <c r="C7471" i="4"/>
  <c r="C7470" i="4"/>
  <c r="C7469" i="4"/>
  <c r="C7468" i="4"/>
  <c r="C7466" i="4"/>
  <c r="B7473" i="4"/>
  <c r="B7472" i="4"/>
  <c r="B7471" i="4"/>
  <c r="B7470" i="4"/>
  <c r="B7469" i="4"/>
  <c r="B7468" i="4"/>
  <c r="B7467" i="4"/>
  <c r="B7466" i="4"/>
  <c r="B7462" i="4" l="1"/>
  <c r="B7463" i="4"/>
  <c r="B7464" i="4"/>
  <c r="B7465" i="4"/>
  <c r="C7465" i="4"/>
  <c r="C7464" i="4"/>
  <c r="C7463" i="4"/>
  <c r="C7462" i="4"/>
  <c r="C7461" i="4"/>
  <c r="B7461" i="4"/>
  <c r="B7450" i="4"/>
  <c r="B7451" i="4"/>
  <c r="B7452" i="4"/>
  <c r="B7454" i="4"/>
  <c r="B7455" i="4"/>
  <c r="B7456" i="4"/>
  <c r="B7457" i="4"/>
  <c r="B7459" i="4"/>
  <c r="B7460" i="4"/>
  <c r="C7460" i="4"/>
  <c r="C7459" i="4"/>
  <c r="C7458" i="4"/>
  <c r="C7457" i="4"/>
  <c r="C7456" i="4"/>
  <c r="C7455" i="4"/>
  <c r="C7453" i="4"/>
  <c r="C7452" i="4"/>
  <c r="C7451" i="4"/>
  <c r="B7458" i="4"/>
  <c r="B7453" i="4"/>
  <c r="C7449" i="4" l="1"/>
  <c r="C7448" i="4"/>
  <c r="C7447" i="4"/>
  <c r="C7446" i="4"/>
  <c r="C7445" i="4"/>
  <c r="C7444" i="4"/>
  <c r="C7443" i="4"/>
  <c r="C7442" i="4"/>
  <c r="B7449" i="4"/>
  <c r="B7447" i="4"/>
  <c r="B7448" i="4"/>
  <c r="B7446" i="4"/>
  <c r="B7443" i="4"/>
  <c r="B7444" i="4"/>
  <c r="B7445" i="4"/>
  <c r="B7442" i="4"/>
  <c r="B7441" i="4"/>
  <c r="B7440" i="4"/>
  <c r="B7439" i="4"/>
  <c r="B7436" i="4"/>
  <c r="B7437" i="4"/>
  <c r="B7438" i="4"/>
  <c r="B7435" i="4"/>
  <c r="B7433" i="4"/>
  <c r="B7434" i="4"/>
  <c r="B7432" i="4"/>
  <c r="B7431" i="4"/>
  <c r="B7430" i="4"/>
  <c r="B7427" i="4"/>
  <c r="B7428" i="4"/>
  <c r="B7429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B7426" i="4"/>
  <c r="B7425" i="4"/>
  <c r="C7425" i="4"/>
  <c r="C7424" i="4"/>
  <c r="C7423" i="4"/>
  <c r="C7421" i="4"/>
  <c r="C7418" i="4"/>
  <c r="C7417" i="4"/>
  <c r="C7416" i="4"/>
  <c r="C7415" i="4"/>
  <c r="C7414" i="4"/>
  <c r="B7424" i="4"/>
  <c r="B7423" i="4"/>
  <c r="B7422" i="4"/>
  <c r="B7421" i="4"/>
  <c r="B7420" i="4"/>
  <c r="B7419" i="4"/>
  <c r="B7418" i="4"/>
  <c r="B7417" i="4"/>
  <c r="B7416" i="4"/>
  <c r="B7415" i="4"/>
  <c r="B7414" i="4"/>
  <c r="B7413" i="4"/>
  <c r="B7407" i="4"/>
  <c r="B7408" i="4"/>
  <c r="B7409" i="4"/>
  <c r="B7410" i="4"/>
  <c r="B7411" i="4"/>
  <c r="B7412" i="4"/>
  <c r="C7412" i="4"/>
  <c r="C7411" i="4"/>
  <c r="C7409" i="4"/>
  <c r="C7408" i="4"/>
  <c r="C7407" i="4"/>
  <c r="B7406" i="4"/>
  <c r="B7405" i="4"/>
  <c r="B7404" i="4"/>
  <c r="C7405" i="4"/>
  <c r="C7404" i="4"/>
  <c r="C7403" i="4"/>
  <c r="C7402" i="4"/>
  <c r="C7401" i="4"/>
  <c r="B7403" i="4"/>
  <c r="B7402" i="4"/>
  <c r="B7401" i="4"/>
  <c r="B7400" i="4"/>
  <c r="C7400" i="4"/>
  <c r="C7399" i="4"/>
  <c r="C7398" i="4"/>
  <c r="B7399" i="4"/>
  <c r="B7398" i="4"/>
  <c r="C432" i="15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398" i="4"/>
  <c r="A428" i="15"/>
  <c r="A429" i="15"/>
  <c r="A430" i="15"/>
  <c r="A431" i="15"/>
  <c r="B41" i="6" s="1"/>
  <c r="C431" i="15"/>
  <c r="C430" i="15"/>
  <c r="C429" i="15"/>
  <c r="C428" i="15"/>
  <c r="F434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B49" i="6"/>
  <c r="B42" i="6"/>
  <c r="B43" i="6"/>
  <c r="B33" i="6"/>
  <c r="B44" i="6"/>
  <c r="B31" i="6"/>
  <c r="B70" i="6"/>
  <c r="B71" i="6"/>
  <c r="B32" i="6"/>
  <c r="B63" i="6"/>
  <c r="B66" i="6"/>
  <c r="B46" i="6"/>
  <c r="B60" i="6"/>
  <c r="B39" i="6"/>
  <c r="B53" i="6"/>
  <c r="B74" i="6"/>
  <c r="A427" i="15"/>
  <c r="C427" i="15"/>
  <c r="C426" i="15"/>
  <c r="A426" i="15"/>
  <c r="B54" i="6" l="1"/>
  <c r="B38" i="6"/>
  <c r="B64" i="6"/>
  <c r="B69" i="6"/>
  <c r="B40" i="6"/>
  <c r="B73" i="6"/>
  <c r="B68" i="6"/>
  <c r="B62" i="6"/>
  <c r="B57" i="6"/>
  <c r="B45" i="6"/>
  <c r="B47" i="6"/>
  <c r="B72" i="6"/>
  <c r="B52" i="6"/>
  <c r="B36" i="6"/>
  <c r="B67" i="6"/>
  <c r="B51" i="6"/>
  <c r="B37" i="6"/>
  <c r="B34" i="6"/>
  <c r="B59" i="6"/>
  <c r="B65" i="6"/>
  <c r="B58" i="6"/>
  <c r="B61" i="6"/>
  <c r="B48" i="6"/>
  <c r="B35" i="6"/>
  <c r="B50" i="6"/>
  <c r="B56" i="6"/>
  <c r="B55" i="6"/>
  <c r="A7395" i="4"/>
  <c r="A7396" i="4"/>
  <c r="A7397" i="4"/>
  <c r="B7397" i="4"/>
  <c r="B7396" i="4"/>
  <c r="B7395" i="4"/>
  <c r="B7394" i="4"/>
  <c r="B7393" i="4"/>
  <c r="B7392" i="4"/>
  <c r="C7396" i="4"/>
  <c r="C7395" i="4"/>
  <c r="C7393" i="4"/>
  <c r="C7392" i="4"/>
  <c r="C7391" i="4"/>
  <c r="B7391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B7390" i="4"/>
  <c r="B7389" i="4"/>
  <c r="B7388" i="4"/>
  <c r="C7390" i="4"/>
  <c r="C7389" i="4"/>
  <c r="C7388" i="4"/>
  <c r="C7387" i="4"/>
  <c r="B7387" i="4"/>
  <c r="B7385" i="4"/>
  <c r="B7386" i="4"/>
  <c r="B7384" i="4"/>
  <c r="C7386" i="4"/>
  <c r="C7385" i="4"/>
  <c r="C7384" i="4"/>
  <c r="C7383" i="4"/>
  <c r="B7383" i="4"/>
  <c r="C7382" i="4"/>
  <c r="C7381" i="4"/>
  <c r="B7382" i="4"/>
  <c r="B7381" i="4"/>
  <c r="B7379" i="4"/>
  <c r="B7380" i="4"/>
  <c r="C7380" i="4"/>
  <c r="C7379" i="4"/>
  <c r="C7378" i="4"/>
  <c r="C7377" i="4"/>
  <c r="B7378" i="4"/>
  <c r="B7377" i="4"/>
  <c r="B7376" i="4"/>
  <c r="B7375" i="4"/>
  <c r="B7374" i="4"/>
  <c r="B7372" i="4"/>
  <c r="B7373" i="4"/>
  <c r="B7371" i="4"/>
  <c r="B7370" i="4"/>
  <c r="B7369" i="4"/>
  <c r="B7368" i="4"/>
  <c r="B7367" i="4"/>
  <c r="C7376" i="4"/>
  <c r="C7375" i="4"/>
  <c r="C7374" i="4"/>
  <c r="C7373" i="4"/>
  <c r="C7372" i="4"/>
  <c r="C7371" i="4"/>
  <c r="C7370" i="4"/>
  <c r="C7369" i="4"/>
  <c r="C7368" i="4"/>
  <c r="C7367" i="4"/>
  <c r="C7365" i="4"/>
  <c r="C7366" i="4"/>
  <c r="B7366" i="4"/>
  <c r="B7365" i="4"/>
  <c r="B7364" i="4"/>
  <c r="B7363" i="4"/>
  <c r="B7362" i="4"/>
  <c r="C7364" i="4"/>
  <c r="C7362" i="4"/>
  <c r="C7361" i="4"/>
  <c r="B7361" i="4"/>
  <c r="B7360" i="4"/>
  <c r="B7359" i="4"/>
  <c r="C7359" i="4"/>
  <c r="C7358" i="4"/>
  <c r="C7357" i="4"/>
  <c r="C7356" i="4"/>
  <c r="B7357" i="4"/>
  <c r="B7358" i="4"/>
  <c r="B7356" i="4"/>
  <c r="B7355" i="4"/>
  <c r="B7354" i="4"/>
  <c r="B7353" i="4"/>
  <c r="B7352" i="4"/>
  <c r="B7351" i="4"/>
  <c r="B7350" i="4"/>
  <c r="C7355" i="4"/>
  <c r="C7354" i="4"/>
  <c r="C7353" i="4"/>
  <c r="C7352" i="4"/>
  <c r="C7351" i="4"/>
  <c r="C7350" i="4"/>
  <c r="C7349" i="4"/>
  <c r="B7349" i="4"/>
  <c r="C425" i="15"/>
  <c r="B7348" i="4"/>
  <c r="B7347" i="4"/>
  <c r="B7346" i="4"/>
  <c r="B7345" i="4"/>
  <c r="C7348" i="4"/>
  <c r="C7347" i="4"/>
  <c r="C7346" i="4"/>
  <c r="C7345" i="4"/>
  <c r="C7344" i="4"/>
  <c r="C7343" i="4"/>
  <c r="B7344" i="4"/>
  <c r="B7343" i="4"/>
  <c r="B7341" i="4"/>
  <c r="B7342" i="4"/>
  <c r="C7342" i="4"/>
  <c r="C7341" i="4"/>
  <c r="C7340" i="4"/>
  <c r="C7339" i="4"/>
  <c r="B7340" i="4"/>
  <c r="B7339" i="4"/>
  <c r="B7335" i="4"/>
  <c r="B7336" i="4"/>
  <c r="B7337" i="4"/>
  <c r="B7338" i="4"/>
  <c r="B7334" i="4"/>
  <c r="C7338" i="4"/>
  <c r="C7336" i="4"/>
  <c r="C7335" i="4"/>
  <c r="C7334" i="4"/>
  <c r="C424" i="15"/>
  <c r="C7333" i="4"/>
  <c r="B7333" i="4"/>
  <c r="B7332" i="4"/>
  <c r="C7332" i="4"/>
  <c r="B7331" i="4"/>
  <c r="B7330" i="4"/>
  <c r="B7328" i="4"/>
  <c r="B7329" i="4"/>
  <c r="C7329" i="4"/>
  <c r="C7328" i="4"/>
  <c r="C7327" i="4"/>
  <c r="C7326" i="4"/>
  <c r="C7325" i="4"/>
  <c r="B7327" i="4"/>
  <c r="B7326" i="4"/>
  <c r="B7325" i="4"/>
  <c r="B7324" i="4"/>
  <c r="B7323" i="4"/>
  <c r="B7321" i="4"/>
  <c r="B7322" i="4"/>
  <c r="B7320" i="4"/>
  <c r="B7319" i="4"/>
  <c r="B7318" i="4"/>
  <c r="B7317" i="4"/>
  <c r="C7323" i="4"/>
  <c r="C7322" i="4"/>
  <c r="C7321" i="4"/>
  <c r="C7320" i="4"/>
  <c r="C7319" i="4"/>
  <c r="C7318" i="4"/>
  <c r="C7317" i="4"/>
  <c r="C7316" i="4"/>
  <c r="B7316" i="4"/>
  <c r="B7315" i="4"/>
  <c r="C7314" i="4"/>
  <c r="B7314" i="4"/>
  <c r="B7313" i="4"/>
  <c r="C7313" i="4"/>
  <c r="C7312" i="4"/>
  <c r="C7311" i="4"/>
  <c r="C7310" i="4"/>
  <c r="B7312" i="4"/>
  <c r="B7311" i="4"/>
  <c r="B7310" i="4"/>
  <c r="C423" i="15" l="1"/>
  <c r="A424" i="15"/>
  <c r="A425" i="15"/>
  <c r="A423" i="15"/>
  <c r="C7309" i="4" l="1"/>
  <c r="C7308" i="4"/>
  <c r="C7307" i="4"/>
  <c r="B7308" i="4"/>
  <c r="B7309" i="4"/>
  <c r="B7307" i="4"/>
  <c r="C7306" i="4"/>
  <c r="C7305" i="4"/>
  <c r="B7306" i="4"/>
  <c r="B7305" i="4"/>
  <c r="B7304" i="4"/>
  <c r="C7304" i="4"/>
  <c r="C7303" i="4"/>
  <c r="B7303" i="4"/>
  <c r="C7302" i="4"/>
  <c r="B7302" i="4"/>
  <c r="A7294" i="4"/>
  <c r="C7301" i="4"/>
  <c r="C7300" i="4"/>
  <c r="B7300" i="4"/>
  <c r="B7301" i="4"/>
  <c r="B7299" i="4"/>
  <c r="B7298" i="4"/>
  <c r="B7297" i="4"/>
  <c r="B7296" i="4"/>
  <c r="B7295" i="4"/>
  <c r="C7299" i="4"/>
  <c r="C7298" i="4"/>
  <c r="C7297" i="4"/>
  <c r="C7296" i="4"/>
  <c r="C7295" i="4"/>
  <c r="C7294" i="4"/>
  <c r="B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C7293" i="4"/>
  <c r="B7293" i="4"/>
  <c r="B81" i="6" l="1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D124" i="6"/>
  <c r="H124" i="6" s="1"/>
  <c r="D125" i="6"/>
  <c r="I125" i="6" s="1"/>
  <c r="D126" i="6"/>
  <c r="I126" i="6" s="1"/>
  <c r="D127" i="6"/>
  <c r="H127" i="6" s="1"/>
  <c r="D128" i="6"/>
  <c r="H128" i="6" s="1"/>
  <c r="D129" i="6"/>
  <c r="H129" i="6" s="1"/>
  <c r="D130" i="6"/>
  <c r="I130" i="6" s="1"/>
  <c r="D131" i="6"/>
  <c r="H131" i="6" s="1"/>
  <c r="D132" i="6"/>
  <c r="I132" i="6" s="1"/>
  <c r="D133" i="6"/>
  <c r="I133" i="6" s="1"/>
  <c r="D134" i="6"/>
  <c r="I134" i="6" s="1"/>
  <c r="D135" i="6"/>
  <c r="I135" i="6" s="1"/>
  <c r="A81" i="6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B76" i="6"/>
  <c r="B77" i="6"/>
  <c r="B78" i="6"/>
  <c r="B79" i="6"/>
  <c r="B80" i="6"/>
  <c r="A76" i="6"/>
  <c r="A77" i="6" s="1"/>
  <c r="A78" i="6" s="1"/>
  <c r="A79" i="6" s="1"/>
  <c r="A80" i="6" s="1"/>
  <c r="B7292" i="4"/>
  <c r="B7291" i="4"/>
  <c r="B7290" i="4"/>
  <c r="B7289" i="4"/>
  <c r="B7288" i="4"/>
  <c r="B7287" i="4"/>
  <c r="C7292" i="4"/>
  <c r="C7291" i="4"/>
  <c r="C7290" i="4"/>
  <c r="C7289" i="4"/>
  <c r="C7288" i="4"/>
  <c r="C7287" i="4"/>
  <c r="C7286" i="4"/>
  <c r="B7286" i="4"/>
  <c r="I124" i="6" l="1"/>
  <c r="H125" i="6"/>
  <c r="I131" i="6"/>
  <c r="I129" i="6"/>
  <c r="I127" i="6"/>
  <c r="H135" i="6"/>
  <c r="H132" i="6"/>
  <c r="I128" i="6"/>
  <c r="H134" i="6"/>
  <c r="H130" i="6"/>
  <c r="H126" i="6"/>
  <c r="H133" i="6"/>
  <c r="B7285" i="4"/>
  <c r="B7282" i="4"/>
  <c r="B7283" i="4"/>
  <c r="B7284" i="4"/>
  <c r="B7281" i="4"/>
  <c r="C7285" i="4"/>
  <c r="C7284" i="4"/>
  <c r="C7283" i="4"/>
  <c r="C7282" i="4"/>
  <c r="C7281" i="4"/>
  <c r="A7274" i="4"/>
  <c r="A7275" i="4"/>
  <c r="A7276" i="4"/>
  <c r="A7277" i="4"/>
  <c r="A7278" i="4"/>
  <c r="A7279" i="4"/>
  <c r="A7280" i="4"/>
  <c r="B7280" i="4"/>
  <c r="C7280" i="4"/>
  <c r="C7279" i="4"/>
  <c r="B7279" i="4"/>
  <c r="B7278" i="4"/>
  <c r="C7278" i="4"/>
  <c r="B7276" i="4" l="1"/>
  <c r="B7277" i="4"/>
  <c r="B7275" i="4"/>
  <c r="C7277" i="4"/>
  <c r="C7276" i="4"/>
  <c r="B7274" i="4"/>
  <c r="B7273" i="4"/>
  <c r="B7272" i="4"/>
  <c r="C7274" i="4"/>
  <c r="C7273" i="4"/>
  <c r="C7272" i="4"/>
  <c r="C7271" i="4"/>
  <c r="C7270" i="4"/>
  <c r="B7271" i="4"/>
  <c r="B7270" i="4"/>
  <c r="C7269" i="4" l="1"/>
  <c r="B7269" i="4"/>
  <c r="B7268" i="4" l="1"/>
  <c r="C7268" i="4"/>
  <c r="C7267" i="4"/>
  <c r="C7266" i="4"/>
  <c r="C7265" i="4"/>
  <c r="C7264" i="4"/>
  <c r="B7267" i="4"/>
  <c r="B7265" i="4"/>
  <c r="B7266" i="4"/>
  <c r="B7264" i="4"/>
  <c r="B7263" i="4"/>
  <c r="B7262" i="4"/>
  <c r="B7261" i="4"/>
  <c r="B7260" i="4"/>
  <c r="B7259" i="4"/>
  <c r="B7258" i="4"/>
  <c r="B7257" i="4"/>
  <c r="B7256" i="4"/>
  <c r="B7255" i="4"/>
  <c r="B7254" i="4"/>
  <c r="B7252" i="4"/>
  <c r="B7253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B7242" i="4"/>
  <c r="B7243" i="4"/>
  <c r="B7244" i="4"/>
  <c r="B7245" i="4"/>
  <c r="B7246" i="4"/>
  <c r="B7247" i="4"/>
  <c r="B7248" i="4"/>
  <c r="B7249" i="4"/>
  <c r="B7250" i="4"/>
  <c r="B7251" i="4"/>
  <c r="B7241" i="4"/>
  <c r="C7246" i="4"/>
  <c r="C7245" i="4"/>
  <c r="C7244" i="4"/>
  <c r="C7243" i="4"/>
  <c r="C7242" i="4"/>
  <c r="C7241" i="4"/>
  <c r="C7240" i="4"/>
  <c r="C7239" i="4"/>
  <c r="B7240" i="4"/>
  <c r="B7239" i="4"/>
  <c r="A7215" i="4" l="1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B7238" i="4"/>
  <c r="B7237" i="4"/>
  <c r="B7236" i="4"/>
  <c r="B7235" i="4"/>
  <c r="B7234" i="4"/>
  <c r="C7238" i="4"/>
  <c r="C7237" i="4"/>
  <c r="C7236" i="4"/>
  <c r="C7235" i="4"/>
  <c r="C7234" i="4"/>
  <c r="C7233" i="4"/>
  <c r="C7232" i="4"/>
  <c r="B7233" i="4"/>
  <c r="B7232" i="4"/>
  <c r="B7231" i="4" l="1"/>
  <c r="B7229" i="4"/>
  <c r="B7230" i="4"/>
  <c r="C7230" i="4"/>
  <c r="C7229" i="4"/>
  <c r="C7228" i="4"/>
  <c r="B7228" i="4"/>
  <c r="C7227" i="4"/>
  <c r="B7227" i="4"/>
  <c r="B7226" i="4"/>
  <c r="B7225" i="4"/>
  <c r="B7224" i="4"/>
  <c r="B7223" i="4"/>
  <c r="B7222" i="4"/>
  <c r="B7221" i="4"/>
  <c r="B7220" i="4"/>
  <c r="B7219" i="4"/>
  <c r="B7218" i="4"/>
  <c r="B7217" i="4"/>
  <c r="B7216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B7215" i="4"/>
  <c r="B7214" i="4"/>
  <c r="A7214" i="4"/>
  <c r="A7209" i="4"/>
  <c r="A7210" i="4"/>
  <c r="A7211" i="4"/>
  <c r="A7212" i="4"/>
  <c r="A7213" i="4"/>
  <c r="A414" i="15"/>
  <c r="A415" i="15"/>
  <c r="A416" i="15"/>
  <c r="A413" i="15"/>
  <c r="C416" i="15"/>
  <c r="C415" i="15"/>
  <c r="C414" i="15"/>
  <c r="C413" i="15"/>
  <c r="B7213" i="4"/>
  <c r="B7212" i="4"/>
  <c r="B7209" i="4"/>
  <c r="B7210" i="4"/>
  <c r="B7211" i="4"/>
  <c r="C7213" i="4"/>
  <c r="C7212" i="4"/>
  <c r="C7210" i="4"/>
  <c r="C7209" i="4"/>
  <c r="C7208" i="4"/>
  <c r="C7207" i="4"/>
  <c r="B7208" i="4"/>
  <c r="B7207" i="4"/>
  <c r="C7206" i="4"/>
  <c r="B7206" i="4"/>
  <c r="A7206" i="4"/>
  <c r="A7207" i="4"/>
  <c r="A7208" i="4"/>
  <c r="A7190" i="4" l="1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C7205" i="4"/>
  <c r="C7204" i="4"/>
  <c r="C7203" i="4"/>
  <c r="C7202" i="4"/>
  <c r="C7201" i="4"/>
  <c r="C7200" i="4"/>
  <c r="C7198" i="4"/>
  <c r="C7197" i="4"/>
  <c r="C7196" i="4"/>
  <c r="C7195" i="4"/>
  <c r="C7194" i="4"/>
  <c r="C7193" i="4"/>
  <c r="C7192" i="4"/>
  <c r="B7192" i="4"/>
  <c r="B7190" i="4"/>
  <c r="B7191" i="4"/>
  <c r="B7189" i="4"/>
  <c r="B7188" i="4"/>
  <c r="B7180" i="4"/>
  <c r="B7181" i="4"/>
  <c r="B7182" i="4"/>
  <c r="B7183" i="4"/>
  <c r="B7184" i="4"/>
  <c r="B7185" i="4"/>
  <c r="B7186" i="4"/>
  <c r="B7187" i="4"/>
  <c r="B7179" i="4"/>
  <c r="B7178" i="4"/>
  <c r="B7177" i="4"/>
  <c r="B7175" i="4"/>
  <c r="B7174" i="4"/>
  <c r="B7173" i="4"/>
  <c r="B7176" i="4"/>
  <c r="C7191" i="4"/>
  <c r="C7190" i="4"/>
  <c r="C7189" i="4"/>
  <c r="C7188" i="4"/>
  <c r="C7187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B7171" i="4" l="1"/>
  <c r="B7172" i="4"/>
  <c r="B7170" i="4"/>
  <c r="B7169" i="4"/>
  <c r="C7172" i="4"/>
  <c r="C7171" i="4"/>
  <c r="C7170" i="4"/>
  <c r="C7169" i="4"/>
  <c r="C7168" i="4"/>
  <c r="C7167" i="4"/>
  <c r="C7166" i="4"/>
  <c r="B7167" i="4"/>
  <c r="B7168" i="4"/>
  <c r="B7166" i="4"/>
  <c r="C7165" i="4"/>
  <c r="B7165" i="4"/>
  <c r="B7161" i="4"/>
  <c r="B7162" i="4"/>
  <c r="B7163" i="4"/>
  <c r="B7164" i="4"/>
  <c r="B7160" i="4"/>
  <c r="B7159" i="4"/>
  <c r="B7158" i="4"/>
  <c r="B7157" i="4"/>
  <c r="B7156" i="4"/>
  <c r="C7164" i="4"/>
  <c r="C7162" i="4"/>
  <c r="C7161" i="4"/>
  <c r="C7160" i="4"/>
  <c r="C7159" i="4"/>
  <c r="C7158" i="4"/>
  <c r="C7157" i="4"/>
  <c r="C7156" i="4"/>
  <c r="C7155" i="4"/>
  <c r="B7155" i="4"/>
  <c r="B7146" i="4"/>
  <c r="B7147" i="4"/>
  <c r="B7148" i="4"/>
  <c r="B7149" i="4"/>
  <c r="B7150" i="4"/>
  <c r="B7151" i="4"/>
  <c r="B7152" i="4"/>
  <c r="B7153" i="4"/>
  <c r="B7154" i="4"/>
  <c r="C7154" i="4"/>
  <c r="C7153" i="4"/>
  <c r="C7152" i="4"/>
  <c r="C7151" i="4"/>
  <c r="C7150" i="4"/>
  <c r="C7149" i="4"/>
  <c r="C7148" i="4"/>
  <c r="C7147" i="4"/>
  <c r="C7146" i="4"/>
  <c r="B7145" i="4"/>
  <c r="B7144" i="4"/>
  <c r="B7143" i="4"/>
  <c r="B7139" i="4"/>
  <c r="B7140" i="4"/>
  <c r="B7141" i="4"/>
  <c r="B7142" i="4"/>
  <c r="B7138" i="4"/>
  <c r="B7137" i="4"/>
  <c r="B7136" i="4"/>
  <c r="B7135" i="4"/>
  <c r="B7134" i="4"/>
  <c r="B7133" i="4"/>
  <c r="B7132" i="4"/>
  <c r="B7131" i="4"/>
  <c r="B7130" i="4"/>
  <c r="C7144" i="4"/>
  <c r="C7143" i="4"/>
  <c r="C7142" i="4"/>
  <c r="C7141" i="4"/>
  <c r="C7140" i="4"/>
  <c r="C7139" i="4"/>
  <c r="C7138" i="4"/>
  <c r="C7137" i="4"/>
  <c r="C7135" i="4"/>
  <c r="C7134" i="4"/>
  <c r="C7133" i="4"/>
  <c r="C7132" i="4"/>
  <c r="C7131" i="4"/>
  <c r="C7130" i="4"/>
  <c r="C7129" i="4"/>
  <c r="B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29" i="4"/>
  <c r="B7126" i="4"/>
  <c r="B7127" i="4"/>
  <c r="B7128" i="4"/>
  <c r="B7125" i="4"/>
  <c r="B7124" i="4"/>
  <c r="B7123" i="4"/>
  <c r="B7122" i="4"/>
  <c r="B7121" i="4"/>
  <c r="B7120" i="4"/>
  <c r="B7119" i="4"/>
  <c r="B7118" i="4"/>
  <c r="B7117" i="4"/>
  <c r="B7116" i="4"/>
  <c r="B7115" i="4"/>
  <c r="B7114" i="4"/>
  <c r="C7128" i="4"/>
  <c r="C7127" i="4"/>
  <c r="C7126" i="4"/>
  <c r="C7125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B7113" i="4"/>
  <c r="B7112" i="4"/>
  <c r="B7109" i="4"/>
  <c r="B7110" i="4"/>
  <c r="B7111" i="4"/>
  <c r="C7111" i="4"/>
  <c r="C7110" i="4"/>
  <c r="C7109" i="4"/>
  <c r="C7108" i="4"/>
  <c r="C7107" i="4"/>
  <c r="C7106" i="4"/>
  <c r="C7105" i="4"/>
  <c r="C7104" i="4"/>
  <c r="C7103" i="4"/>
  <c r="C7102" i="4"/>
  <c r="B7108" i="4"/>
  <c r="B7107" i="4"/>
  <c r="B7106" i="4"/>
  <c r="B7105" i="4"/>
  <c r="B7104" i="4"/>
  <c r="B7103" i="4"/>
  <c r="B7102" i="4"/>
  <c r="B7101" i="4"/>
  <c r="C7101" i="4"/>
  <c r="C7100" i="4"/>
  <c r="C7099" i="4"/>
  <c r="B7099" i="4"/>
  <c r="B7098" i="4"/>
  <c r="C7098" i="4"/>
  <c r="C7097" i="4"/>
  <c r="C7096" i="4"/>
  <c r="C7095" i="4"/>
  <c r="C7094" i="4"/>
  <c r="C7093" i="4"/>
  <c r="C7092" i="4"/>
  <c r="C7091" i="4"/>
  <c r="B7100" i="4"/>
  <c r="B7097" i="4"/>
  <c r="B7095" i="4"/>
  <c r="B7096" i="4"/>
  <c r="B7094" i="4"/>
  <c r="B7092" i="4"/>
  <c r="B7093" i="4"/>
  <c r="B7091" i="4"/>
  <c r="B7089" i="4"/>
  <c r="B7090" i="4"/>
  <c r="B7088" i="4"/>
  <c r="B7087" i="4"/>
  <c r="B7086" i="4"/>
  <c r="B7085" i="4"/>
  <c r="B7082" i="4"/>
  <c r="B7083" i="4"/>
  <c r="B7081" i="4"/>
  <c r="B7084" i="4"/>
  <c r="B7076" i="4"/>
  <c r="B7077" i="4"/>
  <c r="B7078" i="4"/>
  <c r="B7079" i="4"/>
  <c r="B7080" i="4"/>
  <c r="B7075" i="4"/>
  <c r="B7074" i="4"/>
  <c r="B7073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B7072" i="4"/>
  <c r="B7070" i="4"/>
  <c r="B7071" i="4"/>
  <c r="C7072" i="4"/>
  <c r="C7071" i="4"/>
  <c r="C7070" i="4"/>
  <c r="A7070" i="4"/>
  <c r="C422" i="15"/>
  <c r="C421" i="15"/>
  <c r="A422" i="15"/>
  <c r="A421" i="15"/>
  <c r="A418" i="15"/>
  <c r="A419" i="15"/>
  <c r="A420" i="15"/>
  <c r="A417" i="15"/>
  <c r="C419" i="15"/>
  <c r="C417" i="15"/>
  <c r="C418" i="15" l="1"/>
  <c r="B7069" i="4" l="1"/>
  <c r="B7066" i="4"/>
  <c r="B7067" i="4"/>
  <c r="B7068" i="4"/>
  <c r="B7065" i="4"/>
  <c r="B7060" i="4"/>
  <c r="B7061" i="4"/>
  <c r="B7062" i="4"/>
  <c r="B7063" i="4"/>
  <c r="B7064" i="4"/>
  <c r="C7069" i="4"/>
  <c r="C7068" i="4"/>
  <c r="C7066" i="4"/>
  <c r="C7065" i="4"/>
  <c r="C7064" i="4"/>
  <c r="C7063" i="4"/>
  <c r="C7062" i="4"/>
  <c r="C7061" i="4"/>
  <c r="C7060" i="4"/>
  <c r="C7059" i="4"/>
  <c r="C7058" i="4"/>
  <c r="C7057" i="4"/>
  <c r="B7059" i="4"/>
  <c r="B7058" i="4"/>
  <c r="B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057" i="4"/>
  <c r="B7056" i="4"/>
  <c r="C7056" i="4"/>
  <c r="C7055" i="4"/>
  <c r="C7054" i="4"/>
  <c r="B7055" i="4"/>
  <c r="B7054" i="4"/>
  <c r="B7053" i="4"/>
  <c r="B7051" i="4"/>
  <c r="B7052" i="4"/>
  <c r="B7050" i="4"/>
  <c r="B7043" i="4"/>
  <c r="B7044" i="4"/>
  <c r="B7045" i="4"/>
  <c r="B7046" i="4"/>
  <c r="B7047" i="4"/>
  <c r="B7048" i="4"/>
  <c r="B7049" i="4"/>
  <c r="B7042" i="4"/>
  <c r="B7038" i="4"/>
  <c r="B7039" i="4"/>
  <c r="B7040" i="4"/>
  <c r="B7041" i="4"/>
  <c r="B7037" i="4"/>
  <c r="B7036" i="4"/>
  <c r="B7035" i="4"/>
  <c r="B7034" i="4"/>
  <c r="B7031" i="4"/>
  <c r="B7032" i="4"/>
  <c r="B7033" i="4"/>
  <c r="B7030" i="4"/>
  <c r="B7029" i="4"/>
  <c r="B7028" i="4"/>
  <c r="B7027" i="4"/>
  <c r="B7026" i="4"/>
  <c r="B7025" i="4"/>
  <c r="B7024" i="4"/>
  <c r="B7022" i="4"/>
  <c r="B7023" i="4"/>
  <c r="B7021" i="4"/>
  <c r="B7020" i="4"/>
  <c r="B7019" i="4"/>
  <c r="B7018" i="4"/>
  <c r="B7017" i="4"/>
  <c r="B7016" i="4"/>
  <c r="B7015" i="4"/>
  <c r="B7014" i="4"/>
  <c r="B7013" i="4"/>
  <c r="B7012" i="4"/>
  <c r="C7053" i="4"/>
  <c r="C7052" i="4"/>
  <c r="C7051" i="4"/>
  <c r="C7050" i="4"/>
  <c r="C7049" i="4"/>
  <c r="C7048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3" i="4"/>
  <c r="C7032" i="4"/>
  <c r="C7031" i="4"/>
  <c r="C7030" i="4"/>
  <c r="C7029" i="4"/>
  <c r="C7028" i="4"/>
  <c r="C7027" i="4"/>
  <c r="C7026" i="4"/>
  <c r="C7025" i="4"/>
  <c r="C7024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B7011" i="4"/>
  <c r="B7010" i="4"/>
  <c r="B7009" i="4"/>
  <c r="B7008" i="4"/>
  <c r="B7007" i="4"/>
  <c r="B7001" i="4"/>
  <c r="B7002" i="4"/>
  <c r="B7003" i="4"/>
  <c r="B7004" i="4"/>
  <c r="B7005" i="4"/>
  <c r="B7006" i="4"/>
  <c r="B7000" i="4"/>
  <c r="B6999" i="4"/>
  <c r="B6998" i="4"/>
  <c r="B6996" i="4"/>
  <c r="B6997" i="4"/>
  <c r="B6995" i="4"/>
  <c r="B6993" i="4"/>
  <c r="B6994" i="4"/>
  <c r="B6992" i="4"/>
  <c r="B6991" i="4"/>
  <c r="B6990" i="4"/>
  <c r="B6989" i="4"/>
  <c r="B6988" i="4"/>
  <c r="B6987" i="4"/>
  <c r="B6983" i="4"/>
  <c r="B6984" i="4"/>
  <c r="B6985" i="4"/>
  <c r="B6986" i="4"/>
  <c r="B6982" i="4"/>
  <c r="B6979" i="4"/>
  <c r="B6980" i="4"/>
  <c r="B6981" i="4"/>
  <c r="C7010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8" i="4"/>
  <c r="C6987" i="4"/>
  <c r="C6986" i="4"/>
  <c r="C6985" i="4"/>
  <c r="C6984" i="4"/>
  <c r="C6983" i="4"/>
  <c r="C6982" i="4"/>
  <c r="C6981" i="4"/>
  <c r="C6980" i="4"/>
  <c r="C6979" i="4"/>
  <c r="C6978" i="4"/>
  <c r="B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6978" i="4"/>
  <c r="B6977" i="4"/>
  <c r="B6976" i="4"/>
  <c r="B6974" i="4"/>
  <c r="B6975" i="4"/>
  <c r="B6973" i="4"/>
  <c r="B6971" i="4"/>
  <c r="B6972" i="4"/>
  <c r="B6970" i="4"/>
  <c r="B6968" i="4"/>
  <c r="B6969" i="4"/>
  <c r="B6967" i="4"/>
  <c r="B6963" i="4"/>
  <c r="B6964" i="4"/>
  <c r="B6965" i="4"/>
  <c r="B6966" i="4"/>
  <c r="B6962" i="4"/>
  <c r="B6960" i="4"/>
  <c r="B6961" i="4"/>
  <c r="B6959" i="4"/>
  <c r="B6957" i="4"/>
  <c r="B6958" i="4"/>
  <c r="B6956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1" i="4"/>
  <c r="C6960" i="4"/>
  <c r="C6959" i="4"/>
  <c r="C6958" i="4"/>
  <c r="C6957" i="4"/>
  <c r="C6956" i="4"/>
  <c r="B6950" i="4"/>
  <c r="B6951" i="4"/>
  <c r="B6952" i="4"/>
  <c r="B6953" i="4"/>
  <c r="B6954" i="4"/>
  <c r="B6955" i="4"/>
  <c r="B6949" i="4"/>
  <c r="B6943" i="4"/>
  <c r="B6944" i="4"/>
  <c r="B6945" i="4"/>
  <c r="B6946" i="4"/>
  <c r="B6947" i="4"/>
  <c r="B6948" i="4"/>
  <c r="B6942" i="4"/>
  <c r="B6941" i="4"/>
  <c r="B6939" i="4"/>
  <c r="B6940" i="4"/>
  <c r="B6938" i="4"/>
  <c r="B6937" i="4"/>
  <c r="B6936" i="4"/>
  <c r="B6932" i="4"/>
  <c r="B6933" i="4"/>
  <c r="B6934" i="4"/>
  <c r="B6935" i="4"/>
  <c r="B6931" i="4"/>
  <c r="B6927" i="4"/>
  <c r="B6928" i="4"/>
  <c r="B6929" i="4"/>
  <c r="B6930" i="4"/>
  <c r="B6926" i="4"/>
  <c r="B6923" i="4"/>
  <c r="B6924" i="4"/>
  <c r="B6925" i="4"/>
  <c r="C6955" i="4"/>
  <c r="C6954" i="4"/>
  <c r="C6953" i="4"/>
  <c r="C6952" i="4"/>
  <c r="C6951" i="4"/>
  <c r="C6950" i="4"/>
  <c r="C6949" i="4"/>
  <c r="C6948" i="4"/>
  <c r="C6947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5" i="4"/>
  <c r="C6924" i="4"/>
  <c r="C6923" i="4"/>
  <c r="C6922" i="4"/>
  <c r="B6922" i="4"/>
  <c r="B6921" i="4"/>
  <c r="B6919" i="4"/>
  <c r="B6920" i="4"/>
  <c r="B6918" i="4"/>
  <c r="B6917" i="4"/>
  <c r="B6916" i="4"/>
  <c r="B6915" i="4"/>
  <c r="B6914" i="4"/>
  <c r="B6909" i="4"/>
  <c r="B6910" i="4"/>
  <c r="B6911" i="4"/>
  <c r="B6912" i="4"/>
  <c r="B6913" i="4"/>
  <c r="B6908" i="4"/>
  <c r="B6907" i="4"/>
  <c r="B6897" i="4"/>
  <c r="B6898" i="4"/>
  <c r="B6899" i="4"/>
  <c r="B6900" i="4"/>
  <c r="B6901" i="4"/>
  <c r="B6902" i="4"/>
  <c r="B6903" i="4"/>
  <c r="B6904" i="4"/>
  <c r="B6905" i="4"/>
  <c r="B6906" i="4"/>
  <c r="B6896" i="4"/>
  <c r="B6895" i="4"/>
  <c r="B6894" i="4"/>
  <c r="B6893" i="4"/>
  <c r="B6892" i="4"/>
  <c r="B6891" i="4"/>
  <c r="B6890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899" i="4"/>
  <c r="C6898" i="4"/>
  <c r="C6897" i="4"/>
  <c r="C6896" i="4"/>
  <c r="C6895" i="4"/>
  <c r="C6894" i="4"/>
  <c r="C6893" i="4"/>
  <c r="C6892" i="4"/>
  <c r="C6891" i="4"/>
  <c r="C6890" i="4"/>
  <c r="C6889" i="4"/>
  <c r="B6889" i="4"/>
  <c r="C411" i="15"/>
  <c r="C410" i="15"/>
  <c r="C409" i="15"/>
  <c r="C408" i="15"/>
  <c r="C407" i="15"/>
  <c r="C406" i="15"/>
  <c r="C405" i="15"/>
  <c r="C404" i="15"/>
  <c r="C403" i="15"/>
  <c r="C402" i="15"/>
  <c r="C401" i="15"/>
  <c r="C400" i="15"/>
  <c r="C399" i="15"/>
  <c r="C397" i="15"/>
  <c r="C396" i="15"/>
  <c r="C395" i="15"/>
  <c r="C394" i="15"/>
  <c r="C393" i="15"/>
  <c r="C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6890" i="4" l="1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889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C6884" i="4"/>
  <c r="B6885" i="4"/>
  <c r="B6886" i="4"/>
  <c r="B6887" i="4"/>
  <c r="B6888" i="4"/>
  <c r="B6884" i="4"/>
  <c r="B6883" i="4"/>
  <c r="B6880" i="4"/>
  <c r="B6881" i="4"/>
  <c r="B6882" i="4"/>
  <c r="B6879" i="4"/>
  <c r="B6878" i="4"/>
  <c r="B6877" i="4"/>
  <c r="B6876" i="4"/>
  <c r="B6875" i="4"/>
  <c r="B6874" i="4"/>
  <c r="B6873" i="4"/>
  <c r="B6872" i="4"/>
  <c r="B6871" i="4"/>
  <c r="B6866" i="4"/>
  <c r="B6867" i="4"/>
  <c r="B6868" i="4"/>
  <c r="B6869" i="4"/>
  <c r="B6870" i="4"/>
  <c r="B6865" i="4"/>
  <c r="B6864" i="4"/>
  <c r="B6863" i="4"/>
  <c r="B6862" i="4"/>
  <c r="B6861" i="4"/>
  <c r="B6860" i="4"/>
  <c r="B6853" i="4"/>
  <c r="B6854" i="4"/>
  <c r="B6855" i="4"/>
  <c r="B6856" i="4"/>
  <c r="B6857" i="4"/>
  <c r="B6858" i="4"/>
  <c r="B6859" i="4"/>
  <c r="B6852" i="4"/>
  <c r="B6851" i="4"/>
  <c r="B6850" i="4"/>
  <c r="C6860" i="4"/>
  <c r="C6888" i="4"/>
  <c r="C6887" i="4"/>
  <c r="C6886" i="4"/>
  <c r="C6885" i="4"/>
  <c r="C6883" i="4"/>
  <c r="C6882" i="4"/>
  <c r="C6881" i="4"/>
  <c r="C6880" i="4"/>
  <c r="C6879" i="4"/>
  <c r="C6878" i="4"/>
  <c r="C6877" i="4"/>
  <c r="C6876" i="4"/>
  <c r="C6875" i="4"/>
  <c r="C6874" i="4"/>
  <c r="C6873" i="4"/>
  <c r="C6871" i="4"/>
  <c r="C6870" i="4"/>
  <c r="C6869" i="4"/>
  <c r="C6868" i="4"/>
  <c r="C6867" i="4"/>
  <c r="C6866" i="4"/>
  <c r="C6865" i="4"/>
  <c r="C6864" i="4"/>
  <c r="C6863" i="4"/>
  <c r="C6862" i="4"/>
  <c r="C6861" i="4"/>
  <c r="C6859" i="4"/>
  <c r="C6857" i="4"/>
  <c r="C6855" i="4"/>
  <c r="C6854" i="4"/>
  <c r="C6853" i="4"/>
  <c r="C6852" i="4"/>
  <c r="C6851" i="4"/>
  <c r="C6850" i="4"/>
  <c r="C6849" i="4"/>
  <c r="B6849" i="4"/>
  <c r="B6845" i="4"/>
  <c r="B6846" i="4"/>
  <c r="B6847" i="4"/>
  <c r="B6848" i="4"/>
  <c r="B6844" i="4"/>
  <c r="B6843" i="4"/>
  <c r="B6838" i="4"/>
  <c r="B6839" i="4"/>
  <c r="B6840" i="4"/>
  <c r="B6841" i="4"/>
  <c r="B6842" i="4"/>
  <c r="B6837" i="4"/>
  <c r="B6836" i="4"/>
  <c r="B6835" i="4"/>
  <c r="B6832" i="4"/>
  <c r="B6833" i="4"/>
  <c r="B6834" i="4"/>
  <c r="B6831" i="4"/>
  <c r="B6826" i="4"/>
  <c r="B6827" i="4"/>
  <c r="B6828" i="4"/>
  <c r="B6829" i="4"/>
  <c r="B6830" i="4"/>
  <c r="B6825" i="4"/>
  <c r="B6824" i="4"/>
  <c r="B6823" i="4"/>
  <c r="B6822" i="4"/>
  <c r="B6820" i="4"/>
  <c r="B6821" i="4"/>
  <c r="B6819" i="4"/>
  <c r="B6818" i="4"/>
  <c r="B6817" i="4"/>
  <c r="B6815" i="4"/>
  <c r="B6816" i="4"/>
  <c r="B6814" i="4"/>
  <c r="B6810" i="4"/>
  <c r="B6811" i="4"/>
  <c r="B6812" i="4"/>
  <c r="B6813" i="4"/>
  <c r="B6809" i="4"/>
  <c r="C6848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B6808" i="4"/>
  <c r="B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07" i="4"/>
  <c r="B6804" i="4"/>
  <c r="B6805" i="4"/>
  <c r="B6806" i="4"/>
  <c r="B6803" i="4"/>
  <c r="B6801" i="4"/>
  <c r="B6802" i="4"/>
  <c r="B6800" i="4"/>
  <c r="B6799" i="4"/>
  <c r="B6798" i="4"/>
  <c r="B6797" i="4"/>
  <c r="C6797" i="4"/>
  <c r="B6795" i="4"/>
  <c r="B6796" i="4"/>
  <c r="B6794" i="4"/>
  <c r="B6793" i="4"/>
  <c r="B6787" i="4"/>
  <c r="B6788" i="4"/>
  <c r="B6789" i="4"/>
  <c r="B6790" i="4"/>
  <c r="B6791" i="4"/>
  <c r="B6792" i="4"/>
  <c r="B6786" i="4"/>
  <c r="B6785" i="4"/>
  <c r="B6784" i="4"/>
  <c r="B6783" i="4"/>
  <c r="B6782" i="4"/>
  <c r="B6781" i="4"/>
  <c r="B6780" i="4"/>
  <c r="B6776" i="4"/>
  <c r="B6777" i="4"/>
  <c r="B6778" i="4"/>
  <c r="B6779" i="4"/>
  <c r="B6775" i="4"/>
  <c r="B6774" i="4"/>
  <c r="C6806" i="4"/>
  <c r="C6805" i="4"/>
  <c r="C6804" i="4"/>
  <c r="C6803" i="4"/>
  <c r="C6802" i="4"/>
  <c r="C6801" i="4"/>
  <c r="C6800" i="4"/>
  <c r="C6799" i="4"/>
  <c r="C6798" i="4"/>
  <c r="C6796" i="4"/>
  <c r="C6795" i="4"/>
  <c r="C6794" i="4"/>
  <c r="C6793" i="4"/>
  <c r="C6792" i="4"/>
  <c r="C6790" i="4"/>
  <c r="C6789" i="4"/>
  <c r="C6791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4" i="4"/>
  <c r="C6773" i="4"/>
  <c r="B6773" i="4"/>
  <c r="B6770" i="4"/>
  <c r="B6771" i="4"/>
  <c r="B6772" i="4"/>
  <c r="B6769" i="4"/>
  <c r="B6768" i="4"/>
  <c r="B6767" i="4"/>
  <c r="B6766" i="4"/>
  <c r="B6765" i="4"/>
  <c r="B6759" i="4"/>
  <c r="B6760" i="4"/>
  <c r="B6761" i="4"/>
  <c r="B6762" i="4"/>
  <c r="B6763" i="4"/>
  <c r="B6764" i="4"/>
  <c r="B6758" i="4"/>
  <c r="B6757" i="4"/>
  <c r="B6754" i="4"/>
  <c r="B6755" i="4"/>
  <c r="B6756" i="4"/>
  <c r="B6753" i="4"/>
  <c r="B6746" i="4"/>
  <c r="B6747" i="4"/>
  <c r="B6748" i="4"/>
  <c r="B6749" i="4"/>
  <c r="B6750" i="4"/>
  <c r="B6751" i="4"/>
  <c r="B6752" i="4"/>
  <c r="B6745" i="4"/>
  <c r="B6740" i="4"/>
  <c r="B6741" i="4"/>
  <c r="B6742" i="4"/>
  <c r="B6743" i="4"/>
  <c r="B6744" i="4"/>
  <c r="B6739" i="4"/>
  <c r="B6738" i="4"/>
  <c r="B6735" i="4"/>
  <c r="B6736" i="4"/>
  <c r="B6737" i="4"/>
  <c r="B6734" i="4"/>
  <c r="B6732" i="4"/>
  <c r="B6733" i="4"/>
  <c r="B6731" i="4"/>
  <c r="C6772" i="4"/>
  <c r="C6771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39" i="4"/>
  <c r="C6738" i="4"/>
  <c r="C6736" i="4"/>
  <c r="C6735" i="4"/>
  <c r="C6734" i="4"/>
  <c r="C6733" i="4"/>
  <c r="C6732" i="4"/>
  <c r="C6731" i="4"/>
  <c r="C6730" i="4"/>
  <c r="A392" i="15" l="1"/>
  <c r="A390" i="15"/>
  <c r="A391" i="15"/>
  <c r="C391" i="15"/>
  <c r="C390" i="15"/>
  <c r="C389" i="15"/>
  <c r="A389" i="15"/>
  <c r="A387" i="15"/>
  <c r="A388" i="15"/>
  <c r="C388" i="15"/>
  <c r="C387" i="15"/>
  <c r="C386" i="15"/>
  <c r="A386" i="15"/>
  <c r="B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730" i="4"/>
  <c r="B6729" i="4" l="1"/>
  <c r="B6728" i="4"/>
  <c r="B6727" i="4"/>
  <c r="B6726" i="4"/>
  <c r="B6725" i="4"/>
  <c r="B6724" i="4"/>
  <c r="B6723" i="4"/>
  <c r="B6722" i="4"/>
  <c r="B6721" i="4"/>
  <c r="B6720" i="4"/>
  <c r="B6719" i="4"/>
  <c r="B6718" i="4"/>
  <c r="B6717" i="4"/>
  <c r="B6716" i="4"/>
  <c r="B6715" i="4"/>
  <c r="B6714" i="4"/>
  <c r="B6713" i="4"/>
  <c r="B6712" i="4"/>
  <c r="B6711" i="4"/>
  <c r="B6710" i="4"/>
  <c r="B6709" i="4"/>
  <c r="B6706" i="4"/>
  <c r="B6707" i="4"/>
  <c r="B6708" i="4"/>
  <c r="B6705" i="4"/>
  <c r="B6704" i="4"/>
  <c r="B6703" i="4"/>
  <c r="B6702" i="4"/>
  <c r="B6701" i="4"/>
  <c r="B6700" i="4"/>
  <c r="B6698" i="4"/>
  <c r="B6699" i="4"/>
  <c r="B6697" i="4"/>
  <c r="B6696" i="4"/>
  <c r="B6695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B6694" i="4"/>
  <c r="B6693" i="4"/>
  <c r="B6692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C6694" i="4"/>
  <c r="C6693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B6675" i="4"/>
  <c r="B6674" i="4"/>
  <c r="B6673" i="4"/>
  <c r="B6672" i="4"/>
  <c r="B6669" i="4"/>
  <c r="B6670" i="4"/>
  <c r="B6671" i="4"/>
  <c r="B6668" i="4"/>
  <c r="B6667" i="4"/>
  <c r="B6666" i="4"/>
  <c r="B6665" i="4"/>
  <c r="B6664" i="4"/>
  <c r="B6663" i="4"/>
  <c r="B6662" i="4"/>
  <c r="B6661" i="4"/>
  <c r="B6660" i="4"/>
  <c r="B6659" i="4"/>
  <c r="B6658" i="4"/>
  <c r="B6657" i="4"/>
  <c r="B6656" i="4"/>
  <c r="C6674" i="4"/>
  <c r="C6673" i="4"/>
  <c r="C6672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B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655" i="4"/>
  <c r="B6654" i="4"/>
  <c r="B6653" i="4"/>
  <c r="B6652" i="4"/>
  <c r="B6651" i="4"/>
  <c r="B6650" i="4"/>
  <c r="B6649" i="4"/>
  <c r="B6648" i="4"/>
  <c r="B6647" i="4"/>
  <c r="B6646" i="4"/>
  <c r="B6645" i="4"/>
  <c r="B6644" i="4"/>
  <c r="B6643" i="4"/>
  <c r="B6642" i="4"/>
  <c r="B6641" i="4"/>
  <c r="C6654" i="4"/>
  <c r="C6653" i="4"/>
  <c r="C6652" i="4"/>
  <c r="C6651" i="4"/>
  <c r="C6650" i="4"/>
  <c r="C6648" i="4"/>
  <c r="C6647" i="4"/>
  <c r="C6646" i="4"/>
  <c r="C6645" i="4"/>
  <c r="C6644" i="4"/>
  <c r="C6643" i="4"/>
  <c r="C6642" i="4"/>
  <c r="C6641" i="4"/>
  <c r="B6636" i="4"/>
  <c r="B6637" i="4"/>
  <c r="B6638" i="4"/>
  <c r="B6639" i="4"/>
  <c r="B6640" i="4"/>
  <c r="B6635" i="4"/>
  <c r="B6634" i="4"/>
  <c r="B6630" i="4"/>
  <c r="B6631" i="4"/>
  <c r="B6632" i="4"/>
  <c r="B6633" i="4"/>
  <c r="B6629" i="4"/>
  <c r="B6627" i="4"/>
  <c r="B6628" i="4"/>
  <c r="B6626" i="4"/>
  <c r="B6625" i="4"/>
  <c r="B6624" i="4"/>
  <c r="B6623" i="4"/>
  <c r="B6622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B6621" i="4"/>
  <c r="B6620" i="4"/>
  <c r="B6619" i="4"/>
  <c r="B6618" i="4"/>
  <c r="B6617" i="4"/>
  <c r="B6614" i="4"/>
  <c r="B6615" i="4"/>
  <c r="B6616" i="4"/>
  <c r="B6613" i="4"/>
  <c r="B6611" i="4"/>
  <c r="B6612" i="4"/>
  <c r="B6610" i="4"/>
  <c r="B6608" i="4"/>
  <c r="B6609" i="4"/>
  <c r="B6607" i="4"/>
  <c r="B6604" i="4"/>
  <c r="B6605" i="4"/>
  <c r="B6606" i="4"/>
  <c r="B6603" i="4"/>
  <c r="C6621" i="4"/>
  <c r="C6620" i="4"/>
  <c r="C6619" i="4"/>
  <c r="C6617" i="4"/>
  <c r="C6616" i="4"/>
  <c r="C6614" i="4"/>
  <c r="C6613" i="4"/>
  <c r="C6612" i="4"/>
  <c r="C6611" i="4"/>
  <c r="C6610" i="4"/>
  <c r="C6609" i="4"/>
  <c r="C6608" i="4"/>
  <c r="C6607" i="4"/>
  <c r="C6606" i="4"/>
  <c r="C6605" i="4"/>
  <c r="C6603" i="4"/>
  <c r="B6598" i="4"/>
  <c r="B6599" i="4"/>
  <c r="B6600" i="4"/>
  <c r="B6601" i="4"/>
  <c r="B6602" i="4"/>
  <c r="B6597" i="4"/>
  <c r="B6596" i="4"/>
  <c r="B6595" i="4"/>
  <c r="B6594" i="4"/>
  <c r="B6593" i="4"/>
  <c r="B6592" i="4"/>
  <c r="B6591" i="4"/>
  <c r="B6587" i="4"/>
  <c r="B6588" i="4"/>
  <c r="B6589" i="4"/>
  <c r="B6590" i="4"/>
  <c r="B6586" i="4"/>
  <c r="B6585" i="4"/>
  <c r="B6584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4" i="4"/>
  <c r="C6583" i="4"/>
  <c r="B6583" i="4"/>
  <c r="B6579" i="4"/>
  <c r="B6580" i="4"/>
  <c r="B6581" i="4"/>
  <c r="B6582" i="4"/>
  <c r="B6578" i="4"/>
  <c r="B6575" i="4"/>
  <c r="B6576" i="4"/>
  <c r="B6577" i="4"/>
  <c r="B6574" i="4"/>
  <c r="B6573" i="4"/>
  <c r="B6572" i="4"/>
  <c r="B6571" i="4"/>
  <c r="B6570" i="4"/>
  <c r="B6569" i="4"/>
  <c r="B6568" i="4"/>
  <c r="B6567" i="4"/>
  <c r="B6566" i="4"/>
  <c r="C6582" i="4"/>
  <c r="C6581" i="4"/>
  <c r="C6580" i="4"/>
  <c r="C6579" i="4"/>
  <c r="C6577" i="4"/>
  <c r="C6576" i="4"/>
  <c r="C6575" i="4"/>
  <c r="C6574" i="4"/>
  <c r="C6573" i="4"/>
  <c r="C6572" i="4"/>
  <c r="C6571" i="4"/>
  <c r="C6570" i="4"/>
  <c r="C6569" i="4"/>
  <c r="C6568" i="4"/>
  <c r="C6566" i="4"/>
  <c r="C6565" i="4"/>
  <c r="B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565" i="4"/>
  <c r="B6563" i="4"/>
  <c r="B6564" i="4"/>
  <c r="B6562" i="4"/>
  <c r="B6561" i="4"/>
  <c r="B6560" i="4"/>
  <c r="B6559" i="4"/>
  <c r="B6558" i="4"/>
  <c r="B6557" i="4"/>
  <c r="B6556" i="4"/>
  <c r="B6555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42" i="4"/>
  <c r="B6537" i="4"/>
  <c r="B6538" i="4"/>
  <c r="B6539" i="4"/>
  <c r="B6540" i="4"/>
  <c r="B6541" i="4"/>
  <c r="B6536" i="4"/>
  <c r="B6530" i="4"/>
  <c r="B6531" i="4"/>
  <c r="B6532" i="4"/>
  <c r="B6533" i="4"/>
  <c r="B6534" i="4"/>
  <c r="B6535" i="4"/>
  <c r="B6529" i="4"/>
  <c r="B6526" i="4"/>
  <c r="B6527" i="4"/>
  <c r="B6528" i="4"/>
  <c r="B652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B6522" i="4"/>
  <c r="B6523" i="4"/>
  <c r="B6524" i="4"/>
  <c r="B6521" i="4"/>
  <c r="B6517" i="4"/>
  <c r="B6518" i="4"/>
  <c r="B6519" i="4"/>
  <c r="B6520" i="4"/>
  <c r="B6516" i="4"/>
  <c r="B6514" i="4"/>
  <c r="B6515" i="4"/>
  <c r="B6513" i="4"/>
  <c r="B6512" i="4"/>
  <c r="B6510" i="4"/>
  <c r="B6511" i="4"/>
  <c r="B6509" i="4"/>
  <c r="B6506" i="4"/>
  <c r="B6507" i="4"/>
  <c r="B6508" i="4"/>
  <c r="C6524" i="4"/>
  <c r="C6523" i="4"/>
  <c r="C6522" i="4"/>
  <c r="C6521" i="4"/>
  <c r="C6520" i="4"/>
  <c r="C6519" i="4"/>
  <c r="C6517" i="4"/>
  <c r="C6516" i="4"/>
  <c r="C6515" i="4"/>
  <c r="C6514" i="4"/>
  <c r="C6513" i="4"/>
  <c r="C6510" i="4"/>
  <c r="C6509" i="4"/>
  <c r="C6508" i="4"/>
  <c r="C6507" i="4"/>
  <c r="C6506" i="4"/>
  <c r="C6505" i="4"/>
  <c r="B6505" i="4"/>
  <c r="B6504" i="4"/>
  <c r="B6503" i="4"/>
  <c r="B6501" i="4"/>
  <c r="B6502" i="4"/>
  <c r="B6500" i="4"/>
  <c r="B6497" i="4"/>
  <c r="B6498" i="4"/>
  <c r="B6499" i="4"/>
  <c r="B6496" i="4"/>
  <c r="B6495" i="4"/>
  <c r="B6494" i="4"/>
  <c r="B6493" i="4"/>
  <c r="B6492" i="4"/>
  <c r="B6491" i="4"/>
  <c r="B6489" i="4"/>
  <c r="B6490" i="4"/>
  <c r="B6488" i="4"/>
  <c r="B6487" i="4"/>
  <c r="B6486" i="4"/>
  <c r="B6485" i="4"/>
  <c r="C6504" i="4"/>
  <c r="C6503" i="4"/>
  <c r="C6502" i="4"/>
  <c r="C6501" i="4"/>
  <c r="C6500" i="4"/>
  <c r="C6499" i="4"/>
  <c r="C6498" i="4"/>
  <c r="C6497" i="4"/>
  <c r="C6496" i="4"/>
  <c r="C6495" i="4"/>
  <c r="C6493" i="4"/>
  <c r="C6492" i="4"/>
  <c r="C6491" i="4"/>
  <c r="C6490" i="4"/>
  <c r="C6489" i="4"/>
  <c r="C6488" i="4"/>
  <c r="C6487" i="4"/>
  <c r="C6486" i="4"/>
  <c r="C6485" i="4"/>
  <c r="C6484" i="4"/>
  <c r="B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484" i="4"/>
  <c r="A6483" i="4"/>
  <c r="C6483" i="4"/>
  <c r="C6482" i="4"/>
  <c r="C6481" i="4"/>
  <c r="C6480" i="4"/>
  <c r="C6479" i="4"/>
  <c r="C6478" i="4"/>
  <c r="C6477" i="4"/>
  <c r="B6483" i="4"/>
  <c r="B6482" i="4"/>
  <c r="B6481" i="4"/>
  <c r="B6480" i="4"/>
  <c r="B6479" i="4"/>
  <c r="B6478" i="4"/>
  <c r="B6477" i="4"/>
  <c r="A6478" i="4"/>
  <c r="A6479" i="4"/>
  <c r="A6480" i="4"/>
  <c r="A6481" i="4"/>
  <c r="A6482" i="4"/>
  <c r="A6477" i="4"/>
  <c r="A6470" i="4"/>
  <c r="A6471" i="4"/>
  <c r="A6472" i="4"/>
  <c r="A6473" i="4"/>
  <c r="A6474" i="4"/>
  <c r="A6475" i="4"/>
  <c r="A6476" i="4"/>
  <c r="B6471" i="4"/>
  <c r="B6472" i="4"/>
  <c r="B6473" i="4"/>
  <c r="B6474" i="4"/>
  <c r="B6475" i="4"/>
  <c r="B6476" i="4"/>
  <c r="B6470" i="4"/>
  <c r="B6469" i="4"/>
  <c r="B6468" i="4"/>
  <c r="B6466" i="4"/>
  <c r="B6467" i="4"/>
  <c r="B6465" i="4"/>
  <c r="B6463" i="4"/>
  <c r="B6464" i="4"/>
  <c r="B6462" i="4"/>
  <c r="B6461" i="4"/>
  <c r="B6460" i="4"/>
  <c r="B6458" i="4"/>
  <c r="B6459" i="4"/>
  <c r="B6457" i="4"/>
  <c r="B6456" i="4"/>
  <c r="B6455" i="4"/>
  <c r="B6452" i="4"/>
  <c r="B6453" i="4"/>
  <c r="B6454" i="4"/>
  <c r="B6451" i="4"/>
  <c r="B6447" i="4"/>
  <c r="B6448" i="4"/>
  <c r="B6449" i="4"/>
  <c r="B6450" i="4"/>
  <c r="B6446" i="4"/>
  <c r="B6445" i="4"/>
  <c r="B6444" i="4"/>
  <c r="B6443" i="4"/>
  <c r="B6442" i="4"/>
  <c r="B6441" i="4"/>
  <c r="B6440" i="4"/>
  <c r="B6438" i="4"/>
  <c r="B6439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2" i="4"/>
  <c r="C6461" i="4"/>
  <c r="C6460" i="4"/>
  <c r="C6459" i="4"/>
  <c r="C6458" i="4"/>
  <c r="C6457" i="4"/>
  <c r="C6456" i="4"/>
  <c r="C6455" i="4"/>
  <c r="C6453" i="4"/>
  <c r="C6452" i="4"/>
  <c r="C6451" i="4"/>
  <c r="C6450" i="4"/>
  <c r="C6449" i="4"/>
  <c r="C6448" i="4"/>
  <c r="C6447" i="4"/>
  <c r="C6446" i="4"/>
  <c r="C6445" i="4"/>
  <c r="C6444" i="4"/>
  <c r="C6443" i="4"/>
  <c r="C6441" i="4"/>
  <c r="A272" i="14"/>
  <c r="C6439" i="4"/>
  <c r="C6438" i="4"/>
  <c r="C6437" i="4"/>
  <c r="B6437" i="4"/>
  <c r="B6435" i="4"/>
  <c r="B6436" i="4"/>
  <c r="B6434" i="4"/>
  <c r="B6433" i="4"/>
  <c r="B6432" i="4"/>
  <c r="B6431" i="4"/>
  <c r="B6430" i="4"/>
  <c r="B6429" i="4"/>
  <c r="B6428" i="4"/>
  <c r="B6427" i="4"/>
  <c r="B6426" i="4"/>
  <c r="B6420" i="4"/>
  <c r="B6421" i="4"/>
  <c r="B6422" i="4"/>
  <c r="B6423" i="4"/>
  <c r="B6424" i="4"/>
  <c r="B6425" i="4"/>
  <c r="B6419" i="4"/>
  <c r="B6414" i="4"/>
  <c r="B6415" i="4"/>
  <c r="B6416" i="4"/>
  <c r="B6417" i="4"/>
  <c r="B6418" i="4"/>
  <c r="B6413" i="4"/>
  <c r="B6412" i="4"/>
  <c r="B6411" i="4"/>
  <c r="B6410" i="4"/>
  <c r="B6409" i="4"/>
  <c r="B6408" i="4"/>
  <c r="B6403" i="4"/>
  <c r="B6404" i="4"/>
  <c r="B6405" i="4"/>
  <c r="B6406" i="4"/>
  <c r="B6407" i="4"/>
  <c r="B6402" i="4"/>
  <c r="B6400" i="4"/>
  <c r="B6401" i="4"/>
  <c r="C6436" i="4"/>
  <c r="C6435" i="4"/>
  <c r="C6433" i="4"/>
  <c r="C6432" i="4"/>
  <c r="C6431" i="4"/>
  <c r="C6430" i="4"/>
  <c r="C6429" i="4"/>
  <c r="C6428" i="4"/>
  <c r="C6427" i="4"/>
  <c r="C6426" i="4"/>
  <c r="C6425" i="4"/>
  <c r="C6423" i="4"/>
  <c r="C6421" i="4"/>
  <c r="C6420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0" i="4"/>
  <c r="C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B6399" i="4"/>
  <c r="A6399" i="4"/>
  <c r="B6398" i="4"/>
  <c r="B6397" i="4"/>
  <c r="B6395" i="4"/>
  <c r="B6396" i="4"/>
  <c r="B6394" i="4"/>
  <c r="B6393" i="4"/>
  <c r="B6392" i="4"/>
  <c r="B6391" i="4"/>
  <c r="B6388" i="4"/>
  <c r="B6389" i="4"/>
  <c r="B6390" i="4"/>
  <c r="B6387" i="4"/>
  <c r="B6386" i="4"/>
  <c r="B6384" i="4"/>
  <c r="B6385" i="4"/>
  <c r="B6383" i="4"/>
  <c r="B6382" i="4"/>
  <c r="B6381" i="4"/>
  <c r="C6398" i="4"/>
  <c r="C6397" i="4"/>
  <c r="C6396" i="4"/>
  <c r="C6395" i="4"/>
  <c r="C6394" i="4"/>
  <c r="C6393" i="4"/>
  <c r="C6392" i="4"/>
  <c r="C6391" i="4"/>
  <c r="C6390" i="4"/>
  <c r="C6389" i="4"/>
  <c r="C6387" i="4"/>
  <c r="C6386" i="4"/>
  <c r="C6385" i="4"/>
  <c r="C6384" i="4"/>
  <c r="C6383" i="4"/>
  <c r="C6382" i="4"/>
  <c r="C6381" i="4"/>
  <c r="B6380" i="4"/>
  <c r="B6379" i="4"/>
  <c r="B6378" i="4"/>
  <c r="B6377" i="4"/>
  <c r="B6375" i="4"/>
  <c r="B6376" i="4"/>
  <c r="B6374" i="4"/>
  <c r="B6373" i="4"/>
  <c r="B6372" i="4"/>
  <c r="B6370" i="4"/>
  <c r="B6371" i="4"/>
  <c r="B6368" i="4"/>
  <c r="B6367" i="4"/>
  <c r="B6369" i="4"/>
  <c r="B6365" i="4"/>
  <c r="B6366" i="4"/>
  <c r="B6364" i="4"/>
  <c r="B6363" i="4"/>
  <c r="B6362" i="4"/>
  <c r="B6360" i="4"/>
  <c r="B6361" i="4"/>
  <c r="C6380" i="4"/>
  <c r="C6379" i="4"/>
  <c r="C6378" i="4"/>
  <c r="C6377" i="4"/>
  <c r="C6376" i="4"/>
  <c r="C6375" i="4"/>
  <c r="C6374" i="4"/>
  <c r="C6372" i="4"/>
  <c r="C6371" i="4"/>
  <c r="C6370" i="4"/>
  <c r="C6369" i="4"/>
  <c r="C6367" i="4"/>
  <c r="C6366" i="4"/>
  <c r="C6365" i="4"/>
  <c r="C6364" i="4"/>
  <c r="C6363" i="4"/>
  <c r="C6361" i="4"/>
  <c r="C6360" i="4"/>
  <c r="B6359" i="4"/>
  <c r="B6358" i="4"/>
  <c r="B6357" i="4"/>
  <c r="B6356" i="4"/>
  <c r="B6355" i="4"/>
  <c r="B6354" i="4"/>
  <c r="B6353" i="4"/>
  <c r="B6352" i="4"/>
  <c r="B6351" i="4"/>
  <c r="B6350" i="4"/>
  <c r="B6348" i="4"/>
  <c r="B6349" i="4"/>
  <c r="B6347" i="4"/>
  <c r="B6344" i="4"/>
  <c r="B6345" i="4"/>
  <c r="B6346" i="4"/>
  <c r="B6343" i="4"/>
  <c r="B6342" i="4"/>
  <c r="B6341" i="4"/>
  <c r="C6359" i="4"/>
  <c r="C6358" i="4"/>
  <c r="C6357" i="4"/>
  <c r="C6356" i="4"/>
  <c r="C6354" i="4"/>
  <c r="C6353" i="4"/>
  <c r="C6352" i="4"/>
  <c r="C6351" i="4"/>
  <c r="C6350" i="4"/>
  <c r="C6349" i="4"/>
  <c r="C6348" i="4"/>
  <c r="C6347" i="4"/>
  <c r="C6346" i="4"/>
  <c r="C6345" i="4"/>
  <c r="C6343" i="4"/>
  <c r="C6342" i="4"/>
  <c r="C6340" i="4"/>
  <c r="B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40" i="4"/>
  <c r="C6339" i="4"/>
  <c r="C6338" i="4"/>
  <c r="B6338" i="4"/>
  <c r="B6339" i="4"/>
  <c r="C6337" i="4"/>
  <c r="C6336" i="4"/>
  <c r="C6335" i="4"/>
  <c r="C6334" i="4"/>
  <c r="C6333" i="4"/>
  <c r="C6332" i="4"/>
  <c r="C6331" i="4"/>
  <c r="C6330" i="4"/>
  <c r="C6329" i="4"/>
  <c r="C6328" i="4"/>
  <c r="C6327" i="4"/>
  <c r="C6325" i="4"/>
  <c r="C6324" i="4"/>
  <c r="C6323" i="4"/>
  <c r="C6322" i="4"/>
  <c r="C6321" i="4"/>
  <c r="C6320" i="4"/>
  <c r="C6319" i="4"/>
  <c r="B6337" i="4"/>
  <c r="B6336" i="4"/>
  <c r="B6335" i="4"/>
  <c r="B6334" i="4"/>
  <c r="B6333" i="4"/>
  <c r="B6332" i="4"/>
  <c r="B6331" i="4"/>
  <c r="B6330" i="4"/>
  <c r="B6328" i="4"/>
  <c r="B6329" i="4"/>
  <c r="B6327" i="4"/>
  <c r="B6326" i="4"/>
  <c r="B6325" i="4"/>
  <c r="B6324" i="4"/>
  <c r="B6323" i="4"/>
  <c r="B6322" i="4"/>
  <c r="B6321" i="4"/>
  <c r="B6320" i="4"/>
  <c r="B6319" i="4"/>
  <c r="B6317" i="4"/>
  <c r="B6318" i="4"/>
  <c r="B6316" i="4"/>
  <c r="B6314" i="4"/>
  <c r="B6315" i="4"/>
  <c r="B6313" i="4"/>
  <c r="B6302" i="4"/>
  <c r="B6303" i="4"/>
  <c r="B6304" i="4"/>
  <c r="B6305" i="4"/>
  <c r="B6306" i="4"/>
  <c r="B6307" i="4"/>
  <c r="B6308" i="4"/>
  <c r="B6309" i="4"/>
  <c r="B6310" i="4"/>
  <c r="B6311" i="4"/>
  <c r="B6312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B6301" i="4"/>
  <c r="B6300" i="4"/>
  <c r="B6299" i="4"/>
  <c r="C6300" i="4"/>
  <c r="C6299" i="4"/>
  <c r="C6298" i="4"/>
  <c r="B6298" i="4"/>
  <c r="B6297" i="4"/>
  <c r="B6296" i="4"/>
  <c r="B6295" i="4"/>
  <c r="B6294" i="4"/>
  <c r="B6293" i="4"/>
  <c r="B6292" i="4"/>
  <c r="B6291" i="4"/>
  <c r="B6290" i="4"/>
  <c r="B6289" i="4"/>
  <c r="B6285" i="4"/>
  <c r="B6286" i="4"/>
  <c r="B6287" i="4"/>
  <c r="B628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B6284" i="4"/>
  <c r="B6283" i="4"/>
  <c r="B6282" i="4"/>
  <c r="B6281" i="4"/>
  <c r="B6280" i="4"/>
  <c r="B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279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B6275" i="4"/>
  <c r="B6277" i="4"/>
  <c r="B6278" i="4"/>
  <c r="B6276" i="4"/>
  <c r="B6274" i="4"/>
  <c r="B6273" i="4"/>
  <c r="B6272" i="4"/>
  <c r="B6271" i="4"/>
  <c r="B6267" i="4"/>
  <c r="B6268" i="4"/>
  <c r="B6269" i="4"/>
  <c r="B6270" i="4"/>
  <c r="B6266" i="4"/>
  <c r="B6265" i="4"/>
  <c r="B6264" i="4"/>
  <c r="B6263" i="4"/>
  <c r="C6278" i="4"/>
  <c r="C6277" i="4"/>
  <c r="C6276" i="4"/>
  <c r="C6275" i="4"/>
  <c r="C6274" i="4"/>
  <c r="C6273" i="4"/>
  <c r="C6272" i="4"/>
  <c r="C6271" i="4"/>
  <c r="C6270" i="4"/>
  <c r="C6268" i="4"/>
  <c r="C6267" i="4"/>
  <c r="C6266" i="4"/>
  <c r="C6265" i="4"/>
  <c r="C6264" i="4"/>
  <c r="C6263" i="4"/>
  <c r="C6262" i="4"/>
  <c r="C6261" i="4"/>
  <c r="B6262" i="4"/>
  <c r="B6261" i="4"/>
  <c r="B6260" i="4"/>
  <c r="B6259" i="4"/>
  <c r="B6258" i="4"/>
  <c r="B6257" i="4"/>
  <c r="B6256" i="4"/>
  <c r="B6255" i="4"/>
  <c r="B6254" i="4"/>
  <c r="B6253" i="4"/>
  <c r="B6252" i="4"/>
  <c r="B6250" i="4"/>
  <c r="B6251" i="4"/>
  <c r="B6249" i="4"/>
  <c r="B6248" i="4"/>
  <c r="B6247" i="4"/>
  <c r="B6246" i="4"/>
  <c r="C6260" i="4"/>
  <c r="C6259" i="4"/>
  <c r="C6258" i="4"/>
  <c r="C6257" i="4"/>
  <c r="C6256" i="4"/>
  <c r="C6254" i="4"/>
  <c r="C6253" i="4"/>
  <c r="C6252" i="4"/>
  <c r="C6251" i="4"/>
  <c r="C6250" i="4"/>
  <c r="C6249" i="4"/>
  <c r="C6248" i="4"/>
  <c r="C6247" i="4"/>
  <c r="C6246" i="4"/>
  <c r="C6245" i="4"/>
  <c r="B6245" i="4"/>
  <c r="B6244" i="4"/>
  <c r="C6243" i="4"/>
  <c r="C6242" i="4"/>
  <c r="C6240" i="4"/>
  <c r="C6238" i="4"/>
  <c r="C6239" i="4"/>
  <c r="C6236" i="4"/>
  <c r="B6243" i="4"/>
  <c r="B6242" i="4"/>
  <c r="B6241" i="4"/>
  <c r="B6240" i="4"/>
  <c r="B6239" i="4"/>
  <c r="B6238" i="4"/>
  <c r="B6237" i="4"/>
  <c r="B6236" i="4"/>
  <c r="C6235" i="4"/>
  <c r="C6234" i="4"/>
  <c r="C6233" i="4"/>
  <c r="C6232" i="4"/>
  <c r="C6231" i="4"/>
  <c r="C6230" i="4"/>
  <c r="B6235" i="4"/>
  <c r="B6234" i="4"/>
  <c r="B6233" i="4"/>
  <c r="B6232" i="4"/>
  <c r="B6231" i="4"/>
  <c r="B6230" i="4"/>
  <c r="C6518" i="4" l="1"/>
  <c r="C7441" i="4"/>
  <c r="C6440" i="4"/>
  <c r="C7331" i="4"/>
  <c r="C7315" i="4"/>
  <c r="C7163" i="4"/>
  <c r="C6578" i="4"/>
  <c r="C6229" i="4"/>
  <c r="C6228" i="4"/>
  <c r="C6227" i="4"/>
  <c r="C6226" i="4"/>
  <c r="B6229" i="4"/>
  <c r="B6228" i="4"/>
  <c r="B6227" i="4"/>
  <c r="B6226" i="4"/>
  <c r="A6227" i="4"/>
  <c r="A6228" i="4"/>
  <c r="A6229" i="4"/>
  <c r="A6230" i="4"/>
  <c r="A6231" i="4"/>
  <c r="A6226" i="4"/>
  <c r="A6220" i="4"/>
  <c r="A6221" i="4"/>
  <c r="A6222" i="4"/>
  <c r="A6223" i="4"/>
  <c r="A6224" i="4"/>
  <c r="A6225" i="4"/>
  <c r="C6225" i="4"/>
  <c r="C6224" i="4"/>
  <c r="C6223" i="4"/>
  <c r="C6222" i="4"/>
  <c r="C6221" i="4"/>
  <c r="C6220" i="4"/>
  <c r="C6219" i="4"/>
  <c r="B6225" i="4"/>
  <c r="B6224" i="4"/>
  <c r="B6223" i="4"/>
  <c r="B6222" i="4"/>
  <c r="B6220" i="4"/>
  <c r="B6221" i="4"/>
  <c r="B6219" i="4"/>
  <c r="B6218" i="4"/>
  <c r="B6217" i="4"/>
  <c r="B6216" i="4"/>
  <c r="B6215" i="4"/>
  <c r="B6214" i="4"/>
  <c r="B6213" i="4"/>
  <c r="B6212" i="4"/>
  <c r="B6211" i="4"/>
  <c r="B6210" i="4"/>
  <c r="B6209" i="4"/>
  <c r="B6208" i="4"/>
  <c r="B6206" i="4"/>
  <c r="B6207" i="4"/>
  <c r="B6205" i="4"/>
  <c r="B6204" i="4"/>
  <c r="B6203" i="4"/>
  <c r="B6202" i="4"/>
  <c r="B6201" i="4"/>
  <c r="B6200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B6199" i="4"/>
  <c r="B6190" i="4"/>
  <c r="B6191" i="4"/>
  <c r="B6192" i="4"/>
  <c r="B6193" i="4"/>
  <c r="B6194" i="4"/>
  <c r="B6195" i="4"/>
  <c r="B6189" i="4"/>
  <c r="B6198" i="4"/>
  <c r="B6197" i="4"/>
  <c r="B6196" i="4"/>
  <c r="B6188" i="4"/>
  <c r="B6187" i="4"/>
  <c r="B6186" i="4"/>
  <c r="B6182" i="4"/>
  <c r="B6183" i="4"/>
  <c r="B6184" i="4"/>
  <c r="B6185" i="4"/>
  <c r="C6198" i="4"/>
  <c r="C6197" i="4"/>
  <c r="C6196" i="4"/>
  <c r="C6195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B6181" i="4"/>
  <c r="B6180" i="4"/>
  <c r="C6179" i="4"/>
  <c r="B6179" i="4"/>
  <c r="B6177" i="4"/>
  <c r="B6178" i="4"/>
  <c r="B6176" i="4"/>
  <c r="B6174" i="4"/>
  <c r="B6175" i="4"/>
  <c r="B6173" i="4"/>
  <c r="B6172" i="4"/>
  <c r="B6171" i="4"/>
  <c r="B6170" i="4"/>
  <c r="B6169" i="4"/>
  <c r="B6168" i="4"/>
  <c r="B6164" i="4"/>
  <c r="B6165" i="4"/>
  <c r="B6166" i="4"/>
  <c r="B6167" i="4"/>
  <c r="B6163" i="4"/>
  <c r="B6162" i="4"/>
  <c r="B6161" i="4"/>
  <c r="B6160" i="4"/>
  <c r="C6178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B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159" i="4"/>
  <c r="B6158" i="4"/>
  <c r="B6157" i="4"/>
  <c r="B6156" i="4"/>
  <c r="C6158" i="4"/>
  <c r="C6157" i="4"/>
  <c r="C6156" i="4"/>
  <c r="C6155" i="4"/>
  <c r="B6155" i="4"/>
  <c r="B6154" i="4"/>
  <c r="B6152" i="4"/>
  <c r="B6153" i="4"/>
  <c r="B6151" i="4"/>
  <c r="C6154" i="4"/>
  <c r="C6153" i="4"/>
  <c r="C6152" i="4"/>
  <c r="C6151" i="4"/>
  <c r="C6150" i="4"/>
  <c r="B6150" i="4"/>
  <c r="B6149" i="4"/>
  <c r="B6148" i="4"/>
  <c r="C6149" i="4"/>
  <c r="C6148" i="4"/>
  <c r="C6147" i="4"/>
  <c r="B6147" i="4"/>
  <c r="C6146" i="4"/>
  <c r="B6146" i="4"/>
  <c r="B6145" i="4"/>
  <c r="C6145" i="4"/>
  <c r="C6144" i="4"/>
  <c r="C6143" i="4"/>
  <c r="C6142" i="4"/>
  <c r="C6141" i="4"/>
  <c r="B6144" i="4"/>
  <c r="B6143" i="4"/>
  <c r="B6142" i="4"/>
  <c r="B6141" i="4"/>
  <c r="B6138" i="4"/>
  <c r="B6139" i="4"/>
  <c r="B6140" i="4"/>
  <c r="C6140" i="4"/>
  <c r="C6139" i="4"/>
  <c r="C6138" i="4"/>
  <c r="C6137" i="4"/>
  <c r="C6136" i="4"/>
  <c r="B6137" i="4"/>
  <c r="B6136" i="4"/>
  <c r="B6135" i="4"/>
  <c r="C6135" i="4"/>
  <c r="C6134" i="4"/>
  <c r="C6133" i="4"/>
  <c r="C6132" i="4"/>
  <c r="C6131" i="4"/>
  <c r="C6130" i="4"/>
  <c r="B6134" i="4"/>
  <c r="B6133" i="4"/>
  <c r="B6132" i="4"/>
  <c r="B6131" i="4"/>
  <c r="B6130" i="4"/>
  <c r="C6129" i="4"/>
  <c r="B6129" i="4"/>
  <c r="B6124" i="4"/>
  <c r="B6125" i="4"/>
  <c r="B6126" i="4"/>
  <c r="B6127" i="4"/>
  <c r="B6128" i="4"/>
  <c r="C6128" i="4"/>
  <c r="C6127" i="4"/>
  <c r="C6125" i="4"/>
  <c r="C6124" i="4"/>
  <c r="C6123" i="4"/>
  <c r="C6122" i="4"/>
  <c r="B6122" i="4"/>
  <c r="B6123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22" i="4"/>
  <c r="B6120" i="4"/>
  <c r="B6121" i="4"/>
  <c r="B6119" i="4"/>
  <c r="B6118" i="4"/>
  <c r="B6117" i="4"/>
  <c r="B6116" i="4"/>
  <c r="C6121" i="4"/>
  <c r="C6120" i="4"/>
  <c r="C6119" i="4"/>
  <c r="C6118" i="4"/>
  <c r="C6117" i="4"/>
  <c r="C6116" i="4"/>
  <c r="C6115" i="4"/>
  <c r="C6114" i="4"/>
  <c r="B6115" i="4"/>
  <c r="B6114" i="4"/>
  <c r="B6113" i="4"/>
  <c r="C6113" i="4"/>
  <c r="C6112" i="4"/>
  <c r="C6111" i="4"/>
  <c r="C6110" i="4"/>
  <c r="B6109" i="4"/>
  <c r="B6110" i="4"/>
  <c r="B6111" i="4"/>
  <c r="B6112" i="4"/>
  <c r="B6108" i="4"/>
  <c r="C6109" i="4"/>
  <c r="C6108" i="4"/>
  <c r="C6107" i="4"/>
  <c r="B6107" i="4"/>
  <c r="C6106" i="4"/>
  <c r="C6105" i="4"/>
  <c r="C6104" i="4"/>
  <c r="C6103" i="4"/>
  <c r="B6106" i="4"/>
  <c r="B6105" i="4"/>
  <c r="B6104" i="4"/>
  <c r="B6103" i="4"/>
  <c r="B6102" i="4"/>
  <c r="B6101" i="4"/>
  <c r="B6100" i="4"/>
  <c r="B6099" i="4"/>
  <c r="B6098" i="4"/>
  <c r="B6097" i="4"/>
  <c r="B6096" i="4"/>
  <c r="C6102" i="4"/>
  <c r="C6101" i="4"/>
  <c r="C6100" i="4"/>
  <c r="C6099" i="4"/>
  <c r="C6098" i="4"/>
  <c r="C6097" i="4"/>
  <c r="C6096" i="4"/>
  <c r="C6095" i="4"/>
  <c r="B6095" i="4"/>
  <c r="C6094" i="4"/>
  <c r="B6094" i="4"/>
  <c r="C6093" i="4"/>
  <c r="C6092" i="4"/>
  <c r="C6091" i="4"/>
  <c r="C6090" i="4"/>
  <c r="C6089" i="4"/>
  <c r="C6088" i="4"/>
  <c r="B6092" i="4"/>
  <c r="B6093" i="4"/>
  <c r="B6091" i="4"/>
  <c r="B6090" i="4"/>
  <c r="B6089" i="4"/>
  <c r="B6088" i="4"/>
  <c r="C6087" i="4"/>
  <c r="C6086" i="4"/>
  <c r="B6087" i="4"/>
  <c r="B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086" i="4"/>
  <c r="C6084" i="4"/>
  <c r="C6083" i="4"/>
  <c r="C6082" i="4"/>
  <c r="C6081" i="4"/>
  <c r="C6080" i="4"/>
  <c r="C6079" i="4"/>
  <c r="C6078" i="4"/>
  <c r="B6085" i="4"/>
  <c r="B6084" i="4"/>
  <c r="B6083" i="4"/>
  <c r="B6082" i="4"/>
  <c r="B6081" i="4"/>
  <c r="B6080" i="4"/>
  <c r="B6079" i="4"/>
  <c r="B6078" i="4"/>
  <c r="B6077" i="4"/>
  <c r="B6074" i="4"/>
  <c r="B6075" i="4"/>
  <c r="B6073" i="4"/>
  <c r="B6076" i="4"/>
  <c r="C6076" i="4"/>
  <c r="C6074" i="4"/>
  <c r="C6073" i="4"/>
  <c r="C6072" i="4"/>
  <c r="C6071" i="4"/>
  <c r="B6072" i="4"/>
  <c r="B6071" i="4"/>
  <c r="C6070" i="4"/>
  <c r="C6069" i="4"/>
  <c r="B6070" i="4"/>
  <c r="B6069" i="4"/>
  <c r="B6068" i="4"/>
  <c r="B6063" i="4"/>
  <c r="B6064" i="4"/>
  <c r="B6065" i="4"/>
  <c r="B6066" i="4"/>
  <c r="B6067" i="4"/>
  <c r="C6068" i="4"/>
  <c r="C6067" i="4"/>
  <c r="C6066" i="4"/>
  <c r="C6065" i="4"/>
  <c r="C6064" i="4"/>
  <c r="C6063" i="4"/>
  <c r="C6062" i="4"/>
  <c r="B6062" i="4"/>
  <c r="B6059" i="4"/>
  <c r="B6060" i="4"/>
  <c r="B6061" i="4"/>
  <c r="C6061" i="4"/>
  <c r="C6060" i="4"/>
  <c r="C6059" i="4"/>
  <c r="C6058" i="4"/>
  <c r="B6058" i="4"/>
  <c r="B6057" i="4"/>
  <c r="B6056" i="4"/>
  <c r="B6055" i="4"/>
  <c r="B6054" i="4"/>
  <c r="B6049" i="4"/>
  <c r="B6050" i="4"/>
  <c r="B6051" i="4"/>
  <c r="B6052" i="4"/>
  <c r="B6053" i="4"/>
  <c r="B6048" i="4"/>
  <c r="B6047" i="4"/>
  <c r="C6057" i="4"/>
  <c r="C6056" i="4"/>
  <c r="C6055" i="4"/>
  <c r="C6054" i="4"/>
  <c r="C6053" i="4"/>
  <c r="C6052" i="4"/>
  <c r="C6051" i="4"/>
  <c r="C6049" i="4"/>
  <c r="C6048" i="4"/>
  <c r="C6047" i="4"/>
  <c r="C6046" i="4"/>
  <c r="B6046" i="4"/>
  <c r="C6045" i="4"/>
  <c r="B6045" i="4"/>
  <c r="C6043" i="4"/>
  <c r="C6042" i="4"/>
  <c r="C6041" i="4"/>
  <c r="C6040" i="4"/>
  <c r="C6039" i="4"/>
  <c r="C6038" i="4"/>
  <c r="C6044" i="4"/>
  <c r="B6044" i="4"/>
  <c r="B6043" i="4"/>
  <c r="B6042" i="4"/>
  <c r="B6041" i="4"/>
  <c r="B6039" i="4"/>
  <c r="B6040" i="4"/>
  <c r="B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38" i="4"/>
  <c r="B6033" i="4"/>
  <c r="B6034" i="4"/>
  <c r="B6035" i="4"/>
  <c r="B6036" i="4"/>
  <c r="B6037" i="4"/>
  <c r="B6032" i="4"/>
  <c r="C6037" i="4"/>
  <c r="C6036" i="4"/>
  <c r="C6035" i="4"/>
  <c r="C6034" i="4"/>
  <c r="C6033" i="4"/>
  <c r="C6032" i="4"/>
  <c r="C6031" i="4"/>
  <c r="C6030" i="4"/>
  <c r="C6029" i="4"/>
  <c r="B6029" i="4"/>
  <c r="B6030" i="4"/>
  <c r="B6031" i="4"/>
  <c r="B6028" i="4"/>
  <c r="C6028" i="4"/>
  <c r="C6027" i="4"/>
  <c r="C6025" i="4"/>
  <c r="B6026" i="4"/>
  <c r="B6027" i="4"/>
  <c r="B6025" i="4"/>
  <c r="C6024" i="4"/>
  <c r="C6023" i="4"/>
  <c r="C6022" i="4"/>
  <c r="C6021" i="4"/>
  <c r="B6023" i="4"/>
  <c r="B6024" i="4"/>
  <c r="B6022" i="4"/>
  <c r="B6021" i="4"/>
  <c r="B6020" i="4"/>
  <c r="B6019" i="4"/>
  <c r="B6018" i="4"/>
  <c r="B6017" i="4"/>
  <c r="C6020" i="4"/>
  <c r="C6019" i="4"/>
  <c r="C6018" i="4"/>
  <c r="C6017" i="4"/>
  <c r="C6016" i="4"/>
  <c r="B6015" i="4"/>
  <c r="B6016" i="4"/>
  <c r="C6014" i="4"/>
  <c r="C6013" i="4"/>
  <c r="C6015" i="4"/>
  <c r="B6014" i="4"/>
  <c r="B6013" i="4"/>
  <c r="B6012" i="4"/>
  <c r="B6011" i="4"/>
  <c r="B6010" i="4"/>
  <c r="C6012" i="4"/>
  <c r="C6011" i="4"/>
  <c r="C6010" i="4"/>
  <c r="B6009" i="4"/>
  <c r="B6008" i="4"/>
  <c r="B6007" i="4"/>
  <c r="C6009" i="4"/>
  <c r="C6008" i="4"/>
  <c r="C6007" i="4"/>
  <c r="C6006" i="4"/>
  <c r="B6006" i="4"/>
  <c r="C6005" i="4"/>
  <c r="C6004" i="4"/>
  <c r="C6003" i="4"/>
  <c r="C6002" i="4"/>
  <c r="C6001" i="4"/>
  <c r="C6000" i="4"/>
  <c r="B6004" i="4"/>
  <c r="B6005" i="4"/>
  <c r="B6003" i="4"/>
  <c r="B6001" i="4"/>
  <c r="B6002" i="4"/>
  <c r="B6000" i="4"/>
  <c r="B5995" i="4"/>
  <c r="B5996" i="4"/>
  <c r="B5997" i="4"/>
  <c r="B5998" i="4"/>
  <c r="B5999" i="4"/>
  <c r="C5999" i="4"/>
  <c r="C5998" i="4"/>
  <c r="C5997" i="4"/>
  <c r="C5996" i="4"/>
  <c r="C5995" i="4"/>
  <c r="C5994" i="4"/>
  <c r="B5994" i="4"/>
  <c r="C5993" i="4"/>
  <c r="C5992" i="4"/>
  <c r="C5991" i="4"/>
  <c r="C5990" i="4"/>
  <c r="B5993" i="4"/>
  <c r="B5992" i="4"/>
  <c r="B5991" i="4"/>
  <c r="B5990" i="4"/>
  <c r="C5989" i="4"/>
  <c r="C5988" i="4"/>
  <c r="C5987" i="4"/>
  <c r="C5986" i="4"/>
  <c r="C5985" i="4"/>
  <c r="B5988" i="4"/>
  <c r="B5989" i="4"/>
  <c r="B5987" i="4"/>
  <c r="B5986" i="4"/>
  <c r="B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5985" i="4"/>
  <c r="C5984" i="4"/>
  <c r="C5983" i="4"/>
  <c r="C5982" i="4"/>
  <c r="B5984" i="4"/>
  <c r="B5983" i="4"/>
  <c r="B5982" i="4"/>
  <c r="A5982" i="4"/>
  <c r="B5980" i="4"/>
  <c r="B5981" i="4"/>
  <c r="B5979" i="4"/>
  <c r="B5978" i="4"/>
  <c r="B5977" i="4"/>
  <c r="B5975" i="4"/>
  <c r="B5976" i="4"/>
  <c r="B5974" i="4"/>
  <c r="C5980" i="4"/>
  <c r="C5979" i="4"/>
  <c r="C5978" i="4"/>
  <c r="C5977" i="4"/>
  <c r="C5976" i="4"/>
  <c r="C5975" i="4"/>
  <c r="C5974" i="4"/>
  <c r="C5973" i="4"/>
  <c r="B5973" i="4"/>
  <c r="B5971" i="4"/>
  <c r="B5972" i="4"/>
  <c r="C5972" i="4"/>
  <c r="C5971" i="4"/>
  <c r="C5970" i="4"/>
  <c r="B5970" i="4"/>
  <c r="B5967" i="4"/>
  <c r="B5968" i="4"/>
  <c r="B5969" i="4"/>
  <c r="C5969" i="4"/>
  <c r="C5968" i="4"/>
  <c r="C5967" i="4"/>
  <c r="C5966" i="4"/>
  <c r="B5966" i="4"/>
  <c r="C5965" i="4"/>
  <c r="C5964" i="4"/>
  <c r="C5963" i="4"/>
  <c r="B5964" i="4"/>
  <c r="B5965" i="4"/>
  <c r="B5963" i="4"/>
  <c r="B5962" i="4"/>
  <c r="C5962" i="4"/>
  <c r="B5961" i="4"/>
  <c r="B5960" i="4"/>
  <c r="B5959" i="4"/>
  <c r="B5958" i="4"/>
  <c r="B5957" i="4"/>
  <c r="B5956" i="4"/>
  <c r="B5955" i="4"/>
  <c r="C5961" i="4"/>
  <c r="C5960" i="4"/>
  <c r="C5959" i="4"/>
  <c r="C5958" i="4"/>
  <c r="C5957" i="4"/>
  <c r="C5956" i="4"/>
  <c r="C5955" i="4"/>
  <c r="C5954" i="4"/>
  <c r="B5954" i="4"/>
  <c r="B5953" i="4"/>
  <c r="B5952" i="4"/>
  <c r="B5950" i="4"/>
  <c r="B5951" i="4"/>
  <c r="C5953" i="4"/>
  <c r="C5952" i="4"/>
  <c r="C5951" i="4"/>
  <c r="C5950" i="4"/>
  <c r="C5949" i="4"/>
  <c r="C5948" i="4"/>
  <c r="B5949" i="4"/>
  <c r="B5948" i="4"/>
  <c r="C5947" i="4"/>
  <c r="C5946" i="4"/>
  <c r="C5945" i="4"/>
  <c r="B5947" i="4"/>
  <c r="B5946" i="4"/>
  <c r="B5945" i="4"/>
  <c r="B5944" i="4"/>
  <c r="B5943" i="4"/>
  <c r="C5944" i="4"/>
  <c r="C5943" i="4"/>
  <c r="C5942" i="4"/>
  <c r="B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3" i="4"/>
  <c r="A5984" i="4"/>
  <c r="A5942" i="4"/>
  <c r="B5939" i="4"/>
  <c r="B5940" i="4"/>
  <c r="B5941" i="4"/>
  <c r="B5938" i="4"/>
  <c r="B5937" i="4"/>
  <c r="B5936" i="4"/>
  <c r="B5935" i="4"/>
  <c r="B5934" i="4"/>
  <c r="B5933" i="4"/>
  <c r="B5931" i="4"/>
  <c r="B5932" i="4"/>
  <c r="B5930" i="4"/>
  <c r="C5941" i="4"/>
  <c r="C5940" i="4"/>
  <c r="C5939" i="4"/>
  <c r="C5938" i="4"/>
  <c r="C5937" i="4"/>
  <c r="C5936" i="4"/>
  <c r="C5935" i="4"/>
  <c r="C5933" i="4"/>
  <c r="C5932" i="4"/>
  <c r="C5931" i="4"/>
  <c r="C5929" i="4"/>
  <c r="B5929" i="4"/>
  <c r="B5927" i="4"/>
  <c r="B5928" i="4"/>
  <c r="B5926" i="4"/>
  <c r="C5928" i="4"/>
  <c r="C5927" i="4"/>
  <c r="C5926" i="4"/>
  <c r="C5925" i="4"/>
  <c r="B5925" i="4"/>
  <c r="A271" i="14"/>
  <c r="A270" i="14"/>
  <c r="C385" i="15"/>
  <c r="C384" i="15"/>
  <c r="C383" i="15"/>
  <c r="C382" i="15"/>
  <c r="A383" i="15"/>
  <c r="A384" i="15"/>
  <c r="A385" i="15"/>
  <c r="A382" i="15"/>
  <c r="C381" i="15"/>
  <c r="C380" i="15"/>
  <c r="C379" i="15"/>
  <c r="C378" i="15"/>
  <c r="C377" i="15"/>
  <c r="C376" i="15"/>
  <c r="C375" i="15"/>
  <c r="C374" i="15"/>
  <c r="A375" i="15"/>
  <c r="A376" i="15"/>
  <c r="A377" i="15"/>
  <c r="A378" i="15"/>
  <c r="A379" i="15"/>
  <c r="A380" i="15"/>
  <c r="A381" i="15"/>
  <c r="A374" i="15"/>
  <c r="C373" i="15"/>
  <c r="C372" i="15"/>
  <c r="A373" i="15"/>
  <c r="A372" i="15"/>
  <c r="C371" i="15"/>
  <c r="C370" i="15"/>
  <c r="C368" i="15"/>
  <c r="C367" i="15"/>
  <c r="C366" i="15"/>
  <c r="C365" i="15"/>
  <c r="A366" i="15"/>
  <c r="A367" i="15"/>
  <c r="A368" i="15"/>
  <c r="A369" i="15"/>
  <c r="A370" i="15"/>
  <c r="A371" i="15"/>
  <c r="A365" i="15"/>
  <c r="A361" i="15"/>
  <c r="A362" i="15"/>
  <c r="A363" i="15"/>
  <c r="A364" i="15"/>
  <c r="C363" i="15"/>
  <c r="C364" i="15"/>
  <c r="C362" i="15"/>
  <c r="C361" i="15"/>
  <c r="C360" i="15"/>
  <c r="A360" i="15"/>
  <c r="C359" i="15"/>
  <c r="C358" i="15"/>
  <c r="C357" i="15"/>
  <c r="C356" i="15"/>
  <c r="C355" i="15"/>
  <c r="C354" i="15"/>
  <c r="A355" i="15"/>
  <c r="A356" i="15"/>
  <c r="A357" i="15"/>
  <c r="A358" i="15"/>
  <c r="A359" i="15"/>
  <c r="A354" i="15"/>
  <c r="C353" i="15"/>
  <c r="C352" i="15"/>
  <c r="A353" i="15"/>
  <c r="A352" i="15"/>
  <c r="A349" i="15"/>
  <c r="A350" i="15"/>
  <c r="A351" i="15"/>
  <c r="C351" i="15"/>
  <c r="C350" i="15"/>
  <c r="C349" i="15"/>
  <c r="C348" i="15"/>
  <c r="C347" i="15"/>
  <c r="C346" i="15"/>
  <c r="C345" i="15"/>
  <c r="C344" i="15"/>
  <c r="C343" i="15"/>
  <c r="C342" i="15"/>
  <c r="C341" i="15"/>
  <c r="C340" i="15"/>
  <c r="C339" i="15"/>
  <c r="A340" i="15"/>
  <c r="A341" i="15"/>
  <c r="A342" i="15"/>
  <c r="A343" i="15"/>
  <c r="A344" i="15"/>
  <c r="A345" i="15"/>
  <c r="A346" i="15"/>
  <c r="A347" i="15"/>
  <c r="A348" i="15"/>
  <c r="A339" i="15"/>
  <c r="C337" i="15"/>
  <c r="C336" i="15"/>
  <c r="A337" i="15"/>
  <c r="A338" i="15"/>
  <c r="A336" i="15"/>
  <c r="A335" i="15"/>
  <c r="C334" i="15"/>
  <c r="C333" i="15"/>
  <c r="A334" i="15"/>
  <c r="A33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A332" i="15"/>
  <c r="A330" i="15"/>
  <c r="A331" i="15"/>
  <c r="C332" i="15"/>
  <c r="C331" i="15"/>
  <c r="C330" i="15"/>
  <c r="C328" i="15"/>
  <c r="C327" i="15"/>
  <c r="C326" i="15"/>
  <c r="C325" i="15"/>
  <c r="C324" i="15"/>
  <c r="C323" i="15"/>
  <c r="C322" i="15"/>
  <c r="A323" i="15"/>
  <c r="A324" i="15"/>
  <c r="A325" i="15"/>
  <c r="A326" i="15"/>
  <c r="A327" i="15"/>
  <c r="A328" i="15"/>
  <c r="A329" i="15"/>
  <c r="A322" i="15"/>
  <c r="C321" i="15"/>
  <c r="C320" i="15"/>
  <c r="C319" i="15"/>
  <c r="C318" i="15"/>
  <c r="C317" i="15"/>
  <c r="C316" i="15"/>
  <c r="A317" i="15"/>
  <c r="A318" i="15"/>
  <c r="A319" i="15"/>
  <c r="A320" i="15"/>
  <c r="A321" i="15"/>
  <c r="A316" i="15"/>
  <c r="C315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C300" i="15"/>
  <c r="C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299" i="15"/>
  <c r="A298" i="15"/>
  <c r="C298" i="15"/>
  <c r="C297" i="15"/>
  <c r="A297" i="15"/>
  <c r="C294" i="15"/>
  <c r="G294" i="15" s="1"/>
  <c r="C293" i="15"/>
  <c r="G293" i="15" s="1"/>
  <c r="C292" i="15"/>
  <c r="G292" i="15" s="1"/>
  <c r="C291" i="15"/>
  <c r="G291" i="15" s="1"/>
  <c r="C290" i="15"/>
  <c r="G290" i="15" s="1"/>
  <c r="C289" i="15"/>
  <c r="G289" i="15" s="1"/>
  <c r="C288" i="15"/>
  <c r="G288" i="15" s="1"/>
  <c r="C287" i="15"/>
  <c r="A288" i="15"/>
  <c r="A289" i="15"/>
  <c r="A290" i="15"/>
  <c r="A291" i="15"/>
  <c r="A292" i="15"/>
  <c r="A293" i="15"/>
  <c r="A294" i="15"/>
  <c r="A295" i="15"/>
  <c r="A296" i="15"/>
  <c r="A287" i="15"/>
  <c r="A284" i="15"/>
  <c r="A285" i="15"/>
  <c r="A286" i="15"/>
  <c r="A269" i="14"/>
  <c r="A268" i="14"/>
  <c r="C284" i="15"/>
  <c r="C283" i="15"/>
  <c r="A283" i="15"/>
  <c r="C282" i="15"/>
  <c r="C281" i="15"/>
  <c r="A282" i="15"/>
  <c r="A281" i="15"/>
  <c r="A280" i="15"/>
  <c r="C279" i="15"/>
  <c r="C278" i="15"/>
  <c r="C277" i="15"/>
  <c r="C276" i="15"/>
  <c r="C275" i="15"/>
  <c r="A275" i="15"/>
  <c r="A276" i="15"/>
  <c r="A277" i="15"/>
  <c r="A278" i="15"/>
  <c r="A279" i="15"/>
  <c r="A274" i="15"/>
  <c r="A272" i="15"/>
  <c r="A273" i="15"/>
  <c r="C273" i="15"/>
  <c r="C272" i="15"/>
  <c r="C271" i="15"/>
  <c r="A271" i="15"/>
  <c r="A270" i="15"/>
  <c r="C270" i="15"/>
  <c r="C269" i="15"/>
  <c r="A269" i="15"/>
  <c r="C268" i="15"/>
  <c r="A268" i="15"/>
  <c r="A266" i="15"/>
  <c r="A267" i="15"/>
  <c r="A265" i="15"/>
  <c r="C267" i="15"/>
  <c r="C266" i="15"/>
  <c r="C265" i="15"/>
  <c r="A264" i="15"/>
  <c r="C264" i="15"/>
  <c r="C263" i="15"/>
  <c r="A263" i="15"/>
  <c r="A260" i="15"/>
  <c r="A261" i="15"/>
  <c r="A262" i="15"/>
  <c r="A267" i="14"/>
  <c r="C261" i="15"/>
  <c r="C260" i="15"/>
  <c r="C259" i="15"/>
  <c r="A258" i="15"/>
  <c r="A259" i="15"/>
  <c r="C258" i="15"/>
  <c r="C257" i="15"/>
  <c r="A257" i="15"/>
  <c r="A254" i="15"/>
  <c r="A255" i="15"/>
  <c r="A256" i="15"/>
  <c r="C256" i="15"/>
  <c r="C255" i="15"/>
  <c r="C254" i="15"/>
  <c r="C253" i="15"/>
  <c r="A253" i="15"/>
  <c r="C7636" i="4" l="1"/>
  <c r="C7643" i="4"/>
  <c r="C7606" i="4"/>
  <c r="C7599" i="4"/>
  <c r="C7595" i="4"/>
  <c r="C7567" i="4"/>
  <c r="C7619" i="4"/>
  <c r="C7467" i="4"/>
  <c r="C7454" i="4"/>
  <c r="C7450" i="4"/>
  <c r="C7406" i="4"/>
  <c r="C7422" i="4"/>
  <c r="C7526" i="4"/>
  <c r="C7413" i="4"/>
  <c r="C7613" i="4"/>
  <c r="C7546" i="4"/>
  <c r="C7420" i="4"/>
  <c r="C7410" i="4"/>
  <c r="C7023" i="4"/>
  <c r="C412" i="15"/>
  <c r="C6737" i="4"/>
  <c r="C6740" i="4"/>
  <c r="C6828" i="4"/>
  <c r="C6512" i="4"/>
  <c r="C6463" i="4"/>
  <c r="C6454" i="4"/>
  <c r="C6442" i="4"/>
  <c r="C7330" i="4"/>
  <c r="C7337" i="4"/>
  <c r="C7275" i="4"/>
  <c r="C7231" i="4"/>
  <c r="C7124" i="4"/>
  <c r="C7145" i="4"/>
  <c r="C6858" i="4"/>
  <c r="C6856" i="4"/>
  <c r="C6494" i="4"/>
  <c r="C420" i="15"/>
  <c r="C6177" i="4"/>
  <c r="C7360" i="4"/>
  <c r="C7397" i="4"/>
  <c r="C7136" i="4"/>
  <c r="C7034" i="4"/>
  <c r="C6946" i="4"/>
  <c r="C7009" i="4"/>
  <c r="C6926" i="4"/>
  <c r="G297" i="15"/>
  <c r="C6355" i="4"/>
  <c r="C6341" i="4"/>
  <c r="C6194" i="4"/>
  <c r="C6422" i="4"/>
  <c r="C6237" i="4"/>
  <c r="C6126" i="4"/>
  <c r="C6241" i="4"/>
  <c r="C6269" i="4"/>
  <c r="C5930" i="4"/>
  <c r="C5934" i="4"/>
  <c r="G287" i="15"/>
  <c r="A266" i="14"/>
  <c r="G57" i="15"/>
  <c r="G58" i="15"/>
  <c r="E252" i="15"/>
  <c r="A245" i="15"/>
  <c r="A246" i="15"/>
  <c r="A247" i="15"/>
  <c r="A248" i="15"/>
  <c r="A249" i="15"/>
  <c r="A250" i="15"/>
  <c r="A251" i="15"/>
  <c r="A252" i="15"/>
  <c r="C251" i="15"/>
  <c r="G251" i="15" s="1"/>
  <c r="C250" i="15"/>
  <c r="G250" i="15" s="1"/>
  <c r="C249" i="15"/>
  <c r="G249" i="15" s="1"/>
  <c r="C248" i="15"/>
  <c r="G248" i="15" s="1"/>
  <c r="C247" i="15"/>
  <c r="G247" i="15" s="1"/>
  <c r="C246" i="15"/>
  <c r="G246" i="15" s="1"/>
  <c r="C245" i="15"/>
  <c r="G245" i="15" s="1"/>
  <c r="C244" i="15"/>
  <c r="G244" i="15" s="1"/>
  <c r="A244" i="15"/>
  <c r="C243" i="15"/>
  <c r="G243" i="15" s="1"/>
  <c r="C242" i="15"/>
  <c r="G242" i="15" s="1"/>
  <c r="C241" i="15"/>
  <c r="G241" i="15" s="1"/>
  <c r="C240" i="15"/>
  <c r="G240" i="15" s="1"/>
  <c r="C239" i="15"/>
  <c r="G239" i="15" s="1"/>
  <c r="A240" i="15"/>
  <c r="A241" i="15"/>
  <c r="A242" i="15"/>
  <c r="A243" i="15"/>
  <c r="A239" i="15"/>
  <c r="A237" i="15"/>
  <c r="A238" i="15"/>
  <c r="A236" i="15"/>
  <c r="C238" i="15"/>
  <c r="G238" i="15" s="1"/>
  <c r="C237" i="15"/>
  <c r="G237" i="15" s="1"/>
  <c r="C236" i="15"/>
  <c r="G236" i="15" s="1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C7324" i="4" l="1"/>
  <c r="C7186" i="4"/>
  <c r="C7199" i="4"/>
  <c r="C7067" i="4"/>
  <c r="C398" i="15"/>
  <c r="C6900" i="4"/>
  <c r="C6847" i="4"/>
  <c r="C6872" i="4"/>
  <c r="C6775" i="4"/>
  <c r="C6604" i="4"/>
  <c r="C6615" i="4"/>
  <c r="C6434" i="4"/>
  <c r="C6362" i="4"/>
  <c r="C6388" i="4"/>
  <c r="C6373" i="4"/>
  <c r="C6255" i="4"/>
  <c r="C6368" i="4"/>
  <c r="C6050" i="4"/>
  <c r="C6085" i="4"/>
  <c r="C6077" i="4"/>
  <c r="C6026" i="4"/>
  <c r="A265" i="14"/>
  <c r="D244" i="14"/>
  <c r="D245" i="14"/>
  <c r="D246" i="14"/>
  <c r="D252" i="14"/>
  <c r="D237" i="14"/>
  <c r="D238" i="14"/>
  <c r="D239" i="14"/>
  <c r="D240" i="14"/>
  <c r="D241" i="14"/>
  <c r="D243" i="14"/>
  <c r="D236" i="14"/>
  <c r="F236" i="15"/>
  <c r="A264" i="14"/>
  <c r="C5924" i="4"/>
  <c r="B5924" i="4"/>
  <c r="C5923" i="4"/>
  <c r="C5922" i="4"/>
  <c r="B5922" i="4"/>
  <c r="B5923" i="4"/>
  <c r="B5921" i="4"/>
  <c r="B5920" i="4"/>
  <c r="B5919" i="4"/>
  <c r="C5921" i="4"/>
  <c r="C5920" i="4"/>
  <c r="C5919" i="4"/>
  <c r="C5918" i="4"/>
  <c r="B5918" i="4"/>
  <c r="B5915" i="4"/>
  <c r="B5916" i="4"/>
  <c r="B5917" i="4"/>
  <c r="B5914" i="4"/>
  <c r="C5917" i="4"/>
  <c r="C5916" i="4"/>
  <c r="C5915" i="4"/>
  <c r="C5914" i="4"/>
  <c r="C5913" i="4"/>
  <c r="B5913" i="4"/>
  <c r="B5910" i="4"/>
  <c r="B5911" i="4"/>
  <c r="B5912" i="4"/>
  <c r="B5909" i="4"/>
  <c r="B5908" i="4"/>
  <c r="B5905" i="4"/>
  <c r="B5906" i="4"/>
  <c r="B5907" i="4"/>
  <c r="B5904" i="4"/>
  <c r="B5903" i="4"/>
  <c r="C5912" i="4"/>
  <c r="C5911" i="4"/>
  <c r="C5910" i="4"/>
  <c r="C5909" i="4"/>
  <c r="C5908" i="4"/>
  <c r="C5907" i="4"/>
  <c r="C5906" i="4"/>
  <c r="C5905" i="4"/>
  <c r="C5904" i="4"/>
  <c r="C5903" i="4"/>
  <c r="C7211" i="4" l="1"/>
  <c r="C6770" i="4"/>
  <c r="C6649" i="4"/>
  <c r="C6618" i="4"/>
  <c r="B5897" i="4"/>
  <c r="B5898" i="4"/>
  <c r="B5899" i="4"/>
  <c r="B5900" i="4"/>
  <c r="B5901" i="4"/>
  <c r="B5902" i="4"/>
  <c r="C5902" i="4"/>
  <c r="C5901" i="4"/>
  <c r="C5900" i="4"/>
  <c r="C5899" i="4"/>
  <c r="C5898" i="4"/>
  <c r="C5897" i="4"/>
  <c r="C5896" i="4"/>
  <c r="C5895" i="4"/>
  <c r="C5894" i="4"/>
  <c r="C5893" i="4"/>
  <c r="C5892" i="4"/>
  <c r="B5896" i="4"/>
  <c r="B5895" i="4"/>
  <c r="B5893" i="4"/>
  <c r="B5894" i="4"/>
  <c r="B5892" i="4"/>
  <c r="B5889" i="4"/>
  <c r="B5890" i="4"/>
  <c r="B5891" i="4"/>
  <c r="B5888" i="4"/>
  <c r="C5891" i="4"/>
  <c r="C5890" i="4"/>
  <c r="C5889" i="4"/>
  <c r="C5888" i="4"/>
  <c r="C5887" i="4"/>
  <c r="C5886" i="4"/>
  <c r="B5886" i="4"/>
  <c r="C5885" i="4"/>
  <c r="C5884" i="4"/>
  <c r="C5883" i="4"/>
  <c r="B5887" i="4"/>
  <c r="B5885" i="4"/>
  <c r="B5884" i="4"/>
  <c r="B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883" i="4"/>
  <c r="B5882" i="4"/>
  <c r="B5881" i="4"/>
  <c r="B5880" i="4"/>
  <c r="B5879" i="4"/>
  <c r="B5878" i="4"/>
  <c r="B5877" i="4"/>
  <c r="B5876" i="4"/>
  <c r="B5875" i="4"/>
  <c r="B5874" i="4"/>
  <c r="B5873" i="4"/>
  <c r="B5872" i="4"/>
  <c r="B5870" i="4"/>
  <c r="B5871" i="4"/>
  <c r="B5869" i="4"/>
  <c r="B5868" i="4"/>
  <c r="B5867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B5865" i="4"/>
  <c r="B5866" i="4"/>
  <c r="B5864" i="4"/>
  <c r="B5863" i="4"/>
  <c r="B5862" i="4"/>
  <c r="B5861" i="4"/>
  <c r="B5860" i="4"/>
  <c r="B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B5858" i="4"/>
  <c r="B5857" i="4"/>
  <c r="B5856" i="4"/>
  <c r="B5855" i="4"/>
  <c r="B5854" i="4"/>
  <c r="B5853" i="4"/>
  <c r="B5852" i="4"/>
  <c r="B5851" i="4"/>
  <c r="B5850" i="4"/>
  <c r="B5849" i="4"/>
  <c r="B5848" i="4"/>
  <c r="B5847" i="4"/>
  <c r="B5846" i="4"/>
  <c r="B5845" i="4"/>
  <c r="B5844" i="4"/>
  <c r="B5843" i="4"/>
  <c r="B5842" i="4"/>
  <c r="B5841" i="4"/>
  <c r="C5846" i="4"/>
  <c r="C5845" i="4"/>
  <c r="C5844" i="4"/>
  <c r="C5843" i="4"/>
  <c r="C5842" i="4"/>
  <c r="C5841" i="4"/>
  <c r="C5840" i="4"/>
  <c r="C5839" i="4"/>
  <c r="B5840" i="4"/>
  <c r="B5839" i="4"/>
  <c r="B5837" i="4"/>
  <c r="B5838" i="4"/>
  <c r="B5836" i="4"/>
  <c r="B5835" i="4"/>
  <c r="B5834" i="4"/>
  <c r="B5833" i="4"/>
  <c r="B5832" i="4"/>
  <c r="B5831" i="4"/>
  <c r="B5830" i="4"/>
  <c r="B5829" i="4"/>
  <c r="B5826" i="4"/>
  <c r="B5827" i="4"/>
  <c r="B5828" i="4"/>
  <c r="B5825" i="4"/>
  <c r="B5824" i="4"/>
  <c r="B5823" i="4"/>
  <c r="B5822" i="4"/>
  <c r="B5821" i="4"/>
  <c r="B5820" i="4"/>
  <c r="B5819" i="4"/>
  <c r="C5838" i="4"/>
  <c r="C5837" i="4"/>
  <c r="C5836" i="4"/>
  <c r="C5835" i="4"/>
  <c r="C5834" i="4"/>
  <c r="C5833" i="4"/>
  <c r="C5832" i="4"/>
  <c r="C5831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B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18" i="4"/>
  <c r="C5817" i="4"/>
  <c r="B5817" i="4"/>
  <c r="B5816" i="4"/>
  <c r="B5815" i="4"/>
  <c r="B5814" i="4"/>
  <c r="B5813" i="4"/>
  <c r="B5812" i="4"/>
  <c r="B5811" i="4"/>
  <c r="B5810" i="4"/>
  <c r="B5809" i="4"/>
  <c r="B5807" i="4"/>
  <c r="B5808" i="4"/>
  <c r="B5806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B5803" i="4"/>
  <c r="B5804" i="4"/>
  <c r="B5802" i="4"/>
  <c r="B5805" i="4"/>
  <c r="C5804" i="4"/>
  <c r="C5803" i="4"/>
  <c r="C5802" i="4"/>
  <c r="C5801" i="4" l="1"/>
  <c r="B5801" i="4"/>
  <c r="B5800" i="4"/>
  <c r="B5799" i="4"/>
  <c r="C5799" i="4"/>
  <c r="C5798" i="4"/>
  <c r="C5797" i="4"/>
  <c r="C5796" i="4"/>
  <c r="B5798" i="4"/>
  <c r="B5797" i="4"/>
  <c r="B5796" i="4"/>
  <c r="B5795" i="4"/>
  <c r="B5790" i="4"/>
  <c r="B5791" i="4"/>
  <c r="B5792" i="4"/>
  <c r="B5793" i="4"/>
  <c r="B5794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B5789" i="4"/>
  <c r="B5788" i="4"/>
  <c r="B5787" i="4"/>
  <c r="B5785" i="4"/>
  <c r="B5786" i="4"/>
  <c r="B5784" i="4"/>
  <c r="B5783" i="4"/>
  <c r="B5779" i="4"/>
  <c r="B5780" i="4"/>
  <c r="B5781" i="4"/>
  <c r="B5782" i="4"/>
  <c r="C5783" i="4"/>
  <c r="C5781" i="4"/>
  <c r="C5780" i="4"/>
  <c r="C5779" i="4"/>
  <c r="C5778" i="4"/>
  <c r="C5777" i="4"/>
  <c r="C5776" i="4"/>
  <c r="C5775" i="4"/>
  <c r="C5774" i="4"/>
  <c r="C5773" i="4"/>
  <c r="C5772" i="4"/>
  <c r="C5771" i="4"/>
  <c r="C5769" i="4"/>
  <c r="C5768" i="4"/>
  <c r="C5767" i="4"/>
  <c r="C5766" i="4"/>
  <c r="C5765" i="4"/>
  <c r="C5764" i="4"/>
  <c r="B5778" i="4"/>
  <c r="B5777" i="4"/>
  <c r="B5776" i="4"/>
  <c r="B5774" i="4"/>
  <c r="B5775" i="4"/>
  <c r="B5773" i="4"/>
  <c r="B5772" i="4"/>
  <c r="B5771" i="4"/>
  <c r="B5770" i="4"/>
  <c r="B5768" i="4"/>
  <c r="B5769" i="4"/>
  <c r="B5767" i="4"/>
  <c r="B5765" i="4"/>
  <c r="B5766" i="4"/>
  <c r="B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B5763" i="4"/>
  <c r="B5762" i="4"/>
  <c r="B5761" i="4"/>
  <c r="B5760" i="4"/>
  <c r="B5759" i="4"/>
  <c r="B5758" i="4"/>
  <c r="B5757" i="4"/>
  <c r="B5756" i="4"/>
  <c r="B5755" i="4"/>
  <c r="B5754" i="4"/>
  <c r="B5753" i="4"/>
  <c r="B5752" i="4"/>
  <c r="B5751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B5750" i="4"/>
  <c r="B5749" i="4"/>
  <c r="B5748" i="4"/>
  <c r="B5747" i="4"/>
  <c r="B5746" i="4"/>
  <c r="B5745" i="4"/>
  <c r="B5744" i="4"/>
  <c r="B5743" i="4"/>
  <c r="B5742" i="4"/>
  <c r="B5740" i="4"/>
  <c r="B5741" i="4"/>
  <c r="B5739" i="4"/>
  <c r="B5738" i="4"/>
  <c r="B5736" i="4"/>
  <c r="B5737" i="4"/>
  <c r="B5735" i="4"/>
  <c r="B5734" i="4"/>
  <c r="B5733" i="4"/>
  <c r="B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7" i="4"/>
  <c r="C5716" i="4"/>
  <c r="C5715" i="4"/>
  <c r="C5714" i="4"/>
  <c r="B5731" i="4"/>
  <c r="B5730" i="4"/>
  <c r="B5729" i="4"/>
  <c r="B5726" i="4"/>
  <c r="B5727" i="4"/>
  <c r="B5728" i="4"/>
  <c r="B5725" i="4"/>
  <c r="B5724" i="4"/>
  <c r="B5723" i="4"/>
  <c r="B5719" i="4"/>
  <c r="B5720" i="4"/>
  <c r="B5721" i="4"/>
  <c r="B5722" i="4"/>
  <c r="B5718" i="4"/>
  <c r="B5717" i="4"/>
  <c r="B5716" i="4"/>
  <c r="B5715" i="4"/>
  <c r="B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14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B5712" i="4"/>
  <c r="B5711" i="4"/>
  <c r="B5713" i="4"/>
  <c r="B5710" i="4"/>
  <c r="B5709" i="4"/>
  <c r="B5708" i="4"/>
  <c r="B5707" i="4"/>
  <c r="B5706" i="4"/>
  <c r="B5705" i="4"/>
  <c r="B5704" i="4"/>
  <c r="B5703" i="4"/>
  <c r="B5702" i="4"/>
  <c r="B5701" i="4"/>
  <c r="B5700" i="4"/>
  <c r="B5699" i="4"/>
  <c r="B5698" i="4"/>
  <c r="C5713" i="4"/>
  <c r="C5712" i="4"/>
  <c r="C5711" i="4"/>
  <c r="C5710" i="4"/>
  <c r="C5709" i="4"/>
  <c r="C5708" i="4"/>
  <c r="C5707" i="4"/>
  <c r="C5706" i="4"/>
  <c r="C5705" i="4"/>
  <c r="C5704" i="4"/>
  <c r="C5702" i="4"/>
  <c r="C5701" i="4"/>
  <c r="C5700" i="4"/>
  <c r="C5699" i="4"/>
  <c r="C5697" i="4"/>
  <c r="B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B5696" i="4"/>
  <c r="B5695" i="4"/>
  <c r="B5693" i="4"/>
  <c r="B5694" i="4"/>
  <c r="B5692" i="4"/>
  <c r="B5690" i="4"/>
  <c r="B5691" i="4"/>
  <c r="B5689" i="4"/>
  <c r="B5688" i="4"/>
  <c r="B5687" i="4"/>
  <c r="B5686" i="4"/>
  <c r="B5685" i="4"/>
  <c r="B5684" i="4"/>
  <c r="B5683" i="4"/>
  <c r="B5682" i="4"/>
  <c r="B5681" i="4"/>
  <c r="B5680" i="4"/>
  <c r="C5680" i="4"/>
  <c r="C5678" i="4"/>
  <c r="C5677" i="4"/>
  <c r="C5676" i="4"/>
  <c r="B5678" i="4"/>
  <c r="B5679" i="4"/>
  <c r="B5677" i="4"/>
  <c r="B5676" i="4"/>
  <c r="C5669" i="4"/>
  <c r="C5675" i="4"/>
  <c r="C5673" i="4"/>
  <c r="C5672" i="4"/>
  <c r="C5671" i="4"/>
  <c r="C5670" i="4"/>
  <c r="C5668" i="4"/>
  <c r="C5667" i="4"/>
  <c r="B5674" i="4"/>
  <c r="B5675" i="4"/>
  <c r="B5673" i="4"/>
  <c r="B5672" i="4"/>
  <c r="B5671" i="4"/>
  <c r="B5670" i="4"/>
  <c r="B5669" i="4"/>
  <c r="B5668" i="4"/>
  <c r="B5667" i="4"/>
  <c r="B5666" i="4"/>
  <c r="B5665" i="4"/>
  <c r="B5662" i="4"/>
  <c r="B5663" i="4"/>
  <c r="B5664" i="4"/>
  <c r="C5666" i="4"/>
  <c r="C5665" i="4"/>
  <c r="C5664" i="4"/>
  <c r="C5663" i="4"/>
  <c r="C5662" i="4"/>
  <c r="C5661" i="4"/>
  <c r="C5660" i="4"/>
  <c r="B5661" i="4"/>
  <c r="B5660" i="4"/>
  <c r="B5659" i="4"/>
  <c r="B5656" i="4"/>
  <c r="B5657" i="4"/>
  <c r="B5658" i="4"/>
  <c r="C5659" i="4"/>
  <c r="C5658" i="4"/>
  <c r="C5657" i="4"/>
  <c r="C5656" i="4"/>
  <c r="C5655" i="4"/>
  <c r="B5655" i="4"/>
  <c r="B5654" i="4"/>
  <c r="B5653" i="4"/>
  <c r="B5652" i="4"/>
  <c r="B5650" i="4"/>
  <c r="B5651" i="4"/>
  <c r="B5649" i="4"/>
  <c r="B5648" i="4"/>
  <c r="B5647" i="4"/>
  <c r="B5646" i="4"/>
  <c r="B5645" i="4"/>
  <c r="B5644" i="4"/>
  <c r="B5643" i="4"/>
  <c r="B5642" i="4"/>
  <c r="B5641" i="4"/>
  <c r="B5640" i="4"/>
  <c r="B5638" i="4"/>
  <c r="B5639" i="4"/>
  <c r="C5654" i="4"/>
  <c r="C5653" i="4"/>
  <c r="C5652" i="4"/>
  <c r="C5651" i="4"/>
  <c r="C5650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B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37" i="4"/>
  <c r="B5636" i="4"/>
  <c r="B5634" i="4"/>
  <c r="B5635" i="4"/>
  <c r="B5633" i="4"/>
  <c r="B5632" i="4"/>
  <c r="B5631" i="4"/>
  <c r="B5630" i="4"/>
  <c r="B5629" i="4"/>
  <c r="B5628" i="4"/>
  <c r="B5627" i="4"/>
  <c r="B5625" i="4"/>
  <c r="B5626" i="4"/>
  <c r="B5624" i="4"/>
  <c r="B5623" i="4"/>
  <c r="B5622" i="4"/>
  <c r="B5621" i="4"/>
  <c r="B5620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B5618" i="4"/>
  <c r="B5617" i="4"/>
  <c r="B5616" i="4"/>
  <c r="B5615" i="4"/>
  <c r="B5614" i="4"/>
  <c r="B5613" i="4"/>
  <c r="B5612" i="4"/>
  <c r="B5611" i="4"/>
  <c r="B5610" i="4"/>
  <c r="B5609" i="4"/>
  <c r="B5608" i="4"/>
  <c r="B5607" i="4"/>
  <c r="B5606" i="4"/>
  <c r="B5619" i="4"/>
  <c r="C5619" i="4"/>
  <c r="B5605" i="4"/>
  <c r="B5602" i="4"/>
  <c r="B5603" i="4"/>
  <c r="B5604" i="4"/>
  <c r="B5601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B5600" i="4"/>
  <c r="B5599" i="4"/>
  <c r="B5598" i="4"/>
  <c r="B5597" i="4"/>
  <c r="B5596" i="4"/>
  <c r="B5595" i="4"/>
  <c r="B5593" i="4"/>
  <c r="B5594" i="4"/>
  <c r="B5592" i="4"/>
  <c r="B5591" i="4"/>
  <c r="B5590" i="4"/>
  <c r="B5589" i="4"/>
  <c r="B5588" i="4"/>
  <c r="B5587" i="4"/>
  <c r="B5586" i="4"/>
  <c r="B5585" i="4"/>
  <c r="B5584" i="4"/>
  <c r="B5583" i="4"/>
  <c r="B5582" i="4"/>
  <c r="B5579" i="4"/>
  <c r="B5580" i="4"/>
  <c r="B5581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B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578" i="4"/>
  <c r="A5576" i="4"/>
  <c r="A5577" i="4"/>
  <c r="B5577" i="4"/>
  <c r="B5576" i="4"/>
  <c r="B5575" i="4"/>
  <c r="B5574" i="4"/>
  <c r="B5573" i="4"/>
  <c r="B5571" i="4"/>
  <c r="B5572" i="4"/>
  <c r="C5577" i="4"/>
  <c r="C5576" i="4"/>
  <c r="C5575" i="4"/>
  <c r="C5574" i="4"/>
  <c r="C5573" i="4"/>
  <c r="C5571" i="4"/>
  <c r="C5570" i="4"/>
  <c r="B5570" i="4"/>
  <c r="B5569" i="4"/>
  <c r="B5568" i="4"/>
  <c r="B5567" i="4"/>
  <c r="B5565" i="4"/>
  <c r="B5566" i="4"/>
  <c r="B5564" i="4"/>
  <c r="B5563" i="4"/>
  <c r="B5562" i="4"/>
  <c r="B5561" i="4"/>
  <c r="B5557" i="4"/>
  <c r="B5558" i="4"/>
  <c r="B5559" i="4"/>
  <c r="B556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6" i="4"/>
  <c r="C5555" i="4"/>
  <c r="C5554" i="4"/>
  <c r="C5553" i="4"/>
  <c r="C5552" i="4"/>
  <c r="C5551" i="4"/>
  <c r="B5556" i="4"/>
  <c r="B5555" i="4"/>
  <c r="B5554" i="4"/>
  <c r="B5553" i="4"/>
  <c r="B5552" i="4"/>
  <c r="B5551" i="4"/>
  <c r="B5549" i="4"/>
  <c r="B5550" i="4"/>
  <c r="B5548" i="4"/>
  <c r="B5547" i="4"/>
  <c r="B5545" i="4"/>
  <c r="B5546" i="4"/>
  <c r="B5544" i="4"/>
  <c r="B5543" i="4"/>
  <c r="B5542" i="4"/>
  <c r="B5541" i="4"/>
  <c r="B5540" i="4"/>
  <c r="B5539" i="4"/>
  <c r="B5538" i="4"/>
  <c r="B5537" i="4"/>
  <c r="B5536" i="4"/>
  <c r="B5535" i="4"/>
  <c r="B5534" i="4"/>
  <c r="B5533" i="4"/>
  <c r="B5530" i="4"/>
  <c r="B5531" i="4"/>
  <c r="B5532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B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29" i="4"/>
  <c r="A5522" i="4"/>
  <c r="A5523" i="4"/>
  <c r="A5524" i="4"/>
  <c r="A5525" i="4"/>
  <c r="A5526" i="4"/>
  <c r="A5527" i="4"/>
  <c r="A5528" i="4"/>
  <c r="B5528" i="4"/>
  <c r="B5527" i="4"/>
  <c r="B5526" i="4"/>
  <c r="B5525" i="4"/>
  <c r="B5524" i="4"/>
  <c r="B5523" i="4"/>
  <c r="B5521" i="4"/>
  <c r="B5522" i="4"/>
  <c r="B5520" i="4"/>
  <c r="B5519" i="4"/>
  <c r="B5515" i="4"/>
  <c r="B5517" i="4"/>
  <c r="B5518" i="4"/>
  <c r="B5516" i="4"/>
  <c r="B5514" i="4"/>
  <c r="B5513" i="4"/>
  <c r="B5512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B5511" i="4"/>
  <c r="B5510" i="4"/>
  <c r="B5509" i="4"/>
  <c r="B5508" i="4"/>
  <c r="B5507" i="4"/>
  <c r="B5506" i="4"/>
  <c r="B5505" i="4"/>
  <c r="B5504" i="4"/>
  <c r="B5501" i="4"/>
  <c r="B5502" i="4"/>
  <c r="B5503" i="4"/>
  <c r="C5511" i="4"/>
  <c r="C5509" i="4"/>
  <c r="C5508" i="4"/>
  <c r="C5507" i="4"/>
  <c r="C5506" i="4"/>
  <c r="C5505" i="4"/>
  <c r="C5504" i="4"/>
  <c r="C5503" i="4"/>
  <c r="C5502" i="4"/>
  <c r="C5501" i="4"/>
  <c r="C5500" i="4"/>
  <c r="B5500" i="4"/>
  <c r="C5499" i="4"/>
  <c r="B5499" i="4"/>
  <c r="B5498" i="4"/>
  <c r="B5495" i="4"/>
  <c r="B5496" i="4"/>
  <c r="B5497" i="4"/>
  <c r="C5498" i="4"/>
  <c r="C5497" i="4"/>
  <c r="C5496" i="4"/>
  <c r="C5495" i="4"/>
  <c r="C5494" i="4"/>
  <c r="B5494" i="4"/>
  <c r="B5492" i="4"/>
  <c r="B5493" i="4"/>
  <c r="B5491" i="4"/>
  <c r="B5490" i="4"/>
  <c r="B5489" i="4"/>
  <c r="B5488" i="4"/>
  <c r="B5487" i="4"/>
  <c r="B5486" i="4"/>
  <c r="B5485" i="4"/>
  <c r="B5484" i="4"/>
  <c r="B5483" i="4"/>
  <c r="B5482" i="4"/>
  <c r="B5481" i="4"/>
  <c r="B5480" i="4"/>
  <c r="B5477" i="4"/>
  <c r="B5478" i="4"/>
  <c r="B5479" i="4"/>
  <c r="C5493" i="4"/>
  <c r="C5492" i="4"/>
  <c r="C5491" i="4"/>
  <c r="C5490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B5476" i="4"/>
  <c r="B5475" i="4"/>
  <c r="B5474" i="4"/>
  <c r="B5473" i="4"/>
  <c r="B5472" i="4"/>
  <c r="B5471" i="4"/>
  <c r="B5470" i="4"/>
  <c r="B5469" i="4"/>
  <c r="B5467" i="4"/>
  <c r="B5468" i="4"/>
  <c r="B5466" i="4"/>
  <c r="B5464" i="4"/>
  <c r="B5465" i="4"/>
  <c r="B5463" i="4"/>
  <c r="B5462" i="4"/>
  <c r="B5461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B5460" i="4"/>
  <c r="B5459" i="4"/>
  <c r="B5458" i="4"/>
  <c r="B5457" i="4"/>
  <c r="B5456" i="4"/>
  <c r="B5455" i="4"/>
  <c r="B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454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C5453" i="4"/>
  <c r="C5452" i="4"/>
  <c r="C5451" i="4"/>
  <c r="C5450" i="4"/>
  <c r="C5449" i="4"/>
  <c r="C5448" i="4"/>
  <c r="C5447" i="4"/>
  <c r="B5453" i="4"/>
  <c r="B5452" i="4"/>
  <c r="B5451" i="4"/>
  <c r="B5450" i="4"/>
  <c r="B5449" i="4"/>
  <c r="B5448" i="4"/>
  <c r="B5447" i="4"/>
  <c r="B5446" i="4"/>
  <c r="B5443" i="4"/>
  <c r="B5444" i="4"/>
  <c r="B5445" i="4"/>
  <c r="C5446" i="4"/>
  <c r="C5445" i="4"/>
  <c r="C5444" i="4"/>
  <c r="C5443" i="4"/>
  <c r="C5442" i="4"/>
  <c r="C5441" i="4"/>
  <c r="B5442" i="4"/>
  <c r="B5441" i="4"/>
  <c r="C5440" i="4"/>
  <c r="C5439" i="4"/>
  <c r="C5438" i="4"/>
  <c r="C5437" i="4"/>
  <c r="C5436" i="4"/>
  <c r="C5435" i="4"/>
  <c r="C5434" i="4"/>
  <c r="C5431" i="4"/>
  <c r="C5430" i="4"/>
  <c r="C5429" i="4"/>
  <c r="C5428" i="4"/>
  <c r="C5427" i="4"/>
  <c r="C5426" i="4"/>
  <c r="C5425" i="4"/>
  <c r="C5424" i="4"/>
  <c r="C5423" i="4"/>
  <c r="C5421" i="4"/>
  <c r="B5440" i="4"/>
  <c r="B5439" i="4"/>
  <c r="B5438" i="4"/>
  <c r="B5437" i="4"/>
  <c r="B5435" i="4"/>
  <c r="B5436" i="4"/>
  <c r="B5434" i="4"/>
  <c r="B5431" i="4"/>
  <c r="B5432" i="4"/>
  <c r="B5433" i="4"/>
  <c r="B5430" i="4"/>
  <c r="B5429" i="4"/>
  <c r="B5428" i="4"/>
  <c r="B5426" i="4"/>
  <c r="B5427" i="4"/>
  <c r="B5425" i="4"/>
  <c r="B5423" i="4"/>
  <c r="B5424" i="4"/>
  <c r="B5422" i="4"/>
  <c r="B5421" i="4"/>
  <c r="B5418" i="4"/>
  <c r="B5419" i="4"/>
  <c r="B5420" i="4"/>
  <c r="B5417" i="4"/>
  <c r="B5416" i="4"/>
  <c r="B5415" i="4"/>
  <c r="B5414" i="4"/>
  <c r="B5413" i="4"/>
  <c r="B5412" i="4"/>
  <c r="B5411" i="4"/>
  <c r="B5410" i="4"/>
  <c r="B5409" i="4"/>
  <c r="B5408" i="4"/>
  <c r="B5407" i="4"/>
  <c r="B5406" i="4"/>
  <c r="B5405" i="4"/>
  <c r="B5404" i="4"/>
  <c r="B5402" i="4"/>
  <c r="B5403" i="4"/>
  <c r="C5420" i="4"/>
  <c r="C5419" i="4"/>
  <c r="C5418" i="4"/>
  <c r="C5417" i="4"/>
  <c r="C5416" i="4"/>
  <c r="C5415" i="4"/>
  <c r="C5414" i="4"/>
  <c r="C5413" i="4"/>
  <c r="C5412" i="4"/>
  <c r="C5411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1" i="4"/>
  <c r="C5390" i="4"/>
  <c r="C5389" i="4"/>
  <c r="C5388" i="4"/>
  <c r="C5387" i="4"/>
  <c r="B5398" i="4"/>
  <c r="B5399" i="4"/>
  <c r="B5400" i="4"/>
  <c r="B5401" i="4"/>
  <c r="B5397" i="4"/>
  <c r="B5396" i="4"/>
  <c r="B5395" i="4"/>
  <c r="B5394" i="4"/>
  <c r="B5393" i="4"/>
  <c r="B5392" i="4"/>
  <c r="B5391" i="4"/>
  <c r="B5390" i="4"/>
  <c r="B5389" i="4"/>
  <c r="B5388" i="4"/>
  <c r="B5387" i="4"/>
  <c r="B5385" i="4"/>
  <c r="B5386" i="4"/>
  <c r="C5386" i="4"/>
  <c r="C5385" i="4"/>
  <c r="C5384" i="4"/>
  <c r="B5384" i="4"/>
  <c r="B5383" i="4"/>
  <c r="C5383" i="4"/>
  <c r="C5382" i="4"/>
  <c r="B5382" i="4"/>
  <c r="B5380" i="4"/>
  <c r="B5381" i="4"/>
  <c r="C5381" i="4"/>
  <c r="C5380" i="4"/>
  <c r="B5378" i="4"/>
  <c r="B5379" i="4"/>
  <c r="C5379" i="4"/>
  <c r="C5378" i="4"/>
  <c r="C5377" i="4"/>
  <c r="B5377" i="4"/>
  <c r="B5372" i="4"/>
  <c r="B5373" i="4"/>
  <c r="B5374" i="4"/>
  <c r="B5375" i="4"/>
  <c r="B5376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B5371" i="4"/>
  <c r="B5370" i="4"/>
  <c r="B5369" i="4"/>
  <c r="B5368" i="4"/>
  <c r="B5367" i="4"/>
  <c r="B5366" i="4"/>
  <c r="B5365" i="4"/>
  <c r="B5364" i="4"/>
  <c r="B5363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361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04" i="4"/>
  <c r="C5360" i="4" l="1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251" i="4"/>
  <c r="C5250" i="4"/>
  <c r="C5249" i="4"/>
  <c r="C5248" i="4"/>
  <c r="C5247" i="4"/>
  <c r="C5246" i="4"/>
  <c r="C5245" i="4"/>
  <c r="C5244" i="4"/>
  <c r="C5243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181" i="4"/>
  <c r="C5180" i="4"/>
  <c r="C5179" i="4"/>
  <c r="C5178" i="4"/>
  <c r="C5177" i="4"/>
  <c r="C5176" i="4"/>
  <c r="C5175" i="4"/>
  <c r="C5174" i="4"/>
  <c r="C5173" i="4"/>
  <c r="C5172" i="4"/>
  <c r="C5171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6" i="4"/>
  <c r="C5155" i="4"/>
  <c r="C5154" i="4"/>
  <c r="C5153" i="4"/>
  <c r="C5170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38" i="4"/>
  <c r="C5039" i="4"/>
  <c r="C5037" i="4"/>
  <c r="C5036" i="4"/>
  <c r="C5035" i="4"/>
  <c r="C5034" i="4"/>
  <c r="C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3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C5032" i="4" l="1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8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E4981" i="4" s="1"/>
  <c r="C4980" i="4"/>
  <c r="C4979" i="4"/>
  <c r="C4978" i="4"/>
  <c r="C4977" i="4"/>
  <c r="C4976" i="4"/>
  <c r="E4976" i="4" s="1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4957" i="4"/>
  <c r="C4943" i="4"/>
  <c r="C4948" i="4"/>
  <c r="C4956" i="4"/>
  <c r="C4955" i="4"/>
  <c r="C4954" i="4"/>
  <c r="C4952" i="4"/>
  <c r="C4951" i="4"/>
  <c r="C4950" i="4"/>
  <c r="C4949" i="4"/>
  <c r="C4947" i="4"/>
  <c r="C4946" i="4"/>
  <c r="C4945" i="4"/>
  <c r="C4944" i="4"/>
  <c r="C4942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E4990" i="4"/>
  <c r="E5006" i="4"/>
  <c r="E5090" i="4"/>
  <c r="E5154" i="4"/>
  <c r="E5191" i="4"/>
  <c r="E5214" i="4"/>
  <c r="E5228" i="4"/>
  <c r="E5229" i="4"/>
  <c r="E5284" i="4"/>
  <c r="E5289" i="4"/>
  <c r="E5292" i="4"/>
  <c r="E5302" i="4"/>
  <c r="E5317" i="4"/>
  <c r="E5387" i="4"/>
  <c r="E5419" i="4"/>
  <c r="F5419" i="4"/>
  <c r="E5424" i="4"/>
  <c r="E5438" i="4"/>
  <c r="E5442" i="4"/>
  <c r="E5447" i="4"/>
  <c r="F5447" i="4"/>
  <c r="E5463" i="4"/>
  <c r="E5464" i="4"/>
  <c r="E5480" i="4"/>
  <c r="E5505" i="4"/>
  <c r="F5505" i="4"/>
  <c r="E5520" i="4"/>
  <c r="F5520" i="4"/>
  <c r="E5597" i="4"/>
  <c r="F5597" i="4"/>
  <c r="E5630" i="4"/>
  <c r="E5662" i="4"/>
  <c r="E5744" i="4"/>
  <c r="F5744" i="4"/>
  <c r="E5763" i="4"/>
  <c r="E5774" i="4"/>
  <c r="E5898" i="4"/>
  <c r="E5904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8761" i="4"/>
  <c r="A8762" i="4"/>
  <c r="A8763" i="4"/>
  <c r="A8764" i="4"/>
  <c r="A8765" i="4"/>
  <c r="A8766" i="4"/>
  <c r="A8767" i="4"/>
  <c r="A8768" i="4"/>
  <c r="A8769" i="4"/>
  <c r="A8770" i="4"/>
  <c r="A8771" i="4"/>
  <c r="A8772" i="4"/>
  <c r="A8773" i="4"/>
  <c r="A8774" i="4"/>
  <c r="A8775" i="4"/>
  <c r="A8776" i="4"/>
  <c r="A8777" i="4"/>
  <c r="A8778" i="4"/>
  <c r="A8779" i="4"/>
  <c r="A8780" i="4"/>
  <c r="A8781" i="4"/>
  <c r="A8782" i="4"/>
  <c r="A8783" i="4"/>
  <c r="A8784" i="4"/>
  <c r="A8785" i="4"/>
  <c r="A8786" i="4"/>
  <c r="A8787" i="4"/>
  <c r="A8788" i="4"/>
  <c r="A8789" i="4"/>
  <c r="A8790" i="4"/>
  <c r="A8791" i="4"/>
  <c r="A8792" i="4"/>
  <c r="A8793" i="4"/>
  <c r="A8794" i="4"/>
  <c r="A8795" i="4"/>
  <c r="A8796" i="4"/>
  <c r="A8797" i="4"/>
  <c r="A8798" i="4"/>
  <c r="A8799" i="4"/>
  <c r="A8800" i="4"/>
  <c r="A8801" i="4"/>
  <c r="A8802" i="4"/>
  <c r="A8803" i="4"/>
  <c r="A8804" i="4"/>
  <c r="A8805" i="4"/>
  <c r="A8806" i="4"/>
  <c r="A8807" i="4"/>
  <c r="A8808" i="4"/>
  <c r="A8809" i="4"/>
  <c r="A8810" i="4"/>
  <c r="A8811" i="4"/>
  <c r="A8812" i="4"/>
  <c r="A8813" i="4"/>
  <c r="A8814" i="4"/>
  <c r="A8815" i="4"/>
  <c r="A8816" i="4"/>
  <c r="A8817" i="4"/>
  <c r="A8818" i="4"/>
  <c r="A8819" i="4"/>
  <c r="A8820" i="4"/>
  <c r="A8821" i="4"/>
  <c r="A8822" i="4"/>
  <c r="A8823" i="4"/>
  <c r="A8824" i="4"/>
  <c r="A8825" i="4"/>
  <c r="A8826" i="4"/>
  <c r="A8827" i="4"/>
  <c r="A8828" i="4"/>
  <c r="A8829" i="4"/>
  <c r="A8830" i="4"/>
  <c r="A8831" i="4"/>
  <c r="A8832" i="4"/>
  <c r="A8833" i="4"/>
  <c r="A8834" i="4"/>
  <c r="A8835" i="4"/>
  <c r="A8836" i="4"/>
  <c r="A8837" i="4"/>
  <c r="A8838" i="4"/>
  <c r="A8839" i="4"/>
  <c r="A8840" i="4"/>
  <c r="A8841" i="4"/>
  <c r="A8842" i="4"/>
  <c r="A8843" i="4"/>
  <c r="A8844" i="4"/>
  <c r="A8845" i="4"/>
  <c r="A8846" i="4"/>
  <c r="A8847" i="4"/>
  <c r="A8848" i="4"/>
  <c r="A8849" i="4"/>
  <c r="A8850" i="4"/>
  <c r="A8851" i="4"/>
  <c r="A8852" i="4"/>
  <c r="A8853" i="4"/>
  <c r="A8854" i="4"/>
  <c r="A8855" i="4"/>
  <c r="A8856" i="4"/>
  <c r="A8857" i="4"/>
  <c r="A8858" i="4"/>
  <c r="A8859" i="4"/>
  <c r="A8860" i="4"/>
  <c r="A8861" i="4"/>
  <c r="A8862" i="4"/>
  <c r="A8863" i="4"/>
  <c r="A8864" i="4"/>
  <c r="A8865" i="4"/>
  <c r="A8866" i="4"/>
  <c r="A8867" i="4"/>
  <c r="A8868" i="4"/>
  <c r="A8869" i="4"/>
  <c r="A8870" i="4"/>
  <c r="A8871" i="4"/>
  <c r="A8872" i="4"/>
  <c r="A8873" i="4"/>
  <c r="A8874" i="4"/>
  <c r="A8875" i="4"/>
  <c r="A8876" i="4"/>
  <c r="A8877" i="4"/>
  <c r="A8878" i="4"/>
  <c r="A8879" i="4"/>
  <c r="A8880" i="4"/>
  <c r="A8881" i="4"/>
  <c r="A8882" i="4"/>
  <c r="A8883" i="4"/>
  <c r="A8884" i="4"/>
  <c r="A8885" i="4"/>
  <c r="A8886" i="4"/>
  <c r="A8887" i="4"/>
  <c r="A8888" i="4"/>
  <c r="A8889" i="4"/>
  <c r="A8890" i="4"/>
  <c r="A8891" i="4"/>
  <c r="A8892" i="4"/>
  <c r="A8893" i="4"/>
  <c r="A8894" i="4"/>
  <c r="A8895" i="4"/>
  <c r="A8896" i="4"/>
  <c r="A8897" i="4"/>
  <c r="A8898" i="4"/>
  <c r="A8899" i="4"/>
  <c r="A8900" i="4"/>
  <c r="A8901" i="4"/>
  <c r="A8902" i="4"/>
  <c r="A8903" i="4"/>
  <c r="A8904" i="4"/>
  <c r="A8905" i="4"/>
  <c r="A8906" i="4"/>
  <c r="A8907" i="4"/>
  <c r="A8908" i="4"/>
  <c r="A8909" i="4"/>
  <c r="A8910" i="4"/>
  <c r="A8911" i="4"/>
  <c r="A8912" i="4"/>
  <c r="A8913" i="4"/>
  <c r="A8914" i="4"/>
  <c r="A8915" i="4"/>
  <c r="A8916" i="4"/>
  <c r="A8917" i="4"/>
  <c r="A8918" i="4"/>
  <c r="A8919" i="4"/>
  <c r="A8920" i="4"/>
  <c r="A8921" i="4"/>
  <c r="A8922" i="4"/>
  <c r="A8923" i="4"/>
  <c r="A8924" i="4"/>
  <c r="A8925" i="4"/>
  <c r="A8926" i="4"/>
  <c r="A8927" i="4"/>
  <c r="A8928" i="4"/>
  <c r="A8929" i="4"/>
  <c r="A8930" i="4"/>
  <c r="A8931" i="4"/>
  <c r="A8932" i="4"/>
  <c r="A8933" i="4"/>
  <c r="A8934" i="4"/>
  <c r="A8935" i="4"/>
  <c r="A8936" i="4"/>
  <c r="A8937" i="4"/>
  <c r="A8938" i="4"/>
  <c r="A8939" i="4"/>
  <c r="A8940" i="4"/>
  <c r="A8941" i="4"/>
  <c r="A8942" i="4"/>
  <c r="A8943" i="4"/>
  <c r="A8944" i="4"/>
  <c r="A8945" i="4"/>
  <c r="A8946" i="4"/>
  <c r="A8947" i="4"/>
  <c r="A8948" i="4"/>
  <c r="A8949" i="4"/>
  <c r="A8950" i="4"/>
  <c r="A8951" i="4"/>
  <c r="A8952" i="4"/>
  <c r="A8953" i="4"/>
  <c r="A8954" i="4"/>
  <c r="A8955" i="4"/>
  <c r="A8956" i="4"/>
  <c r="A8957" i="4"/>
  <c r="A8958" i="4"/>
  <c r="A8959" i="4"/>
  <c r="A8960" i="4"/>
  <c r="A8961" i="4"/>
  <c r="A8962" i="4"/>
  <c r="A8963" i="4"/>
  <c r="A8964" i="4"/>
  <c r="A8965" i="4"/>
  <c r="A8966" i="4"/>
  <c r="A8967" i="4"/>
  <c r="A8968" i="4"/>
  <c r="A8969" i="4"/>
  <c r="A8970" i="4"/>
  <c r="A8971" i="4"/>
  <c r="A8972" i="4"/>
  <c r="A8973" i="4"/>
  <c r="A8974" i="4"/>
  <c r="A8975" i="4"/>
  <c r="A8976" i="4"/>
  <c r="A8977" i="4"/>
  <c r="A8978" i="4"/>
  <c r="A8979" i="4"/>
  <c r="A8980" i="4"/>
  <c r="A8981" i="4"/>
  <c r="A8982" i="4"/>
  <c r="A8983" i="4"/>
  <c r="A8984" i="4"/>
  <c r="A8985" i="4"/>
  <c r="A8986" i="4"/>
  <c r="A8987" i="4"/>
  <c r="A8988" i="4"/>
  <c r="A8989" i="4"/>
  <c r="A8990" i="4"/>
  <c r="A8991" i="4"/>
  <c r="A8992" i="4"/>
  <c r="A8993" i="4"/>
  <c r="A8994" i="4"/>
  <c r="A8995" i="4"/>
  <c r="A8996" i="4"/>
  <c r="A8997" i="4"/>
  <c r="A8998" i="4"/>
  <c r="A8999" i="4"/>
  <c r="A9000" i="4"/>
  <c r="A9001" i="4"/>
  <c r="A9002" i="4"/>
  <c r="A9003" i="4"/>
  <c r="A9004" i="4"/>
  <c r="A9005" i="4"/>
  <c r="A9006" i="4"/>
  <c r="A9007" i="4"/>
  <c r="A9008" i="4"/>
  <c r="A9009" i="4"/>
  <c r="A9010" i="4"/>
  <c r="A9011" i="4"/>
  <c r="A9012" i="4"/>
  <c r="A9013" i="4"/>
  <c r="A9014" i="4"/>
  <c r="A9015" i="4"/>
  <c r="A9016" i="4"/>
  <c r="A9017" i="4"/>
  <c r="A9018" i="4"/>
  <c r="A9019" i="4"/>
  <c r="A9020" i="4"/>
  <c r="A9021" i="4"/>
  <c r="A9022" i="4"/>
  <c r="A9023" i="4"/>
  <c r="A9024" i="4"/>
  <c r="A9025" i="4"/>
  <c r="A9026" i="4"/>
  <c r="A9027" i="4"/>
  <c r="A9028" i="4"/>
  <c r="A9029" i="4"/>
  <c r="A9030" i="4"/>
  <c r="A9031" i="4"/>
  <c r="A9032" i="4"/>
  <c r="A9033" i="4"/>
  <c r="A9034" i="4"/>
  <c r="A9035" i="4"/>
  <c r="A9036" i="4"/>
  <c r="A9037" i="4"/>
  <c r="A9038" i="4"/>
  <c r="A9039" i="4"/>
  <c r="A9040" i="4"/>
  <c r="A9041" i="4"/>
  <c r="A9042" i="4"/>
  <c r="A9043" i="4"/>
  <c r="A9044" i="4"/>
  <c r="A9045" i="4"/>
  <c r="A9046" i="4"/>
  <c r="A9047" i="4"/>
  <c r="A9048" i="4"/>
  <c r="A9049" i="4"/>
  <c r="A9050" i="4"/>
  <c r="A9051" i="4"/>
  <c r="A9052" i="4"/>
  <c r="A9053" i="4"/>
  <c r="A9054" i="4"/>
  <c r="A9055" i="4"/>
  <c r="A9056" i="4"/>
  <c r="A9057" i="4"/>
  <c r="A9058" i="4"/>
  <c r="A9059" i="4"/>
  <c r="A9060" i="4"/>
  <c r="A9061" i="4"/>
  <c r="A9062" i="4"/>
  <c r="A9063" i="4"/>
  <c r="A9064" i="4"/>
  <c r="A9065" i="4"/>
  <c r="A9066" i="4"/>
  <c r="A9067" i="4"/>
  <c r="A9068" i="4"/>
  <c r="A9069" i="4"/>
  <c r="A9070" i="4"/>
  <c r="A9071" i="4"/>
  <c r="A9072" i="4"/>
  <c r="A9073" i="4"/>
  <c r="A9074" i="4"/>
  <c r="A9075" i="4"/>
  <c r="A9076" i="4"/>
  <c r="A9077" i="4"/>
  <c r="A9078" i="4"/>
  <c r="A9079" i="4"/>
  <c r="A9080" i="4"/>
  <c r="A9081" i="4"/>
  <c r="A9082" i="4"/>
  <c r="A9083" i="4"/>
  <c r="A9084" i="4"/>
  <c r="A9085" i="4"/>
  <c r="A9086" i="4"/>
  <c r="A9087" i="4"/>
  <c r="A9088" i="4"/>
  <c r="A9089" i="4"/>
  <c r="A9090" i="4"/>
  <c r="A9091" i="4"/>
  <c r="A9092" i="4"/>
  <c r="A9093" i="4"/>
  <c r="A9094" i="4"/>
  <c r="A9095" i="4"/>
  <c r="A9096" i="4"/>
  <c r="A9097" i="4"/>
  <c r="A9098" i="4"/>
  <c r="A9099" i="4"/>
  <c r="A9100" i="4"/>
  <c r="A9101" i="4"/>
  <c r="A9102" i="4"/>
  <c r="A9103" i="4"/>
  <c r="A9104" i="4"/>
  <c r="A9105" i="4"/>
  <c r="A9106" i="4"/>
  <c r="A9107" i="4"/>
  <c r="A9108" i="4"/>
  <c r="A9109" i="4"/>
  <c r="A9110" i="4"/>
  <c r="A9111" i="4"/>
  <c r="A9112" i="4"/>
  <c r="A9113" i="4"/>
  <c r="A9114" i="4"/>
  <c r="A9115" i="4"/>
  <c r="A9116" i="4"/>
  <c r="A9117" i="4"/>
  <c r="A9118" i="4"/>
  <c r="A9119" i="4"/>
  <c r="A9120" i="4"/>
  <c r="A9121" i="4"/>
  <c r="A9122" i="4"/>
  <c r="A9123" i="4"/>
  <c r="A9124" i="4"/>
  <c r="A9125" i="4"/>
  <c r="A9126" i="4"/>
  <c r="A9127" i="4"/>
  <c r="A9128" i="4"/>
  <c r="A9129" i="4"/>
  <c r="A9130" i="4"/>
  <c r="A9131" i="4"/>
  <c r="A9132" i="4"/>
  <c r="A9133" i="4"/>
  <c r="A9134" i="4"/>
  <c r="A9135" i="4"/>
  <c r="A9136" i="4"/>
  <c r="A9137" i="4"/>
  <c r="A9138" i="4"/>
  <c r="A9139" i="4"/>
  <c r="A9140" i="4"/>
  <c r="A9141" i="4"/>
  <c r="A9142" i="4"/>
  <c r="A9143" i="4"/>
  <c r="A9144" i="4"/>
  <c r="A9145" i="4"/>
  <c r="A9146" i="4"/>
  <c r="A9147" i="4"/>
  <c r="A9148" i="4"/>
  <c r="A9149" i="4"/>
  <c r="A9150" i="4"/>
  <c r="A9151" i="4"/>
  <c r="A9152" i="4"/>
  <c r="A9153" i="4"/>
  <c r="A9154" i="4"/>
  <c r="A9155" i="4"/>
  <c r="A9156" i="4"/>
  <c r="A9157" i="4"/>
  <c r="A9158" i="4"/>
  <c r="A9159" i="4"/>
  <c r="A9160" i="4"/>
  <c r="A9161" i="4"/>
  <c r="A9162" i="4"/>
  <c r="A9163" i="4"/>
  <c r="A9164" i="4"/>
  <c r="A9165" i="4"/>
  <c r="A9166" i="4"/>
  <c r="A9167" i="4"/>
  <c r="A9168" i="4"/>
  <c r="A9169" i="4"/>
  <c r="A9170" i="4"/>
  <c r="A9171" i="4"/>
  <c r="A9172" i="4"/>
  <c r="A9173" i="4"/>
  <c r="A9174" i="4"/>
  <c r="A9175" i="4"/>
  <c r="A9176" i="4"/>
  <c r="A9177" i="4"/>
  <c r="A9178" i="4"/>
  <c r="A9179" i="4"/>
  <c r="A9180" i="4"/>
  <c r="A9181" i="4"/>
  <c r="A9182" i="4"/>
  <c r="A9183" i="4"/>
  <c r="A9184" i="4"/>
  <c r="A9185" i="4"/>
  <c r="A9186" i="4"/>
  <c r="A9187" i="4"/>
  <c r="A9188" i="4"/>
  <c r="A9189" i="4"/>
  <c r="A9190" i="4"/>
  <c r="A9191" i="4"/>
  <c r="A9192" i="4"/>
  <c r="A9193" i="4"/>
  <c r="A9194" i="4"/>
  <c r="A9195" i="4"/>
  <c r="A9196" i="4"/>
  <c r="A9197" i="4"/>
  <c r="A9198" i="4"/>
  <c r="A9199" i="4"/>
  <c r="A9200" i="4"/>
  <c r="A9201" i="4"/>
  <c r="A9202" i="4"/>
  <c r="A9203" i="4"/>
  <c r="A9204" i="4"/>
  <c r="A9205" i="4"/>
  <c r="A9206" i="4"/>
  <c r="A9207" i="4"/>
  <c r="A9208" i="4"/>
  <c r="A9209" i="4"/>
  <c r="A9210" i="4"/>
  <c r="A9211" i="4"/>
  <c r="A9212" i="4"/>
  <c r="A9213" i="4"/>
  <c r="A9214" i="4"/>
  <c r="A9215" i="4"/>
  <c r="A9216" i="4"/>
  <c r="A9217" i="4"/>
  <c r="A9218" i="4"/>
  <c r="A9219" i="4"/>
  <c r="A9220" i="4"/>
  <c r="A9221" i="4"/>
  <c r="A9222" i="4"/>
  <c r="A9223" i="4"/>
  <c r="A9224" i="4"/>
  <c r="A9225" i="4"/>
  <c r="A9226" i="4"/>
  <c r="A9227" i="4"/>
  <c r="A9228" i="4"/>
  <c r="A9229" i="4"/>
  <c r="A9230" i="4"/>
  <c r="A9231" i="4"/>
  <c r="A9232" i="4"/>
  <c r="A9233" i="4"/>
  <c r="A9234" i="4"/>
  <c r="A9235" i="4"/>
  <c r="A9236" i="4"/>
  <c r="A9237" i="4"/>
  <c r="A9238" i="4"/>
  <c r="A9239" i="4"/>
  <c r="A9240" i="4"/>
  <c r="A9241" i="4"/>
  <c r="A9242" i="4"/>
  <c r="A9243" i="4"/>
  <c r="A9244" i="4"/>
  <c r="A9245" i="4"/>
  <c r="A9246" i="4"/>
  <c r="A9247" i="4"/>
  <c r="A9248" i="4"/>
  <c r="A9249" i="4"/>
  <c r="A9250" i="4"/>
  <c r="A9251" i="4"/>
  <c r="A9252" i="4"/>
  <c r="A9253" i="4"/>
  <c r="A9254" i="4"/>
  <c r="A9255" i="4"/>
  <c r="A9256" i="4"/>
  <c r="A9257" i="4"/>
  <c r="A9258" i="4"/>
  <c r="A9259" i="4"/>
  <c r="A9260" i="4"/>
  <c r="A9261" i="4"/>
  <c r="A9262" i="4"/>
  <c r="A9263" i="4"/>
  <c r="A9264" i="4"/>
  <c r="A9265" i="4"/>
  <c r="A9266" i="4"/>
  <c r="A9267" i="4"/>
  <c r="A9268" i="4"/>
  <c r="A9269" i="4"/>
  <c r="A9270" i="4"/>
  <c r="A9271" i="4"/>
  <c r="A9272" i="4"/>
  <c r="A9273" i="4"/>
  <c r="A9274" i="4"/>
  <c r="A9275" i="4"/>
  <c r="A9276" i="4"/>
  <c r="A9277" i="4"/>
  <c r="A9278" i="4"/>
  <c r="A9279" i="4"/>
  <c r="A9280" i="4"/>
  <c r="A9281" i="4"/>
  <c r="A9282" i="4"/>
  <c r="A9283" i="4"/>
  <c r="A9284" i="4"/>
  <c r="A9285" i="4"/>
  <c r="A9286" i="4"/>
  <c r="A9287" i="4"/>
  <c r="A9288" i="4"/>
  <c r="A9289" i="4"/>
  <c r="A9290" i="4"/>
  <c r="A9291" i="4"/>
  <c r="A9292" i="4"/>
  <c r="A9293" i="4"/>
  <c r="A9294" i="4"/>
  <c r="A9295" i="4"/>
  <c r="A9296" i="4"/>
  <c r="A9297" i="4"/>
  <c r="A9298" i="4"/>
  <c r="A9299" i="4"/>
  <c r="A9300" i="4"/>
  <c r="A9301" i="4"/>
  <c r="A9302" i="4"/>
  <c r="A9303" i="4"/>
  <c r="A9304" i="4"/>
  <c r="A9305" i="4"/>
  <c r="A9306" i="4"/>
  <c r="A9307" i="4"/>
  <c r="A9308" i="4"/>
  <c r="A9309" i="4"/>
  <c r="A9310" i="4"/>
  <c r="A9311" i="4"/>
  <c r="A9312" i="4"/>
  <c r="A9313" i="4"/>
  <c r="A9314" i="4"/>
  <c r="A9315" i="4"/>
  <c r="A9316" i="4"/>
  <c r="A9317" i="4"/>
  <c r="A9318" i="4"/>
  <c r="A9319" i="4"/>
  <c r="A9320" i="4"/>
  <c r="A9321" i="4"/>
  <c r="A9322" i="4"/>
  <c r="A9323" i="4"/>
  <c r="A9324" i="4"/>
  <c r="A9325" i="4"/>
  <c r="A9326" i="4"/>
  <c r="A9327" i="4"/>
  <c r="A9328" i="4"/>
  <c r="A9329" i="4"/>
  <c r="A9330" i="4"/>
  <c r="A9331" i="4"/>
  <c r="A9332" i="4"/>
  <c r="A9333" i="4"/>
  <c r="A9334" i="4"/>
  <c r="A9335" i="4"/>
  <c r="A9336" i="4"/>
  <c r="A9337" i="4"/>
  <c r="A9338" i="4"/>
  <c r="A9339" i="4"/>
  <c r="A9340" i="4"/>
  <c r="A9341" i="4"/>
  <c r="A9342" i="4"/>
  <c r="A9343" i="4"/>
  <c r="A9344" i="4"/>
  <c r="A9345" i="4"/>
  <c r="A9346" i="4"/>
  <c r="A9347" i="4"/>
  <c r="A9348" i="4"/>
  <c r="A9349" i="4"/>
  <c r="A9350" i="4"/>
  <c r="A9351" i="4"/>
  <c r="A9352" i="4"/>
  <c r="A9353" i="4"/>
  <c r="A9354" i="4"/>
  <c r="A9355" i="4"/>
  <c r="A9356" i="4"/>
  <c r="A9357" i="4"/>
  <c r="A9358" i="4"/>
  <c r="A9359" i="4"/>
  <c r="A9360" i="4"/>
  <c r="A9361" i="4"/>
  <c r="A9362" i="4"/>
  <c r="A9363" i="4"/>
  <c r="A9364" i="4"/>
  <c r="A9365" i="4"/>
  <c r="A9366" i="4"/>
  <c r="A9367" i="4"/>
  <c r="A9368" i="4"/>
  <c r="A9369" i="4"/>
  <c r="A9370" i="4"/>
  <c r="A9371" i="4"/>
  <c r="A9372" i="4"/>
  <c r="A9373" i="4"/>
  <c r="A9374" i="4"/>
  <c r="A9375" i="4"/>
  <c r="A9376" i="4"/>
  <c r="A9377" i="4"/>
  <c r="A9378" i="4"/>
  <c r="A9379" i="4"/>
  <c r="A9380" i="4"/>
  <c r="A9381" i="4"/>
  <c r="A9382" i="4"/>
  <c r="A9383" i="4"/>
  <c r="A9384" i="4"/>
  <c r="A9385" i="4"/>
  <c r="A9386" i="4"/>
  <c r="A9387" i="4"/>
  <c r="A9388" i="4"/>
  <c r="A9389" i="4"/>
  <c r="A9390" i="4"/>
  <c r="A9391" i="4"/>
  <c r="A9392" i="4"/>
  <c r="A9393" i="4"/>
  <c r="A9394" i="4"/>
  <c r="A9395" i="4"/>
  <c r="A9396" i="4"/>
  <c r="A9397" i="4"/>
  <c r="A9398" i="4"/>
  <c r="A9399" i="4"/>
  <c r="A9400" i="4"/>
  <c r="A9401" i="4"/>
  <c r="A9402" i="4"/>
  <c r="A9403" i="4"/>
  <c r="A9404" i="4"/>
  <c r="A9405" i="4"/>
  <c r="A9406" i="4"/>
  <c r="A9407" i="4"/>
  <c r="A9408" i="4"/>
  <c r="A9409" i="4"/>
  <c r="A9410" i="4"/>
  <c r="A9411" i="4"/>
  <c r="A9412" i="4"/>
  <c r="A9413" i="4"/>
  <c r="A9414" i="4"/>
  <c r="A9415" i="4"/>
  <c r="A9416" i="4"/>
  <c r="A9417" i="4"/>
  <c r="A9418" i="4"/>
  <c r="A9419" i="4"/>
  <c r="A9420" i="4"/>
  <c r="A9421" i="4"/>
  <c r="A9422" i="4"/>
  <c r="A9423" i="4"/>
  <c r="A9424" i="4"/>
  <c r="A9425" i="4"/>
  <c r="A9426" i="4"/>
  <c r="A9427" i="4"/>
  <c r="A9428" i="4"/>
  <c r="A9429" i="4"/>
  <c r="A9430" i="4"/>
  <c r="A9431" i="4"/>
  <c r="A9432" i="4"/>
  <c r="A9433" i="4"/>
  <c r="A9434" i="4"/>
  <c r="A9435" i="4"/>
  <c r="A9436" i="4"/>
  <c r="A9437" i="4"/>
  <c r="A9438" i="4"/>
  <c r="A9439" i="4"/>
  <c r="A9440" i="4"/>
  <c r="A9441" i="4"/>
  <c r="A9442" i="4"/>
  <c r="A9443" i="4"/>
  <c r="A9444" i="4"/>
  <c r="A9445" i="4"/>
  <c r="A9446" i="4"/>
  <c r="A9447" i="4"/>
  <c r="A9448" i="4"/>
  <c r="A9449" i="4"/>
  <c r="A9450" i="4"/>
  <c r="A9451" i="4"/>
  <c r="A9452" i="4"/>
  <c r="A9453" i="4"/>
  <c r="A9454" i="4"/>
  <c r="A9455" i="4"/>
  <c r="A9456" i="4"/>
  <c r="A9457" i="4"/>
  <c r="A9458" i="4"/>
  <c r="A9459" i="4"/>
  <c r="A9460" i="4"/>
  <c r="A9461" i="4"/>
  <c r="A9462" i="4"/>
  <c r="A9463" i="4"/>
  <c r="A9464" i="4"/>
  <c r="A9465" i="4"/>
  <c r="A9466" i="4"/>
  <c r="A9467" i="4"/>
  <c r="A9468" i="4"/>
  <c r="A9469" i="4"/>
  <c r="A9470" i="4"/>
  <c r="A9471" i="4"/>
  <c r="A9472" i="4"/>
  <c r="A9473" i="4"/>
  <c r="A9474" i="4"/>
  <c r="A9475" i="4"/>
  <c r="A9476" i="4"/>
  <c r="A9477" i="4"/>
  <c r="A9478" i="4"/>
  <c r="A9479" i="4"/>
  <c r="A9480" i="4"/>
  <c r="A9481" i="4"/>
  <c r="A9482" i="4"/>
  <c r="A9483" i="4"/>
  <c r="A9484" i="4"/>
  <c r="A9485" i="4"/>
  <c r="A9486" i="4"/>
  <c r="A9487" i="4"/>
  <c r="A9488" i="4"/>
  <c r="A9489" i="4"/>
  <c r="A9490" i="4"/>
  <c r="A9491" i="4"/>
  <c r="A9492" i="4"/>
  <c r="A9493" i="4"/>
  <c r="A9494" i="4"/>
  <c r="A9495" i="4"/>
  <c r="A9496" i="4"/>
  <c r="A9497" i="4"/>
  <c r="A9498" i="4"/>
  <c r="A9499" i="4"/>
  <c r="A9500" i="4"/>
  <c r="A9501" i="4"/>
  <c r="A9502" i="4"/>
  <c r="A9503" i="4"/>
  <c r="A9504" i="4"/>
  <c r="A9505" i="4"/>
  <c r="A9506" i="4"/>
  <c r="A9507" i="4"/>
  <c r="A9508" i="4"/>
  <c r="A9509" i="4"/>
  <c r="A9510" i="4"/>
  <c r="A9511" i="4"/>
  <c r="A9512" i="4"/>
  <c r="A9513" i="4"/>
  <c r="A9514" i="4"/>
  <c r="A9515" i="4"/>
  <c r="A9516" i="4"/>
  <c r="A9517" i="4"/>
  <c r="A9518" i="4"/>
  <c r="A9519" i="4"/>
  <c r="A9520" i="4"/>
  <c r="A9521" i="4"/>
  <c r="A9522" i="4"/>
  <c r="A9523" i="4"/>
  <c r="A9524" i="4"/>
  <c r="A9525" i="4"/>
  <c r="A9526" i="4"/>
  <c r="A9527" i="4"/>
  <c r="A9528" i="4"/>
  <c r="A9529" i="4"/>
  <c r="A9530" i="4"/>
  <c r="A9531" i="4"/>
  <c r="A9532" i="4"/>
  <c r="A9533" i="4"/>
  <c r="A9534" i="4"/>
  <c r="A9535" i="4"/>
  <c r="A9536" i="4"/>
  <c r="A9537" i="4"/>
  <c r="A9538" i="4"/>
  <c r="A9539" i="4"/>
  <c r="A9540" i="4"/>
  <c r="A9541" i="4"/>
  <c r="A9542" i="4"/>
  <c r="A9543" i="4"/>
  <c r="A9544" i="4"/>
  <c r="A9545" i="4"/>
  <c r="A9546" i="4"/>
  <c r="A9547" i="4"/>
  <c r="A9548" i="4"/>
  <c r="A9549" i="4"/>
  <c r="A9550" i="4"/>
  <c r="A9551" i="4"/>
  <c r="A9552" i="4"/>
  <c r="A9553" i="4"/>
  <c r="A9554" i="4"/>
  <c r="A9555" i="4"/>
  <c r="A9556" i="4"/>
  <c r="A9557" i="4"/>
  <c r="A9558" i="4"/>
  <c r="A9559" i="4"/>
  <c r="A9560" i="4"/>
  <c r="A9561" i="4"/>
  <c r="A9562" i="4"/>
  <c r="A9563" i="4"/>
  <c r="A9564" i="4"/>
  <c r="A9565" i="4"/>
  <c r="A9566" i="4"/>
  <c r="A9567" i="4"/>
  <c r="A9568" i="4"/>
  <c r="A9569" i="4"/>
  <c r="A9570" i="4"/>
  <c r="A9571" i="4"/>
  <c r="A9572" i="4"/>
  <c r="A9573" i="4"/>
  <c r="A9574" i="4"/>
  <c r="A9575" i="4"/>
  <c r="A9576" i="4"/>
  <c r="A9577" i="4"/>
  <c r="A9578" i="4"/>
  <c r="A9579" i="4"/>
  <c r="A9580" i="4"/>
  <c r="A9581" i="4"/>
  <c r="A9582" i="4"/>
  <c r="A9583" i="4"/>
  <c r="A9584" i="4"/>
  <c r="A9585" i="4"/>
  <c r="A9586" i="4"/>
  <c r="A9587" i="4"/>
  <c r="A9588" i="4"/>
  <c r="A9589" i="4"/>
  <c r="A9590" i="4"/>
  <c r="A9591" i="4"/>
  <c r="A9592" i="4"/>
  <c r="A9593" i="4"/>
  <c r="A9594" i="4"/>
  <c r="A9595" i="4"/>
  <c r="A9596" i="4"/>
  <c r="A9597" i="4"/>
  <c r="A9598" i="4"/>
  <c r="A9599" i="4"/>
  <c r="A9600" i="4"/>
  <c r="A9601" i="4"/>
  <c r="A9602" i="4"/>
  <c r="A9603" i="4"/>
  <c r="A9604" i="4"/>
  <c r="A9605" i="4"/>
  <c r="A9606" i="4"/>
  <c r="A9607" i="4"/>
  <c r="A9608" i="4"/>
  <c r="A9609" i="4"/>
  <c r="A9610" i="4"/>
  <c r="A9611" i="4"/>
  <c r="A9612" i="4"/>
  <c r="A9613" i="4"/>
  <c r="A9614" i="4"/>
  <c r="A9615" i="4"/>
  <c r="A9616" i="4"/>
  <c r="A9617" i="4"/>
  <c r="A9618" i="4"/>
  <c r="C4941" i="4"/>
  <c r="C4940" i="4"/>
  <c r="C4938" i="4"/>
  <c r="C4937" i="4"/>
  <c r="C4936" i="4"/>
  <c r="C4935" i="4"/>
  <c r="C4934" i="4"/>
  <c r="C4933" i="4"/>
  <c r="C4932" i="4"/>
  <c r="C4931" i="4"/>
  <c r="C4930" i="4"/>
  <c r="C4929" i="4"/>
  <c r="C4928" i="4"/>
  <c r="C4926" i="4"/>
  <c r="C4925" i="4"/>
  <c r="C4924" i="4"/>
  <c r="C4923" i="4"/>
  <c r="C4922" i="4"/>
  <c r="C4921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886" i="4"/>
  <c r="C4885" i="4"/>
  <c r="C4884" i="4"/>
  <c r="C4883" i="4"/>
  <c r="C4882" i="4"/>
  <c r="C4881" i="4"/>
  <c r="C4880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51" i="4"/>
  <c r="A4850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E4975" i="4" l="1"/>
  <c r="F4976" i="4"/>
  <c r="G4976" i="4" s="1"/>
  <c r="G5447" i="4"/>
  <c r="G5520" i="4"/>
  <c r="G5505" i="4"/>
  <c r="G5744" i="4"/>
  <c r="G5597" i="4"/>
  <c r="G5419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2" i="4"/>
  <c r="C4784" i="4"/>
  <c r="C4783" i="4"/>
  <c r="C4781" i="4"/>
  <c r="C4780" i="4"/>
  <c r="E4780" i="4" s="1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C4779" i="4"/>
  <c r="C4778" i="4"/>
  <c r="C4777" i="4"/>
  <c r="C4776" i="4"/>
  <c r="C4775" i="4"/>
  <c r="C4774" i="4"/>
  <c r="E4774" i="4" s="1"/>
  <c r="C4773" i="4"/>
  <c r="C4772" i="4"/>
  <c r="C4771" i="4"/>
  <c r="C4758" i="4"/>
  <c r="C4770" i="4"/>
  <c r="C4769" i="4"/>
  <c r="C4768" i="4"/>
  <c r="C4767" i="4"/>
  <c r="C4766" i="4"/>
  <c r="C4764" i="4"/>
  <c r="C4763" i="4"/>
  <c r="C4762" i="4"/>
  <c r="C4761" i="4"/>
  <c r="C4760" i="4"/>
  <c r="C4759" i="4"/>
  <c r="C4757" i="4"/>
  <c r="C4756" i="4"/>
  <c r="C4755" i="4"/>
  <c r="C4754" i="4"/>
  <c r="C4750" i="4"/>
  <c r="C4753" i="4"/>
  <c r="C4752" i="4"/>
  <c r="E4752" i="4" s="1"/>
  <c r="C4751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28" i="4"/>
  <c r="A4719" i="4"/>
  <c r="A4720" i="4"/>
  <c r="A4721" i="4"/>
  <c r="A4722" i="4"/>
  <c r="A4723" i="4"/>
  <c r="A4724" i="4"/>
  <c r="A4725" i="4"/>
  <c r="A4726" i="4"/>
  <c r="A4727" i="4"/>
  <c r="C4727" i="4"/>
  <c r="C4726" i="4"/>
  <c r="E4726" i="4" s="1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E4857" i="4"/>
  <c r="E4883" i="4"/>
  <c r="F4883" i="4"/>
  <c r="E4931" i="4"/>
  <c r="E4937" i="4"/>
  <c r="F4937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F4726" i="4" l="1"/>
  <c r="G4726" i="4" s="1"/>
  <c r="F4780" i="4"/>
  <c r="G4780" i="4" s="1"/>
  <c r="F4752" i="4"/>
  <c r="G4752" i="4" s="1"/>
  <c r="G4883" i="4"/>
  <c r="G4937" i="4"/>
  <c r="B75" i="6"/>
  <c r="A75" i="6"/>
  <c r="A4668" i="4"/>
  <c r="C3624" i="4"/>
  <c r="C3804" i="4"/>
  <c r="C4094" i="4"/>
  <c r="D262" i="14"/>
  <c r="C4080" i="4"/>
  <c r="D261" i="14"/>
  <c r="C4327" i="4"/>
  <c r="C4406" i="4"/>
  <c r="C4415" i="4"/>
  <c r="E235" i="15"/>
  <c r="C235" i="15"/>
  <c r="G235" i="15" s="1"/>
  <c r="F233" i="15"/>
  <c r="C233" i="15"/>
  <c r="G233" i="15" s="1"/>
  <c r="F232" i="15"/>
  <c r="C232" i="15"/>
  <c r="G232" i="15" s="1"/>
  <c r="E231" i="15"/>
  <c r="C231" i="15"/>
  <c r="G231" i="15" s="1"/>
  <c r="C230" i="15"/>
  <c r="G230" i="15" s="1"/>
  <c r="C229" i="15"/>
  <c r="G229" i="15" s="1"/>
  <c r="C4635" i="4"/>
  <c r="C228" i="15"/>
  <c r="G228" i="15" s="1"/>
  <c r="C227" i="15"/>
  <c r="G227" i="15" s="1"/>
  <c r="C226" i="15"/>
  <c r="G226" i="15" s="1"/>
  <c r="C225" i="15"/>
  <c r="G225" i="15" s="1"/>
  <c r="C224" i="15"/>
  <c r="G224" i="15" s="1"/>
  <c r="A224" i="15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C4667" i="4"/>
  <c r="C4666" i="4"/>
  <c r="C4665" i="4"/>
  <c r="C4664" i="4"/>
  <c r="C4663" i="4"/>
  <c r="C4662" i="4"/>
  <c r="C4661" i="4"/>
  <c r="C4660" i="4"/>
  <c r="C4659" i="4"/>
  <c r="C4658" i="4"/>
  <c r="C4641" i="4"/>
  <c r="C4640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39" i="4"/>
  <c r="C4638" i="4"/>
  <c r="C4637" i="4"/>
  <c r="C4636" i="4" l="1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E4638" i="4"/>
  <c r="E4639" i="4"/>
  <c r="F4639" i="4"/>
  <c r="E4652" i="4"/>
  <c r="F4652" i="4"/>
  <c r="E4655" i="4"/>
  <c r="E4661" i="4"/>
  <c r="E4662" i="4"/>
  <c r="E4677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16" i="4"/>
  <c r="G4652" i="4" l="1"/>
  <c r="G4639" i="4"/>
  <c r="C4615" i="4"/>
  <c r="C4614" i="4"/>
  <c r="C4600" i="4" l="1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599" i="4"/>
  <c r="C4598" i="4"/>
  <c r="C4597" i="4"/>
  <c r="C4596" i="4"/>
  <c r="C4595" i="4"/>
  <c r="E4595" i="4" s="1"/>
  <c r="C4594" i="4"/>
  <c r="C4593" i="4"/>
  <c r="C4592" i="4"/>
  <c r="C4591" i="4"/>
  <c r="C4590" i="4"/>
  <c r="C4589" i="4"/>
  <c r="C4588" i="4"/>
  <c r="C4587" i="4"/>
  <c r="C4586" i="4"/>
  <c r="E4586" i="4" s="1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E4547" i="4" s="1"/>
  <c r="C4546" i="4"/>
  <c r="C4545" i="4"/>
  <c r="C4544" i="4"/>
  <c r="C4543" i="4"/>
  <c r="C4542" i="4"/>
  <c r="C4541" i="4"/>
  <c r="C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540" i="4"/>
  <c r="C4531" i="4"/>
  <c r="C4539" i="4"/>
  <c r="C4538" i="4"/>
  <c r="C4537" i="4"/>
  <c r="C4536" i="4"/>
  <c r="C4535" i="4"/>
  <c r="C4534" i="4"/>
  <c r="C4533" i="4"/>
  <c r="C4532" i="4"/>
  <c r="C4530" i="4"/>
  <c r="C4529" i="4"/>
  <c r="C4528" i="4"/>
  <c r="C4527" i="4"/>
  <c r="C4526" i="4"/>
  <c r="E4526" i="4" s="1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E4602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478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6" i="4"/>
  <c r="F4416" i="4" s="1"/>
  <c r="C4407" i="4"/>
  <c r="C4414" i="4"/>
  <c r="C4413" i="4"/>
  <c r="C4412" i="4"/>
  <c r="C4411" i="4"/>
  <c r="C4410" i="4"/>
  <c r="C4409" i="4"/>
  <c r="C4408" i="4"/>
  <c r="C4405" i="4"/>
  <c r="C4404" i="4"/>
  <c r="C4403" i="4"/>
  <c r="C4402" i="4"/>
  <c r="C4401" i="4"/>
  <c r="C4400" i="4"/>
  <c r="C4399" i="4"/>
  <c r="C4398" i="4"/>
  <c r="A225" i="15"/>
  <c r="A226" i="15"/>
  <c r="A227" i="15"/>
  <c r="A228" i="15"/>
  <c r="A229" i="15"/>
  <c r="A230" i="15"/>
  <c r="A231" i="15"/>
  <c r="A232" i="15"/>
  <c r="A233" i="15"/>
  <c r="A234" i="15"/>
  <c r="A235" i="15"/>
  <c r="C223" i="15"/>
  <c r="G223" i="15" s="1"/>
  <c r="C222" i="15"/>
  <c r="G222" i="15" s="1"/>
  <c r="C221" i="15"/>
  <c r="G221" i="15" s="1"/>
  <c r="C220" i="15"/>
  <c r="G220" i="15" s="1"/>
  <c r="F224" i="15"/>
  <c r="F225" i="15"/>
  <c r="F226" i="15"/>
  <c r="F227" i="15"/>
  <c r="F228" i="15"/>
  <c r="F229" i="15"/>
  <c r="F230" i="15"/>
  <c r="F231" i="15"/>
  <c r="F234" i="15"/>
  <c r="F235" i="15"/>
  <c r="A221" i="15"/>
  <c r="A222" i="15"/>
  <c r="A223" i="15"/>
  <c r="A220" i="15"/>
  <c r="C219" i="15"/>
  <c r="G219" i="15" s="1"/>
  <c r="C218" i="15"/>
  <c r="G218" i="15" s="1"/>
  <c r="C217" i="15"/>
  <c r="G217" i="15" s="1"/>
  <c r="A218" i="15"/>
  <c r="A219" i="15"/>
  <c r="A217" i="15"/>
  <c r="C216" i="15"/>
  <c r="G216" i="15" s="1"/>
  <c r="C215" i="15"/>
  <c r="G215" i="15" s="1"/>
  <c r="C214" i="15"/>
  <c r="G214" i="15" s="1"/>
  <c r="C213" i="15"/>
  <c r="G213" i="15" s="1"/>
  <c r="C212" i="15"/>
  <c r="G212" i="15" s="1"/>
  <c r="C211" i="15"/>
  <c r="G211" i="15" s="1"/>
  <c r="A211" i="15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398" i="4"/>
  <c r="C4397" i="4"/>
  <c r="C4380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F4547" i="4" l="1"/>
  <c r="G4547" i="4" s="1"/>
  <c r="F4526" i="4"/>
  <c r="G4526" i="4" s="1"/>
  <c r="E4416" i="4"/>
  <c r="G4416" i="4" s="1"/>
  <c r="C4381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38" i="4"/>
  <c r="C4337" i="4"/>
  <c r="C4336" i="4"/>
  <c r="F4336" i="4" s="1"/>
  <c r="C4335" i="4"/>
  <c r="C4334" i="4"/>
  <c r="E4334" i="4" s="1"/>
  <c r="C4333" i="4"/>
  <c r="C4332" i="4"/>
  <c r="C4331" i="4"/>
  <c r="C4330" i="4"/>
  <c r="C4329" i="4"/>
  <c r="C4328" i="4"/>
  <c r="C4326" i="4"/>
  <c r="C4325" i="4"/>
  <c r="C4324" i="4"/>
  <c r="E4336" i="4"/>
  <c r="A4332" i="4"/>
  <c r="A4333" i="4"/>
  <c r="A4334" i="4"/>
  <c r="A4335" i="4"/>
  <c r="A4336" i="4"/>
  <c r="A4337" i="4"/>
  <c r="C4321" i="4"/>
  <c r="C4323" i="4"/>
  <c r="C4322" i="4"/>
  <c r="C4320" i="4"/>
  <c r="C4319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E4297" i="4" s="1"/>
  <c r="C4296" i="4"/>
  <c r="C4295" i="4"/>
  <c r="C4294" i="4"/>
  <c r="C4293" i="4"/>
  <c r="C4292" i="4"/>
  <c r="C4291" i="4"/>
  <c r="C4290" i="4"/>
  <c r="C4289" i="4"/>
  <c r="C4288" i="4"/>
  <c r="C4287" i="4"/>
  <c r="F216" i="15"/>
  <c r="F217" i="15"/>
  <c r="F218" i="15"/>
  <c r="F219" i="15"/>
  <c r="F220" i="15"/>
  <c r="F221" i="15"/>
  <c r="F222" i="15"/>
  <c r="F223" i="15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287" i="4"/>
  <c r="A258" i="14"/>
  <c r="C7419" i="4" s="1"/>
  <c r="A256" i="14"/>
  <c r="A257" i="14"/>
  <c r="A212" i="15"/>
  <c r="A213" i="15"/>
  <c r="A214" i="15"/>
  <c r="A215" i="15"/>
  <c r="A216" i="15"/>
  <c r="C210" i="15"/>
  <c r="G210" i="15" s="1"/>
  <c r="C209" i="15"/>
  <c r="G209" i="15" s="1"/>
  <c r="A210" i="15"/>
  <c r="A209" i="15"/>
  <c r="A200" i="15"/>
  <c r="A201" i="15"/>
  <c r="A202" i="15"/>
  <c r="A203" i="15"/>
  <c r="A204" i="15"/>
  <c r="A205" i="15"/>
  <c r="A206" i="15"/>
  <c r="A207" i="15"/>
  <c r="A208" i="15"/>
  <c r="C208" i="15"/>
  <c r="G208" i="15" s="1"/>
  <c r="C207" i="15"/>
  <c r="G207" i="15" s="1"/>
  <c r="C206" i="15"/>
  <c r="G206" i="15" s="1"/>
  <c r="C205" i="15"/>
  <c r="G205" i="15" s="1"/>
  <c r="C203" i="15"/>
  <c r="G203" i="15" s="1"/>
  <c r="C201" i="15"/>
  <c r="G201" i="15" s="1"/>
  <c r="C200" i="15"/>
  <c r="G200" i="15" s="1"/>
  <c r="C199" i="15"/>
  <c r="G199" i="15" s="1"/>
  <c r="C197" i="15"/>
  <c r="G197" i="15" s="1"/>
  <c r="C196" i="15"/>
  <c r="G196" i="15" s="1"/>
  <c r="C195" i="15"/>
  <c r="G195" i="15" s="1"/>
  <c r="C194" i="15"/>
  <c r="G194" i="15" s="1"/>
  <c r="C193" i="15"/>
  <c r="G193" i="15" s="1"/>
  <c r="C192" i="15"/>
  <c r="G192" i="15" s="1"/>
  <c r="C191" i="15"/>
  <c r="G191" i="15" s="1"/>
  <c r="C190" i="15"/>
  <c r="G190" i="15" s="1"/>
  <c r="A191" i="15"/>
  <c r="A192" i="15"/>
  <c r="A193" i="15"/>
  <c r="A194" i="15"/>
  <c r="A195" i="15"/>
  <c r="A196" i="15"/>
  <c r="A197" i="15"/>
  <c r="A198" i="15"/>
  <c r="A199" i="15"/>
  <c r="A190" i="15"/>
  <c r="A189" i="15"/>
  <c r="C188" i="15"/>
  <c r="G188" i="15" s="1"/>
  <c r="F194" i="15"/>
  <c r="F195" i="15"/>
  <c r="F196" i="15"/>
  <c r="F197" i="15"/>
  <c r="F198" i="15"/>
  <c r="F199" i="15"/>
  <c r="F200" i="15"/>
  <c r="F201" i="15"/>
  <c r="F202" i="15"/>
  <c r="F203" i="15"/>
  <c r="F204" i="15"/>
  <c r="D258" i="14" s="1"/>
  <c r="F205" i="15"/>
  <c r="F206" i="15"/>
  <c r="F207" i="15"/>
  <c r="F208" i="15"/>
  <c r="F209" i="15"/>
  <c r="F210" i="15"/>
  <c r="F211" i="15"/>
  <c r="F212" i="15"/>
  <c r="F213" i="15"/>
  <c r="F214" i="15"/>
  <c r="F215" i="15"/>
  <c r="C187" i="15"/>
  <c r="G187" i="15" s="1"/>
  <c r="C186" i="15"/>
  <c r="G186" i="15" s="1"/>
  <c r="C185" i="15"/>
  <c r="G185" i="15" s="1"/>
  <c r="A186" i="15"/>
  <c r="A187" i="15"/>
  <c r="A188" i="15"/>
  <c r="A185" i="15"/>
  <c r="C184" i="15"/>
  <c r="G184" i="15" s="1"/>
  <c r="A184" i="15"/>
  <c r="C183" i="15"/>
  <c r="G183" i="15" s="1"/>
  <c r="C182" i="15"/>
  <c r="G182" i="15" s="1"/>
  <c r="C181" i="15"/>
  <c r="G181" i="15" s="1"/>
  <c r="C180" i="15"/>
  <c r="G180" i="15" s="1"/>
  <c r="A181" i="15"/>
  <c r="A182" i="15"/>
  <c r="A183" i="15"/>
  <c r="A180" i="15"/>
  <c r="A177" i="15"/>
  <c r="A178" i="15"/>
  <c r="A179" i="15"/>
  <c r="C179" i="15"/>
  <c r="G179" i="15" s="1"/>
  <c r="C178" i="15"/>
  <c r="G178" i="15" s="1"/>
  <c r="C177" i="15"/>
  <c r="G177" i="15" s="1"/>
  <c r="C176" i="15"/>
  <c r="G176" i="15" s="1"/>
  <c r="A176" i="15"/>
  <c r="C175" i="15"/>
  <c r="G175" i="15" s="1"/>
  <c r="A175" i="15"/>
  <c r="C174" i="15"/>
  <c r="G174" i="15" s="1"/>
  <c r="C173" i="15"/>
  <c r="G173" i="15" s="1"/>
  <c r="C172" i="15"/>
  <c r="G172" i="15" s="1"/>
  <c r="C171" i="15"/>
  <c r="G171" i="15" s="1"/>
  <c r="C170" i="15"/>
  <c r="G170" i="15" s="1"/>
  <c r="C169" i="15"/>
  <c r="G169" i="15" s="1"/>
  <c r="C168" i="15"/>
  <c r="G168" i="15" s="1"/>
  <c r="A169" i="15"/>
  <c r="A170" i="15"/>
  <c r="A171" i="15"/>
  <c r="A172" i="15"/>
  <c r="A173" i="15"/>
  <c r="A174" i="15"/>
  <c r="A168" i="15"/>
  <c r="C167" i="15"/>
  <c r="G167" i="15" s="1"/>
  <c r="C166" i="15"/>
  <c r="G166" i="15" s="1"/>
  <c r="C165" i="15"/>
  <c r="G165" i="15" s="1"/>
  <c r="C164" i="15"/>
  <c r="G164" i="15" s="1"/>
  <c r="C163" i="15"/>
  <c r="G163" i="15" s="1"/>
  <c r="A164" i="15"/>
  <c r="A165" i="15"/>
  <c r="A166" i="15"/>
  <c r="A167" i="15"/>
  <c r="A163" i="15"/>
  <c r="C162" i="15"/>
  <c r="G162" i="15" s="1"/>
  <c r="C161" i="15"/>
  <c r="G161" i="15" s="1"/>
  <c r="C160" i="15"/>
  <c r="G160" i="15" s="1"/>
  <c r="C159" i="15"/>
  <c r="G159" i="15" s="1"/>
  <c r="A160" i="15"/>
  <c r="A161" i="15"/>
  <c r="A162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A159" i="15"/>
  <c r="C158" i="15"/>
  <c r="G158" i="15" s="1"/>
  <c r="A158" i="15"/>
  <c r="C157" i="15"/>
  <c r="G157" i="15" s="1"/>
  <c r="C156" i="15"/>
  <c r="G156" i="15" s="1"/>
  <c r="C155" i="15"/>
  <c r="G155" i="15" s="1"/>
  <c r="C154" i="15"/>
  <c r="G154" i="15" s="1"/>
  <c r="A155" i="15"/>
  <c r="A156" i="15"/>
  <c r="A157" i="15"/>
  <c r="A154" i="15"/>
  <c r="C152" i="15"/>
  <c r="G152" i="15" s="1"/>
  <c r="C150" i="15"/>
  <c r="G150" i="15" s="1"/>
  <c r="C149" i="15"/>
  <c r="G149" i="15" s="1"/>
  <c r="C148" i="15"/>
  <c r="G148" i="15" s="1"/>
  <c r="C147" i="15"/>
  <c r="G147" i="15" s="1"/>
  <c r="C146" i="15"/>
  <c r="G146" i="15" s="1"/>
  <c r="C145" i="15"/>
  <c r="G145" i="15" s="1"/>
  <c r="C144" i="15"/>
  <c r="G144" i="15" s="1"/>
  <c r="C143" i="15"/>
  <c r="G143" i="15" s="1"/>
  <c r="C142" i="15"/>
  <c r="G142" i="15" s="1"/>
  <c r="C141" i="15"/>
  <c r="G141" i="15" s="1"/>
  <c r="C140" i="15"/>
  <c r="G140" i="15" s="1"/>
  <c r="C139" i="15"/>
  <c r="G139" i="15" s="1"/>
  <c r="F147" i="15"/>
  <c r="F148" i="15"/>
  <c r="F149" i="15"/>
  <c r="F150" i="15"/>
  <c r="F151" i="15"/>
  <c r="D257" i="14" s="1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A147" i="15"/>
  <c r="A148" i="15"/>
  <c r="A149" i="15"/>
  <c r="A150" i="15"/>
  <c r="A151" i="15"/>
  <c r="A152" i="15"/>
  <c r="A153" i="15"/>
  <c r="C138" i="15"/>
  <c r="G138" i="15" s="1"/>
  <c r="C137" i="15"/>
  <c r="G137" i="15" s="1"/>
  <c r="C136" i="15"/>
  <c r="G136" i="15" s="1"/>
  <c r="C135" i="15"/>
  <c r="G135" i="15" s="1"/>
  <c r="C134" i="15"/>
  <c r="G134" i="15" s="1"/>
  <c r="C133" i="15"/>
  <c r="G133" i="15" s="1"/>
  <c r="C131" i="15"/>
  <c r="G131" i="15" s="1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31" i="15"/>
  <c r="C130" i="15"/>
  <c r="G130" i="15" s="1"/>
  <c r="C129" i="15"/>
  <c r="G129" i="15" s="1"/>
  <c r="C128" i="15"/>
  <c r="G128" i="15" s="1"/>
  <c r="C127" i="15"/>
  <c r="G127" i="15" s="1"/>
  <c r="C126" i="15"/>
  <c r="G126" i="15" s="1"/>
  <c r="A127" i="15"/>
  <c r="A128" i="15"/>
  <c r="A129" i="15"/>
  <c r="A130" i="15"/>
  <c r="A126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C125" i="15"/>
  <c r="G125" i="15" s="1"/>
  <c r="C124" i="15"/>
  <c r="G124" i="15" s="1"/>
  <c r="C123" i="15"/>
  <c r="G123" i="15" s="1"/>
  <c r="C122" i="15"/>
  <c r="G122" i="15" s="1"/>
  <c r="C121" i="15"/>
  <c r="G121" i="15" s="1"/>
  <c r="C120" i="15"/>
  <c r="G120" i="15" s="1"/>
  <c r="A121" i="15"/>
  <c r="A122" i="15"/>
  <c r="A123" i="15"/>
  <c r="A124" i="15"/>
  <c r="A125" i="15"/>
  <c r="A120" i="15"/>
  <c r="C119" i="15"/>
  <c r="G119" i="15" s="1"/>
  <c r="A117" i="15"/>
  <c r="A118" i="15"/>
  <c r="A119" i="15"/>
  <c r="C118" i="15"/>
  <c r="G118" i="15" s="1"/>
  <c r="C117" i="15"/>
  <c r="G117" i="15" s="1"/>
  <c r="C116" i="15"/>
  <c r="G116" i="15" s="1"/>
  <c r="C115" i="15"/>
  <c r="G115" i="15" s="1"/>
  <c r="C114" i="15"/>
  <c r="G114" i="15" s="1"/>
  <c r="C113" i="15"/>
  <c r="G113" i="15" s="1"/>
  <c r="C112" i="15"/>
  <c r="G112" i="15" s="1"/>
  <c r="A113" i="15"/>
  <c r="A114" i="15"/>
  <c r="A115" i="15"/>
  <c r="A116" i="15"/>
  <c r="A112" i="15"/>
  <c r="C111" i="15"/>
  <c r="G111" i="15" s="1"/>
  <c r="C110" i="15"/>
  <c r="G110" i="15" s="1"/>
  <c r="C109" i="15"/>
  <c r="G109" i="15" s="1"/>
  <c r="C108" i="15"/>
  <c r="G108" i="15" s="1"/>
  <c r="F120" i="15"/>
  <c r="F121" i="15"/>
  <c r="F122" i="15"/>
  <c r="F123" i="15"/>
  <c r="F124" i="15"/>
  <c r="F125" i="15"/>
  <c r="F126" i="15"/>
  <c r="F127" i="15"/>
  <c r="F128" i="15"/>
  <c r="F110" i="15"/>
  <c r="F111" i="15"/>
  <c r="F112" i="15"/>
  <c r="F113" i="15"/>
  <c r="F114" i="15"/>
  <c r="F115" i="15"/>
  <c r="F116" i="15"/>
  <c r="F117" i="15"/>
  <c r="F118" i="15"/>
  <c r="F119" i="15"/>
  <c r="A110" i="15"/>
  <c r="A111" i="15"/>
  <c r="A108" i="15"/>
  <c r="C4286" i="4"/>
  <c r="C4285" i="4"/>
  <c r="C4284" i="4"/>
  <c r="C4283" i="4"/>
  <c r="E4283" i="4" s="1"/>
  <c r="C4282" i="4"/>
  <c r="C4281" i="4"/>
  <c r="C4280" i="4"/>
  <c r="C4279" i="4"/>
  <c r="C4278" i="4"/>
  <c r="C4277" i="4"/>
  <c r="C4276" i="4"/>
  <c r="C4275" i="4"/>
  <c r="C4274" i="4"/>
  <c r="E4274" i="4" s="1"/>
  <c r="C4273" i="4"/>
  <c r="C4272" i="4"/>
  <c r="C4271" i="4"/>
  <c r="C4270" i="4"/>
  <c r="C4269" i="4"/>
  <c r="C4268" i="4"/>
  <c r="C4267" i="4"/>
  <c r="C4266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F4238" i="4" s="1"/>
  <c r="C4237" i="4"/>
  <c r="C4236" i="4"/>
  <c r="C4265" i="4"/>
  <c r="C4264" i="4"/>
  <c r="C4235" i="4"/>
  <c r="C4234" i="4"/>
  <c r="C4233" i="4"/>
  <c r="D256" i="14"/>
  <c r="C3852" i="4"/>
  <c r="C3949" i="4"/>
  <c r="D255" i="1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E4209" i="4" s="1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189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C4187" i="4"/>
  <c r="C4186" i="4"/>
  <c r="E4186" i="4" s="1"/>
  <c r="C4185" i="4"/>
  <c r="C4184" i="4"/>
  <c r="C4183" i="4"/>
  <c r="C4182" i="4"/>
  <c r="C4181" i="4"/>
  <c r="C4180" i="4"/>
  <c r="C4179" i="4"/>
  <c r="C4178" i="4"/>
  <c r="C4177" i="4"/>
  <c r="C4176" i="4"/>
  <c r="E4176" i="4" s="1"/>
  <c r="C4175" i="4"/>
  <c r="C4174" i="4"/>
  <c r="C4173" i="4"/>
  <c r="C4172" i="4"/>
  <c r="C4171" i="4"/>
  <c r="C4170" i="4"/>
  <c r="C4169" i="4"/>
  <c r="C4168" i="4"/>
  <c r="C4167" i="4"/>
  <c r="C4166" i="4"/>
  <c r="F4166" i="4" s="1"/>
  <c r="C4165" i="4"/>
  <c r="C4164" i="4"/>
  <c r="C4163" i="4"/>
  <c r="C4162" i="4"/>
  <c r="C4161" i="4"/>
  <c r="C4160" i="4"/>
  <c r="C4159" i="4"/>
  <c r="C4158" i="4"/>
  <c r="C4131" i="4"/>
  <c r="C4129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0" i="4"/>
  <c r="C4128" i="4"/>
  <c r="C4127" i="4"/>
  <c r="C4126" i="4"/>
  <c r="C4125" i="4"/>
  <c r="C4124" i="4"/>
  <c r="C4123" i="4"/>
  <c r="C4122" i="4"/>
  <c r="C4121" i="4"/>
  <c r="E4121" i="4" s="1"/>
  <c r="C4120" i="4"/>
  <c r="C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19" i="4"/>
  <c r="A4108" i="4"/>
  <c r="A4109" i="4"/>
  <c r="A4110" i="4"/>
  <c r="A4111" i="4"/>
  <c r="A4112" i="4"/>
  <c r="A4113" i="4"/>
  <c r="A4114" i="4"/>
  <c r="A4115" i="4"/>
  <c r="A4116" i="4"/>
  <c r="A4117" i="4"/>
  <c r="A4118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066" i="4"/>
  <c r="A4057" i="4"/>
  <c r="A4058" i="4"/>
  <c r="A4059" i="4"/>
  <c r="A4060" i="4"/>
  <c r="A4061" i="4"/>
  <c r="A4062" i="4"/>
  <c r="A4063" i="4"/>
  <c r="A4064" i="4"/>
  <c r="A4065" i="4"/>
  <c r="C4065" i="4"/>
  <c r="C4064" i="4"/>
  <c r="C4063" i="4"/>
  <c r="C4062" i="4"/>
  <c r="E4062" i="4" s="1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E4017" i="4" s="1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3989" i="4"/>
  <c r="A3978" i="4"/>
  <c r="A3979" i="4"/>
  <c r="A3980" i="4"/>
  <c r="A3981" i="4"/>
  <c r="A3982" i="4"/>
  <c r="A3983" i="4"/>
  <c r="A3984" i="4"/>
  <c r="A3985" i="4"/>
  <c r="A3986" i="4"/>
  <c r="A3987" i="4"/>
  <c r="A3988" i="4"/>
  <c r="C3988" i="4"/>
  <c r="C3986" i="4"/>
  <c r="C3985" i="4"/>
  <c r="C3984" i="4"/>
  <c r="C3983" i="4"/>
  <c r="C3982" i="4"/>
  <c r="E4057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8" i="4"/>
  <c r="C3947" i="4"/>
  <c r="C3946" i="4"/>
  <c r="C3945" i="4"/>
  <c r="C3944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E3929" i="4" s="1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29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882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A3878" i="4"/>
  <c r="A3879" i="4"/>
  <c r="A3880" i="4"/>
  <c r="A3881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5" i="4"/>
  <c r="C3824" i="4"/>
  <c r="C3823" i="4"/>
  <c r="C3822" i="4"/>
  <c r="C3821" i="4"/>
  <c r="C3820" i="4"/>
  <c r="C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19" i="4"/>
  <c r="C3818" i="4"/>
  <c r="C3817" i="4"/>
  <c r="C3816" i="4"/>
  <c r="C3815" i="4"/>
  <c r="C3814" i="4"/>
  <c r="C3813" i="4"/>
  <c r="C3812" i="4"/>
  <c r="F3812" i="4" s="1"/>
  <c r="C3811" i="4"/>
  <c r="C3810" i="4"/>
  <c r="C3809" i="4"/>
  <c r="C3808" i="4"/>
  <c r="C3807" i="4"/>
  <c r="C3806" i="4"/>
  <c r="C3805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761" i="4"/>
  <c r="C3754" i="4"/>
  <c r="C3753" i="4"/>
  <c r="C3757" i="4"/>
  <c r="C3756" i="4"/>
  <c r="C3752" i="4"/>
  <c r="C3759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E3726" i="4" s="1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0" i="4"/>
  <c r="C3691" i="4"/>
  <c r="C3689" i="4"/>
  <c r="C3688" i="4"/>
  <c r="C3687" i="4"/>
  <c r="C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686" i="4"/>
  <c r="A3684" i="4"/>
  <c r="A3685" i="4"/>
  <c r="C3685" i="4"/>
  <c r="C3684" i="4"/>
  <c r="C3683" i="4"/>
  <c r="C3682" i="4"/>
  <c r="C3681" i="4"/>
  <c r="C3680" i="4"/>
  <c r="C3679" i="4"/>
  <c r="C3678" i="4"/>
  <c r="C3677" i="4"/>
  <c r="C3676" i="4"/>
  <c r="C3675" i="4"/>
  <c r="E3675" i="4" s="1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47" i="4"/>
  <c r="C3652" i="4"/>
  <c r="E3652" i="4" s="1"/>
  <c r="C3651" i="4"/>
  <c r="C3650" i="4"/>
  <c r="C3649" i="4"/>
  <c r="C3648" i="4"/>
  <c r="C3646" i="4"/>
  <c r="C3645" i="4"/>
  <c r="C3654" i="4"/>
  <c r="C3653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0" i="4"/>
  <c r="C3629" i="4"/>
  <c r="C3627" i="4"/>
  <c r="C3626" i="4"/>
  <c r="C3625" i="4"/>
  <c r="E3625" i="4" s="1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25" i="4"/>
  <c r="A3620" i="4"/>
  <c r="A3621" i="4"/>
  <c r="A3622" i="4"/>
  <c r="A3623" i="4"/>
  <c r="A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C3566" i="4"/>
  <c r="C3565" i="4"/>
  <c r="C3564" i="4"/>
  <c r="C3563" i="4"/>
  <c r="C3562" i="4"/>
  <c r="C3561" i="4"/>
  <c r="C3560" i="4"/>
  <c r="C3559" i="4"/>
  <c r="C3568" i="4"/>
  <c r="C3567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3" i="4"/>
  <c r="C3534" i="4"/>
  <c r="C3532" i="4"/>
  <c r="C3531" i="4"/>
  <c r="C3530" i="4"/>
  <c r="C3529" i="4"/>
  <c r="C3528" i="4"/>
  <c r="C3527" i="4"/>
  <c r="C3526" i="4"/>
  <c r="C3525" i="4"/>
  <c r="C3524" i="4"/>
  <c r="C3523" i="4"/>
  <c r="C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22" i="4"/>
  <c r="C3515" i="4"/>
  <c r="C3521" i="4"/>
  <c r="C3520" i="4"/>
  <c r="C3519" i="4"/>
  <c r="C3518" i="4"/>
  <c r="C3517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E3492" i="4" s="1"/>
  <c r="C3491" i="4"/>
  <c r="C3490" i="4"/>
  <c r="C3489" i="4"/>
  <c r="C3471" i="4"/>
  <c r="C3488" i="4"/>
  <c r="C3487" i="4"/>
  <c r="C3485" i="4"/>
  <c r="C3486" i="4"/>
  <c r="C3484" i="4"/>
  <c r="C3483" i="4"/>
  <c r="C3482" i="4"/>
  <c r="C3481" i="4"/>
  <c r="C3480" i="4"/>
  <c r="C3479" i="4"/>
  <c r="C3478" i="4"/>
  <c r="C3477" i="4"/>
  <c r="E3477" i="4" s="1"/>
  <c r="C3476" i="4"/>
  <c r="C3475" i="4"/>
  <c r="C3474" i="4"/>
  <c r="C3473" i="4"/>
  <c r="C3472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C3454" i="4"/>
  <c r="C3453" i="4"/>
  <c r="C3452" i="4"/>
  <c r="C3451" i="4"/>
  <c r="C3450" i="4"/>
  <c r="C3449" i="4"/>
  <c r="C3448" i="4"/>
  <c r="C3446" i="4"/>
  <c r="C3445" i="4"/>
  <c r="C3444" i="4"/>
  <c r="C3440" i="4"/>
  <c r="C3439" i="4"/>
  <c r="C3438" i="4"/>
  <c r="C3437" i="4"/>
  <c r="C3436" i="4"/>
  <c r="C3435" i="4"/>
  <c r="C3434" i="4"/>
  <c r="C3433" i="4"/>
  <c r="C3432" i="4"/>
  <c r="C3429" i="4"/>
  <c r="C3428" i="4"/>
  <c r="C3427" i="4"/>
  <c r="C3426" i="4"/>
  <c r="C3425" i="4"/>
  <c r="C3424" i="4"/>
  <c r="C3423" i="4"/>
  <c r="C3422" i="4"/>
  <c r="C3421" i="4"/>
  <c r="C3420" i="4"/>
  <c r="C3419" i="4"/>
  <c r="C3417" i="4"/>
  <c r="C3416" i="4"/>
  <c r="C3415" i="4"/>
  <c r="H3" i="14"/>
  <c r="H4" i="14" s="1"/>
  <c r="H5" i="14" s="1"/>
  <c r="H6" i="14" s="1"/>
  <c r="H7" i="14" s="1"/>
  <c r="H8" i="14" s="1"/>
  <c r="H9" i="14" s="1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21" i="14" s="1"/>
  <c r="H22" i="14" s="1"/>
  <c r="H23" i="14" s="1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H120" i="14" s="1"/>
  <c r="H121" i="14" s="1"/>
  <c r="H122" i="14" s="1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34" i="14" s="1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H148" i="14" s="1"/>
  <c r="H149" i="14" s="1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H162" i="14" s="1"/>
  <c r="H163" i="14" s="1"/>
  <c r="H164" i="14" s="1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76" i="14" s="1"/>
  <c r="H177" i="14" s="1"/>
  <c r="H178" i="14" s="1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190" i="14" s="1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H204" i="14" s="1"/>
  <c r="H205" i="14" s="1"/>
  <c r="H206" i="14" s="1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18" i="14" s="1"/>
  <c r="H219" i="14" s="1"/>
  <c r="H220" i="14" s="1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H232" i="14" s="1"/>
  <c r="H233" i="14" s="1"/>
  <c r="H234" i="14" s="1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46" i="14" s="1"/>
  <c r="H247" i="14" s="1"/>
  <c r="H248" i="14" s="1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60" i="14" s="1"/>
  <c r="H261" i="14" s="1"/>
  <c r="H262" i="14" s="1"/>
  <c r="C3414" i="4"/>
  <c r="E3414" i="4" s="1"/>
  <c r="C3413" i="4"/>
  <c r="C3412" i="4"/>
  <c r="C3411" i="4"/>
  <c r="C3410" i="4"/>
  <c r="C3442" i="4"/>
  <c r="C3441" i="4"/>
  <c r="C3443" i="4"/>
  <c r="C3431" i="4"/>
  <c r="C3430" i="4"/>
  <c r="C3418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E3384" i="4" s="1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4" i="4"/>
  <c r="C3367" i="4"/>
  <c r="C3366" i="4"/>
  <c r="C3365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E3345" i="4" s="1"/>
  <c r="C3344" i="4"/>
  <c r="C3343" i="4"/>
  <c r="C3342" i="4"/>
  <c r="C3341" i="4"/>
  <c r="C3340" i="4"/>
  <c r="C3339" i="4"/>
  <c r="C3338" i="4"/>
  <c r="C3337" i="4"/>
  <c r="C3336" i="4"/>
  <c r="A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F3280" i="4" s="1"/>
  <c r="C3279" i="4"/>
  <c r="C3278" i="4"/>
  <c r="C3277" i="4"/>
  <c r="C3276" i="4"/>
  <c r="C3275" i="4"/>
  <c r="F3275" i="4" s="1"/>
  <c r="C3274" i="4"/>
  <c r="C3273" i="4"/>
  <c r="C3272" i="4"/>
  <c r="C3271" i="4"/>
  <c r="C3270" i="4"/>
  <c r="C3269" i="4"/>
  <c r="C3268" i="4"/>
  <c r="C3267" i="4"/>
  <c r="C3266" i="4"/>
  <c r="F3266" i="4" s="1"/>
  <c r="C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E3197" i="4" s="1"/>
  <c r="C3196" i="4"/>
  <c r="C3195" i="4"/>
  <c r="C3194" i="4"/>
  <c r="C3193" i="4"/>
  <c r="C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192" i="4"/>
  <c r="C3190" i="4"/>
  <c r="C3189" i="4"/>
  <c r="C3188" i="4"/>
  <c r="C3187" i="4"/>
  <c r="C3186" i="4"/>
  <c r="C3185" i="4"/>
  <c r="C3184" i="4"/>
  <c r="C3183" i="4"/>
  <c r="C3182" i="4"/>
  <c r="C3180" i="4"/>
  <c r="C3179" i="4"/>
  <c r="C3178" i="4"/>
  <c r="C3177" i="4"/>
  <c r="C3176" i="4"/>
  <c r="C3175" i="4"/>
  <c r="C3174" i="4"/>
  <c r="C3173" i="4"/>
  <c r="C3172" i="4"/>
  <c r="C3171" i="4"/>
  <c r="C3170" i="4"/>
  <c r="E3170" i="4" s="1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E3157" i="4" s="1"/>
  <c r="C3156" i="4"/>
  <c r="C3155" i="4"/>
  <c r="C3154" i="4"/>
  <c r="C3153" i="4"/>
  <c r="C3152" i="4"/>
  <c r="C3191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35" i="4"/>
  <c r="C3134" i="4"/>
  <c r="C3133" i="4"/>
  <c r="E3133" i="4" s="1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E3117" i="4" s="1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E3097" i="4" s="1"/>
  <c r="C3096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06" i="4"/>
  <c r="E3006" i="4" s="1"/>
  <c r="A109" i="15"/>
  <c r="C107" i="15"/>
  <c r="G107" i="15" s="1"/>
  <c r="D254" i="14"/>
  <c r="F5662" i="4" s="1"/>
  <c r="G5662" i="4" s="1"/>
  <c r="A107" i="15"/>
  <c r="C106" i="15"/>
  <c r="G106" i="15" s="1"/>
  <c r="C105" i="15"/>
  <c r="G105" i="15" s="1"/>
  <c r="C104" i="15"/>
  <c r="G104" i="15" s="1"/>
  <c r="A105" i="15"/>
  <c r="A106" i="15"/>
  <c r="A104" i="15"/>
  <c r="B14" i="16"/>
  <c r="A14" i="16"/>
  <c r="C2862" i="4"/>
  <c r="C2890" i="4"/>
  <c r="C2889" i="4"/>
  <c r="E2889" i="4" s="1"/>
  <c r="C3050" i="4"/>
  <c r="C3049" i="4"/>
  <c r="E86" i="15"/>
  <c r="F86" i="15" s="1"/>
  <c r="E85" i="15"/>
  <c r="C103" i="15"/>
  <c r="G103" i="15" s="1"/>
  <c r="C102" i="15"/>
  <c r="G102" i="15" s="1"/>
  <c r="C101" i="15"/>
  <c r="G101" i="15" s="1"/>
  <c r="C100" i="15"/>
  <c r="G100" i="15" s="1"/>
  <c r="C99" i="15"/>
  <c r="G99" i="15" s="1"/>
  <c r="C98" i="15"/>
  <c r="G98" i="15" s="1"/>
  <c r="C97" i="15"/>
  <c r="G97" i="15" s="1"/>
  <c r="C96" i="15"/>
  <c r="G96" i="15" s="1"/>
  <c r="C95" i="15"/>
  <c r="G95" i="15" s="1"/>
  <c r="C94" i="15"/>
  <c r="G94" i="15" s="1"/>
  <c r="C93" i="15"/>
  <c r="G93" i="15" s="1"/>
  <c r="C92" i="15"/>
  <c r="G92" i="15" s="1"/>
  <c r="C91" i="15"/>
  <c r="G91" i="15" s="1"/>
  <c r="C90" i="15"/>
  <c r="G90" i="15" s="1"/>
  <c r="C89" i="15"/>
  <c r="G89" i="15" s="1"/>
  <c r="C88" i="15"/>
  <c r="G88" i="15" s="1"/>
  <c r="C87" i="15"/>
  <c r="G87" i="15" s="1"/>
  <c r="C86" i="15"/>
  <c r="G86" i="15" s="1"/>
  <c r="C85" i="15"/>
  <c r="G85" i="15" s="1"/>
  <c r="C84" i="15"/>
  <c r="G84" i="15" s="1"/>
  <c r="C83" i="15"/>
  <c r="G83" i="15" s="1"/>
  <c r="C82" i="15"/>
  <c r="C81" i="15"/>
  <c r="G81" i="15" s="1"/>
  <c r="C80" i="15"/>
  <c r="G80" i="15" s="1"/>
  <c r="C79" i="15"/>
  <c r="G79" i="15" s="1"/>
  <c r="C78" i="15"/>
  <c r="G78" i="15" s="1"/>
  <c r="C77" i="15"/>
  <c r="G77" i="15" s="1"/>
  <c r="C76" i="15"/>
  <c r="G76" i="15" s="1"/>
  <c r="C75" i="15"/>
  <c r="G75" i="15" s="1"/>
  <c r="C74" i="15"/>
  <c r="G74" i="15" s="1"/>
  <c r="C73" i="15"/>
  <c r="G73" i="15" s="1"/>
  <c r="C72" i="15"/>
  <c r="G72" i="15" s="1"/>
  <c r="C71" i="15"/>
  <c r="G71" i="15" s="1"/>
  <c r="F76" i="15"/>
  <c r="F77" i="15"/>
  <c r="F78" i="15"/>
  <c r="F79" i="15"/>
  <c r="F80" i="15"/>
  <c r="F81" i="15"/>
  <c r="F82" i="15"/>
  <c r="F83" i="15"/>
  <c r="F84" i="15"/>
  <c r="F85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C70" i="15"/>
  <c r="G70" i="15" s="1"/>
  <c r="C69" i="15"/>
  <c r="G69" i="15" s="1"/>
  <c r="C68" i="15"/>
  <c r="G68" i="15" s="1"/>
  <c r="C67" i="15"/>
  <c r="G67" i="15" s="1"/>
  <c r="C66" i="15"/>
  <c r="G66" i="15" s="1"/>
  <c r="C65" i="15"/>
  <c r="G65" i="15" s="1"/>
  <c r="C64" i="15"/>
  <c r="G64" i="15" s="1"/>
  <c r="C63" i="15"/>
  <c r="G63" i="15" s="1"/>
  <c r="C62" i="15"/>
  <c r="G62" i="15" s="1"/>
  <c r="C61" i="15"/>
  <c r="G61" i="15" s="1"/>
  <c r="C60" i="15"/>
  <c r="G60" i="15" s="1"/>
  <c r="C59" i="15"/>
  <c r="G59" i="15" s="1"/>
  <c r="F66" i="15"/>
  <c r="F67" i="15"/>
  <c r="F68" i="15"/>
  <c r="F69" i="15"/>
  <c r="F70" i="15"/>
  <c r="F71" i="15"/>
  <c r="F72" i="15"/>
  <c r="F73" i="15"/>
  <c r="F74" i="15"/>
  <c r="F75" i="15"/>
  <c r="F55" i="15"/>
  <c r="F56" i="15"/>
  <c r="F57" i="15"/>
  <c r="F58" i="15"/>
  <c r="F59" i="15"/>
  <c r="F60" i="15"/>
  <c r="F61" i="15"/>
  <c r="F62" i="15"/>
  <c r="F63" i="15"/>
  <c r="F64" i="15"/>
  <c r="F65" i="15"/>
  <c r="C3047" i="4"/>
  <c r="C3048" i="4"/>
  <c r="C3046" i="4"/>
  <c r="C3045" i="4"/>
  <c r="E3045" i="4" s="1"/>
  <c r="C3044" i="4"/>
  <c r="C3043" i="4"/>
  <c r="C3041" i="4"/>
  <c r="C3042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2" i="4"/>
  <c r="C3023" i="4"/>
  <c r="C3021" i="4"/>
  <c r="C3020" i="4"/>
  <c r="C3019" i="4"/>
  <c r="E3019" i="4" s="1"/>
  <c r="C3018" i="4"/>
  <c r="C3017" i="4"/>
  <c r="C3016" i="4"/>
  <c r="C3015" i="4"/>
  <c r="C3014" i="4"/>
  <c r="C3013" i="4"/>
  <c r="C3012" i="4"/>
  <c r="C3011" i="4"/>
  <c r="E3011" i="4" s="1"/>
  <c r="C3010" i="4"/>
  <c r="C3009" i="4"/>
  <c r="C3008" i="4"/>
  <c r="C3007" i="4"/>
  <c r="E3046" i="4"/>
  <c r="E3052" i="4"/>
  <c r="E3164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E2968" i="4" s="1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E2956" i="4" s="1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E2907" i="4" s="1"/>
  <c r="C2906" i="4"/>
  <c r="E2906" i="4" s="1"/>
  <c r="C2905" i="4"/>
  <c r="C2904" i="4"/>
  <c r="C2903" i="4"/>
  <c r="C2902" i="4"/>
  <c r="C2901" i="4"/>
  <c r="C2900" i="4"/>
  <c r="C2899" i="4"/>
  <c r="C2898" i="4"/>
  <c r="C2897" i="4"/>
  <c r="C2896" i="4"/>
  <c r="C2895" i="4"/>
  <c r="C2893" i="4"/>
  <c r="C2894" i="4"/>
  <c r="C2892" i="4"/>
  <c r="C2891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1" i="4"/>
  <c r="C2860" i="4"/>
  <c r="C2859" i="4"/>
  <c r="C2858" i="4"/>
  <c r="C2857" i="4"/>
  <c r="C2856" i="4"/>
  <c r="C2855" i="4"/>
  <c r="C2854" i="4"/>
  <c r="C2853" i="4"/>
  <c r="C2852" i="4"/>
  <c r="F2852" i="4" s="1"/>
  <c r="C2851" i="4"/>
  <c r="C2850" i="4"/>
  <c r="C2849" i="4"/>
  <c r="C2848" i="4"/>
  <c r="C2847" i="4"/>
  <c r="C2846" i="4"/>
  <c r="C2845" i="4"/>
  <c r="C2844" i="4"/>
  <c r="C2842" i="4"/>
  <c r="C2843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E2793" i="4" s="1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E2748" i="4" s="1"/>
  <c r="C2747" i="4"/>
  <c r="C2746" i="4"/>
  <c r="C2745" i="4"/>
  <c r="C2744" i="4"/>
  <c r="C2742" i="4"/>
  <c r="C2743" i="4"/>
  <c r="C2741" i="4"/>
  <c r="C2740" i="4"/>
  <c r="C2739" i="4"/>
  <c r="C2738" i="4"/>
  <c r="E2738" i="4" s="1"/>
  <c r="C2737" i="4"/>
  <c r="C2736" i="4"/>
  <c r="C2735" i="4"/>
  <c r="C2734" i="4"/>
  <c r="C2733" i="4"/>
  <c r="C2732" i="4"/>
  <c r="E2732" i="4" s="1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F2712" i="4" s="1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E2692" i="4" s="1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E3266" i="4"/>
  <c r="E3275" i="4"/>
  <c r="E3280" i="4"/>
  <c r="E3467" i="4"/>
  <c r="F3467" i="4"/>
  <c r="E3513" i="4"/>
  <c r="E3571" i="4"/>
  <c r="F3571" i="4"/>
  <c r="E3579" i="4"/>
  <c r="E3595" i="4"/>
  <c r="E3603" i="4"/>
  <c r="E3713" i="4"/>
  <c r="F3713" i="4"/>
  <c r="E3721" i="4"/>
  <c r="F3721" i="4"/>
  <c r="E3748" i="4"/>
  <c r="E3766" i="4"/>
  <c r="F3766" i="4"/>
  <c r="E3800" i="4"/>
  <c r="F3800" i="4"/>
  <c r="E3812" i="4"/>
  <c r="E3813" i="4"/>
  <c r="E3815" i="4"/>
  <c r="E3866" i="4"/>
  <c r="F3866" i="4"/>
  <c r="E3891" i="4"/>
  <c r="E3895" i="4"/>
  <c r="F3895" i="4"/>
  <c r="E3904" i="4"/>
  <c r="E3949" i="4"/>
  <c r="F3949" i="4"/>
  <c r="E3950" i="4"/>
  <c r="E3952" i="4"/>
  <c r="F3952" i="4"/>
  <c r="E3972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E2649" i="4" s="1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3" i="4"/>
  <c r="C2632" i="4"/>
  <c r="C2631" i="4"/>
  <c r="C2630" i="4"/>
  <c r="C2634" i="4"/>
  <c r="C2635" i="4"/>
  <c r="C2636" i="4"/>
  <c r="C2629" i="4"/>
  <c r="C2628" i="4"/>
  <c r="C2627" i="4"/>
  <c r="C2626" i="4"/>
  <c r="C2625" i="4"/>
  <c r="C2624" i="4"/>
  <c r="E2624" i="4" s="1"/>
  <c r="C2623" i="4"/>
  <c r="C2622" i="4"/>
  <c r="C2621" i="4"/>
  <c r="C2620" i="4"/>
  <c r="C2619" i="4"/>
  <c r="C2618" i="4"/>
  <c r="E2618" i="4" s="1"/>
  <c r="C2617" i="4"/>
  <c r="C2616" i="4"/>
  <c r="C2615" i="4"/>
  <c r="C2614" i="4"/>
  <c r="C2613" i="4"/>
  <c r="C2612" i="4"/>
  <c r="C2611" i="4"/>
  <c r="C2610" i="4"/>
  <c r="C2609" i="4"/>
  <c r="E2609" i="4" s="1"/>
  <c r="C2608" i="4"/>
  <c r="C2607" i="4"/>
  <c r="C2606" i="4"/>
  <c r="C2604" i="4"/>
  <c r="C2605" i="4"/>
  <c r="C2603" i="4"/>
  <c r="A44" i="6"/>
  <c r="A45" i="6" s="1"/>
  <c r="A43" i="6"/>
  <c r="A42" i="6"/>
  <c r="A41" i="6"/>
  <c r="A40" i="6"/>
  <c r="A39" i="6"/>
  <c r="A38" i="6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E2591" i="4" s="1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A10" i="16"/>
  <c r="A13" i="16"/>
  <c r="A12" i="16"/>
  <c r="A11" i="16"/>
  <c r="A15" i="16"/>
  <c r="A16" i="16"/>
  <c r="A17" i="16"/>
  <c r="A18" i="16"/>
  <c r="A9" i="16"/>
  <c r="A8" i="16"/>
  <c r="E2355" i="4"/>
  <c r="E2361" i="4"/>
  <c r="F2361" i="4"/>
  <c r="E2377" i="4"/>
  <c r="F2377" i="4"/>
  <c r="E2403" i="4"/>
  <c r="E2416" i="4"/>
  <c r="E2451" i="4"/>
  <c r="E2470" i="4"/>
  <c r="F2470" i="4"/>
  <c r="E2492" i="4"/>
  <c r="F2492" i="4"/>
  <c r="E2508" i="4"/>
  <c r="F2508" i="4"/>
  <c r="E2516" i="4"/>
  <c r="E2528" i="4"/>
  <c r="C2529" i="4"/>
  <c r="C2347" i="4"/>
  <c r="C2346" i="4"/>
  <c r="C2345" i="4"/>
  <c r="C2344" i="4"/>
  <c r="C2343" i="4"/>
  <c r="C56" i="15"/>
  <c r="G56" i="15" s="1"/>
  <c r="A56" i="15"/>
  <c r="C55" i="15"/>
  <c r="G55" i="15" s="1"/>
  <c r="A55" i="15"/>
  <c r="C2342" i="4"/>
  <c r="C2341" i="4"/>
  <c r="C2340" i="4"/>
  <c r="C2339" i="4"/>
  <c r="C2338" i="4"/>
  <c r="C2337" i="4"/>
  <c r="F49" i="15"/>
  <c r="F50" i="15"/>
  <c r="F51" i="15"/>
  <c r="F52" i="15"/>
  <c r="F53" i="15"/>
  <c r="F54" i="15"/>
  <c r="C54" i="15"/>
  <c r="G54" i="15" s="1"/>
  <c r="C53" i="15"/>
  <c r="G53" i="15" s="1"/>
  <c r="C52" i="15"/>
  <c r="G52" i="15" s="1"/>
  <c r="C51" i="15"/>
  <c r="G51" i="15" s="1"/>
  <c r="C50" i="15"/>
  <c r="G50" i="15" s="1"/>
  <c r="C49" i="15"/>
  <c r="G49" i="15" s="1"/>
  <c r="A50" i="15"/>
  <c r="A51" i="15"/>
  <c r="A52" i="15"/>
  <c r="A53" i="15"/>
  <c r="A54" i="15"/>
  <c r="A49" i="15"/>
  <c r="C2336" i="4"/>
  <c r="C2335" i="4"/>
  <c r="A37" i="6"/>
  <c r="C2318" i="4"/>
  <c r="C2322" i="4"/>
  <c r="C2331" i="4"/>
  <c r="E48" i="15"/>
  <c r="F48" i="15" s="1"/>
  <c r="C48" i="15"/>
  <c r="G48" i="15" s="1"/>
  <c r="A48" i="15"/>
  <c r="A47" i="15"/>
  <c r="A46" i="15"/>
  <c r="E47" i="15"/>
  <c r="F47" i="15" s="1"/>
  <c r="C47" i="15"/>
  <c r="G47" i="15" s="1"/>
  <c r="C46" i="15"/>
  <c r="G46" i="15" s="1"/>
  <c r="D46" i="15"/>
  <c r="F46" i="15" s="1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35" i="4"/>
  <c r="C2333" i="4"/>
  <c r="C2332" i="4"/>
  <c r="C2330" i="4"/>
  <c r="C2329" i="4"/>
  <c r="C2328" i="4"/>
  <c r="K2327" i="4"/>
  <c r="C2326" i="4"/>
  <c r="C2325" i="4"/>
  <c r="C2324" i="4"/>
  <c r="C2323" i="4"/>
  <c r="C2321" i="4"/>
  <c r="C2320" i="4"/>
  <c r="C2319" i="4"/>
  <c r="C2317" i="4"/>
  <c r="C2316" i="4"/>
  <c r="C2315" i="4"/>
  <c r="C2314" i="4"/>
  <c r="C2313" i="4"/>
  <c r="C2312" i="4"/>
  <c r="C2311" i="4"/>
  <c r="C2310" i="4"/>
  <c r="C2309" i="4"/>
  <c r="C2308" i="4"/>
  <c r="C2307" i="4"/>
  <c r="E2307" i="4" s="1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E2294" i="4" s="1"/>
  <c r="C2293" i="4"/>
  <c r="C2292" i="4"/>
  <c r="C2291" i="4"/>
  <c r="C2290" i="4"/>
  <c r="B8" i="16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F45" i="15"/>
  <c r="C45" i="15"/>
  <c r="G45" i="15" s="1"/>
  <c r="C2269" i="4"/>
  <c r="C2268" i="4"/>
  <c r="C2267" i="4"/>
  <c r="C2266" i="4"/>
  <c r="C2265" i="4"/>
  <c r="E2270" i="4"/>
  <c r="C2264" i="4"/>
  <c r="C2263" i="4"/>
  <c r="C2262" i="4"/>
  <c r="C2261" i="4"/>
  <c r="C2260" i="4"/>
  <c r="F43" i="15"/>
  <c r="F44" i="15"/>
  <c r="C44" i="15"/>
  <c r="G44" i="15" s="1"/>
  <c r="C43" i="15"/>
  <c r="G43" i="15" s="1"/>
  <c r="C42" i="15"/>
  <c r="G42" i="15" s="1"/>
  <c r="A35" i="15"/>
  <c r="A36" i="15"/>
  <c r="A37" i="15"/>
  <c r="A38" i="15"/>
  <c r="A39" i="15"/>
  <c r="A40" i="15"/>
  <c r="A41" i="15"/>
  <c r="A42" i="15"/>
  <c r="A43" i="15"/>
  <c r="A44" i="15"/>
  <c r="A45" i="15"/>
  <c r="C39" i="15"/>
  <c r="G39" i="15" s="1"/>
  <c r="C41" i="15"/>
  <c r="G41" i="15" s="1"/>
  <c r="C40" i="15"/>
  <c r="G40" i="15" s="1"/>
  <c r="C38" i="15"/>
  <c r="G38" i="15" s="1"/>
  <c r="C37" i="15"/>
  <c r="G37" i="15" s="1"/>
  <c r="C36" i="15"/>
  <c r="G36" i="15" s="1"/>
  <c r="C35" i="15"/>
  <c r="G35" i="15" s="1"/>
  <c r="C34" i="15"/>
  <c r="G34" i="15" s="1"/>
  <c r="F33" i="15"/>
  <c r="F34" i="15"/>
  <c r="F35" i="15"/>
  <c r="F36" i="15"/>
  <c r="F37" i="15"/>
  <c r="F38" i="15"/>
  <c r="F39" i="15"/>
  <c r="F40" i="15"/>
  <c r="F41" i="15"/>
  <c r="F42" i="15"/>
  <c r="C33" i="15"/>
  <c r="G33" i="15" s="1"/>
  <c r="A33" i="15"/>
  <c r="A34" i="15"/>
  <c r="A7" i="16"/>
  <c r="A4" i="16"/>
  <c r="A5" i="16"/>
  <c r="A6" i="16"/>
  <c r="D2" i="16"/>
  <c r="A3" i="16"/>
  <c r="A2" i="16"/>
  <c r="B2" i="16"/>
  <c r="A36" i="6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260" i="4"/>
  <c r="C2259" i="4"/>
  <c r="C2258" i="4"/>
  <c r="C2257" i="4"/>
  <c r="C2256" i="4"/>
  <c r="C2255" i="4"/>
  <c r="E2255" i="4" s="1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F2229" i="4" s="1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E2216" i="4" s="1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A35" i="6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03" i="4"/>
  <c r="C2202" i="4"/>
  <c r="C2201" i="4"/>
  <c r="C2200" i="4"/>
  <c r="C2199" i="4"/>
  <c r="C2198" i="4"/>
  <c r="C2197" i="4"/>
  <c r="C2196" i="4"/>
  <c r="E2196" i="4" s="1"/>
  <c r="C2195" i="4"/>
  <c r="C2192" i="4"/>
  <c r="C2194" i="4"/>
  <c r="C2193" i="4"/>
  <c r="C2191" i="4"/>
  <c r="C2190" i="4"/>
  <c r="C2189" i="4"/>
  <c r="C2188" i="4"/>
  <c r="E2188" i="4" s="1"/>
  <c r="C2187" i="4"/>
  <c r="C2186" i="4"/>
  <c r="C2185" i="4"/>
  <c r="E2185" i="4" s="1"/>
  <c r="C2184" i="4"/>
  <c r="C2183" i="4"/>
  <c r="C2182" i="4"/>
  <c r="C2181" i="4"/>
  <c r="C2180" i="4"/>
  <c r="C2179" i="4"/>
  <c r="E2179" i="4" s="1"/>
  <c r="C2178" i="4"/>
  <c r="C2177" i="4"/>
  <c r="E2177" i="4" s="1"/>
  <c r="C2176" i="4"/>
  <c r="C2175" i="4"/>
  <c r="C2174" i="4"/>
  <c r="C2173" i="4"/>
  <c r="C2172" i="4"/>
  <c r="C2171" i="4"/>
  <c r="C2170" i="4"/>
  <c r="C2169" i="4"/>
  <c r="E2169" i="4" s="1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F32" i="15"/>
  <c r="C32" i="15"/>
  <c r="G32" i="15" s="1"/>
  <c r="F31" i="15"/>
  <c r="C31" i="15"/>
  <c r="A32" i="15"/>
  <c r="F30" i="15"/>
  <c r="C30" i="15"/>
  <c r="G30" i="15" s="1"/>
  <c r="F29" i="15"/>
  <c r="C29" i="15"/>
  <c r="G29" i="15" s="1"/>
  <c r="C28" i="15"/>
  <c r="G28" i="15" s="1"/>
  <c r="C27" i="15"/>
  <c r="G27" i="15" s="1"/>
  <c r="C26" i="15"/>
  <c r="G26" i="15" s="1"/>
  <c r="F25" i="15"/>
  <c r="C25" i="15"/>
  <c r="G25" i="15" s="1"/>
  <c r="F24" i="15"/>
  <c r="F26" i="15"/>
  <c r="F27" i="15"/>
  <c r="F28" i="15"/>
  <c r="C24" i="15"/>
  <c r="G24" i="15" s="1"/>
  <c r="E23" i="15"/>
  <c r="F23" i="15" s="1"/>
  <c r="E22" i="15"/>
  <c r="F22" i="15" s="1"/>
  <c r="F21" i="15"/>
  <c r="C23" i="15"/>
  <c r="G23" i="15" s="1"/>
  <c r="C22" i="15"/>
  <c r="G22" i="15" s="1"/>
  <c r="C21" i="15"/>
  <c r="G21" i="15" s="1"/>
  <c r="F19" i="15"/>
  <c r="F20" i="15"/>
  <c r="C20" i="15"/>
  <c r="G20" i="15" s="1"/>
  <c r="C19" i="15"/>
  <c r="G19" i="15" s="1"/>
  <c r="A20" i="15"/>
  <c r="A21" i="15"/>
  <c r="A22" i="15"/>
  <c r="A23" i="15"/>
  <c r="A24" i="15"/>
  <c r="A25" i="15"/>
  <c r="A26" i="15"/>
  <c r="A27" i="15"/>
  <c r="A28" i="15"/>
  <c r="A29" i="15"/>
  <c r="A30" i="15"/>
  <c r="A31" i="15"/>
  <c r="A19" i="15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154" i="4"/>
  <c r="A34" i="6"/>
  <c r="A33" i="6"/>
  <c r="M18" i="15"/>
  <c r="F18" i="15"/>
  <c r="C18" i="15"/>
  <c r="G18" i="15" s="1"/>
  <c r="F16" i="15"/>
  <c r="F17" i="15"/>
  <c r="A17" i="15"/>
  <c r="A18" i="15"/>
  <c r="C17" i="15"/>
  <c r="G17" i="15" s="1"/>
  <c r="C16" i="15"/>
  <c r="G16" i="15" s="1"/>
  <c r="F14" i="15"/>
  <c r="F15" i="15"/>
  <c r="C15" i="15"/>
  <c r="G15" i="15" s="1"/>
  <c r="C14" i="15"/>
  <c r="G14" i="15" s="1"/>
  <c r="A15" i="15"/>
  <c r="A16" i="15"/>
  <c r="A14" i="15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F2139" i="4" s="1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E2112" i="4" s="1"/>
  <c r="C2111" i="4"/>
  <c r="C2110" i="4"/>
  <c r="C2109" i="4"/>
  <c r="C2108" i="4"/>
  <c r="C2107" i="4"/>
  <c r="C2106" i="4"/>
  <c r="C2105" i="4"/>
  <c r="C2104" i="4"/>
  <c r="E2139" i="4"/>
  <c r="C2103" i="4"/>
  <c r="C2102" i="4"/>
  <c r="C2101" i="4"/>
  <c r="C2100" i="4"/>
  <c r="C2099" i="4"/>
  <c r="C2098" i="4"/>
  <c r="C2097" i="4"/>
  <c r="C2096" i="4"/>
  <c r="F2096" i="4" s="1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074" i="4"/>
  <c r="C2073" i="4"/>
  <c r="C2072" i="4"/>
  <c r="C2071" i="4"/>
  <c r="C2070" i="4"/>
  <c r="C2069" i="4"/>
  <c r="C2068" i="4"/>
  <c r="C2067" i="4"/>
  <c r="C2066" i="4"/>
  <c r="C2065" i="4"/>
  <c r="E134" i="1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E2032" i="4" s="1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A32" i="6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F2001" i="4" s="1"/>
  <c r="C2000" i="4"/>
  <c r="C1999" i="4"/>
  <c r="C1998" i="4"/>
  <c r="C1997" i="4"/>
  <c r="C1996" i="4"/>
  <c r="C1963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E1968" i="4" s="1"/>
  <c r="C1967" i="4"/>
  <c r="C1966" i="4"/>
  <c r="C1965" i="4"/>
  <c r="C1964" i="4"/>
  <c r="C1962" i="4"/>
  <c r="E2001" i="4"/>
  <c r="C1961" i="4"/>
  <c r="C1893" i="4"/>
  <c r="C7" i="15"/>
  <c r="G7" i="15" s="1"/>
  <c r="C3" i="15"/>
  <c r="G3" i="15" s="1"/>
  <c r="A13" i="15"/>
  <c r="C12" i="15"/>
  <c r="G12" i="15" s="1"/>
  <c r="C11" i="15"/>
  <c r="G11" i="15" s="1"/>
  <c r="C13" i="15"/>
  <c r="G13" i="15" s="1"/>
  <c r="C10" i="15"/>
  <c r="G10" i="15" s="1"/>
  <c r="C9" i="15"/>
  <c r="G9" i="15" s="1"/>
  <c r="C8" i="15"/>
  <c r="G8" i="15" s="1"/>
  <c r="C6" i="15"/>
  <c r="G6" i="15" s="1"/>
  <c r="F6" i="15"/>
  <c r="F7" i="15"/>
  <c r="F8" i="15"/>
  <c r="F9" i="15"/>
  <c r="F10" i="15"/>
  <c r="F13" i="15"/>
  <c r="F11" i="15"/>
  <c r="F12" i="15"/>
  <c r="A7" i="15"/>
  <c r="A8" i="15"/>
  <c r="A9" i="15"/>
  <c r="A10" i="15"/>
  <c r="A11" i="15"/>
  <c r="A12" i="15"/>
  <c r="A6" i="15"/>
  <c r="A5" i="15"/>
  <c r="C1960" i="4"/>
  <c r="C1959" i="4"/>
  <c r="C1958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31" i="6"/>
  <c r="A30" i="6"/>
  <c r="A1959" i="4"/>
  <c r="A1960" i="4"/>
  <c r="A1961" i="4"/>
  <c r="A1962" i="4"/>
  <c r="A1963" i="4"/>
  <c r="A1964" i="4"/>
  <c r="A1965" i="4"/>
  <c r="A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C1941" i="4"/>
  <c r="C1940" i="4"/>
  <c r="C1939" i="4"/>
  <c r="C1938" i="4"/>
  <c r="E1938" i="4" s="1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E1900" i="4" s="1"/>
  <c r="C1899" i="4"/>
  <c r="C1898" i="4"/>
  <c r="F1898" i="4" s="1"/>
  <c r="C1897" i="4"/>
  <c r="C1896" i="4"/>
  <c r="C1895" i="4"/>
  <c r="C1894" i="4"/>
  <c r="C1892" i="4"/>
  <c r="C1891" i="4"/>
  <c r="C1890" i="4"/>
  <c r="C1889" i="4"/>
  <c r="C1888" i="4"/>
  <c r="F5" i="15"/>
  <c r="C5" i="15"/>
  <c r="G5" i="15" s="1"/>
  <c r="C1887" i="4"/>
  <c r="D2" i="14"/>
  <c r="F5886" i="4" s="1"/>
  <c r="E2" i="14"/>
  <c r="E5886" i="4" s="1"/>
  <c r="F2" i="14"/>
  <c r="D3" i="14"/>
  <c r="F5883" i="4" s="1"/>
  <c r="E3" i="14"/>
  <c r="E5883" i="4" s="1"/>
  <c r="F3" i="14"/>
  <c r="D4" i="14"/>
  <c r="E4" i="14"/>
  <c r="F4" i="14"/>
  <c r="D5" i="14"/>
  <c r="F5918" i="4" s="1"/>
  <c r="E5" i="14"/>
  <c r="E5918" i="4" s="1"/>
  <c r="F5" i="14"/>
  <c r="D6" i="14"/>
  <c r="F6380" i="4" s="1"/>
  <c r="E6" i="14"/>
  <c r="F6" i="14"/>
  <c r="D7" i="14"/>
  <c r="F5729" i="4" s="1"/>
  <c r="E7" i="14"/>
  <c r="E5729" i="4" s="1"/>
  <c r="F7" i="14"/>
  <c r="E8" i="14"/>
  <c r="F8" i="14"/>
  <c r="E9" i="14"/>
  <c r="F9" i="14"/>
  <c r="E10" i="14"/>
  <c r="E5731" i="4" s="1"/>
  <c r="F10" i="14"/>
  <c r="E11" i="14"/>
  <c r="F11" i="14"/>
  <c r="D12" i="14"/>
  <c r="E12" i="14"/>
  <c r="F12" i="14"/>
  <c r="E13" i="14"/>
  <c r="F13" i="14"/>
  <c r="E16" i="14"/>
  <c r="E5899" i="4" s="1"/>
  <c r="E17" i="14"/>
  <c r="E18" i="14"/>
  <c r="E19" i="14"/>
  <c r="D20" i="14"/>
  <c r="F2834" i="4" s="1"/>
  <c r="E20" i="14"/>
  <c r="E21" i="14"/>
  <c r="D22" i="14"/>
  <c r="E22" i="14"/>
  <c r="E3101" i="4" s="1"/>
  <c r="E23" i="14"/>
  <c r="E3622" i="4" s="1"/>
  <c r="D24" i="14"/>
  <c r="E24" i="14"/>
  <c r="D25" i="14"/>
  <c r="F3551" i="4" s="1"/>
  <c r="E25" i="14"/>
  <c r="E3551" i="4" s="1"/>
  <c r="E26" i="14"/>
  <c r="E27" i="14"/>
  <c r="E5788" i="4" s="1"/>
  <c r="F27" i="14"/>
  <c r="E28" i="14"/>
  <c r="F28" i="14"/>
  <c r="E29" i="14"/>
  <c r="F29" i="14"/>
  <c r="E30" i="14"/>
  <c r="E3926" i="4" s="1"/>
  <c r="F30" i="14"/>
  <c r="E31" i="14"/>
  <c r="F31" i="14"/>
  <c r="E32" i="14"/>
  <c r="F32" i="14"/>
  <c r="D33" i="14"/>
  <c r="E33" i="14"/>
  <c r="F33" i="14"/>
  <c r="D34" i="14"/>
  <c r="E34" i="14"/>
  <c r="F34" i="14"/>
  <c r="D35" i="14"/>
  <c r="E35" i="14"/>
  <c r="F35" i="14"/>
  <c r="D36" i="14"/>
  <c r="F4787" i="4" s="1"/>
  <c r="E36" i="14"/>
  <c r="E4787" i="4" s="1"/>
  <c r="F36" i="14"/>
  <c r="D37" i="14"/>
  <c r="E37" i="14"/>
  <c r="F37" i="14"/>
  <c r="E40" i="14"/>
  <c r="F40" i="14"/>
  <c r="E41" i="14"/>
  <c r="F41" i="14"/>
  <c r="E42" i="14"/>
  <c r="E5849" i="4" s="1"/>
  <c r="F42" i="14"/>
  <c r="E43" i="14"/>
  <c r="E3804" i="4" s="1"/>
  <c r="F43" i="14"/>
  <c r="E44" i="14"/>
  <c r="E5482" i="4" s="1"/>
  <c r="F44" i="14"/>
  <c r="E45" i="14"/>
  <c r="F45" i="14"/>
  <c r="E46" i="14"/>
  <c r="F46" i="14"/>
  <c r="E47" i="14"/>
  <c r="F47" i="14"/>
  <c r="E48" i="14"/>
  <c r="E3852" i="4" s="1"/>
  <c r="F48" i="14"/>
  <c r="D49" i="14"/>
  <c r="E49" i="14"/>
  <c r="F49" i="14"/>
  <c r="D50" i="14"/>
  <c r="E50" i="14"/>
  <c r="F50" i="14"/>
  <c r="D51" i="14"/>
  <c r="F5888" i="4" s="1"/>
  <c r="E51" i="14"/>
  <c r="E5888" i="4" s="1"/>
  <c r="F51" i="14"/>
  <c r="E52" i="14"/>
  <c r="F52" i="14"/>
  <c r="D53" i="14"/>
  <c r="F3976" i="4" s="1"/>
  <c r="E53" i="14"/>
  <c r="E3976" i="4" s="1"/>
  <c r="F53" i="14"/>
  <c r="D54" i="14"/>
  <c r="E54" i="14"/>
  <c r="F54" i="14"/>
  <c r="D55" i="14"/>
  <c r="F4695" i="4" s="1"/>
  <c r="E55" i="14"/>
  <c r="E4695" i="4" s="1"/>
  <c r="E56" i="14"/>
  <c r="F56" i="14"/>
  <c r="E57" i="14"/>
  <c r="F57" i="14"/>
  <c r="E58" i="14"/>
  <c r="E6381" i="4" s="1"/>
  <c r="F58" i="14"/>
  <c r="E59" i="14"/>
  <c r="F59" i="14"/>
  <c r="E60" i="14"/>
  <c r="F60" i="14"/>
  <c r="E61" i="14"/>
  <c r="F61" i="14"/>
  <c r="E62" i="14"/>
  <c r="F62" i="14"/>
  <c r="D63" i="14"/>
  <c r="E63" i="14"/>
  <c r="F63" i="14"/>
  <c r="E64" i="14"/>
  <c r="E5688" i="4" s="1"/>
  <c r="F64" i="14"/>
  <c r="D65" i="14"/>
  <c r="F5486" i="4" s="1"/>
  <c r="E65" i="14"/>
  <c r="E5486" i="4" s="1"/>
  <c r="F65" i="14"/>
  <c r="D66" i="14"/>
  <c r="E66" i="14"/>
  <c r="F67" i="14"/>
  <c r="E68" i="14"/>
  <c r="F68" i="14"/>
  <c r="E69" i="14"/>
  <c r="E5331" i="4" s="1"/>
  <c r="F69" i="14"/>
  <c r="D70" i="14"/>
  <c r="E72" i="14"/>
  <c r="E3190" i="4" s="1"/>
  <c r="F72" i="14"/>
  <c r="D73" i="14"/>
  <c r="D74" i="14"/>
  <c r="E74" i="14"/>
  <c r="F74" i="14"/>
  <c r="E75" i="14"/>
  <c r="E5809" i="4" s="1"/>
  <c r="F75" i="14"/>
  <c r="E77" i="14"/>
  <c r="E3552" i="4" s="1"/>
  <c r="F77" i="14"/>
  <c r="D78" i="14"/>
  <c r="F4804" i="4" s="1"/>
  <c r="E78" i="14"/>
  <c r="E4804" i="4" s="1"/>
  <c r="F78" i="14"/>
  <c r="E79" i="14"/>
  <c r="F79" i="14"/>
  <c r="E80" i="14"/>
  <c r="E2352" i="4" s="1"/>
  <c r="F80" i="14"/>
  <c r="E81" i="14"/>
  <c r="E5895" i="4" s="1"/>
  <c r="F81" i="14"/>
  <c r="E82" i="14"/>
  <c r="F82" i="14"/>
  <c r="E83" i="14"/>
  <c r="E5724" i="4" s="1"/>
  <c r="F83" i="14"/>
  <c r="E84" i="14"/>
  <c r="E5921" i="4" s="1"/>
  <c r="F84" i="14"/>
  <c r="E85" i="14"/>
  <c r="F85" i="14"/>
  <c r="D86" i="14"/>
  <c r="D87" i="14"/>
  <c r="E87" i="14"/>
  <c r="F87" i="14"/>
  <c r="F88" i="14"/>
  <c r="D89" i="14"/>
  <c r="F5284" i="4" s="1"/>
  <c r="G5284" i="4" s="1"/>
  <c r="D90" i="14"/>
  <c r="E90" i="14"/>
  <c r="F90" i="14"/>
  <c r="E91" i="14"/>
  <c r="E5910" i="4" s="1"/>
  <c r="F91" i="14"/>
  <c r="E92" i="14"/>
  <c r="E5843" i="4" s="1"/>
  <c r="F92" i="14"/>
  <c r="E93" i="14"/>
  <c r="F93" i="14"/>
  <c r="D94" i="14"/>
  <c r="F3398" i="4" s="1"/>
  <c r="E94" i="14"/>
  <c r="E3398" i="4" s="1"/>
  <c r="F94" i="14"/>
  <c r="F95" i="14"/>
  <c r="E96" i="14"/>
  <c r="E5835" i="4" s="1"/>
  <c r="F96" i="14"/>
  <c r="D97" i="14"/>
  <c r="F5571" i="4" s="1"/>
  <c r="E97" i="14"/>
  <c r="E5571" i="4" s="1"/>
  <c r="F97" i="14"/>
  <c r="D98" i="14"/>
  <c r="F3396" i="4" s="1"/>
  <c r="E98" i="14"/>
  <c r="F98" i="14"/>
  <c r="D99" i="14"/>
  <c r="E99" i="14"/>
  <c r="D100" i="14"/>
  <c r="E100" i="14"/>
  <c r="D101" i="14"/>
  <c r="E101" i="14"/>
  <c r="D106" i="14"/>
  <c r="E107" i="14"/>
  <c r="D108" i="14"/>
  <c r="F5074" i="4" s="1"/>
  <c r="E108" i="14"/>
  <c r="E5074" i="4" s="1"/>
  <c r="E109" i="14"/>
  <c r="E5653" i="4" s="1"/>
  <c r="D110" i="14"/>
  <c r="D111" i="14"/>
  <c r="E115" i="14"/>
  <c r="E4076" i="4" s="1"/>
  <c r="F115" i="14"/>
  <c r="D116" i="14"/>
  <c r="E116" i="14"/>
  <c r="F116" i="14"/>
  <c r="E120" i="14"/>
  <c r="E5854" i="4" s="1"/>
  <c r="F120" i="14"/>
  <c r="E121" i="14"/>
  <c r="F121" i="14"/>
  <c r="E122" i="14"/>
  <c r="F122" i="14"/>
  <c r="E123" i="14"/>
  <c r="F123" i="14"/>
  <c r="E124" i="14"/>
  <c r="E2860" i="4" s="1"/>
  <c r="F124" i="14"/>
  <c r="E125" i="14"/>
  <c r="F125" i="14"/>
  <c r="E126" i="14"/>
  <c r="E5328" i="4" s="1"/>
  <c r="F126" i="14"/>
  <c r="E127" i="14"/>
  <c r="E5636" i="4" s="1"/>
  <c r="F127" i="14"/>
  <c r="E128" i="14"/>
  <c r="E2439" i="4" s="1"/>
  <c r="F128" i="14"/>
  <c r="E129" i="14"/>
  <c r="E4958" i="4" s="1"/>
  <c r="F129" i="14"/>
  <c r="D130" i="14"/>
  <c r="F5630" i="4" s="1"/>
  <c r="G5630" i="4" s="1"/>
  <c r="D131" i="14"/>
  <c r="E132" i="14"/>
  <c r="E5097" i="4" s="1"/>
  <c r="F132" i="14"/>
  <c r="E133" i="14"/>
  <c r="E4892" i="4" s="1"/>
  <c r="F133" i="14"/>
  <c r="D134" i="14"/>
  <c r="F134" i="14"/>
  <c r="D135" i="14"/>
  <c r="F135" i="14"/>
  <c r="E136" i="14"/>
  <c r="E5702" i="4" s="1"/>
  <c r="F136" i="14"/>
  <c r="D137" i="14"/>
  <c r="E137" i="14"/>
  <c r="F137" i="14"/>
  <c r="D138" i="14"/>
  <c r="E138" i="14"/>
  <c r="F138" i="14"/>
  <c r="E139" i="14"/>
  <c r="E4140" i="4" s="1"/>
  <c r="F139" i="14"/>
  <c r="E140" i="14"/>
  <c r="E3106" i="4" s="1"/>
  <c r="F140" i="14"/>
  <c r="E141" i="14"/>
  <c r="F141" i="14"/>
  <c r="E142" i="14"/>
  <c r="E5708" i="4" s="1"/>
  <c r="F142" i="14"/>
  <c r="E143" i="14"/>
  <c r="F143" i="14"/>
  <c r="E144" i="14"/>
  <c r="F144" i="14"/>
  <c r="E146" i="14"/>
  <c r="F146" i="14"/>
  <c r="E147" i="14"/>
  <c r="F147" i="14"/>
  <c r="D148" i="14"/>
  <c r="E148" i="14"/>
  <c r="F148" i="14"/>
  <c r="E149" i="14"/>
  <c r="E5866" i="4" s="1"/>
  <c r="F149" i="14"/>
  <c r="D150" i="14"/>
  <c r="F4215" i="4" s="1"/>
  <c r="E150" i="14"/>
  <c r="F150" i="14"/>
  <c r="E151" i="14"/>
  <c r="E5420" i="4" s="1"/>
  <c r="F151" i="14"/>
  <c r="D152" i="14"/>
  <c r="E152" i="14"/>
  <c r="E153" i="14"/>
  <c r="E5757" i="4" s="1"/>
  <c r="D154" i="14"/>
  <c r="E154" i="14"/>
  <c r="D155" i="14"/>
  <c r="E155" i="14"/>
  <c r="F155" i="14"/>
  <c r="D156" i="14"/>
  <c r="F2076" i="4" s="1"/>
  <c r="E156" i="14"/>
  <c r="E2076" i="4" s="1"/>
  <c r="F156" i="14"/>
  <c r="D157" i="14"/>
  <c r="F5881" i="4" s="1"/>
  <c r="E157" i="14"/>
  <c r="E5881" i="4" s="1"/>
  <c r="D158" i="14"/>
  <c r="F5504" i="4" s="1"/>
  <c r="E158" i="14"/>
  <c r="E5504" i="4" s="1"/>
  <c r="F158" i="14"/>
  <c r="D161" i="14"/>
  <c r="F4283" i="4" s="1"/>
  <c r="D164" i="14"/>
  <c r="D165" i="14"/>
  <c r="D168" i="14"/>
  <c r="E168" i="14"/>
  <c r="E170" i="14"/>
  <c r="F170" i="14"/>
  <c r="D172" i="14"/>
  <c r="E172" i="14"/>
  <c r="F172" i="14"/>
  <c r="D173" i="14"/>
  <c r="F5816" i="4" s="1"/>
  <c r="E173" i="14"/>
  <c r="F173" i="14"/>
  <c r="E174" i="14"/>
  <c r="F174" i="14"/>
  <c r="E175" i="14"/>
  <c r="F175" i="14"/>
  <c r="E176" i="14"/>
  <c r="E5753" i="4" s="1"/>
  <c r="F176" i="14"/>
  <c r="D177" i="14"/>
  <c r="E178" i="14"/>
  <c r="E5780" i="4" s="1"/>
  <c r="F178" i="14"/>
  <c r="E179" i="14"/>
  <c r="F179" i="14"/>
  <c r="E180" i="14"/>
  <c r="E5196" i="4" s="1"/>
  <c r="F180" i="14"/>
  <c r="E181" i="14"/>
  <c r="E5497" i="4" s="1"/>
  <c r="F181" i="14"/>
  <c r="E182" i="14"/>
  <c r="F182" i="14"/>
  <c r="D183" i="14"/>
  <c r="E184" i="14"/>
  <c r="E3238" i="4" s="1"/>
  <c r="F184" i="14"/>
  <c r="E185" i="14"/>
  <c r="F185" i="14"/>
  <c r="E186" i="14"/>
  <c r="E2752" i="4" s="1"/>
  <c r="F186" i="14"/>
  <c r="E187" i="14"/>
  <c r="E5719" i="4" s="1"/>
  <c r="F187" i="14"/>
  <c r="D188" i="14"/>
  <c r="F5563" i="4" s="1"/>
  <c r="E188" i="14"/>
  <c r="E5563" i="4" s="1"/>
  <c r="F188" i="14"/>
  <c r="D189" i="14"/>
  <c r="E189" i="14"/>
  <c r="F189" i="14"/>
  <c r="E190" i="14"/>
  <c r="E4205" i="4" s="1"/>
  <c r="F190" i="14"/>
  <c r="E191" i="14"/>
  <c r="F191" i="14"/>
  <c r="E192" i="14"/>
  <c r="F192" i="14"/>
  <c r="E193" i="14"/>
  <c r="F193" i="14"/>
  <c r="D194" i="14"/>
  <c r="E194" i="14"/>
  <c r="F194" i="14"/>
  <c r="D195" i="14"/>
  <c r="F5360" i="4" s="1"/>
  <c r="E195" i="14"/>
  <c r="E5360" i="4" s="1"/>
  <c r="F195" i="14"/>
  <c r="E196" i="14"/>
  <c r="F196" i="14"/>
  <c r="D197" i="14"/>
  <c r="E197" i="14"/>
  <c r="F197" i="14"/>
  <c r="E198" i="14"/>
  <c r="E4861" i="4" s="1"/>
  <c r="F198" i="14"/>
  <c r="E199" i="14"/>
  <c r="E5915" i="4" s="1"/>
  <c r="F199" i="14"/>
  <c r="E200" i="14"/>
  <c r="E5787" i="4" s="1"/>
  <c r="F200" i="14"/>
  <c r="E201" i="14"/>
  <c r="F201" i="14"/>
  <c r="D202" i="14"/>
  <c r="F5917" i="4" s="1"/>
  <c r="E202" i="14"/>
  <c r="E5917" i="4" s="1"/>
  <c r="F202" i="14"/>
  <c r="E203" i="14"/>
  <c r="E4179" i="4" s="1"/>
  <c r="F203" i="14"/>
  <c r="E204" i="14"/>
  <c r="E5848" i="4" s="1"/>
  <c r="F204" i="14"/>
  <c r="E205" i="14"/>
  <c r="F205" i="14"/>
  <c r="E206" i="14"/>
  <c r="E5547" i="4" s="1"/>
  <c r="F206" i="14"/>
  <c r="E207" i="14"/>
  <c r="E5880" i="4" s="1"/>
  <c r="F207" i="14"/>
  <c r="E208" i="14"/>
  <c r="F208" i="14"/>
  <c r="E209" i="14"/>
  <c r="F209" i="14"/>
  <c r="E210" i="14"/>
  <c r="F210" i="14"/>
  <c r="E211" i="14"/>
  <c r="F211" i="14"/>
  <c r="E212" i="14"/>
  <c r="F212" i="14"/>
  <c r="B213" i="14"/>
  <c r="E213" i="14"/>
  <c r="E5903" i="4" s="1"/>
  <c r="F213" i="14"/>
  <c r="E214" i="14"/>
  <c r="E5804" i="4" s="1"/>
  <c r="F214" i="14"/>
  <c r="E215" i="14"/>
  <c r="E5319" i="4" s="1"/>
  <c r="D216" i="14"/>
  <c r="F5318" i="4" s="1"/>
  <c r="E216" i="14"/>
  <c r="E5318" i="4" s="1"/>
  <c r="E217" i="14"/>
  <c r="E4218" i="4" s="1"/>
  <c r="F217" i="14"/>
  <c r="D218" i="14"/>
  <c r="F5298" i="4" s="1"/>
  <c r="E218" i="14"/>
  <c r="E5298" i="4" s="1"/>
  <c r="E219" i="14"/>
  <c r="E220" i="14"/>
  <c r="E5827" i="4" s="1"/>
  <c r="E221" i="14"/>
  <c r="E4658" i="4" s="1"/>
  <c r="E222" i="14"/>
  <c r="F222" i="14"/>
  <c r="E223" i="14"/>
  <c r="D224" i="14"/>
  <c r="D225" i="14"/>
  <c r="D226" i="14"/>
  <c r="F3904" i="4" s="1"/>
  <c r="D227" i="14"/>
  <c r="F3086" i="4" s="1"/>
  <c r="E227" i="14"/>
  <c r="E3086" i="4" s="1"/>
  <c r="D228" i="14"/>
  <c r="E228" i="14"/>
  <c r="F228" i="14"/>
  <c r="E229" i="14"/>
  <c r="F229" i="14"/>
  <c r="D230" i="14"/>
  <c r="E230" i="14"/>
  <c r="F230" i="14"/>
  <c r="B231" i="14"/>
  <c r="F231" i="14"/>
  <c r="B232" i="14"/>
  <c r="F232" i="14"/>
  <c r="E233" i="14"/>
  <c r="E5781" i="4" s="1"/>
  <c r="F233" i="14"/>
  <c r="B234" i="14"/>
  <c r="E234" i="14"/>
  <c r="E5860" i="4" s="1"/>
  <c r="F234" i="14"/>
  <c r="E235" i="14"/>
  <c r="F235" i="14"/>
  <c r="B236" i="14"/>
  <c r="F236" i="14"/>
  <c r="E237" i="14"/>
  <c r="F237" i="14"/>
  <c r="E238" i="14"/>
  <c r="E5785" i="4" s="1"/>
  <c r="F238" i="14"/>
  <c r="E239" i="14"/>
  <c r="F239" i="14"/>
  <c r="E240" i="14"/>
  <c r="E5686" i="4" s="1"/>
  <c r="F240" i="14"/>
  <c r="E241" i="14"/>
  <c r="F241" i="14"/>
  <c r="E242" i="14"/>
  <c r="E5859" i="4" s="1"/>
  <c r="F242" i="14"/>
  <c r="E244" i="14"/>
  <c r="E245" i="14"/>
  <c r="E246" i="14"/>
  <c r="E4882" i="4" s="1"/>
  <c r="C2" i="15"/>
  <c r="C4" i="15"/>
  <c r="G4" i="15" s="1"/>
  <c r="A3" i="15"/>
  <c r="A4" i="15"/>
  <c r="F4" i="15"/>
  <c r="F3" i="15"/>
  <c r="F2" i="15"/>
  <c r="A2" i="15"/>
  <c r="C39" i="1"/>
  <c r="D184" i="14" s="1"/>
  <c r="F3238" i="4" s="1"/>
  <c r="C38" i="1"/>
  <c r="D182" i="14" s="1"/>
  <c r="A223" i="2"/>
  <c r="A222" i="2"/>
  <c r="A221" i="2"/>
  <c r="C220" i="2"/>
  <c r="E219" i="2"/>
  <c r="F219" i="2" s="1"/>
  <c r="E218" i="2"/>
  <c r="F218" i="2" s="1"/>
  <c r="C219" i="2"/>
  <c r="C218" i="2"/>
  <c r="C210" i="1"/>
  <c r="C217" i="2"/>
  <c r="C216" i="2"/>
  <c r="C215" i="2"/>
  <c r="A215" i="2"/>
  <c r="A216" i="2"/>
  <c r="A217" i="2"/>
  <c r="A218" i="2"/>
  <c r="A219" i="2"/>
  <c r="A220" i="2"/>
  <c r="A224" i="2"/>
  <c r="A225" i="2"/>
  <c r="A226" i="2"/>
  <c r="A227" i="2"/>
  <c r="A214" i="2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887" i="4"/>
  <c r="C1886" i="4"/>
  <c r="C1885" i="4"/>
  <c r="E1885" i="4" s="1"/>
  <c r="C1884" i="4"/>
  <c r="C1882" i="4"/>
  <c r="E1882" i="4" s="1"/>
  <c r="C1881" i="4"/>
  <c r="C1880" i="4"/>
  <c r="E1880" i="4" s="1"/>
  <c r="C1879" i="4"/>
  <c r="C1878" i="4"/>
  <c r="E1878" i="4" s="1"/>
  <c r="C1877" i="4"/>
  <c r="E1877" i="4" s="1"/>
  <c r="C1876" i="4"/>
  <c r="E1876" i="4" s="1"/>
  <c r="C1874" i="4"/>
  <c r="E1874" i="4" s="1"/>
  <c r="C1873" i="4"/>
  <c r="E1873" i="4" s="1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C1872" i="4"/>
  <c r="E1872" i="4" s="1"/>
  <c r="C1871" i="4"/>
  <c r="C1870" i="4"/>
  <c r="E1870" i="4" s="1"/>
  <c r="C1869" i="4"/>
  <c r="E1869" i="4" s="1"/>
  <c r="C1868" i="4"/>
  <c r="C1867" i="4"/>
  <c r="C1866" i="4"/>
  <c r="E1866" i="4" s="1"/>
  <c r="C1865" i="4"/>
  <c r="C1864" i="4"/>
  <c r="E1864" i="4" s="1"/>
  <c r="C1863" i="4"/>
  <c r="E1863" i="4" s="1"/>
  <c r="C1862" i="4"/>
  <c r="C1861" i="4"/>
  <c r="C1860" i="4"/>
  <c r="E1860" i="4" s="1"/>
  <c r="C1859" i="4"/>
  <c r="C1858" i="4"/>
  <c r="E1858" i="4" s="1"/>
  <c r="C1857" i="4"/>
  <c r="C1856" i="4"/>
  <c r="E1856" i="4" s="1"/>
  <c r="C1855" i="4"/>
  <c r="C1854" i="4"/>
  <c r="E1854" i="4" s="1"/>
  <c r="C1853" i="4"/>
  <c r="C1852" i="4"/>
  <c r="E1852" i="4" s="1"/>
  <c r="C1851" i="4"/>
  <c r="C1850" i="4"/>
  <c r="C1849" i="4"/>
  <c r="E1849" i="4" s="1"/>
  <c r="C1848" i="4"/>
  <c r="E1848" i="4" s="1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C1847" i="4"/>
  <c r="C1846" i="4"/>
  <c r="E1846" i="4" s="1"/>
  <c r="C1845" i="4"/>
  <c r="E1845" i="4" s="1"/>
  <c r="C1844" i="4"/>
  <c r="E1844" i="4" s="1"/>
  <c r="C1843" i="4"/>
  <c r="C1841" i="4"/>
  <c r="C1839" i="4"/>
  <c r="C1840" i="4"/>
  <c r="C1838" i="4"/>
  <c r="E1838" i="4" s="1"/>
  <c r="C1837" i="4"/>
  <c r="E1837" i="4" s="1"/>
  <c r="A1837" i="4"/>
  <c r="A1839" i="4"/>
  <c r="A1840" i="4"/>
  <c r="A1841" i="4"/>
  <c r="A1842" i="4"/>
  <c r="A1843" i="4"/>
  <c r="A1844" i="4"/>
  <c r="A1845" i="4"/>
  <c r="A1846" i="4"/>
  <c r="A1847" i="4"/>
  <c r="A1838" i="4"/>
  <c r="A29" i="6"/>
  <c r="A213" i="2"/>
  <c r="A212" i="2"/>
  <c r="C1836" i="4"/>
  <c r="E1836" i="4" s="1"/>
  <c r="C1835" i="4"/>
  <c r="E1835" i="4" s="1"/>
  <c r="C1834" i="4"/>
  <c r="E1834" i="4" s="1"/>
  <c r="C1833" i="4"/>
  <c r="E1833" i="4" s="1"/>
  <c r="C1832" i="4"/>
  <c r="E1832" i="4" s="1"/>
  <c r="C1831" i="4"/>
  <c r="E1831" i="4" s="1"/>
  <c r="C1830" i="4"/>
  <c r="C1829" i="4"/>
  <c r="C1828" i="4"/>
  <c r="E1828" i="4" s="1"/>
  <c r="C1827" i="4"/>
  <c r="E1827" i="4" s="1"/>
  <c r="C1826" i="4"/>
  <c r="E1826" i="4" s="1"/>
  <c r="F1845" i="4"/>
  <c r="E1841" i="4"/>
  <c r="A1826" i="4"/>
  <c r="A1827" i="4"/>
  <c r="A1828" i="4"/>
  <c r="A1829" i="4"/>
  <c r="A1830" i="4"/>
  <c r="A1831" i="4"/>
  <c r="A1832" i="4"/>
  <c r="A1833" i="4"/>
  <c r="A1834" i="4"/>
  <c r="A1835" i="4"/>
  <c r="A1836" i="4"/>
  <c r="C1824" i="4"/>
  <c r="C1823" i="4"/>
  <c r="E1823" i="4" s="1"/>
  <c r="C1822" i="4"/>
  <c r="E1822" i="4" s="1"/>
  <c r="C1821" i="4"/>
  <c r="E1821" i="4" s="1"/>
  <c r="C1820" i="4"/>
  <c r="C1819" i="4"/>
  <c r="E1819" i="4" s="1"/>
  <c r="C1818" i="4"/>
  <c r="C1817" i="4"/>
  <c r="A1819" i="4"/>
  <c r="A1820" i="4"/>
  <c r="A1821" i="4"/>
  <c r="A1822" i="4"/>
  <c r="A1823" i="4"/>
  <c r="A1824" i="4"/>
  <c r="A1825" i="4"/>
  <c r="C1816" i="4"/>
  <c r="E1816" i="4" s="1"/>
  <c r="C1815" i="4"/>
  <c r="C1814" i="4"/>
  <c r="C1813" i="4"/>
  <c r="C1812" i="4"/>
  <c r="E1812" i="4" s="1"/>
  <c r="C1811" i="4"/>
  <c r="C1810" i="4"/>
  <c r="C1809" i="4"/>
  <c r="C1808" i="4"/>
  <c r="C1807" i="4"/>
  <c r="C1806" i="4"/>
  <c r="C1805" i="4"/>
  <c r="C1803" i="4"/>
  <c r="C1802" i="4"/>
  <c r="C1801" i="4"/>
  <c r="C1800" i="4"/>
  <c r="E1800" i="4" s="1"/>
  <c r="C1799" i="4"/>
  <c r="C1798" i="4"/>
  <c r="C1797" i="4"/>
  <c r="E1797" i="4" s="1"/>
  <c r="C1796" i="4"/>
  <c r="E1796" i="4" s="1"/>
  <c r="C1795" i="4"/>
  <c r="C1794" i="4"/>
  <c r="C1793" i="4"/>
  <c r="E1793" i="4" s="1"/>
  <c r="C1792" i="4"/>
  <c r="E1792" i="4" s="1"/>
  <c r="C1791" i="4"/>
  <c r="C1790" i="4"/>
  <c r="C1789" i="4"/>
  <c r="C1788" i="4"/>
  <c r="E1788" i="4" s="1"/>
  <c r="C1787" i="4"/>
  <c r="C1745" i="4"/>
  <c r="E1745" i="4" s="1"/>
  <c r="C248" i="4"/>
  <c r="I11" i="1"/>
  <c r="B116" i="1"/>
  <c r="B121" i="1"/>
  <c r="B154" i="1"/>
  <c r="C154" i="1" s="1"/>
  <c r="J3" i="2"/>
  <c r="J4" i="2" s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C211" i="2"/>
  <c r="E211" i="2"/>
  <c r="F211" i="2" s="1"/>
  <c r="E210" i="2"/>
  <c r="F210" i="2" s="1"/>
  <c r="C210" i="2"/>
  <c r="E209" i="2"/>
  <c r="F209" i="2" s="1"/>
  <c r="C209" i="2"/>
  <c r="E208" i="2"/>
  <c r="F208" i="2" s="1"/>
  <c r="C208" i="2"/>
  <c r="E207" i="2"/>
  <c r="E206" i="2"/>
  <c r="F206" i="2" s="1"/>
  <c r="C207" i="2"/>
  <c r="C206" i="2"/>
  <c r="F207" i="2"/>
  <c r="F213" i="2"/>
  <c r="F215" i="2"/>
  <c r="F216" i="2"/>
  <c r="F220" i="2"/>
  <c r="F224" i="2"/>
  <c r="F225" i="2"/>
  <c r="F226" i="2"/>
  <c r="F227" i="2"/>
  <c r="A207" i="2"/>
  <c r="A208" i="2"/>
  <c r="A209" i="2"/>
  <c r="A210" i="2"/>
  <c r="A211" i="2"/>
  <c r="E203" i="2"/>
  <c r="F203" i="2" s="1"/>
  <c r="E202" i="2"/>
  <c r="F202" i="2" s="1"/>
  <c r="E205" i="2"/>
  <c r="F205" i="2" s="1"/>
  <c r="C205" i="2"/>
  <c r="E204" i="2"/>
  <c r="F204" i="2" s="1"/>
  <c r="C204" i="2"/>
  <c r="C203" i="2"/>
  <c r="C202" i="2"/>
  <c r="B200" i="2"/>
  <c r="B201" i="2"/>
  <c r="C201" i="2"/>
  <c r="C200" i="2"/>
  <c r="C199" i="2"/>
  <c r="B199" i="2"/>
  <c r="B196" i="2"/>
  <c r="B197" i="2"/>
  <c r="B198" i="2"/>
  <c r="E196" i="2"/>
  <c r="F196" i="2" s="1"/>
  <c r="E197" i="2"/>
  <c r="F197" i="2" s="1"/>
  <c r="E198" i="2"/>
  <c r="F198" i="2" s="1"/>
  <c r="C198" i="2"/>
  <c r="C197" i="2"/>
  <c r="C196" i="2"/>
  <c r="E195" i="2"/>
  <c r="F195" i="2" s="1"/>
  <c r="C195" i="2"/>
  <c r="B195" i="2"/>
  <c r="B194" i="2"/>
  <c r="C194" i="2"/>
  <c r="C193" i="2"/>
  <c r="B193" i="2"/>
  <c r="F201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193" i="2"/>
  <c r="A28" i="6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787" i="4"/>
  <c r="C1786" i="4"/>
  <c r="C1785" i="4"/>
  <c r="C1784" i="4"/>
  <c r="C1783" i="4"/>
  <c r="C1782" i="4"/>
  <c r="C1781" i="4"/>
  <c r="C1780" i="4"/>
  <c r="C1779" i="4"/>
  <c r="C1778" i="4"/>
  <c r="C1777" i="4"/>
  <c r="C1776" i="4"/>
  <c r="C1774" i="4"/>
  <c r="C1773" i="4"/>
  <c r="C1772" i="4"/>
  <c r="C1771" i="4"/>
  <c r="C1770" i="4"/>
  <c r="C1769" i="4"/>
  <c r="E1769" i="4" s="1"/>
  <c r="C1768" i="4"/>
  <c r="C1767" i="4"/>
  <c r="C1766" i="4"/>
  <c r="E1766" i="4" s="1"/>
  <c r="C1765" i="4"/>
  <c r="C1764" i="4"/>
  <c r="C1763" i="4"/>
  <c r="E1763" i="4" s="1"/>
  <c r="C1762" i="4"/>
  <c r="E1762" i="4" s="1"/>
  <c r="C1761" i="4"/>
  <c r="C1760" i="4"/>
  <c r="C1759" i="4"/>
  <c r="C1758" i="4"/>
  <c r="C1757" i="4"/>
  <c r="C1756" i="4"/>
  <c r="C1755" i="4"/>
  <c r="E1755" i="4" s="1"/>
  <c r="C1754" i="4"/>
  <c r="C1753" i="4"/>
  <c r="E1753" i="4" s="1"/>
  <c r="C1752" i="4"/>
  <c r="C1751" i="4"/>
  <c r="C1750" i="4"/>
  <c r="C1749" i="4"/>
  <c r="E1749" i="4" s="1"/>
  <c r="C1748" i="4"/>
  <c r="C1747" i="4"/>
  <c r="F1747" i="4" s="1"/>
  <c r="C1746" i="4"/>
  <c r="C207" i="1"/>
  <c r="D13" i="14" s="1"/>
  <c r="H3" i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C1744" i="4"/>
  <c r="E1744" i="4" s="1"/>
  <c r="C1743" i="4"/>
  <c r="C1742" i="4"/>
  <c r="C1741" i="4"/>
  <c r="C1740" i="4"/>
  <c r="C1739" i="4"/>
  <c r="C1738" i="4"/>
  <c r="C1737" i="4"/>
  <c r="C206" i="1"/>
  <c r="D176" i="14" s="1"/>
  <c r="F5753" i="4" s="1"/>
  <c r="C1736" i="4"/>
  <c r="E1736" i="4" s="1"/>
  <c r="C1735" i="4"/>
  <c r="E1735" i="4" s="1"/>
  <c r="C1734" i="4"/>
  <c r="E1734" i="4" s="1"/>
  <c r="C1733" i="4"/>
  <c r="C1732" i="4"/>
  <c r="C1731" i="4"/>
  <c r="E1731" i="4" s="1"/>
  <c r="C1730" i="4"/>
  <c r="C1729" i="4"/>
  <c r="C1728" i="4"/>
  <c r="E1728" i="4" s="1"/>
  <c r="C1727" i="4"/>
  <c r="E1727" i="4" s="1"/>
  <c r="C1726" i="4"/>
  <c r="E1726" i="4" s="1"/>
  <c r="C1725" i="4"/>
  <c r="C1724" i="4"/>
  <c r="C1723" i="4"/>
  <c r="C1722" i="4"/>
  <c r="E1722" i="4" s="1"/>
  <c r="C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C1720" i="4"/>
  <c r="E1720" i="4" s="1"/>
  <c r="C1719" i="4"/>
  <c r="C1718" i="4"/>
  <c r="E1718" i="4" s="1"/>
  <c r="C1717" i="4"/>
  <c r="C1716" i="4"/>
  <c r="E1716" i="4" s="1"/>
  <c r="A27" i="6"/>
  <c r="E188" i="2"/>
  <c r="E189" i="2"/>
  <c r="F189" i="2" s="1"/>
  <c r="B192" i="2"/>
  <c r="E190" i="2"/>
  <c r="C191" i="2"/>
  <c r="B191" i="2"/>
  <c r="F191" i="2"/>
  <c r="F192" i="2"/>
  <c r="F193" i="2"/>
  <c r="F194" i="2"/>
  <c r="F199" i="2"/>
  <c r="F200" i="2"/>
  <c r="A191" i="2"/>
  <c r="A192" i="2"/>
  <c r="A181" i="2"/>
  <c r="A182" i="2"/>
  <c r="A183" i="2"/>
  <c r="A184" i="2"/>
  <c r="A185" i="2"/>
  <c r="A186" i="2"/>
  <c r="A187" i="2"/>
  <c r="A188" i="2"/>
  <c r="A189" i="2"/>
  <c r="A190" i="2"/>
  <c r="B189" i="2"/>
  <c r="B190" i="2"/>
  <c r="C190" i="2"/>
  <c r="C189" i="2"/>
  <c r="C188" i="2"/>
  <c r="B188" i="2"/>
  <c r="C187" i="2"/>
  <c r="B187" i="2"/>
  <c r="C186" i="2"/>
  <c r="B184" i="2"/>
  <c r="B185" i="2"/>
  <c r="B186" i="2"/>
  <c r="E182" i="2"/>
  <c r="E181" i="2"/>
  <c r="C185" i="2"/>
  <c r="C184" i="2"/>
  <c r="C183" i="2"/>
  <c r="B183" i="2"/>
  <c r="B181" i="2"/>
  <c r="B182" i="2"/>
  <c r="C182" i="2"/>
  <c r="C181" i="2"/>
  <c r="C180" i="2"/>
  <c r="B180" i="2"/>
  <c r="A180" i="2"/>
  <c r="A1717" i="4"/>
  <c r="A1718" i="4"/>
  <c r="A1719" i="4"/>
  <c r="A1720" i="4"/>
  <c r="A1721" i="4"/>
  <c r="A1716" i="4"/>
  <c r="C1714" i="4"/>
  <c r="C1713" i="4"/>
  <c r="C1712" i="4"/>
  <c r="E1712" i="4" s="1"/>
  <c r="C1711" i="4"/>
  <c r="C1710" i="4"/>
  <c r="E1710" i="4" s="1"/>
  <c r="C1709" i="4"/>
  <c r="C1708" i="4"/>
  <c r="E1708" i="4" s="1"/>
  <c r="C1707" i="4"/>
  <c r="E1707" i="4" s="1"/>
  <c r="C1706" i="4"/>
  <c r="E1706" i="4" s="1"/>
  <c r="C1705" i="4"/>
  <c r="E1705" i="4" s="1"/>
  <c r="C1704" i="4"/>
  <c r="C1703" i="4"/>
  <c r="E1703" i="4" s="1"/>
  <c r="C1702" i="4"/>
  <c r="C1701" i="4"/>
  <c r="C1700" i="4"/>
  <c r="C1699" i="4"/>
  <c r="E1699" i="4" s="1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C1698" i="4"/>
  <c r="C1697" i="4"/>
  <c r="C1696" i="4"/>
  <c r="C1695" i="4"/>
  <c r="C1694" i="4"/>
  <c r="C1693" i="4"/>
  <c r="C1692" i="4"/>
  <c r="C205" i="1"/>
  <c r="D129" i="14" s="1"/>
  <c r="F4958" i="4" s="1"/>
  <c r="C1691" i="4"/>
  <c r="C1690" i="4"/>
  <c r="C1689" i="4"/>
  <c r="C1688" i="4"/>
  <c r="E1688" i="4" s="1"/>
  <c r="C1687" i="4"/>
  <c r="C1686" i="4"/>
  <c r="E1686" i="4" s="1"/>
  <c r="C1685" i="4"/>
  <c r="C1684" i="4"/>
  <c r="C1683" i="4"/>
  <c r="C1682" i="4"/>
  <c r="C1681" i="4"/>
  <c r="C1680" i="4"/>
  <c r="E1680" i="4" s="1"/>
  <c r="C1679" i="4"/>
  <c r="E1679" i="4" s="1"/>
  <c r="C1678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C1677" i="4"/>
  <c r="C1676" i="4"/>
  <c r="E1676" i="4" s="1"/>
  <c r="C1675" i="4"/>
  <c r="C1674" i="4"/>
  <c r="E1674" i="4" s="1"/>
  <c r="C1673" i="4"/>
  <c r="C1672" i="4"/>
  <c r="E1672" i="4" s="1"/>
  <c r="C1671" i="4"/>
  <c r="C1670" i="4"/>
  <c r="C1669" i="4"/>
  <c r="C1668" i="4"/>
  <c r="E1668" i="4" s="1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E1656" i="4" s="1"/>
  <c r="C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C1654" i="4"/>
  <c r="C203" i="1"/>
  <c r="D128" i="14" s="1"/>
  <c r="F2439" i="4" s="1"/>
  <c r="C1653" i="4"/>
  <c r="C1652" i="4"/>
  <c r="C1651" i="4"/>
  <c r="E1651" i="4" s="1"/>
  <c r="C1650" i="4"/>
  <c r="C1649" i="4"/>
  <c r="C1648" i="4"/>
  <c r="C1647" i="4"/>
  <c r="E1647" i="4" s="1"/>
  <c r="C1646" i="4"/>
  <c r="F1646" i="4" s="1"/>
  <c r="C1645" i="4"/>
  <c r="C1644" i="4"/>
  <c r="C1643" i="4"/>
  <c r="E1643" i="4" s="1"/>
  <c r="C1642" i="4"/>
  <c r="C1641" i="4"/>
  <c r="C1640" i="4"/>
  <c r="C1639" i="4"/>
  <c r="C1638" i="4"/>
  <c r="C1637" i="4"/>
  <c r="C1636" i="4"/>
  <c r="C1635" i="4"/>
  <c r="E1635" i="4" s="1"/>
  <c r="C1634" i="4"/>
  <c r="F1634" i="4" s="1"/>
  <c r="C1633" i="4"/>
  <c r="C1632" i="4"/>
  <c r="C1631" i="4"/>
  <c r="E1631" i="4" s="1"/>
  <c r="C1630" i="4"/>
  <c r="C1629" i="4"/>
  <c r="C1628" i="4"/>
  <c r="E1628" i="4" s="1"/>
  <c r="C1627" i="4"/>
  <c r="C1626" i="4"/>
  <c r="C1625" i="4"/>
  <c r="C1624" i="4"/>
  <c r="C1623" i="4"/>
  <c r="C1622" i="4"/>
  <c r="C1621" i="4"/>
  <c r="C1620" i="4"/>
  <c r="E1620" i="4" s="1"/>
  <c r="C1619" i="4"/>
  <c r="C1618" i="4"/>
  <c r="C1617" i="4"/>
  <c r="C1616" i="4"/>
  <c r="C1615" i="4"/>
  <c r="C1614" i="4"/>
  <c r="C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C1612" i="4"/>
  <c r="C1611" i="4"/>
  <c r="C1610" i="4"/>
  <c r="C1609" i="4"/>
  <c r="E1609" i="4" s="1"/>
  <c r="C1608" i="4"/>
  <c r="A26" i="6"/>
  <c r="B179" i="2"/>
  <c r="B178" i="2"/>
  <c r="B176" i="2"/>
  <c r="B177" i="2"/>
  <c r="B175" i="2"/>
  <c r="E176" i="2"/>
  <c r="F176" i="2" s="1"/>
  <c r="C179" i="2"/>
  <c r="C178" i="2"/>
  <c r="C177" i="2"/>
  <c r="C176" i="2"/>
  <c r="C175" i="2"/>
  <c r="A176" i="2"/>
  <c r="A177" i="2"/>
  <c r="A178" i="2"/>
  <c r="A179" i="2"/>
  <c r="A175" i="2"/>
  <c r="F175" i="2"/>
  <c r="F177" i="2"/>
  <c r="F178" i="2"/>
  <c r="F179" i="2"/>
  <c r="F183" i="2"/>
  <c r="F184" i="2"/>
  <c r="F185" i="2"/>
  <c r="F186" i="2"/>
  <c r="F187" i="2"/>
  <c r="A1609" i="4"/>
  <c r="A1610" i="4"/>
  <c r="A1611" i="4"/>
  <c r="A1612" i="4"/>
  <c r="A1613" i="4"/>
  <c r="A1608" i="4"/>
  <c r="C1607" i="4"/>
  <c r="C1606" i="4"/>
  <c r="C1605" i="4"/>
  <c r="E1605" i="4" s="1"/>
  <c r="C1604" i="4"/>
  <c r="C1603" i="4"/>
  <c r="C1602" i="4"/>
  <c r="C1601" i="4"/>
  <c r="C1600" i="4"/>
  <c r="C1599" i="4"/>
  <c r="E1599" i="4" s="1"/>
  <c r="C1598" i="4"/>
  <c r="C1597" i="4"/>
  <c r="E1600" i="4"/>
  <c r="A1599" i="4"/>
  <c r="A1600" i="4"/>
  <c r="A1601" i="4"/>
  <c r="A1602" i="4"/>
  <c r="A1603" i="4"/>
  <c r="A1604" i="4"/>
  <c r="A1605" i="4"/>
  <c r="A1606" i="4"/>
  <c r="A1607" i="4"/>
  <c r="C1595" i="4"/>
  <c r="C1594" i="4"/>
  <c r="C1593" i="4"/>
  <c r="E1593" i="4" s="1"/>
  <c r="C1592" i="4"/>
  <c r="E1592" i="4" s="1"/>
  <c r="C1591" i="4"/>
  <c r="E1591" i="4" s="1"/>
  <c r="C1590" i="4"/>
  <c r="E1590" i="4" s="1"/>
  <c r="C1589" i="4"/>
  <c r="E1589" i="4" s="1"/>
  <c r="C1588" i="4"/>
  <c r="E1588" i="4" s="1"/>
  <c r="C1587" i="4"/>
  <c r="C1586" i="4"/>
  <c r="F1586" i="4" s="1"/>
  <c r="C1584" i="4"/>
  <c r="C1583" i="4"/>
  <c r="C1582" i="4"/>
  <c r="C1580" i="4"/>
  <c r="C1579" i="4"/>
  <c r="F1579" i="4" s="1"/>
  <c r="C1578" i="4"/>
  <c r="E1578" i="4" s="1"/>
  <c r="C1577" i="4"/>
  <c r="E1577" i="4" s="1"/>
  <c r="C1576" i="4"/>
  <c r="E1576" i="4" s="1"/>
  <c r="C1574" i="4"/>
  <c r="C1573" i="4"/>
  <c r="C1572" i="4"/>
  <c r="E1572" i="4" s="1"/>
  <c r="C1571" i="4"/>
  <c r="C1570" i="4"/>
  <c r="F1570" i="4" s="1"/>
  <c r="C1569" i="4"/>
  <c r="C1568" i="4"/>
  <c r="C1567" i="4"/>
  <c r="E1567" i="4" s="1"/>
  <c r="C1566" i="4"/>
  <c r="C1565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C1564" i="4"/>
  <c r="E1564" i="4" s="1"/>
  <c r="C1563" i="4"/>
  <c r="C1562" i="4"/>
  <c r="C1561" i="4"/>
  <c r="E1561" i="4" s="1"/>
  <c r="C1559" i="4"/>
  <c r="C1558" i="4"/>
  <c r="E1558" i="4" s="1"/>
  <c r="C1557" i="4"/>
  <c r="F1557" i="4" s="1"/>
  <c r="C1556" i="4"/>
  <c r="C1555" i="4"/>
  <c r="E1555" i="4" s="1"/>
  <c r="C1554" i="4"/>
  <c r="E1554" i="4" s="1"/>
  <c r="C200" i="1"/>
  <c r="C1553" i="4"/>
  <c r="E1553" i="4" s="1"/>
  <c r="C1552" i="4"/>
  <c r="C1551" i="4"/>
  <c r="E1551" i="4" s="1"/>
  <c r="C1550" i="4"/>
  <c r="C1549" i="4"/>
  <c r="C1548" i="4"/>
  <c r="E1548" i="4" s="1"/>
  <c r="C1547" i="4"/>
  <c r="C1546" i="4"/>
  <c r="E1546" i="4" s="1"/>
  <c r="C1545" i="4"/>
  <c r="E1545" i="4" s="1"/>
  <c r="C1542" i="4"/>
  <c r="C1541" i="4"/>
  <c r="E1541" i="4" s="1"/>
  <c r="C1540" i="4"/>
  <c r="E1540" i="4" s="1"/>
  <c r="C1539" i="4"/>
  <c r="E1542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C1538" i="4"/>
  <c r="E1538" i="4" s="1"/>
  <c r="A1536" i="4"/>
  <c r="A1537" i="4"/>
  <c r="C1537" i="4"/>
  <c r="E1537" i="4" s="1"/>
  <c r="C1536" i="4"/>
  <c r="C1535" i="4"/>
  <c r="E1535" i="4" s="1"/>
  <c r="A1535" i="4"/>
  <c r="A1538" i="4"/>
  <c r="C1534" i="4"/>
  <c r="F1534" i="4" s="1"/>
  <c r="C1533" i="4"/>
  <c r="C1532" i="4"/>
  <c r="E1532" i="4" s="1"/>
  <c r="A1534" i="4"/>
  <c r="C1531" i="4"/>
  <c r="C1530" i="4"/>
  <c r="C1528" i="4"/>
  <c r="E1528" i="4" s="1"/>
  <c r="C1525" i="4"/>
  <c r="E1525" i="4" s="1"/>
  <c r="C1524" i="4"/>
  <c r="C1523" i="4"/>
  <c r="E1523" i="4" s="1"/>
  <c r="C1522" i="4"/>
  <c r="E1522" i="4" s="1"/>
  <c r="C1521" i="4"/>
  <c r="C1520" i="4"/>
  <c r="C1519" i="4"/>
  <c r="C1518" i="4"/>
  <c r="C1517" i="4"/>
  <c r="C1516" i="4"/>
  <c r="C1515" i="4"/>
  <c r="C1514" i="4"/>
  <c r="E1514" i="4" s="1"/>
  <c r="C1513" i="4"/>
  <c r="E1513" i="4" s="1"/>
  <c r="C1512" i="4"/>
  <c r="F1512" i="4" s="1"/>
  <c r="C1511" i="4"/>
  <c r="E1511" i="4" s="1"/>
  <c r="E1512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C1510" i="4"/>
  <c r="F1510" i="4" s="1"/>
  <c r="C1509" i="4"/>
  <c r="C1508" i="4"/>
  <c r="C1507" i="4"/>
  <c r="C1506" i="4"/>
  <c r="E1506" i="4" s="1"/>
  <c r="C1505" i="4"/>
  <c r="C1504" i="4"/>
  <c r="C1503" i="4"/>
  <c r="C1502" i="4"/>
  <c r="C1501" i="4"/>
  <c r="E1501" i="4" s="1"/>
  <c r="C1500" i="4"/>
  <c r="E1500" i="4" s="1"/>
  <c r="C1499" i="4"/>
  <c r="F1499" i="4" s="1"/>
  <c r="C1498" i="4"/>
  <c r="C1497" i="4"/>
  <c r="C1496" i="4"/>
  <c r="C1495" i="4"/>
  <c r="E1495" i="4" s="1"/>
  <c r="C1494" i="4"/>
  <c r="E1494" i="4" s="1"/>
  <c r="C1493" i="4"/>
  <c r="C1492" i="4"/>
  <c r="C1491" i="4"/>
  <c r="E1491" i="4" s="1"/>
  <c r="C1490" i="4"/>
  <c r="E1490" i="4" s="1"/>
  <c r="C1489" i="4"/>
  <c r="F1489" i="4" s="1"/>
  <c r="C1488" i="4"/>
  <c r="C1487" i="4"/>
  <c r="E1487" i="4" s="1"/>
  <c r="C1486" i="4"/>
  <c r="E1486" i="4" s="1"/>
  <c r="C1485" i="4"/>
  <c r="F1485" i="4" s="1"/>
  <c r="C1484" i="4"/>
  <c r="E1484" i="4" s="1"/>
  <c r="C1482" i="4"/>
  <c r="F1482" i="4" s="1"/>
  <c r="C1481" i="4"/>
  <c r="C1480" i="4"/>
  <c r="E1480" i="4" s="1"/>
  <c r="C1479" i="4"/>
  <c r="C1478" i="4"/>
  <c r="C1477" i="4"/>
  <c r="E1477" i="4" s="1"/>
  <c r="C1476" i="4"/>
  <c r="F1476" i="4" s="1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C1475" i="4"/>
  <c r="A1475" i="4"/>
  <c r="C1474" i="4"/>
  <c r="C1473" i="4"/>
  <c r="E1473" i="4" s="1"/>
  <c r="C1472" i="4"/>
  <c r="C1471" i="4"/>
  <c r="E1471" i="4" s="1"/>
  <c r="C1470" i="4"/>
  <c r="E1470" i="4" s="1"/>
  <c r="C1469" i="4"/>
  <c r="C1468" i="4"/>
  <c r="C1467" i="4"/>
  <c r="E1467" i="4" s="1"/>
  <c r="C1466" i="4"/>
  <c r="C1464" i="4"/>
  <c r="C1463" i="4"/>
  <c r="E1463" i="4" s="1"/>
  <c r="C1462" i="4"/>
  <c r="E1462" i="4" s="1"/>
  <c r="C1461" i="4"/>
  <c r="C1460" i="4"/>
  <c r="C1459" i="4"/>
  <c r="E1459" i="4" s="1"/>
  <c r="C1458" i="4"/>
  <c r="F1458" i="4" s="1"/>
  <c r="C1457" i="4"/>
  <c r="F1457" i="4" s="1"/>
  <c r="C1456" i="4"/>
  <c r="C1455" i="4"/>
  <c r="F1455" i="4" s="1"/>
  <c r="C1454" i="4"/>
  <c r="F1454" i="4" s="1"/>
  <c r="C1453" i="4"/>
  <c r="C1452" i="4"/>
  <c r="C1451" i="4"/>
  <c r="C1450" i="4"/>
  <c r="E1450" i="4" s="1"/>
  <c r="C1449" i="4"/>
  <c r="C1448" i="4"/>
  <c r="C1447" i="4"/>
  <c r="E1447" i="4" s="1"/>
  <c r="C1446" i="4"/>
  <c r="C1445" i="4"/>
  <c r="F1445" i="4" s="1"/>
  <c r="C1444" i="4"/>
  <c r="C1443" i="4"/>
  <c r="C1442" i="4"/>
  <c r="C1441" i="4"/>
  <c r="E1441" i="4" s="1"/>
  <c r="C1440" i="4"/>
  <c r="E1440" i="4" s="1"/>
  <c r="A25" i="6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40" i="4"/>
  <c r="A1318" i="4"/>
  <c r="C1318" i="4"/>
  <c r="A1319" i="4"/>
  <c r="C1319" i="4"/>
  <c r="E1319" i="4" s="1"/>
  <c r="A1321" i="4"/>
  <c r="C1321" i="4"/>
  <c r="E1321" i="4" s="1"/>
  <c r="A1322" i="4"/>
  <c r="C1322" i="4"/>
  <c r="A1324" i="4"/>
  <c r="C1324" i="4"/>
  <c r="E1324" i="4" s="1"/>
  <c r="A1325" i="4"/>
  <c r="C1325" i="4"/>
  <c r="A1326" i="4"/>
  <c r="C1326" i="4"/>
  <c r="A1327" i="4"/>
  <c r="C1327" i="4"/>
  <c r="E1327" i="4" s="1"/>
  <c r="A1328" i="4"/>
  <c r="C1328" i="4"/>
  <c r="A1330" i="4"/>
  <c r="C1330" i="4"/>
  <c r="E1330" i="4" s="1"/>
  <c r="A1331" i="4"/>
  <c r="C1331" i="4"/>
  <c r="E1331" i="4" s="1"/>
  <c r="A1332" i="4"/>
  <c r="C1332" i="4"/>
  <c r="E1332" i="4" s="1"/>
  <c r="A1333" i="4"/>
  <c r="C1333" i="4"/>
  <c r="F1333" i="4" s="1"/>
  <c r="A1334" i="4"/>
  <c r="C1334" i="4"/>
  <c r="E1334" i="4" s="1"/>
  <c r="A1335" i="4"/>
  <c r="C1335" i="4"/>
  <c r="F1335" i="4" s="1"/>
  <c r="A1336" i="4"/>
  <c r="C1336" i="4"/>
  <c r="A1337" i="4"/>
  <c r="C1337" i="4"/>
  <c r="A1338" i="4"/>
  <c r="C1338" i="4"/>
  <c r="E1338" i="4" s="1"/>
  <c r="A1339" i="4"/>
  <c r="C1339" i="4"/>
  <c r="A1340" i="4"/>
  <c r="C1340" i="4"/>
  <c r="A1341" i="4"/>
  <c r="C1341" i="4"/>
  <c r="A1342" i="4"/>
  <c r="C1342" i="4"/>
  <c r="A1344" i="4"/>
  <c r="C1344" i="4"/>
  <c r="A1345" i="4"/>
  <c r="C1345" i="4"/>
  <c r="A1346" i="4"/>
  <c r="C1346" i="4"/>
  <c r="E1346" i="4" s="1"/>
  <c r="A1347" i="4"/>
  <c r="C1347" i="4"/>
  <c r="E1347" i="4" s="1"/>
  <c r="A1348" i="4"/>
  <c r="C1348" i="4"/>
  <c r="F1348" i="4" s="1"/>
  <c r="A1349" i="4"/>
  <c r="C1349" i="4"/>
  <c r="E1349" i="4" s="1"/>
  <c r="A1350" i="4"/>
  <c r="C1350" i="4"/>
  <c r="A1351" i="4"/>
  <c r="C1351" i="4"/>
  <c r="A1352" i="4"/>
  <c r="C1352" i="4"/>
  <c r="F1352" i="4" s="1"/>
  <c r="A1353" i="4"/>
  <c r="C1353" i="4"/>
  <c r="A1354" i="4"/>
  <c r="C1354" i="4"/>
  <c r="A1355" i="4"/>
  <c r="C1355" i="4"/>
  <c r="E1355" i="4" s="1"/>
  <c r="A1356" i="4"/>
  <c r="C1356" i="4"/>
  <c r="F1356" i="4" s="1"/>
  <c r="A1357" i="4"/>
  <c r="C1357" i="4"/>
  <c r="A1358" i="4"/>
  <c r="C1358" i="4"/>
  <c r="E1358" i="4" s="1"/>
  <c r="A1359" i="4"/>
  <c r="C1359" i="4"/>
  <c r="A1360" i="4"/>
  <c r="C1360" i="4"/>
  <c r="F1360" i="4" s="1"/>
  <c r="A1361" i="4"/>
  <c r="C1361" i="4"/>
  <c r="A1362" i="4"/>
  <c r="C1362" i="4"/>
  <c r="A1363" i="4"/>
  <c r="C1363" i="4"/>
  <c r="E1363" i="4" s="1"/>
  <c r="A1364" i="4"/>
  <c r="C1364" i="4"/>
  <c r="E1364" i="4" s="1"/>
  <c r="A1365" i="4"/>
  <c r="C1365" i="4"/>
  <c r="A1366" i="4"/>
  <c r="C1366" i="4"/>
  <c r="A1367" i="4"/>
  <c r="C1367" i="4"/>
  <c r="A1368" i="4"/>
  <c r="C1368" i="4"/>
  <c r="A1371" i="4"/>
  <c r="C1371" i="4"/>
  <c r="A1372" i="4"/>
  <c r="C1372" i="4"/>
  <c r="A1373" i="4"/>
  <c r="C1373" i="4"/>
  <c r="A1374" i="4"/>
  <c r="C1374" i="4"/>
  <c r="E1374" i="4" s="1"/>
  <c r="A1375" i="4"/>
  <c r="C1375" i="4"/>
  <c r="F1375" i="4" s="1"/>
  <c r="A1376" i="4"/>
  <c r="C1376" i="4"/>
  <c r="A1377" i="4"/>
  <c r="C1377" i="4"/>
  <c r="E1377" i="4" s="1"/>
  <c r="A1378" i="4"/>
  <c r="C1378" i="4"/>
  <c r="F1378" i="4" s="1"/>
  <c r="A1379" i="4"/>
  <c r="C1379" i="4"/>
  <c r="E1379" i="4" s="1"/>
  <c r="A1380" i="4"/>
  <c r="C1380" i="4"/>
  <c r="E1380" i="4" s="1"/>
  <c r="A1381" i="4"/>
  <c r="C1381" i="4"/>
  <c r="A1382" i="4"/>
  <c r="C1382" i="4"/>
  <c r="E1382" i="4" s="1"/>
  <c r="A1383" i="4"/>
  <c r="C1383" i="4"/>
  <c r="E1383" i="4" s="1"/>
  <c r="A1384" i="4"/>
  <c r="C1384" i="4"/>
  <c r="A1385" i="4"/>
  <c r="C1385" i="4"/>
  <c r="E1385" i="4" s="1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20" i="4"/>
  <c r="A1323" i="4"/>
  <c r="A1329" i="4"/>
  <c r="A1343" i="4"/>
  <c r="A1369" i="4"/>
  <c r="A1370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J1437" i="4"/>
  <c r="B31" i="12" s="1"/>
  <c r="A24" i="6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F2" i="2"/>
  <c r="F3" i="2"/>
  <c r="E4" i="2"/>
  <c r="F4" i="2" s="1"/>
  <c r="E5" i="2"/>
  <c r="F5" i="2" s="1"/>
  <c r="E6" i="2"/>
  <c r="F6" i="2" s="1"/>
  <c r="E7" i="2"/>
  <c r="F7" i="2" s="1"/>
  <c r="F8" i="2"/>
  <c r="E9" i="2"/>
  <c r="F9" i="2" s="1"/>
  <c r="D10" i="2"/>
  <c r="E10" i="2"/>
  <c r="F11" i="2"/>
  <c r="F12" i="2"/>
  <c r="E13" i="2"/>
  <c r="F13" i="2" s="1"/>
  <c r="D14" i="2"/>
  <c r="E14" i="2"/>
  <c r="F28" i="2"/>
  <c r="F29" i="2"/>
  <c r="F30" i="2"/>
  <c r="F31" i="2"/>
  <c r="F32" i="2"/>
  <c r="F33" i="2"/>
  <c r="F35" i="2"/>
  <c r="F40" i="2"/>
  <c r="F41" i="2"/>
  <c r="F42" i="2"/>
  <c r="F43" i="2"/>
  <c r="E44" i="2"/>
  <c r="F44" i="2" s="1"/>
  <c r="F45" i="2"/>
  <c r="E46" i="2"/>
  <c r="F46" i="2" s="1"/>
  <c r="F47" i="2"/>
  <c r="F48" i="2"/>
  <c r="E49" i="2"/>
  <c r="F49" i="2" s="1"/>
  <c r="F50" i="2"/>
  <c r="F51" i="2"/>
  <c r="F52" i="2"/>
  <c r="F53" i="2"/>
  <c r="F54" i="2"/>
  <c r="F55" i="2"/>
  <c r="F56" i="2"/>
  <c r="F57" i="2"/>
  <c r="F66" i="2"/>
  <c r="F67" i="2"/>
  <c r="E67" i="2" s="1"/>
  <c r="F85" i="2"/>
  <c r="E86" i="2"/>
  <c r="F86" i="2" s="1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D107" i="2"/>
  <c r="E107" i="2"/>
  <c r="E108" i="2"/>
  <c r="F108" i="2" s="1"/>
  <c r="E109" i="2"/>
  <c r="F109" i="2" s="1"/>
  <c r="F110" i="2"/>
  <c r="E111" i="2"/>
  <c r="F111" i="2" s="1"/>
  <c r="E112" i="2"/>
  <c r="F112" i="2" s="1"/>
  <c r="F113" i="2"/>
  <c r="F114" i="2"/>
  <c r="F115" i="2"/>
  <c r="F116" i="2"/>
  <c r="F117" i="2"/>
  <c r="E118" i="2"/>
  <c r="F118" i="2" s="1"/>
  <c r="F119" i="2"/>
  <c r="F120" i="2"/>
  <c r="F121" i="2"/>
  <c r="F126" i="2"/>
  <c r="E127" i="2"/>
  <c r="F127" i="2" s="1"/>
  <c r="F128" i="2"/>
  <c r="F129" i="2"/>
  <c r="F130" i="2"/>
  <c r="F131" i="2"/>
  <c r="F132" i="2"/>
  <c r="F133" i="2"/>
  <c r="F134" i="2"/>
  <c r="F135" i="2"/>
  <c r="F136" i="2"/>
  <c r="F138" i="2"/>
  <c r="F139" i="2"/>
  <c r="F140" i="2"/>
  <c r="F141" i="2"/>
  <c r="F142" i="2"/>
  <c r="F143" i="2"/>
  <c r="F144" i="2"/>
  <c r="F145" i="2"/>
  <c r="E148" i="2"/>
  <c r="F148" i="2" s="1"/>
  <c r="E149" i="2"/>
  <c r="F149" i="2" s="1"/>
  <c r="E150" i="2"/>
  <c r="F150" i="2" s="1"/>
  <c r="E151" i="2"/>
  <c r="F151" i="2" s="1"/>
  <c r="E152" i="2"/>
  <c r="F152" i="2"/>
  <c r="E153" i="2"/>
  <c r="F153" i="2" s="1"/>
  <c r="F154" i="2"/>
  <c r="F155" i="2"/>
  <c r="F156" i="2"/>
  <c r="E157" i="2"/>
  <c r="F157" i="2" s="1"/>
  <c r="E158" i="2"/>
  <c r="F158" i="2" s="1"/>
  <c r="E159" i="2"/>
  <c r="F159" i="2" s="1"/>
  <c r="E160" i="2"/>
  <c r="F160" i="2" s="1"/>
  <c r="E161" i="2"/>
  <c r="F161" i="2" s="1"/>
  <c r="E162" i="2"/>
  <c r="F162" i="2" s="1"/>
  <c r="F163" i="2"/>
  <c r="F164" i="2"/>
  <c r="F165" i="2"/>
  <c r="E166" i="2"/>
  <c r="F166" i="2" s="1"/>
  <c r="F167" i="2"/>
  <c r="F168" i="2"/>
  <c r="F169" i="2"/>
  <c r="F170" i="2"/>
  <c r="E171" i="2"/>
  <c r="F171" i="2"/>
  <c r="E172" i="2"/>
  <c r="F172" i="2" s="1"/>
  <c r="E173" i="2"/>
  <c r="F173" i="2" s="1"/>
  <c r="E174" i="2"/>
  <c r="F174" i="2" s="1"/>
  <c r="A23" i="6"/>
  <c r="A22" i="6"/>
  <c r="C174" i="2"/>
  <c r="C173" i="2"/>
  <c r="C172" i="2"/>
  <c r="C171" i="2"/>
  <c r="C170" i="2"/>
  <c r="C169" i="2"/>
  <c r="C168" i="2"/>
  <c r="C167" i="2"/>
  <c r="C166" i="2"/>
  <c r="C165" i="2"/>
  <c r="A7" i="6"/>
  <c r="C164" i="2"/>
  <c r="C163" i="2"/>
  <c r="C162" i="2"/>
  <c r="C159" i="2"/>
  <c r="C160" i="2"/>
  <c r="C158" i="2"/>
  <c r="C157" i="2"/>
  <c r="C156" i="2"/>
  <c r="C155" i="2"/>
  <c r="C154" i="2"/>
  <c r="C151" i="2"/>
  <c r="C150" i="2"/>
  <c r="C148" i="2"/>
  <c r="C147" i="2"/>
  <c r="C1438" i="4"/>
  <c r="E1438" i="4" s="1"/>
  <c r="C1437" i="4"/>
  <c r="C1436" i="4"/>
  <c r="C1435" i="4"/>
  <c r="D63" i="1"/>
  <c r="C1434" i="4"/>
  <c r="C1433" i="4"/>
  <c r="F1433" i="4" s="1"/>
  <c r="C1432" i="4"/>
  <c r="E1432" i="4" s="1"/>
  <c r="C1431" i="4"/>
  <c r="E1431" i="4" s="1"/>
  <c r="C1430" i="4"/>
  <c r="E1430" i="4" s="1"/>
  <c r="C13" i="1"/>
  <c r="F1568" i="4" s="1"/>
  <c r="C1429" i="4"/>
  <c r="E1429" i="4" s="1"/>
  <c r="C162" i="1"/>
  <c r="C1428" i="4"/>
  <c r="E1428" i="4" s="1"/>
  <c r="C1427" i="4"/>
  <c r="E1427" i="4" s="1"/>
  <c r="C1426" i="4"/>
  <c r="E1426" i="4" s="1"/>
  <c r="C1425" i="4"/>
  <c r="C1424" i="4"/>
  <c r="E1424" i="4" s="1"/>
  <c r="C15" i="1"/>
  <c r="D214" i="14" s="1"/>
  <c r="F5804" i="4" s="1"/>
  <c r="C1423" i="4"/>
  <c r="E1423" i="4" s="1"/>
  <c r="C56" i="1"/>
  <c r="C1422" i="4"/>
  <c r="E1422" i="4" s="1"/>
  <c r="C1421" i="4"/>
  <c r="E1421" i="4" s="1"/>
  <c r="C63" i="1"/>
  <c r="C1420" i="4"/>
  <c r="F1420" i="4" s="1"/>
  <c r="C1419" i="4"/>
  <c r="E1419" i="4" s="1"/>
  <c r="C1418" i="4"/>
  <c r="C46" i="1"/>
  <c r="D191" i="14" s="1"/>
  <c r="C1417" i="4"/>
  <c r="C1416" i="4"/>
  <c r="E1416" i="4" s="1"/>
  <c r="C1415" i="4"/>
  <c r="E1415" i="4" s="1"/>
  <c r="C1414" i="4"/>
  <c r="E1414" i="4" s="1"/>
  <c r="C1413" i="4"/>
  <c r="E1413" i="4" s="1"/>
  <c r="C1411" i="4"/>
  <c r="C1410" i="4"/>
  <c r="C1409" i="4"/>
  <c r="E1409" i="4" s="1"/>
  <c r="C1408" i="4"/>
  <c r="E1408" i="4" s="1"/>
  <c r="C1407" i="4"/>
  <c r="E1407" i="4" s="1"/>
  <c r="C1406" i="4"/>
  <c r="C1405" i="4"/>
  <c r="C1404" i="4"/>
  <c r="C23" i="1"/>
  <c r="C1403" i="4"/>
  <c r="C1402" i="4"/>
  <c r="E1402" i="4" s="1"/>
  <c r="C120" i="1"/>
  <c r="C1401" i="4"/>
  <c r="C1400" i="4"/>
  <c r="E1400" i="4" s="1"/>
  <c r="C4" i="1"/>
  <c r="F4882" i="4"/>
  <c r="C1399" i="4"/>
  <c r="E1399" i="4" s="1"/>
  <c r="C1398" i="4"/>
  <c r="F1398" i="4" s="1"/>
  <c r="C1397" i="4"/>
  <c r="C14" i="1"/>
  <c r="C1396" i="4"/>
  <c r="E1396" i="4" s="1"/>
  <c r="C114" i="1"/>
  <c r="F1572" i="4" s="1"/>
  <c r="C1395" i="4"/>
  <c r="F1395" i="4" s="1"/>
  <c r="C1394" i="4"/>
  <c r="F1394" i="4" s="1"/>
  <c r="C1393" i="4"/>
  <c r="E1393" i="4" s="1"/>
  <c r="C145" i="1"/>
  <c r="C1392" i="4"/>
  <c r="E1392" i="4" s="1"/>
  <c r="C1391" i="4"/>
  <c r="C1390" i="4"/>
  <c r="E1390" i="4" s="1"/>
  <c r="C84" i="1"/>
  <c r="C1388" i="4"/>
  <c r="C1387" i="4"/>
  <c r="F1387" i="4" s="1"/>
  <c r="C1386" i="4"/>
  <c r="C118" i="1"/>
  <c r="C89" i="1"/>
  <c r="D46" i="14" s="1"/>
  <c r="C61" i="1"/>
  <c r="C47" i="1"/>
  <c r="C126" i="1"/>
  <c r="C67" i="1"/>
  <c r="C123" i="1"/>
  <c r="F507" i="4" s="1"/>
  <c r="C48" i="1"/>
  <c r="D59" i="1"/>
  <c r="C59" i="1"/>
  <c r="D232" i="14"/>
  <c r="F5149" i="4" s="1"/>
  <c r="C3" i="1"/>
  <c r="C108" i="1"/>
  <c r="C117" i="1"/>
  <c r="C116" i="1"/>
  <c r="F303" i="4" s="1"/>
  <c r="C195" i="1"/>
  <c r="C24" i="1"/>
  <c r="C73" i="1"/>
  <c r="D59" i="14"/>
  <c r="C62" i="1"/>
  <c r="C71" i="1"/>
  <c r="C45" i="1"/>
  <c r="C34" i="1"/>
  <c r="C36" i="1"/>
  <c r="C35" i="1"/>
  <c r="C185" i="1"/>
  <c r="D32" i="14"/>
  <c r="C5" i="1"/>
  <c r="C68" i="1"/>
  <c r="C107" i="1"/>
  <c r="D80" i="14"/>
  <c r="F2352" i="4" s="1"/>
  <c r="C112" i="1"/>
  <c r="C133" i="1"/>
  <c r="C28" i="1"/>
  <c r="D29" i="14"/>
  <c r="C25" i="1"/>
  <c r="C1317" i="4"/>
  <c r="C2" i="4"/>
  <c r="F2" i="4" s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D58" i="1"/>
  <c r="E231" i="14" s="1"/>
  <c r="E5812" i="4" s="1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D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D154" i="1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9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4" i="4"/>
  <c r="E455" i="4"/>
  <c r="E456" i="4"/>
  <c r="E457" i="4"/>
  <c r="E458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7" i="4"/>
  <c r="E509" i="4"/>
  <c r="E510" i="4"/>
  <c r="E511" i="4"/>
  <c r="E512" i="4"/>
  <c r="E513" i="4"/>
  <c r="E514" i="4"/>
  <c r="E515" i="4"/>
  <c r="E516" i="4"/>
  <c r="E517" i="4"/>
  <c r="E518" i="4"/>
  <c r="E520" i="4"/>
  <c r="E521" i="4"/>
  <c r="E522" i="4"/>
  <c r="E523" i="4"/>
  <c r="E524" i="4"/>
  <c r="E525" i="4"/>
  <c r="E526" i="4"/>
  <c r="E527" i="4"/>
  <c r="E528" i="4"/>
  <c r="E529" i="4"/>
  <c r="E531" i="4"/>
  <c r="E532" i="4"/>
  <c r="E533" i="4"/>
  <c r="E534" i="4"/>
  <c r="E535" i="4"/>
  <c r="C536" i="4"/>
  <c r="F536" i="4" s="1"/>
  <c r="C537" i="4"/>
  <c r="E537" i="4" s="1"/>
  <c r="C538" i="4"/>
  <c r="C539" i="4"/>
  <c r="E539" i="4" s="1"/>
  <c r="C540" i="4"/>
  <c r="C541" i="4"/>
  <c r="E541" i="4" s="1"/>
  <c r="C542" i="4"/>
  <c r="E542" i="4" s="1"/>
  <c r="C543" i="4"/>
  <c r="E543" i="4" s="1"/>
  <c r="C544" i="4"/>
  <c r="E544" i="4" s="1"/>
  <c r="C545" i="4"/>
  <c r="C546" i="4"/>
  <c r="E546" i="4" s="1"/>
  <c r="C547" i="4"/>
  <c r="E547" i="4" s="1"/>
  <c r="C548" i="4"/>
  <c r="E548" i="4" s="1"/>
  <c r="C549" i="4"/>
  <c r="C550" i="4"/>
  <c r="C551" i="4"/>
  <c r="E551" i="4" s="1"/>
  <c r="C552" i="4"/>
  <c r="C553" i="4"/>
  <c r="C554" i="4"/>
  <c r="E554" i="4" s="1"/>
  <c r="C555" i="4"/>
  <c r="E555" i="4" s="1"/>
  <c r="C556" i="4"/>
  <c r="F556" i="4" s="1"/>
  <c r="C557" i="4"/>
  <c r="C558" i="4"/>
  <c r="C559" i="4"/>
  <c r="E559" i="4" s="1"/>
  <c r="C560" i="4"/>
  <c r="F560" i="4" s="1"/>
  <c r="C561" i="4"/>
  <c r="E561" i="4" s="1"/>
  <c r="C562" i="4"/>
  <c r="C563" i="4"/>
  <c r="C564" i="4"/>
  <c r="C565" i="4"/>
  <c r="F565" i="4" s="1"/>
  <c r="C566" i="4"/>
  <c r="C567" i="4"/>
  <c r="E567" i="4" s="1"/>
  <c r="C568" i="4"/>
  <c r="C569" i="4"/>
  <c r="C570" i="4"/>
  <c r="C571" i="4"/>
  <c r="C572" i="4"/>
  <c r="F572" i="4" s="1"/>
  <c r="C573" i="4"/>
  <c r="C574" i="4"/>
  <c r="E574" i="4" s="1"/>
  <c r="C575" i="4"/>
  <c r="E575" i="4" s="1"/>
  <c r="C576" i="4"/>
  <c r="F576" i="4" s="1"/>
  <c r="C577" i="4"/>
  <c r="E577" i="4" s="1"/>
  <c r="C578" i="4"/>
  <c r="F578" i="4" s="1"/>
  <c r="C579" i="4"/>
  <c r="E579" i="4" s="1"/>
  <c r="C580" i="4"/>
  <c r="E580" i="4" s="1"/>
  <c r="C581" i="4"/>
  <c r="C582" i="4"/>
  <c r="E582" i="4" s="1"/>
  <c r="C583" i="4"/>
  <c r="E583" i="4" s="1"/>
  <c r="C584" i="4"/>
  <c r="E584" i="4" s="1"/>
  <c r="C585" i="4"/>
  <c r="C586" i="4"/>
  <c r="E586" i="4" s="1"/>
  <c r="C587" i="4"/>
  <c r="E587" i="4" s="1"/>
  <c r="C588" i="4"/>
  <c r="F588" i="4" s="1"/>
  <c r="C589" i="4"/>
  <c r="E589" i="4" s="1"/>
  <c r="C591" i="4"/>
  <c r="C592" i="4"/>
  <c r="E592" i="4" s="1"/>
  <c r="C593" i="4"/>
  <c r="C594" i="4"/>
  <c r="E594" i="4" s="1"/>
  <c r="C595" i="4"/>
  <c r="C596" i="4"/>
  <c r="E596" i="4" s="1"/>
  <c r="C597" i="4"/>
  <c r="E597" i="4" s="1"/>
  <c r="C598" i="4"/>
  <c r="E598" i="4" s="1"/>
  <c r="C599" i="4"/>
  <c r="F599" i="4" s="1"/>
  <c r="C600" i="4"/>
  <c r="F600" i="4" s="1"/>
  <c r="C601" i="4"/>
  <c r="C602" i="4"/>
  <c r="E602" i="4" s="1"/>
  <c r="C603" i="4"/>
  <c r="C604" i="4"/>
  <c r="E604" i="4" s="1"/>
  <c r="C605" i="4"/>
  <c r="E605" i="4" s="1"/>
  <c r="C606" i="4"/>
  <c r="C607" i="4"/>
  <c r="E607" i="4" s="1"/>
  <c r="C608" i="4"/>
  <c r="F608" i="4" s="1"/>
  <c r="C609" i="4"/>
  <c r="C610" i="4"/>
  <c r="C611" i="4"/>
  <c r="C612" i="4"/>
  <c r="E612" i="4" s="1"/>
  <c r="C613" i="4"/>
  <c r="E613" i="4" s="1"/>
  <c r="C614" i="4"/>
  <c r="C615" i="4"/>
  <c r="E615" i="4" s="1"/>
  <c r="C616" i="4"/>
  <c r="E616" i="4" s="1"/>
  <c r="C617" i="4"/>
  <c r="E617" i="4" s="1"/>
  <c r="C618" i="4"/>
  <c r="E618" i="4" s="1"/>
  <c r="C619" i="4"/>
  <c r="E619" i="4" s="1"/>
  <c r="C620" i="4"/>
  <c r="C621" i="4"/>
  <c r="C622" i="4"/>
  <c r="C623" i="4"/>
  <c r="F623" i="4" s="1"/>
  <c r="C624" i="4"/>
  <c r="C625" i="4"/>
  <c r="F625" i="4" s="1"/>
  <c r="C626" i="4"/>
  <c r="F626" i="4" s="1"/>
  <c r="C627" i="4"/>
  <c r="E627" i="4" s="1"/>
  <c r="C628" i="4"/>
  <c r="C629" i="4"/>
  <c r="C630" i="4"/>
  <c r="C631" i="4"/>
  <c r="E631" i="4" s="1"/>
  <c r="C632" i="4"/>
  <c r="E632" i="4" s="1"/>
  <c r="C633" i="4"/>
  <c r="E633" i="4" s="1"/>
  <c r="C634" i="4"/>
  <c r="F634" i="4" s="1"/>
  <c r="C635" i="4"/>
  <c r="E635" i="4" s="1"/>
  <c r="C636" i="4"/>
  <c r="C637" i="4"/>
  <c r="C638" i="4"/>
  <c r="C639" i="4"/>
  <c r="E639" i="4" s="1"/>
  <c r="C640" i="4"/>
  <c r="C641" i="4"/>
  <c r="C642" i="4"/>
  <c r="C643" i="4"/>
  <c r="F643" i="4" s="1"/>
  <c r="C644" i="4"/>
  <c r="C645" i="4"/>
  <c r="C646" i="4"/>
  <c r="C647" i="4"/>
  <c r="E647" i="4" s="1"/>
  <c r="C649" i="4"/>
  <c r="F649" i="4" s="1"/>
  <c r="C650" i="4"/>
  <c r="C651" i="4"/>
  <c r="C652" i="4"/>
  <c r="C653" i="4"/>
  <c r="C654" i="4"/>
  <c r="E654" i="4" s="1"/>
  <c r="C655" i="4"/>
  <c r="C656" i="4"/>
  <c r="E656" i="4" s="1"/>
  <c r="C657" i="4"/>
  <c r="C658" i="4"/>
  <c r="C659" i="4"/>
  <c r="C660" i="4"/>
  <c r="C661" i="4"/>
  <c r="C662" i="4"/>
  <c r="C663" i="4"/>
  <c r="F663" i="4" s="1"/>
  <c r="C664" i="4"/>
  <c r="C665" i="4"/>
  <c r="E665" i="4" s="1"/>
  <c r="C666" i="4"/>
  <c r="E666" i="4" s="1"/>
  <c r="C667" i="4"/>
  <c r="C668" i="4"/>
  <c r="C669" i="4"/>
  <c r="E669" i="4" s="1"/>
  <c r="C670" i="4"/>
  <c r="E670" i="4" s="1"/>
  <c r="C671" i="4"/>
  <c r="E671" i="4" s="1"/>
  <c r="C672" i="4"/>
  <c r="E672" i="4" s="1"/>
  <c r="C673" i="4"/>
  <c r="E673" i="4" s="1"/>
  <c r="C674" i="4"/>
  <c r="C676" i="4"/>
  <c r="E676" i="4" s="1"/>
  <c r="C677" i="4"/>
  <c r="E677" i="4" s="1"/>
  <c r="C678" i="4"/>
  <c r="C679" i="4"/>
  <c r="C680" i="4"/>
  <c r="C681" i="4"/>
  <c r="E681" i="4" s="1"/>
  <c r="C682" i="4"/>
  <c r="E682" i="4" s="1"/>
  <c r="C683" i="4"/>
  <c r="C684" i="4"/>
  <c r="C685" i="4"/>
  <c r="E685" i="4" s="1"/>
  <c r="C686" i="4"/>
  <c r="E686" i="4" s="1"/>
  <c r="C687" i="4"/>
  <c r="C688" i="4"/>
  <c r="C689" i="4"/>
  <c r="F689" i="4" s="1"/>
  <c r="C690" i="4"/>
  <c r="C691" i="4"/>
  <c r="C692" i="4"/>
  <c r="C693" i="4"/>
  <c r="E693" i="4" s="1"/>
  <c r="C694" i="4"/>
  <c r="E694" i="4" s="1"/>
  <c r="C695" i="4"/>
  <c r="E695" i="4" s="1"/>
  <c r="C696" i="4"/>
  <c r="F696" i="4" s="1"/>
  <c r="C697" i="4"/>
  <c r="C698" i="4"/>
  <c r="C699" i="4"/>
  <c r="E699" i="4" s="1"/>
  <c r="C700" i="4"/>
  <c r="C701" i="4"/>
  <c r="E701" i="4" s="1"/>
  <c r="C702" i="4"/>
  <c r="F702" i="4" s="1"/>
  <c r="C703" i="4"/>
  <c r="C704" i="4"/>
  <c r="C705" i="4"/>
  <c r="E705" i="4" s="1"/>
  <c r="C706" i="4"/>
  <c r="C707" i="4"/>
  <c r="E707" i="4" s="1"/>
  <c r="C708" i="4"/>
  <c r="F708" i="4" s="1"/>
  <c r="C709" i="4"/>
  <c r="C710" i="4"/>
  <c r="C711" i="4"/>
  <c r="C712" i="4"/>
  <c r="F712" i="4" s="1"/>
  <c r="C713" i="4"/>
  <c r="F713" i="4" s="1"/>
  <c r="C714" i="4"/>
  <c r="C715" i="4"/>
  <c r="F715" i="4" s="1"/>
  <c r="C716" i="4"/>
  <c r="C717" i="4"/>
  <c r="E717" i="4" s="1"/>
  <c r="C718" i="4"/>
  <c r="E718" i="4" s="1"/>
  <c r="C719" i="4"/>
  <c r="E719" i="4" s="1"/>
  <c r="C720" i="4"/>
  <c r="F720" i="4" s="1"/>
  <c r="C721" i="4"/>
  <c r="E721" i="4" s="1"/>
  <c r="C722" i="4"/>
  <c r="E722" i="4" s="1"/>
  <c r="C723" i="4"/>
  <c r="E723" i="4" s="1"/>
  <c r="C724" i="4"/>
  <c r="E724" i="4" s="1"/>
  <c r="C725" i="4"/>
  <c r="C726" i="4"/>
  <c r="E726" i="4" s="1"/>
  <c r="C727" i="4"/>
  <c r="E727" i="4" s="1"/>
  <c r="C728" i="4"/>
  <c r="C729" i="4"/>
  <c r="F729" i="4" s="1"/>
  <c r="C730" i="4"/>
  <c r="E730" i="4" s="1"/>
  <c r="C731" i="4"/>
  <c r="F731" i="4" s="1"/>
  <c r="C732" i="4"/>
  <c r="F732" i="4" s="1"/>
  <c r="C733" i="4"/>
  <c r="E733" i="4" s="1"/>
  <c r="C734" i="4"/>
  <c r="E734" i="4" s="1"/>
  <c r="C735" i="4"/>
  <c r="C736" i="4"/>
  <c r="F736" i="4" s="1"/>
  <c r="C737" i="4"/>
  <c r="E737" i="4" s="1"/>
  <c r="C738" i="4"/>
  <c r="E738" i="4" s="1"/>
  <c r="C739" i="4"/>
  <c r="E739" i="4" s="1"/>
  <c r="C740" i="4"/>
  <c r="F740" i="4" s="1"/>
  <c r="C741" i="4"/>
  <c r="E741" i="4" s="1"/>
  <c r="C742" i="4"/>
  <c r="E742" i="4" s="1"/>
  <c r="C744" i="4"/>
  <c r="E744" i="4" s="1"/>
  <c r="C745" i="4"/>
  <c r="F745" i="4" s="1"/>
  <c r="C746" i="4"/>
  <c r="C747" i="4"/>
  <c r="E747" i="4" s="1"/>
  <c r="C748" i="4"/>
  <c r="E748" i="4" s="1"/>
  <c r="C750" i="4"/>
  <c r="C751" i="4"/>
  <c r="F751" i="4" s="1"/>
  <c r="C752" i="4"/>
  <c r="E752" i="4" s="1"/>
  <c r="C753" i="4"/>
  <c r="C754" i="4"/>
  <c r="E754" i="4" s="1"/>
  <c r="C756" i="4"/>
  <c r="E756" i="4" s="1"/>
  <c r="C757" i="4"/>
  <c r="C758" i="4"/>
  <c r="E758" i="4" s="1"/>
  <c r="C759" i="4"/>
  <c r="E759" i="4" s="1"/>
  <c r="C760" i="4"/>
  <c r="E760" i="4" s="1"/>
  <c r="C761" i="4"/>
  <c r="E761" i="4" s="1"/>
  <c r="C762" i="4"/>
  <c r="C763" i="4"/>
  <c r="E763" i="4" s="1"/>
  <c r="C764" i="4"/>
  <c r="E764" i="4" s="1"/>
  <c r="C765" i="4"/>
  <c r="E765" i="4" s="1"/>
  <c r="C766" i="4"/>
  <c r="E766" i="4" s="1"/>
  <c r="C767" i="4"/>
  <c r="E767" i="4" s="1"/>
  <c r="C768" i="4"/>
  <c r="E768" i="4" s="1"/>
  <c r="C769" i="4"/>
  <c r="E769" i="4" s="1"/>
  <c r="C770" i="4"/>
  <c r="F770" i="4" s="1"/>
  <c r="C771" i="4"/>
  <c r="F771" i="4" s="1"/>
  <c r="C774" i="4"/>
  <c r="E774" i="4" s="1"/>
  <c r="C775" i="4"/>
  <c r="F775" i="4" s="1"/>
  <c r="C776" i="4"/>
  <c r="E776" i="4" s="1"/>
  <c r="C777" i="4"/>
  <c r="E777" i="4" s="1"/>
  <c r="C778" i="4"/>
  <c r="E778" i="4" s="1"/>
  <c r="C779" i="4"/>
  <c r="E779" i="4" s="1"/>
  <c r="C780" i="4"/>
  <c r="C781" i="4"/>
  <c r="E781" i="4" s="1"/>
  <c r="C782" i="4"/>
  <c r="F782" i="4" s="1"/>
  <c r="C783" i="4"/>
  <c r="E783" i="4" s="1"/>
  <c r="C784" i="4"/>
  <c r="C785" i="4"/>
  <c r="E785" i="4" s="1"/>
  <c r="C786" i="4"/>
  <c r="E786" i="4" s="1"/>
  <c r="C787" i="4"/>
  <c r="E787" i="4" s="1"/>
  <c r="C788" i="4"/>
  <c r="E788" i="4" s="1"/>
  <c r="C789" i="4"/>
  <c r="F789" i="4" s="1"/>
  <c r="C790" i="4"/>
  <c r="E790" i="4" s="1"/>
  <c r="C791" i="4"/>
  <c r="E791" i="4" s="1"/>
  <c r="C792" i="4"/>
  <c r="E792" i="4" s="1"/>
  <c r="C793" i="4"/>
  <c r="F793" i="4" s="1"/>
  <c r="C794" i="4"/>
  <c r="E794" i="4" s="1"/>
  <c r="C795" i="4"/>
  <c r="C796" i="4"/>
  <c r="E796" i="4" s="1"/>
  <c r="C797" i="4"/>
  <c r="C798" i="4"/>
  <c r="E798" i="4" s="1"/>
  <c r="C799" i="4"/>
  <c r="E799" i="4" s="1"/>
  <c r="C800" i="4"/>
  <c r="C801" i="4"/>
  <c r="C802" i="4"/>
  <c r="F802" i="4" s="1"/>
  <c r="C803" i="4"/>
  <c r="E803" i="4" s="1"/>
  <c r="C804" i="4"/>
  <c r="F804" i="4" s="1"/>
  <c r="C805" i="4"/>
  <c r="F805" i="4" s="1"/>
  <c r="C806" i="4"/>
  <c r="F806" i="4" s="1"/>
  <c r="C807" i="4"/>
  <c r="E807" i="4" s="1"/>
  <c r="C808" i="4"/>
  <c r="E808" i="4" s="1"/>
  <c r="C809" i="4"/>
  <c r="E809" i="4" s="1"/>
  <c r="C810" i="4"/>
  <c r="C811" i="4"/>
  <c r="E811" i="4" s="1"/>
  <c r="C812" i="4"/>
  <c r="E812" i="4" s="1"/>
  <c r="C813" i="4"/>
  <c r="E813" i="4" s="1"/>
  <c r="C814" i="4"/>
  <c r="E814" i="4" s="1"/>
  <c r="C815" i="4"/>
  <c r="C816" i="4"/>
  <c r="E816" i="4" s="1"/>
  <c r="C817" i="4"/>
  <c r="F817" i="4" s="1"/>
  <c r="C818" i="4"/>
  <c r="C819" i="4"/>
  <c r="C820" i="4"/>
  <c r="C821" i="4"/>
  <c r="C822" i="4"/>
  <c r="E822" i="4" s="1"/>
  <c r="C823" i="4"/>
  <c r="C824" i="4"/>
  <c r="C825" i="4"/>
  <c r="C826" i="4"/>
  <c r="C827" i="4"/>
  <c r="C828" i="4"/>
  <c r="C829" i="4"/>
  <c r="E829" i="4" s="1"/>
  <c r="C830" i="4"/>
  <c r="E830" i="4" s="1"/>
  <c r="C831" i="4"/>
  <c r="C832" i="4"/>
  <c r="C833" i="4"/>
  <c r="C834" i="4"/>
  <c r="E834" i="4" s="1"/>
  <c r="C835" i="4"/>
  <c r="E835" i="4" s="1"/>
  <c r="C836" i="4"/>
  <c r="C837" i="4"/>
  <c r="C838" i="4"/>
  <c r="E838" i="4" s="1"/>
  <c r="C839" i="4"/>
  <c r="C840" i="4"/>
  <c r="E840" i="4" s="1"/>
  <c r="C841" i="4"/>
  <c r="F841" i="4" s="1"/>
  <c r="C842" i="4"/>
  <c r="E842" i="4" s="1"/>
  <c r="C843" i="4"/>
  <c r="C844" i="4"/>
  <c r="E844" i="4" s="1"/>
  <c r="C845" i="4"/>
  <c r="F845" i="4" s="1"/>
  <c r="C846" i="4"/>
  <c r="F846" i="4" s="1"/>
  <c r="C847" i="4"/>
  <c r="E847" i="4" s="1"/>
  <c r="C848" i="4"/>
  <c r="C849" i="4"/>
  <c r="C850" i="4"/>
  <c r="E850" i="4" s="1"/>
  <c r="C851" i="4"/>
  <c r="E851" i="4" s="1"/>
  <c r="C852" i="4"/>
  <c r="C853" i="4"/>
  <c r="C854" i="4"/>
  <c r="E854" i="4" s="1"/>
  <c r="C855" i="4"/>
  <c r="E855" i="4" s="1"/>
  <c r="C856" i="4"/>
  <c r="E856" i="4" s="1"/>
  <c r="C857" i="4"/>
  <c r="F857" i="4" s="1"/>
  <c r="C858" i="4"/>
  <c r="E858" i="4" s="1"/>
  <c r="C859" i="4"/>
  <c r="E859" i="4" s="1"/>
  <c r="C860" i="4"/>
  <c r="C861" i="4"/>
  <c r="F861" i="4" s="1"/>
  <c r="C862" i="4"/>
  <c r="C863" i="4"/>
  <c r="E863" i="4" s="1"/>
  <c r="C864" i="4"/>
  <c r="E864" i="4" s="1"/>
  <c r="C865" i="4"/>
  <c r="E865" i="4" s="1"/>
  <c r="C866" i="4"/>
  <c r="F866" i="4" s="1"/>
  <c r="C867" i="4"/>
  <c r="E867" i="4" s="1"/>
  <c r="C868" i="4"/>
  <c r="E868" i="4" s="1"/>
  <c r="C869" i="4"/>
  <c r="E869" i="4" s="1"/>
  <c r="C870" i="4"/>
  <c r="F870" i="4" s="1"/>
  <c r="C871" i="4"/>
  <c r="E871" i="4" s="1"/>
  <c r="C872" i="4"/>
  <c r="C873" i="4"/>
  <c r="C874" i="4"/>
  <c r="E874" i="4" s="1"/>
  <c r="C875" i="4"/>
  <c r="C876" i="4"/>
  <c r="F876" i="4" s="1"/>
  <c r="C877" i="4"/>
  <c r="C878" i="4"/>
  <c r="C879" i="4"/>
  <c r="C880" i="4"/>
  <c r="C881" i="4"/>
  <c r="C882" i="4"/>
  <c r="C883" i="4"/>
  <c r="E883" i="4" s="1"/>
  <c r="C884" i="4"/>
  <c r="E884" i="4" s="1"/>
  <c r="C885" i="4"/>
  <c r="C886" i="4"/>
  <c r="F886" i="4" s="1"/>
  <c r="C887" i="4"/>
  <c r="C888" i="4"/>
  <c r="E888" i="4" s="1"/>
  <c r="C889" i="4"/>
  <c r="F889" i="4" s="1"/>
  <c r="C890" i="4"/>
  <c r="C891" i="4"/>
  <c r="E891" i="4" s="1"/>
  <c r="C892" i="4"/>
  <c r="E892" i="4" s="1"/>
  <c r="C893" i="4"/>
  <c r="E893" i="4" s="1"/>
  <c r="C894" i="4"/>
  <c r="E894" i="4" s="1"/>
  <c r="C895" i="4"/>
  <c r="F895" i="4" s="1"/>
  <c r="C896" i="4"/>
  <c r="E896" i="4" s="1"/>
  <c r="C897" i="4"/>
  <c r="C898" i="4"/>
  <c r="E898" i="4" s="1"/>
  <c r="C899" i="4"/>
  <c r="E899" i="4" s="1"/>
  <c r="C900" i="4"/>
  <c r="C901" i="4"/>
  <c r="C902" i="4"/>
  <c r="E902" i="4" s="1"/>
  <c r="C903" i="4"/>
  <c r="E903" i="4" s="1"/>
  <c r="C904" i="4"/>
  <c r="C905" i="4"/>
  <c r="F905" i="4" s="1"/>
  <c r="C906" i="4"/>
  <c r="F906" i="4" s="1"/>
  <c r="C907" i="4"/>
  <c r="E907" i="4" s="1"/>
  <c r="C908" i="4"/>
  <c r="C909" i="4"/>
  <c r="C910" i="4"/>
  <c r="E910" i="4" s="1"/>
  <c r="C911" i="4"/>
  <c r="C912" i="4"/>
  <c r="E912" i="4" s="1"/>
  <c r="C913" i="4"/>
  <c r="C914" i="4"/>
  <c r="E914" i="4" s="1"/>
  <c r="C915" i="4"/>
  <c r="E915" i="4" s="1"/>
  <c r="C916" i="4"/>
  <c r="F916" i="4" s="1"/>
  <c r="C917" i="4"/>
  <c r="E917" i="4" s="1"/>
  <c r="C918" i="4"/>
  <c r="F918" i="4" s="1"/>
  <c r="C919" i="4"/>
  <c r="E919" i="4" s="1"/>
  <c r="C920" i="4"/>
  <c r="E920" i="4" s="1"/>
  <c r="C922" i="4"/>
  <c r="E922" i="4" s="1"/>
  <c r="C923" i="4"/>
  <c r="E923" i="4" s="1"/>
  <c r="C924" i="4"/>
  <c r="E924" i="4" s="1"/>
  <c r="C925" i="4"/>
  <c r="C926" i="4"/>
  <c r="C927" i="4"/>
  <c r="C928" i="4"/>
  <c r="E928" i="4" s="1"/>
  <c r="C929" i="4"/>
  <c r="C930" i="4"/>
  <c r="E930" i="4" s="1"/>
  <c r="C931" i="4"/>
  <c r="E931" i="4" s="1"/>
  <c r="C932" i="4"/>
  <c r="E932" i="4" s="1"/>
  <c r="C933" i="4"/>
  <c r="C934" i="4"/>
  <c r="C935" i="4"/>
  <c r="E935" i="4" s="1"/>
  <c r="C936" i="4"/>
  <c r="C937" i="4"/>
  <c r="C938" i="4"/>
  <c r="F938" i="4" s="1"/>
  <c r="C939" i="4"/>
  <c r="E939" i="4" s="1"/>
  <c r="C940" i="4"/>
  <c r="E940" i="4" s="1"/>
  <c r="C941" i="4"/>
  <c r="C942" i="4"/>
  <c r="F942" i="4" s="1"/>
  <c r="C943" i="4"/>
  <c r="E943" i="4" s="1"/>
  <c r="C944" i="4"/>
  <c r="E944" i="4" s="1"/>
  <c r="C945" i="4"/>
  <c r="E945" i="4" s="1"/>
  <c r="C946" i="4"/>
  <c r="C947" i="4"/>
  <c r="E947" i="4" s="1"/>
  <c r="C948" i="4"/>
  <c r="C949" i="4"/>
  <c r="E949" i="4" s="1"/>
  <c r="C950" i="4"/>
  <c r="E950" i="4" s="1"/>
  <c r="C951" i="4"/>
  <c r="E951" i="4" s="1"/>
  <c r="C952" i="4"/>
  <c r="E952" i="4" s="1"/>
  <c r="C953" i="4"/>
  <c r="C954" i="4"/>
  <c r="C955" i="4"/>
  <c r="E955" i="4" s="1"/>
  <c r="C956" i="4"/>
  <c r="C957" i="4"/>
  <c r="C958" i="4"/>
  <c r="F958" i="4" s="1"/>
  <c r="C959" i="4"/>
  <c r="C960" i="4"/>
  <c r="C961" i="4"/>
  <c r="C962" i="4"/>
  <c r="C963" i="4"/>
  <c r="E963" i="4" s="1"/>
  <c r="C964" i="4"/>
  <c r="E964" i="4" s="1"/>
  <c r="C965" i="4"/>
  <c r="E965" i="4" s="1"/>
  <c r="C966" i="4"/>
  <c r="E966" i="4" s="1"/>
  <c r="C967" i="4"/>
  <c r="C968" i="4"/>
  <c r="E968" i="4" s="1"/>
  <c r="C969" i="4"/>
  <c r="F969" i="4" s="1"/>
  <c r="C970" i="4"/>
  <c r="F970" i="4" s="1"/>
  <c r="C971" i="4"/>
  <c r="E971" i="4" s="1"/>
  <c r="C972" i="4"/>
  <c r="C973" i="4"/>
  <c r="C974" i="4"/>
  <c r="C975" i="4"/>
  <c r="C976" i="4"/>
  <c r="F976" i="4" s="1"/>
  <c r="C977" i="4"/>
  <c r="C978" i="4"/>
  <c r="E978" i="4" s="1"/>
  <c r="C979" i="4"/>
  <c r="C980" i="4"/>
  <c r="E980" i="4" s="1"/>
  <c r="C981" i="4"/>
  <c r="C982" i="4"/>
  <c r="C983" i="4"/>
  <c r="F983" i="4" s="1"/>
  <c r="C984" i="4"/>
  <c r="C985" i="4"/>
  <c r="C986" i="4"/>
  <c r="C987" i="4"/>
  <c r="C988" i="4"/>
  <c r="E988" i="4" s="1"/>
  <c r="C989" i="4"/>
  <c r="E989" i="4" s="1"/>
  <c r="C990" i="4"/>
  <c r="E990" i="4" s="1"/>
  <c r="C991" i="4"/>
  <c r="C992" i="4"/>
  <c r="E992" i="4" s="1"/>
  <c r="C993" i="4"/>
  <c r="E993" i="4" s="1"/>
  <c r="C994" i="4"/>
  <c r="E994" i="4" s="1"/>
  <c r="C995" i="4"/>
  <c r="C996" i="4"/>
  <c r="C997" i="4"/>
  <c r="C998" i="4"/>
  <c r="C999" i="4"/>
  <c r="E999" i="4" s="1"/>
  <c r="C1000" i="4"/>
  <c r="E1000" i="4" s="1"/>
  <c r="C1001" i="4"/>
  <c r="C1002" i="4"/>
  <c r="F1002" i="4" s="1"/>
  <c r="C1003" i="4"/>
  <c r="C1004" i="4"/>
  <c r="E1004" i="4" s="1"/>
  <c r="C1005" i="4"/>
  <c r="C1006" i="4"/>
  <c r="F1006" i="4" s="1"/>
  <c r="C1007" i="4"/>
  <c r="E1007" i="4" s="1"/>
  <c r="C1008" i="4"/>
  <c r="F1008" i="4" s="1"/>
  <c r="C1009" i="4"/>
  <c r="F1009" i="4" s="1"/>
  <c r="C1013" i="4"/>
  <c r="C1014" i="4"/>
  <c r="F1014" i="4" s="1"/>
  <c r="C1015" i="4"/>
  <c r="E1015" i="4" s="1"/>
  <c r="C1016" i="4"/>
  <c r="E1016" i="4" s="1"/>
  <c r="C1017" i="4"/>
  <c r="F1017" i="4" s="1"/>
  <c r="C1018" i="4"/>
  <c r="C1019" i="4"/>
  <c r="E1019" i="4" s="1"/>
  <c r="C1020" i="4"/>
  <c r="E1020" i="4" s="1"/>
  <c r="C1021" i="4"/>
  <c r="E1021" i="4" s="1"/>
  <c r="C1022" i="4"/>
  <c r="E1022" i="4" s="1"/>
  <c r="C1023" i="4"/>
  <c r="E1023" i="4" s="1"/>
  <c r="C1024" i="4"/>
  <c r="E1024" i="4" s="1"/>
  <c r="C1025" i="4"/>
  <c r="C1026" i="4"/>
  <c r="E1026" i="4" s="1"/>
  <c r="C1027" i="4"/>
  <c r="E1027" i="4" s="1"/>
  <c r="C1028" i="4"/>
  <c r="E1028" i="4" s="1"/>
  <c r="C1029" i="4"/>
  <c r="C1030" i="4"/>
  <c r="E1030" i="4" s="1"/>
  <c r="C1031" i="4"/>
  <c r="E1031" i="4" s="1"/>
  <c r="C1032" i="4"/>
  <c r="F1032" i="4" s="1"/>
  <c r="C1033" i="4"/>
  <c r="F1033" i="4" s="1"/>
  <c r="C1034" i="4"/>
  <c r="E1034" i="4" s="1"/>
  <c r="C1035" i="4"/>
  <c r="E1035" i="4" s="1"/>
  <c r="C1036" i="4"/>
  <c r="F1036" i="4" s="1"/>
  <c r="C1037" i="4"/>
  <c r="E1037" i="4" s="1"/>
  <c r="C1038" i="4"/>
  <c r="E1038" i="4" s="1"/>
  <c r="C1039" i="4"/>
  <c r="C1040" i="4"/>
  <c r="E1040" i="4" s="1"/>
  <c r="C1041" i="4"/>
  <c r="C1042" i="4"/>
  <c r="C1044" i="4"/>
  <c r="C1045" i="4"/>
  <c r="C1047" i="4"/>
  <c r="C1048" i="4"/>
  <c r="E1048" i="4" s="1"/>
  <c r="C1049" i="4"/>
  <c r="C1050" i="4"/>
  <c r="C1051" i="4"/>
  <c r="E1051" i="4" s="1"/>
  <c r="C1052" i="4"/>
  <c r="E1052" i="4" s="1"/>
  <c r="C1053" i="4"/>
  <c r="E1053" i="4" s="1"/>
  <c r="C1054" i="4"/>
  <c r="F1054" i="4" s="1"/>
  <c r="C1055" i="4"/>
  <c r="E1055" i="4" s="1"/>
  <c r="C1056" i="4"/>
  <c r="E1056" i="4" s="1"/>
  <c r="C1057" i="4"/>
  <c r="E1057" i="4" s="1"/>
  <c r="C1058" i="4"/>
  <c r="E1058" i="4" s="1"/>
  <c r="C1059" i="4"/>
  <c r="C1060" i="4"/>
  <c r="C1062" i="4"/>
  <c r="E1062" i="4" s="1"/>
  <c r="C1063" i="4"/>
  <c r="C1064" i="4"/>
  <c r="E1064" i="4" s="1"/>
  <c r="C1066" i="4"/>
  <c r="E1066" i="4" s="1"/>
  <c r="C1067" i="4"/>
  <c r="E1067" i="4" s="1"/>
  <c r="C1068" i="4"/>
  <c r="C1069" i="4"/>
  <c r="C1070" i="4"/>
  <c r="E1070" i="4" s="1"/>
  <c r="C1072" i="4"/>
  <c r="E1072" i="4" s="1"/>
  <c r="C1073" i="4"/>
  <c r="E1073" i="4" s="1"/>
  <c r="C1074" i="4"/>
  <c r="C1075" i="4"/>
  <c r="E1075" i="4" s="1"/>
  <c r="C1076" i="4"/>
  <c r="E1076" i="4" s="1"/>
  <c r="C1077" i="4"/>
  <c r="C1078" i="4"/>
  <c r="E1078" i="4" s="1"/>
  <c r="C1079" i="4"/>
  <c r="E1079" i="4" s="1"/>
  <c r="C1080" i="4"/>
  <c r="E1080" i="4" s="1"/>
  <c r="C1081" i="4"/>
  <c r="E1081" i="4" s="1"/>
  <c r="C1082" i="4"/>
  <c r="E1082" i="4" s="1"/>
  <c r="C1083" i="4"/>
  <c r="E1083" i="4" s="1"/>
  <c r="C1084" i="4"/>
  <c r="F1084" i="4" s="1"/>
  <c r="C1085" i="4"/>
  <c r="E1085" i="4" s="1"/>
  <c r="C1086" i="4"/>
  <c r="E1086" i="4" s="1"/>
  <c r="C1087" i="4"/>
  <c r="C1088" i="4"/>
  <c r="E1088" i="4" s="1"/>
  <c r="C1089" i="4"/>
  <c r="E1089" i="4" s="1"/>
  <c r="C1090" i="4"/>
  <c r="F1090" i="4" s="1"/>
  <c r="C1091" i="4"/>
  <c r="E1091" i="4" s="1"/>
  <c r="C1092" i="4"/>
  <c r="E1092" i="4" s="1"/>
  <c r="C1093" i="4"/>
  <c r="C1094" i="4"/>
  <c r="E1094" i="4" s="1"/>
  <c r="C1095" i="4"/>
  <c r="F1095" i="4" s="1"/>
  <c r="C1096" i="4"/>
  <c r="C1097" i="4"/>
  <c r="C1098" i="4"/>
  <c r="E1098" i="4" s="1"/>
  <c r="C1099" i="4"/>
  <c r="F1099" i="4" s="1"/>
  <c r="C1100" i="4"/>
  <c r="E1100" i="4" s="1"/>
  <c r="C1101" i="4"/>
  <c r="F1101" i="4" s="1"/>
  <c r="C1102" i="4"/>
  <c r="C1103" i="4"/>
  <c r="E1103" i="4" s="1"/>
  <c r="C1104" i="4"/>
  <c r="E1104" i="4" s="1"/>
  <c r="C1105" i="4"/>
  <c r="C1106" i="4"/>
  <c r="F1106" i="4" s="1"/>
  <c r="C1107" i="4"/>
  <c r="E1107" i="4" s="1"/>
  <c r="C1108" i="4"/>
  <c r="E1108" i="4" s="1"/>
  <c r="C1109" i="4"/>
  <c r="E1109" i="4" s="1"/>
  <c r="C1110" i="4"/>
  <c r="E1110" i="4" s="1"/>
  <c r="C1111" i="4"/>
  <c r="E1111" i="4" s="1"/>
  <c r="C1112" i="4"/>
  <c r="E1112" i="4" s="1"/>
  <c r="C1113" i="4"/>
  <c r="E1113" i="4" s="1"/>
  <c r="C1114" i="4"/>
  <c r="E1114" i="4" s="1"/>
  <c r="C1115" i="4"/>
  <c r="C1116" i="4"/>
  <c r="E1116" i="4" s="1"/>
  <c r="C1117" i="4"/>
  <c r="E1117" i="4" s="1"/>
  <c r="C1118" i="4"/>
  <c r="C1119" i="4"/>
  <c r="C1120" i="4"/>
  <c r="E1120" i="4" s="1"/>
  <c r="C1121" i="4"/>
  <c r="E1121" i="4" s="1"/>
  <c r="C1122" i="4"/>
  <c r="C1124" i="4"/>
  <c r="E1124" i="4" s="1"/>
  <c r="C1125" i="4"/>
  <c r="C1126" i="4"/>
  <c r="F1126" i="4" s="1"/>
  <c r="C1127" i="4"/>
  <c r="E1127" i="4" s="1"/>
  <c r="C1128" i="4"/>
  <c r="E1128" i="4" s="1"/>
  <c r="C1129" i="4"/>
  <c r="C1130" i="4"/>
  <c r="E1130" i="4" s="1"/>
  <c r="C1131" i="4"/>
  <c r="E1131" i="4" s="1"/>
  <c r="C1132" i="4"/>
  <c r="F1132" i="4" s="1"/>
  <c r="C1133" i="4"/>
  <c r="E1133" i="4" s="1"/>
  <c r="C1134" i="4"/>
  <c r="C1135" i="4"/>
  <c r="E1135" i="4" s="1"/>
  <c r="C1136" i="4"/>
  <c r="C1137" i="4"/>
  <c r="C1138" i="4"/>
  <c r="E1138" i="4" s="1"/>
  <c r="C1139" i="4"/>
  <c r="C1140" i="4"/>
  <c r="E1140" i="4" s="1"/>
  <c r="C1141" i="4"/>
  <c r="F1141" i="4" s="1"/>
  <c r="C1142" i="4"/>
  <c r="F1142" i="4" s="1"/>
  <c r="C1143" i="4"/>
  <c r="E1143" i="4" s="1"/>
  <c r="C1144" i="4"/>
  <c r="F1144" i="4" s="1"/>
  <c r="C1145" i="4"/>
  <c r="E1145" i="4" s="1"/>
  <c r="C1146" i="4"/>
  <c r="E1146" i="4" s="1"/>
  <c r="C1147" i="4"/>
  <c r="E1147" i="4" s="1"/>
  <c r="C1148" i="4"/>
  <c r="E1148" i="4" s="1"/>
  <c r="C1149" i="4"/>
  <c r="E1149" i="4" s="1"/>
  <c r="C1150" i="4"/>
  <c r="E1150" i="4" s="1"/>
  <c r="C1151" i="4"/>
  <c r="C1152" i="4"/>
  <c r="C1153" i="4"/>
  <c r="E1153" i="4" s="1"/>
  <c r="C1154" i="4"/>
  <c r="C1155" i="4"/>
  <c r="F1155" i="4" s="1"/>
  <c r="C1156" i="4"/>
  <c r="C1157" i="4"/>
  <c r="E1157" i="4" s="1"/>
  <c r="C1158" i="4"/>
  <c r="E1158" i="4" s="1"/>
  <c r="C1159" i="4"/>
  <c r="E1159" i="4" s="1"/>
  <c r="C1162" i="4"/>
  <c r="E1162" i="4" s="1"/>
  <c r="C1163" i="4"/>
  <c r="E1163" i="4" s="1"/>
  <c r="C1164" i="4"/>
  <c r="E1164" i="4" s="1"/>
  <c r="C1165" i="4"/>
  <c r="C1166" i="4"/>
  <c r="C1167" i="4"/>
  <c r="E1167" i="4" s="1"/>
  <c r="C1168" i="4"/>
  <c r="C1169" i="4"/>
  <c r="C1170" i="4"/>
  <c r="E1170" i="4" s="1"/>
  <c r="C1171" i="4"/>
  <c r="F1171" i="4" s="1"/>
  <c r="C1172" i="4"/>
  <c r="F1172" i="4" s="1"/>
  <c r="C1173" i="4"/>
  <c r="C1174" i="4"/>
  <c r="E1174" i="4" s="1"/>
  <c r="C1175" i="4"/>
  <c r="E1175" i="4" s="1"/>
  <c r="C1176" i="4"/>
  <c r="F1176" i="4" s="1"/>
  <c r="C1177" i="4"/>
  <c r="E1177" i="4" s="1"/>
  <c r="C1178" i="4"/>
  <c r="E1178" i="4" s="1"/>
  <c r="C1179" i="4"/>
  <c r="E1179" i="4" s="1"/>
  <c r="C1180" i="4"/>
  <c r="C1181" i="4"/>
  <c r="E1181" i="4" s="1"/>
  <c r="C1182" i="4"/>
  <c r="C1183" i="4"/>
  <c r="C1184" i="4"/>
  <c r="C1185" i="4"/>
  <c r="E1185" i="4" s="1"/>
  <c r="C1186" i="4"/>
  <c r="C1187" i="4"/>
  <c r="E1187" i="4" s="1"/>
  <c r="C1188" i="4"/>
  <c r="C1189" i="4"/>
  <c r="C1190" i="4"/>
  <c r="E1190" i="4" s="1"/>
  <c r="C1191" i="4"/>
  <c r="E1191" i="4" s="1"/>
  <c r="C1192" i="4"/>
  <c r="F1192" i="4" s="1"/>
  <c r="C1193" i="4"/>
  <c r="E1193" i="4" s="1"/>
  <c r="C1194" i="4"/>
  <c r="E1194" i="4" s="1"/>
  <c r="C1195" i="4"/>
  <c r="E1195" i="4" s="1"/>
  <c r="C1196" i="4"/>
  <c r="E1196" i="4" s="1"/>
  <c r="C1197" i="4"/>
  <c r="E1197" i="4" s="1"/>
  <c r="C1198" i="4"/>
  <c r="C1199" i="4"/>
  <c r="C1200" i="4"/>
  <c r="F1200" i="4" s="1"/>
  <c r="C1201" i="4"/>
  <c r="C1202" i="4"/>
  <c r="E1202" i="4" s="1"/>
  <c r="C1203" i="4"/>
  <c r="E1203" i="4" s="1"/>
  <c r="C1204" i="4"/>
  <c r="E1204" i="4" s="1"/>
  <c r="C1205" i="4"/>
  <c r="E1205" i="4" s="1"/>
  <c r="C1206" i="4"/>
  <c r="E1206" i="4" s="1"/>
  <c r="C1207" i="4"/>
  <c r="E1207" i="4" s="1"/>
  <c r="C1208" i="4"/>
  <c r="F1208" i="4" s="1"/>
  <c r="C1209" i="4"/>
  <c r="E1209" i="4" s="1"/>
  <c r="C1210" i="4"/>
  <c r="E1210" i="4" s="1"/>
  <c r="C1211" i="4"/>
  <c r="E1211" i="4" s="1"/>
  <c r="C1212" i="4"/>
  <c r="C1213" i="4"/>
  <c r="C1214" i="4"/>
  <c r="E1214" i="4" s="1"/>
  <c r="C1215" i="4"/>
  <c r="F1215" i="4" s="1"/>
  <c r="C1216" i="4"/>
  <c r="C1217" i="4"/>
  <c r="C1218" i="4"/>
  <c r="E1218" i="4" s="1"/>
  <c r="C1219" i="4"/>
  <c r="E1219" i="4" s="1"/>
  <c r="C1220" i="4"/>
  <c r="C1221" i="4"/>
  <c r="C1222" i="4"/>
  <c r="E1222" i="4" s="1"/>
  <c r="C1223" i="4"/>
  <c r="F1223" i="4" s="1"/>
  <c r="C1224" i="4"/>
  <c r="E1224" i="4" s="1"/>
  <c r="C1225" i="4"/>
  <c r="C1226" i="4"/>
  <c r="E1226" i="4" s="1"/>
  <c r="C1227" i="4"/>
  <c r="E1227" i="4" s="1"/>
  <c r="C1228" i="4"/>
  <c r="E1228" i="4" s="1"/>
  <c r="C1229" i="4"/>
  <c r="C1230" i="4"/>
  <c r="E1230" i="4" s="1"/>
  <c r="C1231" i="4"/>
  <c r="C1232" i="4"/>
  <c r="E1232" i="4" s="1"/>
  <c r="C1233" i="4"/>
  <c r="F1233" i="4" s="1"/>
  <c r="C1234" i="4"/>
  <c r="E1234" i="4" s="1"/>
  <c r="C1235" i="4"/>
  <c r="E1235" i="4" s="1"/>
  <c r="C1236" i="4"/>
  <c r="E1236" i="4" s="1"/>
  <c r="C1237" i="4"/>
  <c r="E1237" i="4" s="1"/>
  <c r="C1238" i="4"/>
  <c r="E1238" i="4" s="1"/>
  <c r="C1239" i="4"/>
  <c r="C1240" i="4"/>
  <c r="C1241" i="4"/>
  <c r="C1242" i="4"/>
  <c r="E1242" i="4" s="1"/>
  <c r="C1243" i="4"/>
  <c r="E1243" i="4" s="1"/>
  <c r="C1244" i="4"/>
  <c r="E1244" i="4" s="1"/>
  <c r="C1245" i="4"/>
  <c r="C1250" i="4"/>
  <c r="E1250" i="4" s="1"/>
  <c r="C1251" i="4"/>
  <c r="E1251" i="4" s="1"/>
  <c r="C1252" i="4"/>
  <c r="E1252" i="4" s="1"/>
  <c r="C1253" i="4"/>
  <c r="F1253" i="4" s="1"/>
  <c r="C1254" i="4"/>
  <c r="E1254" i="4" s="1"/>
  <c r="C1255" i="4"/>
  <c r="E1255" i="4" s="1"/>
  <c r="C1256" i="4"/>
  <c r="E1256" i="4" s="1"/>
  <c r="C1257" i="4"/>
  <c r="C1258" i="4"/>
  <c r="E1258" i="4" s="1"/>
  <c r="C1259" i="4"/>
  <c r="F1259" i="4" s="1"/>
  <c r="C1260" i="4"/>
  <c r="F1260" i="4" s="1"/>
  <c r="C1261" i="4"/>
  <c r="C1262" i="4"/>
  <c r="E1262" i="4" s="1"/>
  <c r="C1263" i="4"/>
  <c r="E1263" i="4" s="1"/>
  <c r="C1264" i="4"/>
  <c r="C1265" i="4"/>
  <c r="C1266" i="4"/>
  <c r="E1266" i="4" s="1"/>
  <c r="C1267" i="4"/>
  <c r="F1267" i="4" s="1"/>
  <c r="C1268" i="4"/>
  <c r="C1269" i="4"/>
  <c r="C1270" i="4"/>
  <c r="E1270" i="4" s="1"/>
  <c r="C1271" i="4"/>
  <c r="F1271" i="4" s="1"/>
  <c r="C1272" i="4"/>
  <c r="E1272" i="4" s="1"/>
  <c r="C1273" i="4"/>
  <c r="E1273" i="4" s="1"/>
  <c r="C1274" i="4"/>
  <c r="C1275" i="4"/>
  <c r="E1275" i="4" s="1"/>
  <c r="C1276" i="4"/>
  <c r="E1276" i="4" s="1"/>
  <c r="C1277" i="4"/>
  <c r="F1277" i="4" s="1"/>
  <c r="C1278" i="4"/>
  <c r="E1278" i="4" s="1"/>
  <c r="C1279" i="4"/>
  <c r="E1279" i="4" s="1"/>
  <c r="C1280" i="4"/>
  <c r="E1280" i="4" s="1"/>
  <c r="C1281" i="4"/>
  <c r="C1282" i="4"/>
  <c r="E1282" i="4" s="1"/>
  <c r="C1283" i="4"/>
  <c r="E1283" i="4" s="1"/>
  <c r="C1284" i="4"/>
  <c r="C1285" i="4"/>
  <c r="C1286" i="4"/>
  <c r="E1286" i="4" s="1"/>
  <c r="C1287" i="4"/>
  <c r="E1287" i="4" s="1"/>
  <c r="C1288" i="4"/>
  <c r="E1288" i="4" s="1"/>
  <c r="C1289" i="4"/>
  <c r="C1290" i="4"/>
  <c r="E1290" i="4" s="1"/>
  <c r="C1291" i="4"/>
  <c r="E1291" i="4" s="1"/>
  <c r="C1292" i="4"/>
  <c r="C1293" i="4"/>
  <c r="C1294" i="4"/>
  <c r="C1295" i="4"/>
  <c r="E1295" i="4" s="1"/>
  <c r="C1296" i="4"/>
  <c r="C1297" i="4"/>
  <c r="F1297" i="4" s="1"/>
  <c r="C1298" i="4"/>
  <c r="F1298" i="4" s="1"/>
  <c r="C1299" i="4"/>
  <c r="F1299" i="4" s="1"/>
  <c r="C1300" i="4"/>
  <c r="C1301" i="4"/>
  <c r="C1302" i="4"/>
  <c r="C1303" i="4"/>
  <c r="F1303" i="4" s="1"/>
  <c r="C1306" i="4"/>
  <c r="E1306" i="4" s="1"/>
  <c r="C1307" i="4"/>
  <c r="E1307" i="4" s="1"/>
  <c r="C1308" i="4"/>
  <c r="E1308" i="4" s="1"/>
  <c r="C1309" i="4"/>
  <c r="E1309" i="4" s="1"/>
  <c r="C1310" i="4"/>
  <c r="E1310" i="4" s="1"/>
  <c r="C1311" i="4"/>
  <c r="C1312" i="4"/>
  <c r="E1312" i="4" s="1"/>
  <c r="C1313" i="4"/>
  <c r="E1313" i="4" s="1"/>
  <c r="C1314" i="4"/>
  <c r="E1314" i="4" s="1"/>
  <c r="C1315" i="4"/>
  <c r="E1315" i="4" s="1"/>
  <c r="C1316" i="4"/>
  <c r="F1316" i="4" s="1"/>
  <c r="A21" i="6"/>
  <c r="A20" i="6"/>
  <c r="C122" i="1"/>
  <c r="F516" i="4" s="1"/>
  <c r="C1304" i="4"/>
  <c r="F1304" i="4" s="1"/>
  <c r="G1304" i="4" s="1"/>
  <c r="C121" i="1"/>
  <c r="F164" i="4" s="1"/>
  <c r="C111" i="1"/>
  <c r="C106" i="1"/>
  <c r="C9" i="1"/>
  <c r="D208" i="14"/>
  <c r="C6" i="1"/>
  <c r="F487" i="4" s="1"/>
  <c r="C60" i="1"/>
  <c r="C169" i="1"/>
  <c r="G1012" i="4"/>
  <c r="K921" i="4"/>
  <c r="B144" i="2"/>
  <c r="B145" i="2"/>
  <c r="B143" i="2"/>
  <c r="B142" i="2"/>
  <c r="B141" i="2"/>
  <c r="C145" i="2"/>
  <c r="C144" i="2"/>
  <c r="C143" i="2"/>
  <c r="C142" i="2"/>
  <c r="C141" i="2"/>
  <c r="B135" i="2"/>
  <c r="B136" i="2"/>
  <c r="B137" i="2"/>
  <c r="B138" i="2"/>
  <c r="B139" i="2"/>
  <c r="B140" i="2"/>
  <c r="C87" i="1"/>
  <c r="F1028" i="4" s="1"/>
  <c r="C125" i="1"/>
  <c r="A19" i="6"/>
  <c r="F3" i="4"/>
  <c r="F6" i="4"/>
  <c r="F9" i="4"/>
  <c r="F10" i="4"/>
  <c r="F12" i="4"/>
  <c r="F23" i="4"/>
  <c r="F29" i="4"/>
  <c r="F30" i="4"/>
  <c r="F36" i="4"/>
  <c r="F49" i="4"/>
  <c r="F51" i="4"/>
  <c r="F60" i="4"/>
  <c r="F65" i="4"/>
  <c r="F69" i="4"/>
  <c r="F76" i="4"/>
  <c r="F84" i="4"/>
  <c r="F89" i="4"/>
  <c r="F94" i="4"/>
  <c r="F96" i="4"/>
  <c r="F101" i="4"/>
  <c r="F102" i="4"/>
  <c r="F103" i="4"/>
  <c r="F107" i="4"/>
  <c r="F111" i="4"/>
  <c r="G111" i="4" s="1"/>
  <c r="F120" i="4"/>
  <c r="F125" i="4"/>
  <c r="F126" i="4"/>
  <c r="F128" i="4"/>
  <c r="G128" i="4" s="1"/>
  <c r="F132" i="4"/>
  <c r="F133" i="4"/>
  <c r="F134" i="4"/>
  <c r="F137" i="4"/>
  <c r="F139" i="4"/>
  <c r="F143" i="4"/>
  <c r="F147" i="4"/>
  <c r="G147" i="4" s="1"/>
  <c r="F156" i="4"/>
  <c r="F157" i="4"/>
  <c r="F159" i="4"/>
  <c r="F161" i="4"/>
  <c r="F174" i="4"/>
  <c r="F183" i="4"/>
  <c r="F184" i="4"/>
  <c r="F188" i="4"/>
  <c r="F193" i="4"/>
  <c r="F203" i="4"/>
  <c r="F208" i="4"/>
  <c r="F212" i="4"/>
  <c r="F214" i="4"/>
  <c r="F216" i="4"/>
  <c r="G216" i="4"/>
  <c r="F217" i="4"/>
  <c r="F218" i="4"/>
  <c r="F220" i="4"/>
  <c r="F229" i="4"/>
  <c r="F237" i="4"/>
  <c r="G237" i="4" s="1"/>
  <c r="F243" i="4"/>
  <c r="F246" i="4"/>
  <c r="F248" i="4"/>
  <c r="G248" i="4" s="1"/>
  <c r="F252" i="4"/>
  <c r="F253" i="4"/>
  <c r="F257" i="4"/>
  <c r="F261" i="4"/>
  <c r="F262" i="4"/>
  <c r="F263" i="4"/>
  <c r="F264" i="4"/>
  <c r="F268" i="4"/>
  <c r="F272" i="4"/>
  <c r="F274" i="4"/>
  <c r="F276" i="4"/>
  <c r="F279" i="4"/>
  <c r="F294" i="4"/>
  <c r="F301" i="4"/>
  <c r="F309" i="4"/>
  <c r="F310" i="4"/>
  <c r="F311" i="4"/>
  <c r="F312" i="4"/>
  <c r="F316" i="4"/>
  <c r="F317" i="4"/>
  <c r="F320" i="4"/>
  <c r="F323" i="4"/>
  <c r="F326" i="4"/>
  <c r="F330" i="4"/>
  <c r="F331" i="4"/>
  <c r="F342" i="4"/>
  <c r="F343" i="4"/>
  <c r="F348" i="4"/>
  <c r="F350" i="4"/>
  <c r="F352" i="4"/>
  <c r="G352" i="4" s="1"/>
  <c r="F355" i="4"/>
  <c r="F362" i="4"/>
  <c r="F371" i="4"/>
  <c r="F378" i="4"/>
  <c r="F385" i="4"/>
  <c r="F391" i="4"/>
  <c r="F394" i="4"/>
  <c r="F403" i="4"/>
  <c r="F408" i="4"/>
  <c r="F409" i="4"/>
  <c r="F411" i="4"/>
  <c r="F416" i="4"/>
  <c r="F422" i="4"/>
  <c r="F425" i="4"/>
  <c r="F427" i="4"/>
  <c r="F430" i="4"/>
  <c r="F435" i="4"/>
  <c r="F437" i="4"/>
  <c r="F441" i="4"/>
  <c r="F446" i="4"/>
  <c r="F449" i="4"/>
  <c r="F456" i="4"/>
  <c r="F457" i="4"/>
  <c r="F458" i="4"/>
  <c r="G458" i="4" s="1"/>
  <c r="F461" i="4"/>
  <c r="F462" i="4"/>
  <c r="F467" i="4"/>
  <c r="F473" i="4"/>
  <c r="F476" i="4"/>
  <c r="F478" i="4"/>
  <c r="F494" i="4"/>
  <c r="F498" i="4"/>
  <c r="F500" i="4"/>
  <c r="F504" i="4"/>
  <c r="F509" i="4"/>
  <c r="F524" i="4"/>
  <c r="F525" i="4"/>
  <c r="F527" i="4"/>
  <c r="F531" i="4"/>
  <c r="C134" i="2"/>
  <c r="B134" i="2"/>
  <c r="C133" i="2"/>
  <c r="B133" i="2"/>
  <c r="B131" i="2"/>
  <c r="B132" i="2"/>
  <c r="C132" i="2"/>
  <c r="C131" i="2"/>
  <c r="C130" i="2"/>
  <c r="B130" i="2"/>
  <c r="C129" i="2"/>
  <c r="B129" i="2"/>
  <c r="B128" i="2"/>
  <c r="B121" i="2"/>
  <c r="B122" i="2"/>
  <c r="B123" i="2"/>
  <c r="B124" i="2"/>
  <c r="B125" i="2"/>
  <c r="B126" i="2"/>
  <c r="B127" i="2"/>
  <c r="E125" i="2"/>
  <c r="C120" i="2"/>
  <c r="B120" i="2"/>
  <c r="B118" i="2"/>
  <c r="B119" i="2"/>
  <c r="C119" i="2"/>
  <c r="C118" i="2"/>
  <c r="C117" i="2"/>
  <c r="B117" i="2"/>
  <c r="A18" i="6"/>
  <c r="C190" i="1"/>
  <c r="D153" i="14" s="1"/>
  <c r="F5757" i="4" s="1"/>
  <c r="C189" i="1"/>
  <c r="D127" i="14" s="1"/>
  <c r="F5636" i="4" s="1"/>
  <c r="C188" i="1"/>
  <c r="C161" i="1"/>
  <c r="C187" i="1"/>
  <c r="D126" i="14" s="1"/>
  <c r="F5328" i="4" s="1"/>
  <c r="C95" i="1"/>
  <c r="C176" i="1"/>
  <c r="F510" i="4" s="1"/>
  <c r="C81" i="1"/>
  <c r="C99" i="1"/>
  <c r="D140" i="14" s="1"/>
  <c r="F3106" i="4" s="1"/>
  <c r="F329" i="4"/>
  <c r="C65" i="1"/>
  <c r="C163" i="1"/>
  <c r="D220" i="14" s="1"/>
  <c r="F5827" i="4" s="1"/>
  <c r="C143" i="1"/>
  <c r="D69" i="14"/>
  <c r="F5331" i="4" s="1"/>
  <c r="A17" i="6"/>
  <c r="C10" i="1"/>
  <c r="F423" i="4" s="1"/>
  <c r="C166" i="1"/>
  <c r="C171" i="1"/>
  <c r="C86" i="1"/>
  <c r="A16" i="6"/>
  <c r="C116" i="2"/>
  <c r="B116" i="2"/>
  <c r="C115" i="2"/>
  <c r="B115" i="2"/>
  <c r="C114" i="2"/>
  <c r="B114" i="2"/>
  <c r="B112" i="2"/>
  <c r="B113" i="2"/>
  <c r="B111" i="2"/>
  <c r="C110" i="2"/>
  <c r="B110" i="2"/>
  <c r="C109" i="2"/>
  <c r="B109" i="2"/>
  <c r="C108" i="2"/>
  <c r="B108" i="2"/>
  <c r="C107" i="2"/>
  <c r="B107" i="2"/>
  <c r="C106" i="2"/>
  <c r="B106" i="2"/>
  <c r="C105" i="2"/>
  <c r="B105" i="2"/>
  <c r="B104" i="2"/>
  <c r="C104" i="2"/>
  <c r="B101" i="2"/>
  <c r="B102" i="2"/>
  <c r="B103" i="2"/>
  <c r="B100" i="2"/>
  <c r="C101" i="2"/>
  <c r="C100" i="2"/>
  <c r="B98" i="2"/>
  <c r="B99" i="2"/>
  <c r="B97" i="2"/>
  <c r="B96" i="2"/>
  <c r="C99" i="2"/>
  <c r="C98" i="2"/>
  <c r="C97" i="2"/>
  <c r="C96" i="2"/>
  <c r="C95" i="2"/>
  <c r="B95" i="2"/>
  <c r="C180" i="1"/>
  <c r="D124" i="14" s="1"/>
  <c r="F2860" i="4" s="1"/>
  <c r="C90" i="1"/>
  <c r="C181" i="1"/>
  <c r="D125" i="14" s="1"/>
  <c r="C110" i="1"/>
  <c r="F589" i="4" s="1"/>
  <c r="C141" i="1"/>
  <c r="D147" i="14" s="1"/>
  <c r="C98" i="1"/>
  <c r="C173" i="1"/>
  <c r="A15" i="6"/>
  <c r="C70" i="1"/>
  <c r="C182" i="1"/>
  <c r="D109" i="14" s="1"/>
  <c r="F5653" i="4" s="1"/>
  <c r="A14" i="6"/>
  <c r="C131" i="1"/>
  <c r="C64" i="1"/>
  <c r="C104" i="1"/>
  <c r="G94" i="2"/>
  <c r="G93" i="2"/>
  <c r="G91" i="2"/>
  <c r="G92" i="2"/>
  <c r="G90" i="2"/>
  <c r="G89" i="2"/>
  <c r="G88" i="2"/>
  <c r="B91" i="2"/>
  <c r="B92" i="2"/>
  <c r="B93" i="2"/>
  <c r="B94" i="2"/>
  <c r="B90" i="2"/>
  <c r="B89" i="2"/>
  <c r="C94" i="2"/>
  <c r="C93" i="2"/>
  <c r="C92" i="2"/>
  <c r="C91" i="2"/>
  <c r="C90" i="2"/>
  <c r="C89" i="2"/>
  <c r="C88" i="2"/>
  <c r="B88" i="2"/>
  <c r="A13" i="6"/>
  <c r="C41" i="1"/>
  <c r="F62" i="4" s="1"/>
  <c r="C78" i="1"/>
  <c r="F388" i="4" s="1"/>
  <c r="C87" i="2"/>
  <c r="C86" i="2"/>
  <c r="B86" i="2"/>
  <c r="B87" i="2"/>
  <c r="C85" i="2"/>
  <c r="B85" i="2"/>
  <c r="I77" i="2"/>
  <c r="I78" i="2"/>
  <c r="I83" i="2"/>
  <c r="I84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C82" i="2"/>
  <c r="I82" i="2" s="1"/>
  <c r="C81" i="2"/>
  <c r="I81" i="2" s="1"/>
  <c r="C80" i="2"/>
  <c r="I80" i="2" s="1"/>
  <c r="C79" i="2"/>
  <c r="I79" i="2" s="1"/>
  <c r="C76" i="2"/>
  <c r="I76" i="2" s="1"/>
  <c r="C75" i="2"/>
  <c r="I75" i="2" s="1"/>
  <c r="C74" i="2"/>
  <c r="I74" i="2" s="1"/>
  <c r="E73" i="2"/>
  <c r="C73" i="2"/>
  <c r="I73" i="2" s="1"/>
  <c r="E68" i="2"/>
  <c r="C72" i="2"/>
  <c r="I72" i="2" s="1"/>
  <c r="C71" i="2"/>
  <c r="I71" i="2" s="1"/>
  <c r="C70" i="2"/>
  <c r="I70" i="2" s="1"/>
  <c r="C69" i="2"/>
  <c r="I69" i="2" s="1"/>
  <c r="C68" i="2"/>
  <c r="I68" i="2" s="1"/>
  <c r="C67" i="2"/>
  <c r="I67" i="2" s="1"/>
  <c r="B66" i="2"/>
  <c r="E66" i="2"/>
  <c r="C66" i="2"/>
  <c r="I66" i="2" s="1"/>
  <c r="I65" i="2"/>
  <c r="C64" i="2"/>
  <c r="I64" i="2" s="1"/>
  <c r="B64" i="2"/>
  <c r="B65" i="2"/>
  <c r="C63" i="2"/>
  <c r="I63" i="2" s="1"/>
  <c r="C62" i="2"/>
  <c r="I62" i="2"/>
  <c r="C61" i="2"/>
  <c r="I61" i="2" s="1"/>
  <c r="C60" i="2"/>
  <c r="I60" i="2" s="1"/>
  <c r="B59" i="2"/>
  <c r="B60" i="2"/>
  <c r="B61" i="2"/>
  <c r="B62" i="2"/>
  <c r="B63" i="2"/>
  <c r="E59" i="2"/>
  <c r="E60" i="2"/>
  <c r="E61" i="2"/>
  <c r="E62" i="2"/>
  <c r="E63" i="2"/>
  <c r="E64" i="2"/>
  <c r="E65" i="2"/>
  <c r="C59" i="2"/>
  <c r="I59" i="2" s="1"/>
  <c r="E58" i="2"/>
  <c r="C58" i="2"/>
  <c r="I58" i="2" s="1"/>
  <c r="B58" i="2"/>
  <c r="C57" i="2"/>
  <c r="I57" i="2" s="1"/>
  <c r="B57" i="2"/>
  <c r="C56" i="2"/>
  <c r="I56" i="2" s="1"/>
  <c r="B56" i="2"/>
  <c r="A12" i="6"/>
  <c r="A11" i="6"/>
  <c r="C55" i="2"/>
  <c r="I55" i="2" s="1"/>
  <c r="B55" i="2"/>
  <c r="C54" i="2"/>
  <c r="I54" i="2" s="1"/>
  <c r="B54" i="2"/>
  <c r="B53" i="2"/>
  <c r="C53" i="2"/>
  <c r="I53" i="2" s="1"/>
  <c r="C52" i="2"/>
  <c r="I52" i="2" s="1"/>
  <c r="B52" i="2"/>
  <c r="C535" i="4"/>
  <c r="C534" i="4"/>
  <c r="C533" i="4"/>
  <c r="C532" i="4"/>
  <c r="C531" i="4"/>
  <c r="C529" i="4"/>
  <c r="C525" i="4"/>
  <c r="C526" i="4"/>
  <c r="C528" i="4"/>
  <c r="C527" i="4"/>
  <c r="C524" i="4"/>
  <c r="C523" i="4"/>
  <c r="C522" i="4"/>
  <c r="A10" i="6"/>
  <c r="C521" i="4"/>
  <c r="C520" i="4"/>
  <c r="C518" i="4"/>
  <c r="C517" i="4"/>
  <c r="C516" i="4"/>
  <c r="C515" i="4"/>
  <c r="C514" i="4"/>
  <c r="C513" i="4"/>
  <c r="C512" i="4"/>
  <c r="C511" i="4"/>
  <c r="C510" i="4"/>
  <c r="C509" i="4"/>
  <c r="C507" i="4"/>
  <c r="C505" i="4"/>
  <c r="C504" i="4"/>
  <c r="C503" i="4"/>
  <c r="C502" i="4"/>
  <c r="C501" i="4"/>
  <c r="C499" i="4"/>
  <c r="C500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A2" i="6"/>
  <c r="A3" i="6"/>
  <c r="A5" i="6"/>
  <c r="A9" i="6"/>
  <c r="B50" i="2"/>
  <c r="B51" i="2"/>
  <c r="C51" i="2"/>
  <c r="I51" i="2" s="1"/>
  <c r="C50" i="2"/>
  <c r="I50" i="2" s="1"/>
  <c r="B49" i="2"/>
  <c r="C49" i="2"/>
  <c r="I49" i="2" s="1"/>
  <c r="B47" i="2"/>
  <c r="B48" i="2"/>
  <c r="B46" i="2"/>
  <c r="B44" i="2"/>
  <c r="B45" i="2"/>
  <c r="C48" i="2"/>
  <c r="I48" i="2" s="1"/>
  <c r="C47" i="2"/>
  <c r="I47" i="2" s="1"/>
  <c r="C46" i="2"/>
  <c r="I46" i="2" s="1"/>
  <c r="C45" i="2"/>
  <c r="I45" i="2" s="1"/>
  <c r="C44" i="2"/>
  <c r="I44" i="2" s="1"/>
  <c r="C43" i="2"/>
  <c r="I43" i="2" s="1"/>
  <c r="B43" i="2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170" i="1"/>
  <c r="C420" i="4"/>
  <c r="C419" i="4"/>
  <c r="C418" i="4"/>
  <c r="C417" i="4"/>
  <c r="C416" i="4"/>
  <c r="C415" i="4"/>
  <c r="C414" i="4"/>
  <c r="C413" i="4"/>
  <c r="C411" i="4"/>
  <c r="C412" i="4"/>
  <c r="C410" i="4"/>
  <c r="C409" i="4"/>
  <c r="C408" i="4"/>
  <c r="C407" i="4"/>
  <c r="C406" i="4"/>
  <c r="C405" i="4"/>
  <c r="A8" i="6"/>
  <c r="C404" i="4"/>
  <c r="C403" i="4"/>
  <c r="C167" i="1"/>
  <c r="C402" i="4"/>
  <c r="C401" i="4"/>
  <c r="C400" i="4"/>
  <c r="C165" i="1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164" i="1"/>
  <c r="D221" i="14" s="1"/>
  <c r="F4658" i="4" s="1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6" i="4"/>
  <c r="C365" i="4"/>
  <c r="C367" i="4"/>
  <c r="C364" i="4"/>
  <c r="C363" i="4"/>
  <c r="C362" i="4"/>
  <c r="C361" i="4"/>
  <c r="C360" i="4"/>
  <c r="C359" i="4"/>
  <c r="C358" i="4"/>
  <c r="C356" i="4"/>
  <c r="C355" i="4"/>
  <c r="C354" i="4"/>
  <c r="C357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B37" i="2"/>
  <c r="B38" i="2"/>
  <c r="B39" i="2"/>
  <c r="B40" i="2"/>
  <c r="B41" i="2"/>
  <c r="B42" i="2"/>
  <c r="A6" i="6"/>
  <c r="G42" i="2"/>
  <c r="G41" i="2"/>
  <c r="G40" i="2"/>
  <c r="G37" i="2"/>
  <c r="G35" i="2"/>
  <c r="I37" i="2"/>
  <c r="I41" i="2"/>
  <c r="I42" i="2"/>
  <c r="C40" i="2"/>
  <c r="I40" i="2" s="1"/>
  <c r="E39" i="2"/>
  <c r="E38" i="2"/>
  <c r="C39" i="2"/>
  <c r="I39" i="2" s="1"/>
  <c r="C38" i="2"/>
  <c r="I38" i="2" s="1"/>
  <c r="E37" i="2"/>
  <c r="E36" i="2"/>
  <c r="C36" i="2"/>
  <c r="I36" i="2" s="1"/>
  <c r="B36" i="2"/>
  <c r="B35" i="2"/>
  <c r="C35" i="2"/>
  <c r="I35" i="2" s="1"/>
  <c r="G34" i="2"/>
  <c r="B34" i="2"/>
  <c r="C34" i="2"/>
  <c r="I34" i="2" s="1"/>
  <c r="C263" i="4"/>
  <c r="C262" i="4"/>
  <c r="C261" i="4"/>
  <c r="C260" i="4"/>
  <c r="C158" i="1"/>
  <c r="C259" i="4"/>
  <c r="C258" i="4"/>
  <c r="C257" i="4"/>
  <c r="C256" i="4"/>
  <c r="C255" i="4"/>
  <c r="C254" i="4"/>
  <c r="C253" i="4"/>
  <c r="C252" i="4"/>
  <c r="C251" i="4"/>
  <c r="C250" i="4"/>
  <c r="C249" i="4"/>
  <c r="C247" i="4"/>
  <c r="C246" i="4"/>
  <c r="C155" i="1"/>
  <c r="F245" i="4" s="1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A4" i="6"/>
  <c r="G33" i="2"/>
  <c r="G32" i="2"/>
  <c r="C33" i="2"/>
  <c r="I33" i="2" s="1"/>
  <c r="C32" i="2"/>
  <c r="I32" i="2" s="1"/>
  <c r="C31" i="2"/>
  <c r="I31" i="2" s="1"/>
  <c r="B33" i="2"/>
  <c r="B32" i="2"/>
  <c r="C209" i="4"/>
  <c r="C208" i="4"/>
  <c r="C207" i="4"/>
  <c r="C206" i="4"/>
  <c r="C205" i="4"/>
  <c r="C204" i="4"/>
  <c r="C203" i="4"/>
  <c r="C202" i="4"/>
  <c r="C151" i="1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G150" i="1"/>
  <c r="G151" i="1"/>
  <c r="C150" i="1"/>
  <c r="D122" i="14" s="1"/>
  <c r="C176" i="4"/>
  <c r="C175" i="4"/>
  <c r="C174" i="4"/>
  <c r="C173" i="4"/>
  <c r="C172" i="4"/>
  <c r="C171" i="4"/>
  <c r="C170" i="4"/>
  <c r="C169" i="4"/>
  <c r="G149" i="1"/>
  <c r="C168" i="4"/>
  <c r="C167" i="4"/>
  <c r="C166" i="4"/>
  <c r="C165" i="4"/>
  <c r="C164" i="4"/>
  <c r="C163" i="4"/>
  <c r="C162" i="4"/>
  <c r="C161" i="4"/>
  <c r="C160" i="4"/>
  <c r="C159" i="4"/>
  <c r="C158" i="4"/>
  <c r="G29" i="2"/>
  <c r="G28" i="2"/>
  <c r="G30" i="2"/>
  <c r="G31" i="2"/>
  <c r="C30" i="2"/>
  <c r="I30" i="2" s="1"/>
  <c r="B31" i="2"/>
  <c r="B30" i="2"/>
  <c r="B29" i="2"/>
  <c r="C29" i="2"/>
  <c r="I29" i="2" s="1"/>
  <c r="C28" i="2"/>
  <c r="I28" i="2" s="1"/>
  <c r="B28" i="2"/>
  <c r="C157" i="4"/>
  <c r="G148" i="1"/>
  <c r="C156" i="4"/>
  <c r="G147" i="1"/>
  <c r="C155" i="4"/>
  <c r="C154" i="4"/>
  <c r="C153" i="4"/>
  <c r="C146" i="1"/>
  <c r="D115" i="14" s="1"/>
  <c r="F4076" i="4" s="1"/>
  <c r="C152" i="4"/>
  <c r="G146" i="1"/>
  <c r="G145" i="1"/>
  <c r="C151" i="4"/>
  <c r="C150" i="4"/>
  <c r="C149" i="4"/>
  <c r="C148" i="4"/>
  <c r="C147" i="4"/>
  <c r="C146" i="4"/>
  <c r="C145" i="4"/>
  <c r="G144" i="1"/>
  <c r="C144" i="1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53" i="1"/>
  <c r="F1856" i="4" s="1"/>
  <c r="C131" i="4"/>
  <c r="C130" i="4"/>
  <c r="C129" i="4"/>
  <c r="C128" i="4"/>
  <c r="C127" i="4"/>
  <c r="G135" i="1"/>
  <c r="G136" i="1" s="1"/>
  <c r="G137" i="1" s="1"/>
  <c r="G138" i="1" s="1"/>
  <c r="G139" i="1" s="1"/>
  <c r="G140" i="1" s="1"/>
  <c r="G141" i="1" s="1"/>
  <c r="G142" i="1" s="1"/>
  <c r="G143" i="1" s="1"/>
  <c r="C126" i="4"/>
  <c r="C125" i="4"/>
  <c r="C124" i="4"/>
  <c r="C123" i="4"/>
  <c r="C122" i="4"/>
  <c r="C121" i="4"/>
  <c r="C120" i="4"/>
  <c r="C119" i="4"/>
  <c r="C118" i="4"/>
  <c r="C117" i="4"/>
  <c r="C134" i="1"/>
  <c r="C116" i="4"/>
  <c r="C114" i="4"/>
  <c r="C115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99" i="4"/>
  <c r="C98" i="4"/>
  <c r="C100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G128" i="1"/>
  <c r="C128" i="1"/>
  <c r="F74" i="4" s="1"/>
  <c r="C73" i="4"/>
  <c r="C72" i="4"/>
  <c r="G123" i="1"/>
  <c r="G116" i="1"/>
  <c r="G115" i="1"/>
  <c r="G121" i="1"/>
  <c r="G124" i="1"/>
  <c r="G125" i="1"/>
  <c r="G127" i="1"/>
  <c r="C127" i="1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124" i="1"/>
  <c r="D201" i="14" s="1"/>
  <c r="F1936" i="4" s="1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B16" i="2"/>
  <c r="B17" i="2"/>
  <c r="B18" i="2"/>
  <c r="B19" i="2"/>
  <c r="B20" i="2"/>
  <c r="B21" i="2"/>
  <c r="B22" i="2"/>
  <c r="B23" i="2"/>
  <c r="B24" i="2"/>
  <c r="B25" i="2"/>
  <c r="B26" i="2"/>
  <c r="B27" i="2"/>
  <c r="B15" i="2"/>
  <c r="I27" i="2"/>
  <c r="E27" i="2"/>
  <c r="I15" i="2"/>
  <c r="I16" i="2"/>
  <c r="I17" i="2"/>
  <c r="I18" i="2"/>
  <c r="I19" i="2"/>
  <c r="I20" i="2"/>
  <c r="I21" i="2"/>
  <c r="I22" i="2"/>
  <c r="I23" i="2"/>
  <c r="I24" i="2"/>
  <c r="I25" i="2"/>
  <c r="I26" i="2"/>
  <c r="E16" i="2"/>
  <c r="E17" i="2"/>
  <c r="E18" i="2"/>
  <c r="E15" i="2"/>
  <c r="C3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I4" i="2"/>
  <c r="I5" i="2"/>
  <c r="I6" i="2"/>
  <c r="I7" i="2"/>
  <c r="I8" i="2"/>
  <c r="I9" i="2"/>
  <c r="I10" i="2"/>
  <c r="I11" i="2"/>
  <c r="I12" i="2"/>
  <c r="I13" i="2"/>
  <c r="I14" i="2"/>
  <c r="I2" i="2"/>
  <c r="I3" i="2"/>
  <c r="B10" i="2"/>
  <c r="B11" i="2"/>
  <c r="B12" i="2"/>
  <c r="B13" i="2"/>
  <c r="B14" i="2"/>
  <c r="B9" i="2"/>
  <c r="B5" i="2"/>
  <c r="B6" i="2"/>
  <c r="B7" i="2"/>
  <c r="B8" i="2"/>
  <c r="B4" i="2"/>
  <c r="B3" i="2"/>
  <c r="B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3" i="1"/>
  <c r="G44" i="1"/>
  <c r="G45" i="1"/>
  <c r="G46" i="1"/>
  <c r="G47" i="1"/>
  <c r="G48" i="1"/>
  <c r="G49" i="1"/>
  <c r="G50" i="1"/>
  <c r="G51" i="1"/>
  <c r="G52" i="1"/>
  <c r="G54" i="1"/>
  <c r="G69" i="1"/>
  <c r="G70" i="1"/>
  <c r="G71" i="1"/>
  <c r="G72" i="1"/>
  <c r="G73" i="1"/>
  <c r="G74" i="1"/>
  <c r="G75" i="1"/>
  <c r="G76" i="1"/>
  <c r="G77" i="1"/>
  <c r="G78" i="1"/>
  <c r="G79" i="1"/>
  <c r="G80" i="1"/>
  <c r="G87" i="1"/>
  <c r="G88" i="1"/>
  <c r="G89" i="1"/>
  <c r="G90" i="1"/>
  <c r="G91" i="1"/>
  <c r="G92" i="1"/>
  <c r="G2" i="1"/>
  <c r="C113" i="1"/>
  <c r="C109" i="1"/>
  <c r="F26" i="4"/>
  <c r="C103" i="1"/>
  <c r="C102" i="1"/>
  <c r="D143" i="14" s="1"/>
  <c r="C101" i="1"/>
  <c r="D142" i="14" s="1"/>
  <c r="F5708" i="4" s="1"/>
  <c r="C100" i="1"/>
  <c r="F1644" i="4" s="1"/>
  <c r="C91" i="1"/>
  <c r="D48" i="14" s="1"/>
  <c r="F3852" i="4" s="1"/>
  <c r="C88" i="1"/>
  <c r="C85" i="1"/>
  <c r="F436" i="4" s="1"/>
  <c r="D132" i="14"/>
  <c r="F5097" i="4" s="1"/>
  <c r="C83" i="1"/>
  <c r="F412" i="4" s="1"/>
  <c r="C82" i="1"/>
  <c r="D56" i="14" s="1"/>
  <c r="C76" i="1"/>
  <c r="C75" i="1"/>
  <c r="F146" i="4" s="1"/>
  <c r="C74" i="1"/>
  <c r="D60" i="14" s="1"/>
  <c r="F204" i="4"/>
  <c r="C72" i="1"/>
  <c r="D43" i="14" s="1"/>
  <c r="F3804" i="4" s="1"/>
  <c r="C69" i="1"/>
  <c r="D40" i="14"/>
  <c r="C66" i="1"/>
  <c r="F200" i="4"/>
  <c r="C58" i="1"/>
  <c r="C55" i="1"/>
  <c r="C54" i="1"/>
  <c r="F53" i="4" s="1"/>
  <c r="C51" i="1"/>
  <c r="D196" i="14" s="1"/>
  <c r="C42" i="1"/>
  <c r="D187" i="14"/>
  <c r="F5719" i="4" s="1"/>
  <c r="F54" i="4"/>
  <c r="C40" i="1"/>
  <c r="F361" i="4" s="1"/>
  <c r="C37" i="1"/>
  <c r="C29" i="1"/>
  <c r="C27" i="1"/>
  <c r="D28" i="14" s="1"/>
  <c r="C26" i="1"/>
  <c r="C20" i="1"/>
  <c r="D23" i="14"/>
  <c r="F2696" i="4" s="1"/>
  <c r="F110" i="4"/>
  <c r="C18" i="1"/>
  <c r="F247" i="4" s="1"/>
  <c r="G247" i="4" s="1"/>
  <c r="C16" i="1"/>
  <c r="D19" i="14"/>
  <c r="F470" i="4"/>
  <c r="C12" i="1"/>
  <c r="F528" i="4" s="1"/>
  <c r="C11" i="1"/>
  <c r="C8" i="1"/>
  <c r="C7" i="1"/>
  <c r="C2" i="1"/>
  <c r="F92" i="1"/>
  <c r="F91" i="1"/>
  <c r="F90" i="1"/>
  <c r="F89" i="1"/>
  <c r="F88" i="1"/>
  <c r="F87" i="1"/>
  <c r="F80" i="1"/>
  <c r="F79" i="1"/>
  <c r="F78" i="1"/>
  <c r="F77" i="1"/>
  <c r="F72" i="1"/>
  <c r="F73" i="1"/>
  <c r="F74" i="1"/>
  <c r="F75" i="1"/>
  <c r="F76" i="1"/>
  <c r="F71" i="1"/>
  <c r="F70" i="1"/>
  <c r="F69" i="1"/>
  <c r="F41" i="1"/>
  <c r="F54" i="1"/>
  <c r="F52" i="1"/>
  <c r="F51" i="1"/>
  <c r="F50" i="1"/>
  <c r="F49" i="1"/>
  <c r="F48" i="1"/>
  <c r="F47" i="1"/>
  <c r="F46" i="1"/>
  <c r="F45" i="1"/>
  <c r="F44" i="1"/>
  <c r="F43" i="1"/>
  <c r="F40" i="1"/>
  <c r="F39" i="1"/>
  <c r="F38" i="1"/>
  <c r="F37" i="1"/>
  <c r="F36" i="1"/>
  <c r="F35" i="1"/>
  <c r="F34" i="1"/>
  <c r="F33" i="1"/>
  <c r="F31" i="1"/>
  <c r="F32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8" i="1"/>
  <c r="F9" i="1"/>
  <c r="F7" i="1"/>
  <c r="F6" i="1"/>
  <c r="F5" i="1"/>
  <c r="F4" i="1"/>
  <c r="F3" i="1"/>
  <c r="F2" i="1"/>
  <c r="E19" i="2"/>
  <c r="E20" i="2"/>
  <c r="E21" i="2"/>
  <c r="E22" i="2"/>
  <c r="E23" i="2"/>
  <c r="E24" i="2"/>
  <c r="E25" i="2"/>
  <c r="E26" i="2"/>
  <c r="E69" i="2"/>
  <c r="E70" i="2"/>
  <c r="E71" i="2"/>
  <c r="E72" i="2"/>
  <c r="E74" i="2"/>
  <c r="E75" i="2"/>
  <c r="E76" i="2"/>
  <c r="E79" i="2"/>
  <c r="E80" i="2"/>
  <c r="E81" i="2"/>
  <c r="E82" i="2"/>
  <c r="E83" i="2"/>
  <c r="E84" i="2"/>
  <c r="F21" i="4"/>
  <c r="F24" i="4"/>
  <c r="F38" i="4"/>
  <c r="F39" i="4"/>
  <c r="F48" i="4"/>
  <c r="F91" i="4"/>
  <c r="F105" i="4"/>
  <c r="F112" i="4"/>
  <c r="F144" i="4"/>
  <c r="F151" i="4"/>
  <c r="F155" i="4"/>
  <c r="F171" i="4"/>
  <c r="F178" i="4"/>
  <c r="F179" i="4"/>
  <c r="F190" i="4"/>
  <c r="F191" i="4"/>
  <c r="F196" i="4"/>
  <c r="F219" i="4"/>
  <c r="G219" i="4" s="1"/>
  <c r="F221" i="4"/>
  <c r="F236" i="4"/>
  <c r="F239" i="4"/>
  <c r="F240" i="4"/>
  <c r="F255" i="4"/>
  <c r="F258" i="4"/>
  <c r="F292" i="4"/>
  <c r="F298" i="4"/>
  <c r="F302" i="4"/>
  <c r="F319" i="4"/>
  <c r="F333" i="4"/>
  <c r="F335" i="4"/>
  <c r="F383" i="4"/>
  <c r="F392" i="4"/>
  <c r="F395" i="4"/>
  <c r="F396" i="4"/>
  <c r="F428" i="4"/>
  <c r="F445" i="4"/>
  <c r="F450" i="4"/>
  <c r="F501" i="4"/>
  <c r="F503" i="4"/>
  <c r="F514" i="4"/>
  <c r="F532" i="4"/>
  <c r="F559" i="4"/>
  <c r="F949" i="4"/>
  <c r="F1020" i="4"/>
  <c r="F1068" i="4"/>
  <c r="F1105" i="4"/>
  <c r="F1224" i="4"/>
  <c r="F1290" i="4"/>
  <c r="F1306" i="4"/>
  <c r="E1387" i="4"/>
  <c r="F1411" i="4"/>
  <c r="D210" i="14"/>
  <c r="D211" i="14"/>
  <c r="D21" i="14"/>
  <c r="F115" i="4"/>
  <c r="G115" i="4" s="1"/>
  <c r="D199" i="14"/>
  <c r="F5915" i="4" s="1"/>
  <c r="D61" i="14"/>
  <c r="D31" i="14"/>
  <c r="F5638" i="4" s="1"/>
  <c r="F152" i="4"/>
  <c r="G152" i="4" s="1"/>
  <c r="F386" i="4"/>
  <c r="D215" i="14"/>
  <c r="F5319" i="4" s="1"/>
  <c r="F1629" i="4"/>
  <c r="D8" i="14"/>
  <c r="F1692" i="4"/>
  <c r="F1872" i="4"/>
  <c r="D190" i="14"/>
  <c r="F4205" i="4" s="1"/>
  <c r="F1844" i="4"/>
  <c r="F1863" i="4"/>
  <c r="D75" i="14"/>
  <c r="F5809" i="4" s="1"/>
  <c r="D10" i="14"/>
  <c r="F5731" i="4" s="1"/>
  <c r="F5686" i="4"/>
  <c r="F1870" i="4"/>
  <c r="D213" i="14"/>
  <c r="F5903" i="4" s="1"/>
  <c r="F1876" i="4"/>
  <c r="F1866" i="4"/>
  <c r="D229" i="14"/>
  <c r="F2185" i="4"/>
  <c r="F2307" i="4"/>
  <c r="F2196" i="4"/>
  <c r="F2255" i="4"/>
  <c r="E2096" i="4"/>
  <c r="F2032" i="4"/>
  <c r="F2112" i="4"/>
  <c r="E2041" i="4"/>
  <c r="E1898" i="4"/>
  <c r="F1968" i="4"/>
  <c r="F1938" i="4"/>
  <c r="F1909" i="4"/>
  <c r="E1909" i="4"/>
  <c r="E1464" i="4"/>
  <c r="E1468" i="4"/>
  <c r="E1478" i="4"/>
  <c r="E1479" i="4"/>
  <c r="E1488" i="4"/>
  <c r="E1493" i="4"/>
  <c r="F1498" i="4"/>
  <c r="E1515" i="4"/>
  <c r="E1518" i="4"/>
  <c r="E1524" i="4"/>
  <c r="E1533" i="4"/>
  <c r="E1539" i="4"/>
  <c r="E1547" i="4"/>
  <c r="E1552" i="4"/>
  <c r="E1556" i="4"/>
  <c r="E1563" i="4"/>
  <c r="E1565" i="4"/>
  <c r="E1569" i="4"/>
  <c r="E1574" i="4"/>
  <c r="E1580" i="4"/>
  <c r="E1582" i="4"/>
  <c r="E1587" i="4"/>
  <c r="E1598" i="4"/>
  <c r="E1602" i="4"/>
  <c r="E1619" i="4"/>
  <c r="E1621" i="4"/>
  <c r="E1623" i="4"/>
  <c r="E1632" i="4"/>
  <c r="F1636" i="4"/>
  <c r="E1640" i="4"/>
  <c r="E1644" i="4"/>
  <c r="E1653" i="4"/>
  <c r="E1654" i="4"/>
  <c r="E1660" i="4"/>
  <c r="E1664" i="4"/>
  <c r="E1665" i="4"/>
  <c r="E1673" i="4"/>
  <c r="E1681" i="4"/>
  <c r="E1683" i="4"/>
  <c r="E1685" i="4"/>
  <c r="E1687" i="4"/>
  <c r="E1692" i="4"/>
  <c r="E1695" i="4"/>
  <c r="E1704" i="4"/>
  <c r="E1709" i="4"/>
  <c r="E1711" i="4"/>
  <c r="E1445" i="4"/>
  <c r="E1508" i="4"/>
  <c r="E1603" i="4"/>
  <c r="E1604" i="4"/>
  <c r="F1606" i="4"/>
  <c r="E1611" i="4"/>
  <c r="E1613" i="4"/>
  <c r="E1615" i="4"/>
  <c r="E1617" i="4"/>
  <c r="F1624" i="4"/>
  <c r="E1625" i="4"/>
  <c r="E1629" i="4"/>
  <c r="E1633" i="4"/>
  <c r="E1637" i="4"/>
  <c r="E1641" i="4"/>
  <c r="E1645" i="4"/>
  <c r="E1649" i="4"/>
  <c r="E1661" i="4"/>
  <c r="E1689" i="4"/>
  <c r="E1691" i="4"/>
  <c r="F1713" i="4"/>
  <c r="F1608" i="4"/>
  <c r="E1612" i="4"/>
  <c r="E1616" i="4"/>
  <c r="E1675" i="4"/>
  <c r="F1719" i="4"/>
  <c r="E1740" i="4"/>
  <c r="F891" i="4"/>
  <c r="F1363" i="4"/>
  <c r="E1663" i="4"/>
  <c r="E1667" i="4"/>
  <c r="E1684" i="4"/>
  <c r="E1723" i="4"/>
  <c r="F1743" i="4"/>
  <c r="F1211" i="4"/>
  <c r="E1129" i="4"/>
  <c r="E1036" i="4"/>
  <c r="E1001" i="4"/>
  <c r="E981" i="4"/>
  <c r="E941" i="4"/>
  <c r="E916" i="4"/>
  <c r="E876" i="4"/>
  <c r="E860" i="4"/>
  <c r="E836" i="4"/>
  <c r="E820" i="4"/>
  <c r="E784" i="4"/>
  <c r="E762" i="4"/>
  <c r="E731" i="4"/>
  <c r="E715" i="4"/>
  <c r="E691" i="4"/>
  <c r="E674" i="4"/>
  <c r="E645" i="4"/>
  <c r="E629" i="4"/>
  <c r="E1182" i="4"/>
  <c r="E1008" i="4"/>
  <c r="E948" i="4"/>
  <c r="E887" i="4"/>
  <c r="E827" i="4"/>
  <c r="E757" i="4"/>
  <c r="E702" i="4"/>
  <c r="E698" i="4"/>
  <c r="E649" i="4"/>
  <c r="E636" i="4"/>
  <c r="E1003" i="4"/>
  <c r="E886" i="4"/>
  <c r="E802" i="4"/>
  <c r="E709" i="4"/>
  <c r="E570" i="4"/>
  <c r="F1428" i="4"/>
  <c r="F1339" i="4"/>
  <c r="F859" i="4"/>
  <c r="E1264" i="4"/>
  <c r="E1260" i="4"/>
  <c r="E1220" i="4"/>
  <c r="E1216" i="4"/>
  <c r="E1192" i="4"/>
  <c r="E1188" i="4"/>
  <c r="E1168" i="4"/>
  <c r="E1154" i="4"/>
  <c r="E1134" i="4"/>
  <c r="E1126" i="4"/>
  <c r="E1105" i="4"/>
  <c r="E1101" i="4"/>
  <c r="E1077" i="4"/>
  <c r="E1068" i="4"/>
  <c r="E745" i="4"/>
  <c r="E610" i="4"/>
  <c r="E606" i="4"/>
  <c r="E581" i="4"/>
  <c r="E573" i="4"/>
  <c r="E549" i="4"/>
  <c r="E545" i="4"/>
  <c r="E1497" i="4"/>
  <c r="E1510" i="4"/>
  <c r="E1534" i="4"/>
  <c r="E1573" i="4"/>
  <c r="E1669" i="4"/>
  <c r="E1678" i="4"/>
  <c r="E1682" i="4"/>
  <c r="E1690" i="4"/>
  <c r="E1694" i="4"/>
  <c r="E1698" i="4"/>
  <c r="E1721" i="4"/>
  <c r="E1729" i="4"/>
  <c r="E1733" i="4"/>
  <c r="E1741" i="4"/>
  <c r="E1780" i="4"/>
  <c r="F1780" i="4"/>
  <c r="E1365" i="4"/>
  <c r="E1361" i="4"/>
  <c r="E1357" i="4"/>
  <c r="E1345" i="4"/>
  <c r="F1322" i="4"/>
  <c r="E1453" i="4"/>
  <c r="E1469" i="4"/>
  <c r="E1474" i="4"/>
  <c r="E1489" i="4"/>
  <c r="E1502" i="4"/>
  <c r="E1381" i="4"/>
  <c r="F1330" i="4"/>
  <c r="E1485" i="4"/>
  <c r="E1614" i="4"/>
  <c r="E1630" i="4"/>
  <c r="E1634" i="4"/>
  <c r="E1638" i="4"/>
  <c r="E1642" i="4"/>
  <c r="E1646" i="4"/>
  <c r="E1658" i="4"/>
  <c r="E1662" i="4"/>
  <c r="E1666" i="4"/>
  <c r="E1670" i="4"/>
  <c r="E1701" i="4"/>
  <c r="E1702" i="4"/>
  <c r="E1714" i="4"/>
  <c r="E1738" i="4"/>
  <c r="F1288" i="4"/>
  <c r="F1280" i="4"/>
  <c r="F1640" i="4"/>
  <c r="E1457" i="4"/>
  <c r="E1636" i="4"/>
  <c r="K29" i="2"/>
  <c r="F1287" i="4"/>
  <c r="F968" i="4"/>
  <c r="F1592" i="4"/>
  <c r="F1691" i="4"/>
  <c r="F1598" i="4"/>
  <c r="F1679" i="4"/>
  <c r="F1379" i="4"/>
  <c r="E1570" i="4"/>
  <c r="E1713" i="4"/>
  <c r="F1240" i="4"/>
  <c r="F340" i="4"/>
  <c r="F666" i="4"/>
  <c r="E1743" i="4"/>
  <c r="E1608" i="4"/>
  <c r="F1674" i="4"/>
  <c r="F1035" i="4"/>
  <c r="F1000" i="4"/>
  <c r="F1524" i="4"/>
  <c r="E1606" i="4"/>
  <c r="E1624" i="4"/>
  <c r="F1706" i="4"/>
  <c r="E1498" i="4"/>
  <c r="F1588" i="4"/>
  <c r="F1611" i="4"/>
  <c r="F291" i="4"/>
  <c r="F1727" i="4"/>
  <c r="F1656" i="4"/>
  <c r="F1256" i="4"/>
  <c r="E1271" i="4"/>
  <c r="F1447" i="4"/>
  <c r="F1666" i="4"/>
  <c r="F836" i="4"/>
  <c r="F1232" i="4"/>
  <c r="F1381" i="4"/>
  <c r="F1593" i="4"/>
  <c r="F1565" i="4"/>
  <c r="E1454" i="4"/>
  <c r="F1494" i="4"/>
  <c r="F1552" i="4"/>
  <c r="E1719" i="4"/>
  <c r="F55" i="4"/>
  <c r="F85" i="4"/>
  <c r="E770" i="4"/>
  <c r="F469" i="4"/>
  <c r="F359" i="4"/>
  <c r="F354" i="4"/>
  <c r="F189" i="4"/>
  <c r="F1682" i="4"/>
  <c r="F1686" i="4"/>
  <c r="F131" i="4"/>
  <c r="E782" i="4"/>
  <c r="E775" i="4"/>
  <c r="F1546" i="4"/>
  <c r="F1555" i="4"/>
  <c r="E1562" i="4"/>
  <c r="F468" i="4"/>
  <c r="G468" i="4" s="1"/>
  <c r="F447" i="4"/>
  <c r="F367" i="4"/>
  <c r="F363" i="4"/>
  <c r="F182" i="4"/>
  <c r="F1741" i="4"/>
  <c r="F210" i="4"/>
  <c r="F1296" i="4"/>
  <c r="E1267" i="4"/>
  <c r="E961" i="4"/>
  <c r="F961" i="4"/>
  <c r="E795" i="4"/>
  <c r="F795" i="4"/>
  <c r="F1626" i="4"/>
  <c r="F1732" i="4"/>
  <c r="F947" i="4"/>
  <c r="F670" i="4"/>
  <c r="F645" i="4"/>
  <c r="F496" i="4"/>
  <c r="F287" i="4"/>
  <c r="F225" i="4"/>
  <c r="G225" i="4" s="1"/>
  <c r="F812" i="4"/>
  <c r="F1735" i="4"/>
  <c r="F1689" i="4"/>
  <c r="F1687" i="4"/>
  <c r="F1678" i="4"/>
  <c r="F1734" i="4"/>
  <c r="E1739" i="4"/>
  <c r="E1388" i="4"/>
  <c r="F1388" i="4"/>
  <c r="E1418" i="4"/>
  <c r="E1284" i="4"/>
  <c r="E338" i="4"/>
  <c r="E1372" i="4"/>
  <c r="E1353" i="4"/>
  <c r="E244" i="4"/>
  <c r="F1700" i="4"/>
  <c r="F1504" i="4"/>
  <c r="F1672" i="4"/>
  <c r="E1659" i="4"/>
  <c r="E1671" i="4"/>
  <c r="F1671" i="4"/>
  <c r="E1677" i="4"/>
  <c r="F1677" i="4"/>
  <c r="E819" i="4"/>
  <c r="E93" i="4"/>
  <c r="E369" i="4"/>
  <c r="F1642" i="4"/>
  <c r="E1386" i="4"/>
  <c r="E1354" i="4"/>
  <c r="E1336" i="4"/>
  <c r="F1336" i="4"/>
  <c r="F1535" i="4"/>
  <c r="E1648" i="4"/>
  <c r="F1655" i="4"/>
  <c r="E1655" i="4"/>
  <c r="E1657" i="4"/>
  <c r="F1355" i="4"/>
  <c r="E1337" i="4"/>
  <c r="E1505" i="4"/>
  <c r="F1505" i="4"/>
  <c r="E1520" i="4"/>
  <c r="E1531" i="4"/>
  <c r="F1531" i="4"/>
  <c r="E1568" i="4"/>
  <c r="E1571" i="4"/>
  <c r="F1584" i="4"/>
  <c r="E1693" i="4"/>
  <c r="F1693" i="4"/>
  <c r="E1697" i="4"/>
  <c r="E1371" i="4"/>
  <c r="F1371" i="4"/>
  <c r="E1318" i="4"/>
  <c r="E1607" i="4"/>
  <c r="E1717" i="4"/>
  <c r="F1717" i="4"/>
  <c r="F1383" i="4"/>
  <c r="F1349" i="4"/>
  <c r="F1500" i="4"/>
  <c r="F1532" i="4"/>
  <c r="F1612" i="4"/>
  <c r="F1643" i="4"/>
  <c r="F1615" i="4"/>
  <c r="F1688" i="4"/>
  <c r="F1714" i="4"/>
  <c r="E1394" i="4"/>
  <c r="F1392" i="4"/>
  <c r="E1375" i="4"/>
  <c r="F1346" i="4"/>
  <c r="E1339" i="4"/>
  <c r="E1322" i="4"/>
  <c r="F1440" i="4"/>
  <c r="F1600" i="4"/>
  <c r="F1681" i="4"/>
  <c r="F1340" i="4"/>
  <c r="F1321" i="4"/>
  <c r="F1620" i="4"/>
  <c r="F1668" i="4"/>
  <c r="F1729" i="4"/>
  <c r="F1744" i="4"/>
  <c r="F1740" i="4"/>
  <c r="F1728" i="4"/>
  <c r="F1723" i="4"/>
  <c r="F1721" i="4"/>
  <c r="F1720" i="4"/>
  <c r="F1711" i="4"/>
  <c r="F1708" i="4"/>
  <c r="F1705" i="4"/>
  <c r="F1703" i="4"/>
  <c r="F1699" i="4"/>
  <c r="F1695" i="4"/>
  <c r="F1683" i="4"/>
  <c r="F1680" i="4"/>
  <c r="F1675" i="4"/>
  <c r="F1669" i="4"/>
  <c r="F1667" i="4"/>
  <c r="F1665" i="4"/>
  <c r="F1663" i="4"/>
  <c r="F1661" i="4"/>
  <c r="F1660" i="4"/>
  <c r="F1653" i="4"/>
  <c r="F1649" i="4"/>
  <c r="F1645" i="4"/>
  <c r="F1638" i="4"/>
  <c r="F1633" i="4"/>
  <c r="F1632" i="4"/>
  <c r="F1630" i="4"/>
  <c r="F1625" i="4"/>
  <c r="F1621" i="4"/>
  <c r="F1619" i="4"/>
  <c r="F1617" i="4"/>
  <c r="F1616" i="4"/>
  <c r="E1404" i="4"/>
  <c r="F915" i="4"/>
  <c r="F1393" i="4"/>
  <c r="E1395" i="4"/>
  <c r="E1420" i="4"/>
  <c r="F1430" i="4"/>
  <c r="F1366" i="4"/>
  <c r="E1366" i="4"/>
  <c r="E1333" i="4"/>
  <c r="F1423" i="4"/>
  <c r="E1367" i="4"/>
  <c r="E1351" i="4"/>
  <c r="E1492" i="4"/>
  <c r="F1492" i="4"/>
  <c r="E1496" i="4"/>
  <c r="F1496" i="4"/>
  <c r="E1499" i="4"/>
  <c r="E1376" i="4"/>
  <c r="F1358" i="4"/>
  <c r="F1324" i="4"/>
  <c r="F1514" i="4"/>
  <c r="E1342" i="4"/>
  <c r="E1449" i="4"/>
  <c r="F1449" i="4"/>
  <c r="E1461" i="4"/>
  <c r="E1475" i="4"/>
  <c r="F1475" i="4"/>
  <c r="E1482" i="4"/>
  <c r="F1537" i="4"/>
  <c r="F1564" i="4"/>
  <c r="F1540" i="4"/>
  <c r="E1378" i="4"/>
  <c r="E1368" i="4"/>
  <c r="E1344" i="4"/>
  <c r="E1335" i="4"/>
  <c r="E1458" i="4"/>
  <c r="F1479" i="4"/>
  <c r="F1518" i="4"/>
  <c r="F1587" i="4"/>
  <c r="B6" i="6"/>
  <c r="F1604" i="4"/>
  <c r="F1591" i="4"/>
  <c r="F1582" i="4"/>
  <c r="F1580" i="4"/>
  <c r="F1567" i="4"/>
  <c r="F1563" i="4"/>
  <c r="F1554" i="4"/>
  <c r="F1548" i="4"/>
  <c r="F1547" i="4"/>
  <c r="F1539" i="4"/>
  <c r="F1533" i="4"/>
  <c r="F1525" i="4"/>
  <c r="F1506" i="4"/>
  <c r="F1501" i="4"/>
  <c r="F1488" i="4"/>
  <c r="F1478" i="4"/>
  <c r="F1477" i="4"/>
  <c r="F1463" i="4"/>
  <c r="F1453" i="4"/>
  <c r="F1441" i="4"/>
  <c r="E1773" i="4"/>
  <c r="E1815" i="4"/>
  <c r="E1811" i="4"/>
  <c r="E1747" i="4"/>
  <c r="E1767" i="4"/>
  <c r="E1757" i="4"/>
  <c r="E1778" i="4"/>
  <c r="E1795" i="4"/>
  <c r="E1783" i="4"/>
  <c r="E1806" i="4"/>
  <c r="E1810" i="4"/>
  <c r="E1776" i="4"/>
  <c r="E1746" i="4"/>
  <c r="E1817" i="4"/>
  <c r="E1760" i="4"/>
  <c r="E1764" i="4"/>
  <c r="E1768" i="4"/>
  <c r="E1779" i="4"/>
  <c r="E1774" i="4"/>
  <c r="E1756" i="4"/>
  <c r="E1772" i="4"/>
  <c r="E1770" i="4"/>
  <c r="E1803" i="4"/>
  <c r="E1808" i="4"/>
  <c r="E1786" i="4"/>
  <c r="E1777" i="4"/>
  <c r="E1759" i="4"/>
  <c r="E1791" i="4"/>
  <c r="E1750" i="4"/>
  <c r="E1790" i="4"/>
  <c r="E1751" i="4"/>
  <c r="E1782" i="4"/>
  <c r="E1789" i="4"/>
  <c r="E1802" i="4"/>
  <c r="E1805" i="4"/>
  <c r="E1809" i="4"/>
  <c r="E1761" i="4"/>
  <c r="E1754" i="4"/>
  <c r="E1785" i="4"/>
  <c r="E1813" i="4"/>
  <c r="E1765" i="4"/>
  <c r="E1784" i="4"/>
  <c r="E1814" i="4"/>
  <c r="E1799" i="4"/>
  <c r="E1771" i="4"/>
  <c r="E1807" i="4"/>
  <c r="E1752" i="4"/>
  <c r="E1794" i="4"/>
  <c r="E1748" i="4"/>
  <c r="E1801" i="4"/>
  <c r="E1758" i="4"/>
  <c r="E1798" i="4"/>
  <c r="E1787" i="4"/>
  <c r="F1779" i="4"/>
  <c r="F1806" i="4"/>
  <c r="F1777" i="4"/>
  <c r="F1815" i="4"/>
  <c r="F1746" i="4"/>
  <c r="F1807" i="4"/>
  <c r="F1817" i="4"/>
  <c r="F1762" i="4"/>
  <c r="F1782" i="4"/>
  <c r="F1754" i="4"/>
  <c r="F1764" i="4"/>
  <c r="F1812" i="4"/>
  <c r="F1766" i="4"/>
  <c r="F1790" i="4"/>
  <c r="F1774" i="4"/>
  <c r="F1749" i="4"/>
  <c r="F1767" i="4"/>
  <c r="F1808" i="4"/>
  <c r="F1793" i="4"/>
  <c r="F1795" i="4"/>
  <c r="F1796" i="4"/>
  <c r="F1785" i="4"/>
  <c r="F1770" i="4"/>
  <c r="F1788" i="4"/>
  <c r="F1758" i="4"/>
  <c r="F1745" i="4"/>
  <c r="F1805" i="4"/>
  <c r="F1776" i="4"/>
  <c r="F1789" i="4"/>
  <c r="F1784" i="4"/>
  <c r="F1769" i="4"/>
  <c r="F1801" i="4"/>
  <c r="F1791" i="4"/>
  <c r="F1756" i="4"/>
  <c r="F1761" i="4"/>
  <c r="F1814" i="4"/>
  <c r="C253" i="14" l="1"/>
  <c r="C252" i="14"/>
  <c r="C261" i="14"/>
  <c r="C254" i="14"/>
  <c r="C272" i="14"/>
  <c r="C268" i="14"/>
  <c r="C267" i="14"/>
  <c r="C269" i="14"/>
  <c r="C270" i="14"/>
  <c r="C271" i="14"/>
  <c r="C266" i="14"/>
  <c r="C265" i="14"/>
  <c r="C255" i="14"/>
  <c r="C263" i="14"/>
  <c r="C250" i="14"/>
  <c r="C264" i="14"/>
  <c r="C251" i="14"/>
  <c r="C249" i="14"/>
  <c r="C262" i="14"/>
  <c r="C259" i="14"/>
  <c r="C260" i="14"/>
  <c r="C257" i="14"/>
  <c r="C6419" i="4"/>
  <c r="C258" i="14"/>
  <c r="C6567" i="4"/>
  <c r="G437" i="15"/>
  <c r="G441" i="15"/>
  <c r="G445" i="15"/>
  <c r="G449" i="15"/>
  <c r="G453" i="15"/>
  <c r="G457" i="15"/>
  <c r="G461" i="15"/>
  <c r="G436" i="15"/>
  <c r="G438" i="15"/>
  <c r="G440" i="15"/>
  <c r="G442" i="15"/>
  <c r="G444" i="15"/>
  <c r="G446" i="15"/>
  <c r="G448" i="15"/>
  <c r="G450" i="15"/>
  <c r="G452" i="15"/>
  <c r="G454" i="15"/>
  <c r="G456" i="15"/>
  <c r="G458" i="15"/>
  <c r="G460" i="15"/>
  <c r="G462" i="15"/>
  <c r="C256" i="14"/>
  <c r="G434" i="15"/>
  <c r="G439" i="15"/>
  <c r="G443" i="15"/>
  <c r="G447" i="15"/>
  <c r="G451" i="15"/>
  <c r="G455" i="15"/>
  <c r="G459" i="15"/>
  <c r="C7394" i="4"/>
  <c r="C7363" i="4"/>
  <c r="C6962" i="4"/>
  <c r="C7047" i="4"/>
  <c r="C6541" i="4"/>
  <c r="C6511" i="4"/>
  <c r="C6585" i="4"/>
  <c r="E806" i="4"/>
  <c r="E1095" i="4"/>
  <c r="G49" i="4"/>
  <c r="F1312" i="4"/>
  <c r="E1298" i="4"/>
  <c r="G447" i="4"/>
  <c r="F943" i="4"/>
  <c r="E751" i="4"/>
  <c r="E846" i="4"/>
  <c r="E1099" i="4"/>
  <c r="G203" i="4"/>
  <c r="G85" i="4"/>
  <c r="F1091" i="4"/>
  <c r="E713" i="4"/>
  <c r="E1014" i="4"/>
  <c r="F963" i="4"/>
  <c r="G362" i="4"/>
  <c r="G182" i="4"/>
  <c r="G469" i="4"/>
  <c r="E906" i="4"/>
  <c r="F1066" i="4"/>
  <c r="F1034" i="4"/>
  <c r="E643" i="4"/>
  <c r="F619" i="4"/>
  <c r="G105" i="4"/>
  <c r="F1140" i="4"/>
  <c r="G146" i="4"/>
  <c r="F778" i="4"/>
  <c r="F612" i="4"/>
  <c r="E1944" i="4"/>
  <c r="G82" i="15"/>
  <c r="D272" i="14"/>
  <c r="F6578" i="4" s="1"/>
  <c r="C6244" i="4"/>
  <c r="C6326" i="4"/>
  <c r="C6075" i="4"/>
  <c r="E1002" i="4"/>
  <c r="E1253" i="4"/>
  <c r="F582" i="4"/>
  <c r="G498" i="4"/>
  <c r="G446" i="4"/>
  <c r="G430" i="4"/>
  <c r="G323" i="4"/>
  <c r="G274" i="4"/>
  <c r="G218" i="4"/>
  <c r="G214" i="4"/>
  <c r="G60" i="4"/>
  <c r="G470" i="4"/>
  <c r="G264" i="4"/>
  <c r="F1827" i="4"/>
  <c r="E5919" i="4"/>
  <c r="E6378" i="4"/>
  <c r="F3133" i="4"/>
  <c r="F1193" i="4"/>
  <c r="F1400" i="4"/>
  <c r="F1415" i="4"/>
  <c r="F1135" i="4"/>
  <c r="F1315" i="4"/>
  <c r="G456" i="4"/>
  <c r="G383" i="4"/>
  <c r="G287" i="4"/>
  <c r="G53" i="4"/>
  <c r="E1106" i="4"/>
  <c r="E5856" i="4"/>
  <c r="E6379" i="4"/>
  <c r="F2251" i="4"/>
  <c r="E5377" i="4"/>
  <c r="G31" i="15"/>
  <c r="D271" i="14"/>
  <c r="F6442" i="4" s="1"/>
  <c r="D270" i="14"/>
  <c r="F6177" i="4" s="1"/>
  <c r="F4186" i="4"/>
  <c r="G4186" i="4" s="1"/>
  <c r="D269" i="14"/>
  <c r="G295" i="15"/>
  <c r="G296" i="15"/>
  <c r="G354" i="15"/>
  <c r="G356" i="15"/>
  <c r="G358" i="15"/>
  <c r="G360" i="15"/>
  <c r="G362" i="15"/>
  <c r="G364" i="15"/>
  <c r="G366" i="15"/>
  <c r="G368" i="15"/>
  <c r="G370" i="15"/>
  <c r="G372" i="15"/>
  <c r="G374" i="15"/>
  <c r="G376" i="15"/>
  <c r="G378" i="15"/>
  <c r="G380" i="15"/>
  <c r="G382" i="15"/>
  <c r="G384" i="15"/>
  <c r="G386" i="15"/>
  <c r="G388" i="15"/>
  <c r="G390" i="15"/>
  <c r="G392" i="15"/>
  <c r="G394" i="15"/>
  <c r="G396" i="15"/>
  <c r="G398" i="15"/>
  <c r="G400" i="15"/>
  <c r="G402" i="15"/>
  <c r="G404" i="15"/>
  <c r="G406" i="15"/>
  <c r="G408" i="15"/>
  <c r="G410" i="15"/>
  <c r="G412" i="15"/>
  <c r="G414" i="15"/>
  <c r="G416" i="15"/>
  <c r="G418" i="15"/>
  <c r="G420" i="15"/>
  <c r="G422" i="15"/>
  <c r="G424" i="15"/>
  <c r="G426" i="15"/>
  <c r="G428" i="15"/>
  <c r="G430" i="15"/>
  <c r="G432" i="15"/>
  <c r="G355" i="15"/>
  <c r="G357" i="15"/>
  <c r="G359" i="15"/>
  <c r="G361" i="15"/>
  <c r="G363" i="15"/>
  <c r="G365" i="15"/>
  <c r="G367" i="15"/>
  <c r="G369" i="15"/>
  <c r="G371" i="15"/>
  <c r="G373" i="15"/>
  <c r="G375" i="15"/>
  <c r="G377" i="15"/>
  <c r="G379" i="15"/>
  <c r="G381" i="15"/>
  <c r="G383" i="15"/>
  <c r="G385" i="15"/>
  <c r="G387" i="15"/>
  <c r="G389" i="15"/>
  <c r="G391" i="15"/>
  <c r="G393" i="15"/>
  <c r="G395" i="15"/>
  <c r="G397" i="15"/>
  <c r="G399" i="15"/>
  <c r="G401" i="15"/>
  <c r="G403" i="15"/>
  <c r="G405" i="15"/>
  <c r="G407" i="15"/>
  <c r="G409" i="15"/>
  <c r="G411" i="15"/>
  <c r="G413" i="15"/>
  <c r="G415" i="15"/>
  <c r="G417" i="15"/>
  <c r="G419" i="15"/>
  <c r="G421" i="15"/>
  <c r="G423" i="15"/>
  <c r="G425" i="15"/>
  <c r="G427" i="15"/>
  <c r="G429" i="15"/>
  <c r="G431" i="15"/>
  <c r="G433" i="15"/>
  <c r="D268" i="14"/>
  <c r="D267" i="14"/>
  <c r="F5930" i="4" s="1"/>
  <c r="F2596" i="4"/>
  <c r="G2" i="15"/>
  <c r="D266" i="14"/>
  <c r="F6026" i="4" s="1"/>
  <c r="F2889" i="4"/>
  <c r="E1936" i="4"/>
  <c r="E4166" i="4"/>
  <c r="G4166" i="4" s="1"/>
  <c r="G153" i="15"/>
  <c r="G189" i="15"/>
  <c r="G198" i="15"/>
  <c r="G202" i="15"/>
  <c r="G234" i="15"/>
  <c r="G151" i="15"/>
  <c r="G252" i="15"/>
  <c r="G132" i="15"/>
  <c r="G204" i="15"/>
  <c r="D265" i="14"/>
  <c r="D264" i="14"/>
  <c r="F6770" i="4" s="1"/>
  <c r="F3625" i="4"/>
  <c r="E4238" i="4"/>
  <c r="G4238" i="4" s="1"/>
  <c r="G323" i="15"/>
  <c r="F3384" i="4"/>
  <c r="F2177" i="4"/>
  <c r="E3396" i="4"/>
  <c r="E2852" i="4"/>
  <c r="G319" i="15"/>
  <c r="G335" i="15"/>
  <c r="G345" i="15"/>
  <c r="G320" i="15"/>
  <c r="G332" i="15"/>
  <c r="G344" i="15"/>
  <c r="G313" i="15"/>
  <c r="G321" i="15"/>
  <c r="G329" i="15"/>
  <c r="G337" i="15"/>
  <c r="G339" i="15"/>
  <c r="G343" i="15"/>
  <c r="G347" i="15"/>
  <c r="G351" i="15"/>
  <c r="G353" i="15"/>
  <c r="G324" i="15"/>
  <c r="G330" i="15"/>
  <c r="G336" i="15"/>
  <c r="G340" i="15"/>
  <c r="G348" i="15"/>
  <c r="G314" i="15"/>
  <c r="G316" i="15"/>
  <c r="G318" i="15"/>
  <c r="G322" i="15"/>
  <c r="G328" i="15"/>
  <c r="G334" i="15"/>
  <c r="G342" i="15"/>
  <c r="G346" i="15"/>
  <c r="G352" i="15"/>
  <c r="G278" i="15"/>
  <c r="G286" i="15"/>
  <c r="G298" i="15"/>
  <c r="G304" i="15"/>
  <c r="G310" i="15"/>
  <c r="G253" i="15"/>
  <c r="G255" i="15"/>
  <c r="G257" i="15"/>
  <c r="G259" i="15"/>
  <c r="G261" i="15"/>
  <c r="G263" i="15"/>
  <c r="G265" i="15"/>
  <c r="G267" i="15"/>
  <c r="G269" i="15"/>
  <c r="G271" i="15"/>
  <c r="G273" i="15"/>
  <c r="G275" i="15"/>
  <c r="G277" i="15"/>
  <c r="G279" i="15"/>
  <c r="G281" i="15"/>
  <c r="G283" i="15"/>
  <c r="G285" i="15"/>
  <c r="G299" i="15"/>
  <c r="G301" i="15"/>
  <c r="G303" i="15"/>
  <c r="G305" i="15"/>
  <c r="G307" i="15"/>
  <c r="G309" i="15"/>
  <c r="G311" i="15"/>
  <c r="G282" i="15"/>
  <c r="G300" i="15"/>
  <c r="G306" i="15"/>
  <c r="G312" i="15"/>
  <c r="G254" i="15"/>
  <c r="G256" i="15"/>
  <c r="G258" i="15"/>
  <c r="G260" i="15"/>
  <c r="G262" i="15"/>
  <c r="G264" i="15"/>
  <c r="G266" i="15"/>
  <c r="G268" i="15"/>
  <c r="G270" i="15"/>
  <c r="G272" i="15"/>
  <c r="G274" i="15"/>
  <c r="G276" i="15"/>
  <c r="G280" i="15"/>
  <c r="G284" i="15"/>
  <c r="G302" i="15"/>
  <c r="G308" i="15"/>
  <c r="F5229" i="4"/>
  <c r="G5229" i="4" s="1"/>
  <c r="F4661" i="4"/>
  <c r="G4661" i="4" s="1"/>
  <c r="F3813" i="4"/>
  <c r="F5480" i="4"/>
  <c r="G5480" i="4" s="1"/>
  <c r="C3826" i="4"/>
  <c r="C5409" i="4"/>
  <c r="C5392" i="4"/>
  <c r="C4953" i="4"/>
  <c r="F5017" i="4"/>
  <c r="E5104" i="4"/>
  <c r="F5272" i="4"/>
  <c r="E5433" i="4"/>
  <c r="F5468" i="4"/>
  <c r="F5489" i="4"/>
  <c r="F5510" i="4"/>
  <c r="F5557" i="4"/>
  <c r="F5649" i="4"/>
  <c r="F5674" i="4"/>
  <c r="F5698" i="4"/>
  <c r="F5718" i="4"/>
  <c r="F5800" i="4"/>
  <c r="F5925" i="4"/>
  <c r="F5927" i="4"/>
  <c r="F5941" i="4"/>
  <c r="F5943" i="4"/>
  <c r="F5945" i="4"/>
  <c r="F5947" i="4"/>
  <c r="F5949" i="4"/>
  <c r="F5953" i="4"/>
  <c r="F5955" i="4"/>
  <c r="F5959" i="4"/>
  <c r="F5961" i="4"/>
  <c r="F5963" i="4"/>
  <c r="F5965" i="4"/>
  <c r="F5969" i="4"/>
  <c r="F5973" i="4"/>
  <c r="F5975" i="4"/>
  <c r="F5977" i="4"/>
  <c r="F5981" i="4"/>
  <c r="F5985" i="4"/>
  <c r="F5987" i="4"/>
  <c r="F5991" i="4"/>
  <c r="F5993" i="4"/>
  <c r="F5999" i="4"/>
  <c r="F6001" i="4"/>
  <c r="F6005" i="4"/>
  <c r="F6009" i="4"/>
  <c r="F6015" i="4"/>
  <c r="F6023" i="4"/>
  <c r="F6029" i="4"/>
  <c r="F6037" i="4"/>
  <c r="F6039" i="4"/>
  <c r="F6043" i="4"/>
  <c r="F5104" i="4"/>
  <c r="E5242" i="4"/>
  <c r="F5433" i="4"/>
  <c r="E5572" i="4"/>
  <c r="E5679" i="4"/>
  <c r="E5703" i="4"/>
  <c r="E5770" i="4"/>
  <c r="E5782" i="4"/>
  <c r="E5830" i="4"/>
  <c r="E5926" i="4"/>
  <c r="E5928" i="4"/>
  <c r="E5930" i="4"/>
  <c r="E5932" i="4"/>
  <c r="E5934" i="4"/>
  <c r="E5936" i="4"/>
  <c r="E5938" i="4"/>
  <c r="E5940" i="4"/>
  <c r="E5942" i="4"/>
  <c r="E5944" i="4"/>
  <c r="E5946" i="4"/>
  <c r="E5948" i="4"/>
  <c r="E5950" i="4"/>
  <c r="E5952" i="4"/>
  <c r="E5954" i="4"/>
  <c r="E5956" i="4"/>
  <c r="E5958" i="4"/>
  <c r="E5960" i="4"/>
  <c r="E5962" i="4"/>
  <c r="E5964" i="4"/>
  <c r="E5966" i="4"/>
  <c r="E5968" i="4"/>
  <c r="E5970" i="4"/>
  <c r="E5972" i="4"/>
  <c r="E5974" i="4"/>
  <c r="E5976" i="4"/>
  <c r="E5978" i="4"/>
  <c r="E5980" i="4"/>
  <c r="E5982" i="4"/>
  <c r="E5984" i="4"/>
  <c r="E5988" i="4"/>
  <c r="E5990" i="4"/>
  <c r="E5992" i="4"/>
  <c r="E5994" i="4"/>
  <c r="E5996" i="4"/>
  <c r="E5998" i="4"/>
  <c r="E6000" i="4"/>
  <c r="E6002" i="4"/>
  <c r="E6004" i="4"/>
  <c r="E6006" i="4"/>
  <c r="E6008" i="4"/>
  <c r="E6010" i="4"/>
  <c r="E6012" i="4"/>
  <c r="E6014" i="4"/>
  <c r="E6016" i="4"/>
  <c r="E6018" i="4"/>
  <c r="E6020" i="4"/>
  <c r="E6022" i="4"/>
  <c r="E6024" i="4"/>
  <c r="E6026" i="4"/>
  <c r="E6028" i="4"/>
  <c r="E6030" i="4"/>
  <c r="E6032" i="4"/>
  <c r="E6034" i="4"/>
  <c r="E6036" i="4"/>
  <c r="E6038" i="4"/>
  <c r="E6040" i="4"/>
  <c r="E6042" i="4"/>
  <c r="E6044" i="4"/>
  <c r="E6046" i="4"/>
  <c r="F5242" i="4"/>
  <c r="E5410" i="4"/>
  <c r="E5422" i="4"/>
  <c r="E5432" i="4"/>
  <c r="F5572" i="4"/>
  <c r="F5679" i="4"/>
  <c r="F5703" i="4"/>
  <c r="F5770" i="4"/>
  <c r="F5782" i="4"/>
  <c r="F5830" i="4"/>
  <c r="F5938" i="4"/>
  <c r="F5940" i="4"/>
  <c r="F5942" i="4"/>
  <c r="F5944" i="4"/>
  <c r="F5946" i="4"/>
  <c r="F5948" i="4"/>
  <c r="F5956" i="4"/>
  <c r="F5962" i="4"/>
  <c r="F5966" i="4"/>
  <c r="F5970" i="4"/>
  <c r="F5972" i="4"/>
  <c r="F5984" i="4"/>
  <c r="F5986" i="4"/>
  <c r="F5988" i="4"/>
  <c r="F5990" i="4"/>
  <c r="E5017" i="4"/>
  <c r="F5422" i="4"/>
  <c r="E5489" i="4"/>
  <c r="E5674" i="4"/>
  <c r="E5929" i="4"/>
  <c r="E5937" i="4"/>
  <c r="E5945" i="4"/>
  <c r="E5953" i="4"/>
  <c r="E5961" i="4"/>
  <c r="E5969" i="4"/>
  <c r="E5977" i="4"/>
  <c r="E5985" i="4"/>
  <c r="E5993" i="4"/>
  <c r="F5998" i="4"/>
  <c r="F6006" i="4"/>
  <c r="F6010" i="4"/>
  <c r="F6014" i="4"/>
  <c r="F6018" i="4"/>
  <c r="F6022" i="4"/>
  <c r="F6034" i="4"/>
  <c r="E6048" i="4"/>
  <c r="E6050" i="4"/>
  <c r="E6052" i="4"/>
  <c r="E6054" i="4"/>
  <c r="E6056" i="4"/>
  <c r="E6058" i="4"/>
  <c r="E6060" i="4"/>
  <c r="E6062" i="4"/>
  <c r="E6064" i="4"/>
  <c r="E6066" i="4"/>
  <c r="E6068" i="4"/>
  <c r="E6070" i="4"/>
  <c r="E6072" i="4"/>
  <c r="E6074" i="4"/>
  <c r="E6076" i="4"/>
  <c r="E6078" i="4"/>
  <c r="E6080" i="4"/>
  <c r="E6082" i="4"/>
  <c r="E6084" i="4"/>
  <c r="E6086" i="4"/>
  <c r="E6088" i="4"/>
  <c r="E6090" i="4"/>
  <c r="E6092" i="4"/>
  <c r="E6094" i="4"/>
  <c r="E6096" i="4"/>
  <c r="E6098" i="4"/>
  <c r="E6100" i="4"/>
  <c r="E6102" i="4"/>
  <c r="E6104" i="4"/>
  <c r="E6106" i="4"/>
  <c r="E6108" i="4"/>
  <c r="E6110" i="4"/>
  <c r="E6112" i="4"/>
  <c r="E6114" i="4"/>
  <c r="E6116" i="4"/>
  <c r="E6118" i="4"/>
  <c r="E6120" i="4"/>
  <c r="E6122" i="4"/>
  <c r="E6124" i="4"/>
  <c r="E6126" i="4"/>
  <c r="E6128" i="4"/>
  <c r="E6130" i="4"/>
  <c r="E6132" i="4"/>
  <c r="E6134" i="4"/>
  <c r="E6136" i="4"/>
  <c r="E6138" i="4"/>
  <c r="E6140" i="4"/>
  <c r="E6142" i="4"/>
  <c r="E6144" i="4"/>
  <c r="E6146" i="4"/>
  <c r="E6148" i="4"/>
  <c r="E6150" i="4"/>
  <c r="E6152" i="4"/>
  <c r="E6154" i="4"/>
  <c r="E6156" i="4"/>
  <c r="E6158" i="4"/>
  <c r="E6160" i="4"/>
  <c r="E6162" i="4"/>
  <c r="E6164" i="4"/>
  <c r="E6166" i="4"/>
  <c r="E6168" i="4"/>
  <c r="E6170" i="4"/>
  <c r="E6172" i="4"/>
  <c r="E6174" i="4"/>
  <c r="E6176" i="4"/>
  <c r="E6178" i="4"/>
  <c r="E5272" i="4"/>
  <c r="F5410" i="4"/>
  <c r="E5698" i="4"/>
  <c r="E5931" i="4"/>
  <c r="E5939" i="4"/>
  <c r="E5947" i="4"/>
  <c r="E5955" i="4"/>
  <c r="E5963" i="4"/>
  <c r="E5971" i="4"/>
  <c r="E5979" i="4"/>
  <c r="E5987" i="4"/>
  <c r="E5995" i="4"/>
  <c r="E5999" i="4"/>
  <c r="E6003" i="4"/>
  <c r="E6007" i="4"/>
  <c r="E6011" i="4"/>
  <c r="E6015" i="4"/>
  <c r="E6019" i="4"/>
  <c r="E6023" i="4"/>
  <c r="E6027" i="4"/>
  <c r="E6031" i="4"/>
  <c r="E6035" i="4"/>
  <c r="E6039" i="4"/>
  <c r="E6043" i="4"/>
  <c r="F6048" i="4"/>
  <c r="F6052" i="4"/>
  <c r="F6056" i="4"/>
  <c r="F6058" i="4"/>
  <c r="F6062" i="4"/>
  <c r="F6070" i="4"/>
  <c r="F6076" i="4"/>
  <c r="F6080" i="4"/>
  <c r="F6082" i="4"/>
  <c r="F6090" i="4"/>
  <c r="F6092" i="4"/>
  <c r="F6096" i="4"/>
  <c r="F6102" i="4"/>
  <c r="F6104" i="4"/>
  <c r="F6106" i="4"/>
  <c r="F6108" i="4"/>
  <c r="F6110" i="4"/>
  <c r="F6112" i="4"/>
  <c r="F6116" i="4"/>
  <c r="F6118" i="4"/>
  <c r="F6120" i="4"/>
  <c r="F6124" i="4"/>
  <c r="F6128" i="4"/>
  <c r="F6130" i="4"/>
  <c r="F6132" i="4"/>
  <c r="F6134" i="4"/>
  <c r="F6140" i="4"/>
  <c r="F6144" i="4"/>
  <c r="F6146" i="4"/>
  <c r="F6154" i="4"/>
  <c r="F6168" i="4"/>
  <c r="F5432" i="4"/>
  <c r="E5468" i="4"/>
  <c r="E5557" i="4"/>
  <c r="E5649" i="4"/>
  <c r="E5718" i="4"/>
  <c r="E5925" i="4"/>
  <c r="E5933" i="4"/>
  <c r="E5941" i="4"/>
  <c r="E5949" i="4"/>
  <c r="E5957" i="4"/>
  <c r="E5965" i="4"/>
  <c r="E5973" i="4"/>
  <c r="E5981" i="4"/>
  <c r="E5989" i="4"/>
  <c r="F5996" i="4"/>
  <c r="F6004" i="4"/>
  <c r="F6008" i="4"/>
  <c r="F6012" i="4"/>
  <c r="F6020" i="4"/>
  <c r="F6024" i="4"/>
  <c r="F6028" i="4"/>
  <c r="F6040" i="4"/>
  <c r="E6047" i="4"/>
  <c r="E6049" i="4"/>
  <c r="E6051" i="4"/>
  <c r="E6053" i="4"/>
  <c r="E6055" i="4"/>
  <c r="E6057" i="4"/>
  <c r="E6059" i="4"/>
  <c r="E6061" i="4"/>
  <c r="E6063" i="4"/>
  <c r="E6065" i="4"/>
  <c r="E6067" i="4"/>
  <c r="E6069" i="4"/>
  <c r="E6071" i="4"/>
  <c r="E6073" i="4"/>
  <c r="E6075" i="4"/>
  <c r="E6077" i="4"/>
  <c r="E6079" i="4"/>
  <c r="E6081" i="4"/>
  <c r="E6083" i="4"/>
  <c r="E6085" i="4"/>
  <c r="E6087" i="4"/>
  <c r="E6089" i="4"/>
  <c r="E6091" i="4"/>
  <c r="E6093" i="4"/>
  <c r="E6095" i="4"/>
  <c r="E6097" i="4"/>
  <c r="E6099" i="4"/>
  <c r="E6101" i="4"/>
  <c r="E6103" i="4"/>
  <c r="E6105" i="4"/>
  <c r="E6107" i="4"/>
  <c r="E6109" i="4"/>
  <c r="E6111" i="4"/>
  <c r="E6113" i="4"/>
  <c r="E6115" i="4"/>
  <c r="E6117" i="4"/>
  <c r="E6119" i="4"/>
  <c r="E6121" i="4"/>
  <c r="E6123" i="4"/>
  <c r="E6125" i="4"/>
  <c r="E6127" i="4"/>
  <c r="E6129" i="4"/>
  <c r="E6131" i="4"/>
  <c r="E6133" i="4"/>
  <c r="E6135" i="4"/>
  <c r="E6137" i="4"/>
  <c r="E6139" i="4"/>
  <c r="E6141" i="4"/>
  <c r="E6143" i="4"/>
  <c r="E6145" i="4"/>
  <c r="E6147" i="4"/>
  <c r="E6149" i="4"/>
  <c r="E6151" i="4"/>
  <c r="E6153" i="4"/>
  <c r="E6155" i="4"/>
  <c r="E6157" i="4"/>
  <c r="E6159" i="4"/>
  <c r="E6161" i="4"/>
  <c r="E5951" i="4"/>
  <c r="E5983" i="4"/>
  <c r="E6005" i="4"/>
  <c r="E6021" i="4"/>
  <c r="E6037" i="4"/>
  <c r="F6049" i="4"/>
  <c r="F6057" i="4"/>
  <c r="F6105" i="4"/>
  <c r="F6121" i="4"/>
  <c r="F6153" i="4"/>
  <c r="F6161" i="4"/>
  <c r="F6169" i="4"/>
  <c r="E6175" i="4"/>
  <c r="E6180" i="4"/>
  <c r="E6182" i="4"/>
  <c r="E6184" i="4"/>
  <c r="E6186" i="4"/>
  <c r="E6188" i="4"/>
  <c r="E6190" i="4"/>
  <c r="E6192" i="4"/>
  <c r="E6194" i="4"/>
  <c r="E6196" i="4"/>
  <c r="E6198" i="4"/>
  <c r="E6200" i="4"/>
  <c r="E6202" i="4"/>
  <c r="E6204" i="4"/>
  <c r="E6206" i="4"/>
  <c r="E6208" i="4"/>
  <c r="E6210" i="4"/>
  <c r="E6212" i="4"/>
  <c r="E6214" i="4"/>
  <c r="E6216" i="4"/>
  <c r="E6218" i="4"/>
  <c r="E6220" i="4"/>
  <c r="E6222" i="4"/>
  <c r="E6224" i="4"/>
  <c r="E6226" i="4"/>
  <c r="E6228" i="4"/>
  <c r="E6230" i="4"/>
  <c r="E6232" i="4"/>
  <c r="E6234" i="4"/>
  <c r="E6236" i="4"/>
  <c r="E6238" i="4"/>
  <c r="E6240" i="4"/>
  <c r="E6242" i="4"/>
  <c r="E6244" i="4"/>
  <c r="E6246" i="4"/>
  <c r="E6248" i="4"/>
  <c r="E6250" i="4"/>
  <c r="E6252" i="4"/>
  <c r="E6254" i="4"/>
  <c r="E6256" i="4"/>
  <c r="E6258" i="4"/>
  <c r="E6260" i="4"/>
  <c r="E6262" i="4"/>
  <c r="E6264" i="4"/>
  <c r="E6266" i="4"/>
  <c r="E6268" i="4"/>
  <c r="E6270" i="4"/>
  <c r="E6272" i="4"/>
  <c r="E6274" i="4"/>
  <c r="E6276" i="4"/>
  <c r="E6278" i="4"/>
  <c r="E6280" i="4"/>
  <c r="E6282" i="4"/>
  <c r="E6284" i="4"/>
  <c r="E6286" i="4"/>
  <c r="E6288" i="4"/>
  <c r="E6290" i="4"/>
  <c r="E6292" i="4"/>
  <c r="E6294" i="4"/>
  <c r="E6296" i="4"/>
  <c r="E6298" i="4"/>
  <c r="E6300" i="4"/>
  <c r="E6302" i="4"/>
  <c r="E6304" i="4"/>
  <c r="E6306" i="4"/>
  <c r="E6308" i="4"/>
  <c r="E6310" i="4"/>
  <c r="E6312" i="4"/>
  <c r="E6314" i="4"/>
  <c r="E6316" i="4"/>
  <c r="E6318" i="4"/>
  <c r="E6320" i="4"/>
  <c r="E6322" i="4"/>
  <c r="E6324" i="4"/>
  <c r="E6326" i="4"/>
  <c r="E6328" i="4"/>
  <c r="E6330" i="4"/>
  <c r="E6332" i="4"/>
  <c r="E6334" i="4"/>
  <c r="E6336" i="4"/>
  <c r="E6338" i="4"/>
  <c r="E6340" i="4"/>
  <c r="E6342" i="4"/>
  <c r="E6344" i="4"/>
  <c r="E6346" i="4"/>
  <c r="E6348" i="4"/>
  <c r="E6350" i="4"/>
  <c r="E6352" i="4"/>
  <c r="E6354" i="4"/>
  <c r="E6356" i="4"/>
  <c r="E6358" i="4"/>
  <c r="E6360" i="4"/>
  <c r="E6362" i="4"/>
  <c r="E6364" i="4"/>
  <c r="E6366" i="4"/>
  <c r="E6368" i="4"/>
  <c r="E6370" i="4"/>
  <c r="E6372" i="4"/>
  <c r="E6374" i="4"/>
  <c r="E6376" i="4"/>
  <c r="E6380" i="4"/>
  <c r="E6382" i="4"/>
  <c r="E6384" i="4"/>
  <c r="E6386" i="4"/>
  <c r="E6388" i="4"/>
  <c r="E6390" i="4"/>
  <c r="E6392" i="4"/>
  <c r="E6394" i="4"/>
  <c r="E6396" i="4"/>
  <c r="E6398" i="4"/>
  <c r="E6400" i="4"/>
  <c r="E6402" i="4"/>
  <c r="E6404" i="4"/>
  <c r="E6406" i="4"/>
  <c r="E6408" i="4"/>
  <c r="E6410" i="4"/>
  <c r="E6412" i="4"/>
  <c r="E6414" i="4"/>
  <c r="E6416" i="4"/>
  <c r="E6418" i="4"/>
  <c r="E6422" i="4"/>
  <c r="E6424" i="4"/>
  <c r="E6426" i="4"/>
  <c r="E6428" i="4"/>
  <c r="E6430" i="4"/>
  <c r="E6432" i="4"/>
  <c r="E6434" i="4"/>
  <c r="E6436" i="4"/>
  <c r="E6438" i="4"/>
  <c r="E6440" i="4"/>
  <c r="E6442" i="4"/>
  <c r="E6444" i="4"/>
  <c r="E6446" i="4"/>
  <c r="E6448" i="4"/>
  <c r="E6450" i="4"/>
  <c r="E6452" i="4"/>
  <c r="E6454" i="4"/>
  <c r="E6458" i="4"/>
  <c r="E6460" i="4"/>
  <c r="E6462" i="4"/>
  <c r="E6464" i="4"/>
  <c r="E6466" i="4"/>
  <c r="E6468" i="4"/>
  <c r="E5927" i="4"/>
  <c r="E5959" i="4"/>
  <c r="E5991" i="4"/>
  <c r="E6009" i="4"/>
  <c r="E6025" i="4"/>
  <c r="E6041" i="4"/>
  <c r="F6059" i="4"/>
  <c r="F6075" i="4"/>
  <c r="F6091" i="4"/>
  <c r="F6123" i="4"/>
  <c r="F6139" i="4"/>
  <c r="E6163" i="4"/>
  <c r="E6167" i="4"/>
  <c r="E6173" i="4"/>
  <c r="F6175" i="4"/>
  <c r="F6180" i="4"/>
  <c r="F6182" i="4"/>
  <c r="F6184" i="4"/>
  <c r="F6188" i="4"/>
  <c r="F6196" i="4"/>
  <c r="F6198" i="4"/>
  <c r="F6200" i="4"/>
  <c r="F6204" i="4"/>
  <c r="F6212" i="4"/>
  <c r="F6224" i="4"/>
  <c r="F6228" i="4"/>
  <c r="F6230" i="4"/>
  <c r="F6232" i="4"/>
  <c r="F6236" i="4"/>
  <c r="F6240" i="4"/>
  <c r="F6242" i="4"/>
  <c r="F6244" i="4"/>
  <c r="F6246" i="4"/>
  <c r="F6248" i="4"/>
  <c r="F6256" i="4"/>
  <c r="F6258" i="4"/>
  <c r="F6260" i="4"/>
  <c r="F6264" i="4"/>
  <c r="F6270" i="4"/>
  <c r="F6278" i="4"/>
  <c r="F6282" i="4"/>
  <c r="F6284" i="4"/>
  <c r="F6288" i="4"/>
  <c r="F6290" i="4"/>
  <c r="F6292" i="4"/>
  <c r="F6294" i="4"/>
  <c r="F6296" i="4"/>
  <c r="F6302" i="4"/>
  <c r="F6304" i="4"/>
  <c r="F6308" i="4"/>
  <c r="F6312" i="4"/>
  <c r="F6318" i="4"/>
  <c r="F6322" i="4"/>
  <c r="F6326" i="4"/>
  <c r="F6328" i="4"/>
  <c r="F6332" i="4"/>
  <c r="F6340" i="4"/>
  <c r="F6344" i="4"/>
  <c r="F6346" i="4"/>
  <c r="F6348" i="4"/>
  <c r="F6354" i="4"/>
  <c r="F6358" i="4"/>
  <c r="F6364" i="4"/>
  <c r="F6370" i="4"/>
  <c r="F6372" i="4"/>
  <c r="F6374" i="4"/>
  <c r="F6376" i="4"/>
  <c r="F6390" i="4"/>
  <c r="F6394" i="4"/>
  <c r="F6396" i="4"/>
  <c r="F6398" i="4"/>
  <c r="F6404" i="4"/>
  <c r="F6408" i="4"/>
  <c r="F6412" i="4"/>
  <c r="F6414" i="4"/>
  <c r="F6418" i="4"/>
  <c r="F6420" i="4"/>
  <c r="F6424" i="4"/>
  <c r="F6430" i="4"/>
  <c r="E5800" i="4"/>
  <c r="E5935" i="4"/>
  <c r="E5967" i="4"/>
  <c r="E5997" i="4"/>
  <c r="E6013" i="4"/>
  <c r="E6029" i="4"/>
  <c r="E6045" i="4"/>
  <c r="F6053" i="4"/>
  <c r="F6093" i="4"/>
  <c r="F6117" i="4"/>
  <c r="F6125" i="4"/>
  <c r="F6133" i="4"/>
  <c r="F6163" i="4"/>
  <c r="F6167" i="4"/>
  <c r="E6171" i="4"/>
  <c r="F6173" i="4"/>
  <c r="F6176" i="4"/>
  <c r="E6179" i="4"/>
  <c r="E6181" i="4"/>
  <c r="E6183" i="4"/>
  <c r="E6185" i="4"/>
  <c r="E6187" i="4"/>
  <c r="E6189" i="4"/>
  <c r="E6191" i="4"/>
  <c r="E6193" i="4"/>
  <c r="E6195" i="4"/>
  <c r="E6197" i="4"/>
  <c r="E6199" i="4"/>
  <c r="E6201" i="4"/>
  <c r="E6203" i="4"/>
  <c r="E6207" i="4"/>
  <c r="E6209" i="4"/>
  <c r="E6211" i="4"/>
  <c r="E6213" i="4"/>
  <c r="E6215" i="4"/>
  <c r="E6217" i="4"/>
  <c r="E6219" i="4"/>
  <c r="E6221" i="4"/>
  <c r="E6223" i="4"/>
  <c r="E6225" i="4"/>
  <c r="E6227" i="4"/>
  <c r="E6229" i="4"/>
  <c r="E6231" i="4"/>
  <c r="E6233" i="4"/>
  <c r="E6235" i="4"/>
  <c r="E6237" i="4"/>
  <c r="E6239" i="4"/>
  <c r="E6241" i="4"/>
  <c r="E6243" i="4"/>
  <c r="E6245" i="4"/>
  <c r="E6247" i="4"/>
  <c r="E6249" i="4"/>
  <c r="E6251" i="4"/>
  <c r="E6253" i="4"/>
  <c r="E6255" i="4"/>
  <c r="E6257" i="4"/>
  <c r="E6259" i="4"/>
  <c r="E6261" i="4"/>
  <c r="E6263" i="4"/>
  <c r="E6265" i="4"/>
  <c r="E6267" i="4"/>
  <c r="E6269" i="4"/>
  <c r="E6271" i="4"/>
  <c r="E6273" i="4"/>
  <c r="E6275" i="4"/>
  <c r="E6277" i="4"/>
  <c r="E6279" i="4"/>
  <c r="E6281" i="4"/>
  <c r="E6283" i="4"/>
  <c r="E6285" i="4"/>
  <c r="E6287" i="4"/>
  <c r="E6289" i="4"/>
  <c r="E6291" i="4"/>
  <c r="E6293" i="4"/>
  <c r="E6295" i="4"/>
  <c r="E6299" i="4"/>
  <c r="E6301" i="4"/>
  <c r="E6303" i="4"/>
  <c r="E6305" i="4"/>
  <c r="E6307" i="4"/>
  <c r="E6309" i="4"/>
  <c r="E6311" i="4"/>
  <c r="E6313" i="4"/>
  <c r="E6315" i="4"/>
  <c r="E6317" i="4"/>
  <c r="E6319" i="4"/>
  <c r="E6321" i="4"/>
  <c r="E6323" i="4"/>
  <c r="E6325" i="4"/>
  <c r="E6327" i="4"/>
  <c r="E6329" i="4"/>
  <c r="E6331" i="4"/>
  <c r="E6333" i="4"/>
  <c r="E6335" i="4"/>
  <c r="E6337" i="4"/>
  <c r="E6339" i="4"/>
  <c r="E6341" i="4"/>
  <c r="E6343" i="4"/>
  <c r="E6345" i="4"/>
  <c r="E6347" i="4"/>
  <c r="E6349" i="4"/>
  <c r="E6351" i="4"/>
  <c r="E6353" i="4"/>
  <c r="E6355" i="4"/>
  <c r="E6357" i="4"/>
  <c r="E6359" i="4"/>
  <c r="E6361" i="4"/>
  <c r="E6363" i="4"/>
  <c r="E6365" i="4"/>
  <c r="E6367" i="4"/>
  <c r="E6369" i="4"/>
  <c r="E6371" i="4"/>
  <c r="E6373" i="4"/>
  <c r="E6375" i="4"/>
  <c r="E6377" i="4"/>
  <c r="E6383" i="4"/>
  <c r="E6385" i="4"/>
  <c r="E6387" i="4"/>
  <c r="E6389" i="4"/>
  <c r="E6391" i="4"/>
  <c r="E6393" i="4"/>
  <c r="E6395" i="4"/>
  <c r="E6397" i="4"/>
  <c r="E6399" i="4"/>
  <c r="E6401" i="4"/>
  <c r="E6403" i="4"/>
  <c r="E6405" i="4"/>
  <c r="E6407" i="4"/>
  <c r="E6409" i="4"/>
  <c r="E6411" i="4"/>
  <c r="E6413" i="4"/>
  <c r="E6415" i="4"/>
  <c r="E6417" i="4"/>
  <c r="E6419" i="4"/>
  <c r="E6421" i="4"/>
  <c r="E6423" i="4"/>
  <c r="E6425" i="4"/>
  <c r="E6427" i="4"/>
  <c r="E6429" i="4"/>
  <c r="E6431" i="4"/>
  <c r="E6433" i="4"/>
  <c r="E6435" i="4"/>
  <c r="E6437" i="4"/>
  <c r="E6439" i="4"/>
  <c r="E6441" i="4"/>
  <c r="E6443" i="4"/>
  <c r="E6445" i="4"/>
  <c r="E6447" i="4"/>
  <c r="E6449" i="4"/>
  <c r="E6451" i="4"/>
  <c r="E6453" i="4"/>
  <c r="E6455" i="4"/>
  <c r="E6457" i="4"/>
  <c r="E6459" i="4"/>
  <c r="E6461" i="4"/>
  <c r="E5943" i="4"/>
  <c r="E6033" i="4"/>
  <c r="F6135" i="4"/>
  <c r="E6165" i="4"/>
  <c r="E6177" i="4"/>
  <c r="F6201" i="4"/>
  <c r="F6225" i="4"/>
  <c r="F6233" i="4"/>
  <c r="F6257" i="4"/>
  <c r="F6265" i="4"/>
  <c r="F6273" i="4"/>
  <c r="F6281" i="4"/>
  <c r="F6289" i="4"/>
  <c r="F6297" i="4"/>
  <c r="F6305" i="4"/>
  <c r="F6313" i="4"/>
  <c r="F6329" i="4"/>
  <c r="F6353" i="4"/>
  <c r="F6377" i="4"/>
  <c r="F6401" i="4"/>
  <c r="F6409" i="4"/>
  <c r="F6417" i="4"/>
  <c r="F6425" i="4"/>
  <c r="F6432" i="4"/>
  <c r="F6436" i="4"/>
  <c r="F6440" i="4"/>
  <c r="F6444" i="4"/>
  <c r="F6452" i="4"/>
  <c r="F6456" i="4"/>
  <c r="F6460" i="4"/>
  <c r="F6466" i="4"/>
  <c r="E6469" i="4"/>
  <c r="E6471" i="4"/>
  <c r="E6473" i="4"/>
  <c r="E6475" i="4"/>
  <c r="E6477" i="4"/>
  <c r="E6479" i="4"/>
  <c r="E6481" i="4"/>
  <c r="E6483" i="4"/>
  <c r="E6485" i="4"/>
  <c r="E6487" i="4"/>
  <c r="E6489" i="4"/>
  <c r="E6491" i="4"/>
  <c r="E6493" i="4"/>
  <c r="E6495" i="4"/>
  <c r="E6497" i="4"/>
  <c r="E6499" i="4"/>
  <c r="E6501" i="4"/>
  <c r="E6503" i="4"/>
  <c r="E6505" i="4"/>
  <c r="E6507" i="4"/>
  <c r="E6509" i="4"/>
  <c r="E6511" i="4"/>
  <c r="E6513" i="4"/>
  <c r="E6515" i="4"/>
  <c r="E6517" i="4"/>
  <c r="E6519" i="4"/>
  <c r="E6521" i="4"/>
  <c r="E6523" i="4"/>
  <c r="E6525" i="4"/>
  <c r="E6527" i="4"/>
  <c r="E6529" i="4"/>
  <c r="E6531" i="4"/>
  <c r="E6533" i="4"/>
  <c r="E6535" i="4"/>
  <c r="E6537" i="4"/>
  <c r="E6539" i="4"/>
  <c r="E6541" i="4"/>
  <c r="E6543" i="4"/>
  <c r="E6545" i="4"/>
  <c r="E6547" i="4"/>
  <c r="E6549" i="4"/>
  <c r="E6551" i="4"/>
  <c r="E6553" i="4"/>
  <c r="E6555" i="4"/>
  <c r="E6557" i="4"/>
  <c r="E6559" i="4"/>
  <c r="E6561" i="4"/>
  <c r="E6563" i="4"/>
  <c r="E6565" i="4"/>
  <c r="E6567" i="4"/>
  <c r="E6569" i="4"/>
  <c r="E6571" i="4"/>
  <c r="E6573" i="4"/>
  <c r="E6575" i="4"/>
  <c r="E6577" i="4"/>
  <c r="E6579" i="4"/>
  <c r="E6581" i="4"/>
  <c r="E6583" i="4"/>
  <c r="E6585" i="4"/>
  <c r="E6587" i="4"/>
  <c r="E6589" i="4"/>
  <c r="E6591" i="4"/>
  <c r="E6593" i="4"/>
  <c r="E6595" i="4"/>
  <c r="E6597" i="4"/>
  <c r="E6599" i="4"/>
  <c r="E6601" i="4"/>
  <c r="E6603" i="4"/>
  <c r="E6605" i="4"/>
  <c r="E6607" i="4"/>
  <c r="E6609" i="4"/>
  <c r="E6613" i="4"/>
  <c r="E6615" i="4"/>
  <c r="E6617" i="4"/>
  <c r="E6619" i="4"/>
  <c r="E6621" i="4"/>
  <c r="E6623" i="4"/>
  <c r="E6625" i="4"/>
  <c r="E6627" i="4"/>
  <c r="E6629" i="4"/>
  <c r="E6631" i="4"/>
  <c r="E5975" i="4"/>
  <c r="F6047" i="4"/>
  <c r="F6143" i="4"/>
  <c r="E6169" i="4"/>
  <c r="F6179" i="4"/>
  <c r="F6187" i="4"/>
  <c r="F6195" i="4"/>
  <c r="F6219" i="4"/>
  <c r="F6243" i="4"/>
  <c r="F6251" i="4"/>
  <c r="F6275" i="4"/>
  <c r="F6283" i="4"/>
  <c r="F6291" i="4"/>
  <c r="F6299" i="4"/>
  <c r="F6323" i="4"/>
  <c r="F6331" i="4"/>
  <c r="F6347" i="4"/>
  <c r="F6363" i="4"/>
  <c r="F6403" i="4"/>
  <c r="F6411" i="4"/>
  <c r="F6419" i="4"/>
  <c r="F6437" i="4"/>
  <c r="F6449" i="4"/>
  <c r="F6453" i="4"/>
  <c r="F6464" i="4"/>
  <c r="E6467" i="4"/>
  <c r="F6469" i="4"/>
  <c r="F6479" i="4"/>
  <c r="F6485" i="4"/>
  <c r="F6489" i="4"/>
  <c r="F6491" i="4"/>
  <c r="F6493" i="4"/>
  <c r="F6497" i="4"/>
  <c r="F6499" i="4"/>
  <c r="F6501" i="4"/>
  <c r="F6503" i="4"/>
  <c r="F6509" i="4"/>
  <c r="F6511" i="4"/>
  <c r="F6513" i="4"/>
  <c r="F6517" i="4"/>
  <c r="F6519" i="4"/>
  <c r="F6521" i="4"/>
  <c r="F6525" i="4"/>
  <c r="F6527" i="4"/>
  <c r="F6529" i="4"/>
  <c r="F6535" i="4"/>
  <c r="F6541" i="4"/>
  <c r="F6549" i="4"/>
  <c r="F6553" i="4"/>
  <c r="F6555" i="4"/>
  <c r="F6557" i="4"/>
  <c r="F6559" i="4"/>
  <c r="F6561" i="4"/>
  <c r="F6565" i="4"/>
  <c r="F6567" i="4"/>
  <c r="F6573" i="4"/>
  <c r="F6577" i="4"/>
  <c r="F6581" i="4"/>
  <c r="F6585" i="4"/>
  <c r="F6589" i="4"/>
  <c r="F6591" i="4"/>
  <c r="F6593" i="4"/>
  <c r="F6601" i="4"/>
  <c r="F6605" i="4"/>
  <c r="E6001" i="4"/>
  <c r="F6055" i="4"/>
  <c r="F6087" i="4"/>
  <c r="F6119" i="4"/>
  <c r="F6151" i="4"/>
  <c r="F6171" i="4"/>
  <c r="F6189" i="4"/>
  <c r="F6205" i="4"/>
  <c r="F6213" i="4"/>
  <c r="F6229" i="4"/>
  <c r="F6253" i="4"/>
  <c r="F6261" i="4"/>
  <c r="F6277" i="4"/>
  <c r="F6293" i="4"/>
  <c r="F6309" i="4"/>
  <c r="F6317" i="4"/>
  <c r="F6325" i="4"/>
  <c r="F6333" i="4"/>
  <c r="F6405" i="4"/>
  <c r="F6421" i="4"/>
  <c r="F6429" i="4"/>
  <c r="F6438" i="4"/>
  <c r="F6450" i="4"/>
  <c r="F6462" i="4"/>
  <c r="E6465" i="4"/>
  <c r="E6470" i="4"/>
  <c r="E6472" i="4"/>
  <c r="E6474" i="4"/>
  <c r="E6476" i="4"/>
  <c r="E6478" i="4"/>
  <c r="E6480" i="4"/>
  <c r="E6482" i="4"/>
  <c r="E6484" i="4"/>
  <c r="E6486" i="4"/>
  <c r="E6488" i="4"/>
  <c r="E6490" i="4"/>
  <c r="E6492" i="4"/>
  <c r="E6494" i="4"/>
  <c r="E6496" i="4"/>
  <c r="E6498" i="4"/>
  <c r="E6500" i="4"/>
  <c r="E6502" i="4"/>
  <c r="E6504" i="4"/>
  <c r="E6506" i="4"/>
  <c r="E6508" i="4"/>
  <c r="E6510" i="4"/>
  <c r="E6512" i="4"/>
  <c r="E6514" i="4"/>
  <c r="E6516" i="4"/>
  <c r="E6518" i="4"/>
  <c r="E6520" i="4"/>
  <c r="E6522" i="4"/>
  <c r="E6524" i="4"/>
  <c r="E6526" i="4"/>
  <c r="E6528" i="4"/>
  <c r="E6530" i="4"/>
  <c r="E6532" i="4"/>
  <c r="E6534" i="4"/>
  <c r="E6536" i="4"/>
  <c r="E6538" i="4"/>
  <c r="E6540" i="4"/>
  <c r="E6542" i="4"/>
  <c r="E6544" i="4"/>
  <c r="E6546" i="4"/>
  <c r="E6548" i="4"/>
  <c r="E6550" i="4"/>
  <c r="E6552" i="4"/>
  <c r="E6554" i="4"/>
  <c r="E6556" i="4"/>
  <c r="E6558" i="4"/>
  <c r="E6560" i="4"/>
  <c r="E6562" i="4"/>
  <c r="E6564" i="4"/>
  <c r="E6566" i="4"/>
  <c r="E6568" i="4"/>
  <c r="E6570" i="4"/>
  <c r="E6572" i="4"/>
  <c r="E6574" i="4"/>
  <c r="E6576" i="4"/>
  <c r="E6578" i="4"/>
  <c r="E6580" i="4"/>
  <c r="E6582" i="4"/>
  <c r="E6584" i="4"/>
  <c r="E6586" i="4"/>
  <c r="E6588" i="4"/>
  <c r="E6590" i="4"/>
  <c r="E6592" i="4"/>
  <c r="E6594" i="4"/>
  <c r="E6596" i="4"/>
  <c r="E6598" i="4"/>
  <c r="E6600" i="4"/>
  <c r="E6602" i="4"/>
  <c r="E6604" i="4"/>
  <c r="E6608" i="4"/>
  <c r="E6610" i="4"/>
  <c r="E6612" i="4"/>
  <c r="E6614" i="4"/>
  <c r="E6616" i="4"/>
  <c r="E6618" i="4"/>
  <c r="E6620" i="4"/>
  <c r="E6622" i="4"/>
  <c r="E6626" i="4"/>
  <c r="E6628" i="4"/>
  <c r="E6630" i="4"/>
  <c r="E6632" i="4"/>
  <c r="E6634" i="4"/>
  <c r="E5510" i="4"/>
  <c r="E6017" i="4"/>
  <c r="F6095" i="4"/>
  <c r="F6159" i="4"/>
  <c r="F6199" i="4"/>
  <c r="F6223" i="4"/>
  <c r="F6239" i="4"/>
  <c r="F6279" i="4"/>
  <c r="F6295" i="4"/>
  <c r="F6311" i="4"/>
  <c r="F6319" i="4"/>
  <c r="F6335" i="4"/>
  <c r="F6343" i="4"/>
  <c r="F6351" i="4"/>
  <c r="F6399" i="4"/>
  <c r="F6407" i="4"/>
  <c r="F6415" i="4"/>
  <c r="F6423" i="4"/>
  <c r="F6431" i="4"/>
  <c r="F6447" i="4"/>
  <c r="E6463" i="4"/>
  <c r="F6470" i="4"/>
  <c r="F6472" i="4"/>
  <c r="F6474" i="4"/>
  <c r="F6476" i="4"/>
  <c r="F6478" i="4"/>
  <c r="F6480" i="4"/>
  <c r="F6484" i="4"/>
  <c r="F6488" i="4"/>
  <c r="F6490" i="4"/>
  <c r="F6494" i="4"/>
  <c r="F6498" i="4"/>
  <c r="F6504" i="4"/>
  <c r="F6506" i="4"/>
  <c r="F6514" i="4"/>
  <c r="F6518" i="4"/>
  <c r="F6520" i="4"/>
  <c r="F6524" i="4"/>
  <c r="F6532" i="4"/>
  <c r="F6538" i="4"/>
  <c r="F6540" i="4"/>
  <c r="F6544" i="4"/>
  <c r="F6560" i="4"/>
  <c r="F6568" i="4"/>
  <c r="F6592" i="4"/>
  <c r="F6629" i="4"/>
  <c r="F6633" i="4"/>
  <c r="E6636" i="4"/>
  <c r="E6638" i="4"/>
  <c r="E6640" i="4"/>
  <c r="E6642" i="4"/>
  <c r="E6644" i="4"/>
  <c r="E6646" i="4"/>
  <c r="E6648" i="4"/>
  <c r="E6650" i="4"/>
  <c r="E6652" i="4"/>
  <c r="E6654" i="4"/>
  <c r="E6656" i="4"/>
  <c r="E6658" i="4"/>
  <c r="E6660" i="4"/>
  <c r="E6662" i="4"/>
  <c r="E6664" i="4"/>
  <c r="E6666" i="4"/>
  <c r="E6668" i="4"/>
  <c r="E6670" i="4"/>
  <c r="E6672" i="4"/>
  <c r="E6674" i="4"/>
  <c r="E6676" i="4"/>
  <c r="E6678" i="4"/>
  <c r="E6680" i="4"/>
  <c r="E6682" i="4"/>
  <c r="E6684" i="4"/>
  <c r="E6686" i="4"/>
  <c r="E6688" i="4"/>
  <c r="E6690" i="4"/>
  <c r="E6692" i="4"/>
  <c r="E6694" i="4"/>
  <c r="E6696" i="4"/>
  <c r="E6698" i="4"/>
  <c r="E6700" i="4"/>
  <c r="E6702" i="4"/>
  <c r="E6704" i="4"/>
  <c r="E6706" i="4"/>
  <c r="E6708" i="4"/>
  <c r="E6710" i="4"/>
  <c r="E6712" i="4"/>
  <c r="E6714" i="4"/>
  <c r="E6716" i="4"/>
  <c r="E6718" i="4"/>
  <c r="E6720" i="4"/>
  <c r="E6722" i="4"/>
  <c r="E6724" i="4"/>
  <c r="E6726" i="4"/>
  <c r="E6728" i="4"/>
  <c r="E6730" i="4"/>
  <c r="E6732" i="4"/>
  <c r="E6734" i="4"/>
  <c r="E6736" i="4"/>
  <c r="E6738" i="4"/>
  <c r="E6740" i="4"/>
  <c r="E6742" i="4"/>
  <c r="E6744" i="4"/>
  <c r="E6746" i="4"/>
  <c r="E6748" i="4"/>
  <c r="E6750" i="4"/>
  <c r="E6752" i="4"/>
  <c r="E6754" i="4"/>
  <c r="E6758" i="4"/>
  <c r="E6760" i="4"/>
  <c r="E6762" i="4"/>
  <c r="E6764" i="4"/>
  <c r="E6766" i="4"/>
  <c r="E6768" i="4"/>
  <c r="E6770" i="4"/>
  <c r="E6772" i="4"/>
  <c r="E6774" i="4"/>
  <c r="E6776" i="4"/>
  <c r="E6778" i="4"/>
  <c r="E6780" i="4"/>
  <c r="E6782" i="4"/>
  <c r="E6784" i="4"/>
  <c r="E6786" i="4"/>
  <c r="E6788" i="4"/>
  <c r="E6790" i="4"/>
  <c r="E6792" i="4"/>
  <c r="E6794" i="4"/>
  <c r="E6796" i="4"/>
  <c r="E6798" i="4"/>
  <c r="E6800" i="4"/>
  <c r="E6802" i="4"/>
  <c r="E6804" i="4"/>
  <c r="E6806" i="4"/>
  <c r="E6808" i="4"/>
  <c r="E6810" i="4"/>
  <c r="E6812" i="4"/>
  <c r="E6814" i="4"/>
  <c r="E6816" i="4"/>
  <c r="E6818" i="4"/>
  <c r="E6820" i="4"/>
  <c r="E6822" i="4"/>
  <c r="E6824" i="4"/>
  <c r="E6826" i="4"/>
  <c r="E6828" i="4"/>
  <c r="E6830" i="4"/>
  <c r="E6832" i="4"/>
  <c r="E6834" i="4"/>
  <c r="E6836" i="4"/>
  <c r="E6838" i="4"/>
  <c r="E6840" i="4"/>
  <c r="E6842" i="4"/>
  <c r="E6844" i="4"/>
  <c r="E6846" i="4"/>
  <c r="E6848" i="4"/>
  <c r="E6850" i="4"/>
  <c r="E6852" i="4"/>
  <c r="E6854" i="4"/>
  <c r="E6856" i="4"/>
  <c r="E6858" i="4"/>
  <c r="E6860" i="4"/>
  <c r="E6862" i="4"/>
  <c r="E6864" i="4"/>
  <c r="E6866" i="4"/>
  <c r="E6868" i="4"/>
  <c r="E6870" i="4"/>
  <c r="E6872" i="4"/>
  <c r="E6874" i="4"/>
  <c r="E6876" i="4"/>
  <c r="E6878" i="4"/>
  <c r="E6880" i="4"/>
  <c r="E6882" i="4"/>
  <c r="E6884" i="4"/>
  <c r="E6886" i="4"/>
  <c r="E6888" i="4"/>
  <c r="E6890" i="4"/>
  <c r="E6892" i="4"/>
  <c r="E6894" i="4"/>
  <c r="E6896" i="4"/>
  <c r="E6898" i="4"/>
  <c r="E6900" i="4"/>
  <c r="E6902" i="4"/>
  <c r="E6904" i="4"/>
  <c r="E6906" i="4"/>
  <c r="E6908" i="4"/>
  <c r="E6910" i="4"/>
  <c r="E6912" i="4"/>
  <c r="E6914" i="4"/>
  <c r="E6916" i="4"/>
  <c r="E6918" i="4"/>
  <c r="E6920" i="4"/>
  <c r="E6922" i="4"/>
  <c r="E6924" i="4"/>
  <c r="E6926" i="4"/>
  <c r="E6928" i="4"/>
  <c r="E6930" i="4"/>
  <c r="E6932" i="4"/>
  <c r="E6934" i="4"/>
  <c r="E6936" i="4"/>
  <c r="E6938" i="4"/>
  <c r="E6940" i="4"/>
  <c r="E6942" i="4"/>
  <c r="E6944" i="4"/>
  <c r="E6946" i="4"/>
  <c r="E6948" i="4"/>
  <c r="F6570" i="4"/>
  <c r="F6594" i="4"/>
  <c r="F6602" i="4"/>
  <c r="F6610" i="4"/>
  <c r="F6614" i="4"/>
  <c r="F6622" i="4"/>
  <c r="F6638" i="4"/>
  <c r="F6640" i="4"/>
  <c r="F6642" i="4"/>
  <c r="F6644" i="4"/>
  <c r="F6648" i="4"/>
  <c r="F6650" i="4"/>
  <c r="F6654" i="4"/>
  <c r="F6660" i="4"/>
  <c r="F6662" i="4"/>
  <c r="F6664" i="4"/>
  <c r="F6668" i="4"/>
  <c r="F6670" i="4"/>
  <c r="F6672" i="4"/>
  <c r="F6678" i="4"/>
  <c r="F6682" i="4"/>
  <c r="F6684" i="4"/>
  <c r="F6692" i="4"/>
  <c r="F6700" i="4"/>
  <c r="F6708" i="4"/>
  <c r="F6710" i="4"/>
  <c r="F6712" i="4"/>
  <c r="F6714" i="4"/>
  <c r="F6724" i="4"/>
  <c r="F6734" i="4"/>
  <c r="F6736" i="4"/>
  <c r="F6738" i="4"/>
  <c r="F6752" i="4"/>
  <c r="F6756" i="4"/>
  <c r="F6758" i="4"/>
  <c r="F6760" i="4"/>
  <c r="F6762" i="4"/>
  <c r="F6766" i="4"/>
  <c r="F6780" i="4"/>
  <c r="F6782" i="4"/>
  <c r="F6784" i="4"/>
  <c r="F6792" i="4"/>
  <c r="F6802" i="4"/>
  <c r="F6806" i="4"/>
  <c r="F6812" i="4"/>
  <c r="F6814" i="4"/>
  <c r="F6820" i="4"/>
  <c r="F6822" i="4"/>
  <c r="F6824" i="4"/>
  <c r="F6830" i="4"/>
  <c r="F6836" i="4"/>
  <c r="F6838" i="4"/>
  <c r="F6842" i="4"/>
  <c r="F6846" i="4"/>
  <c r="F6848" i="4"/>
  <c r="F6850" i="4"/>
  <c r="F6852" i="4"/>
  <c r="F6854" i="4"/>
  <c r="F6860" i="4"/>
  <c r="F6864" i="4"/>
  <c r="F6866" i="4"/>
  <c r="F6868" i="4"/>
  <c r="F6874" i="4"/>
  <c r="F6878" i="4"/>
  <c r="F6880" i="4"/>
  <c r="F6890" i="4"/>
  <c r="F6892" i="4"/>
  <c r="F6896" i="4"/>
  <c r="F6898" i="4"/>
  <c r="F6902" i="4"/>
  <c r="F6548" i="4"/>
  <c r="F6556" i="4"/>
  <c r="F6564" i="4"/>
  <c r="F6572" i="4"/>
  <c r="F6596" i="4"/>
  <c r="F6611" i="4"/>
  <c r="E6635" i="4"/>
  <c r="E6637" i="4"/>
  <c r="E6639" i="4"/>
  <c r="E6641" i="4"/>
  <c r="E6643" i="4"/>
  <c r="E6645" i="4"/>
  <c r="E6647" i="4"/>
  <c r="E6649" i="4"/>
  <c r="E6651" i="4"/>
  <c r="E6653" i="4"/>
  <c r="E6655" i="4"/>
  <c r="E6657" i="4"/>
  <c r="E6659" i="4"/>
  <c r="E6661" i="4"/>
  <c r="E6663" i="4"/>
  <c r="E6665" i="4"/>
  <c r="E6667" i="4"/>
  <c r="E6669" i="4"/>
  <c r="E6671" i="4"/>
  <c r="E6673" i="4"/>
  <c r="E6675" i="4"/>
  <c r="E6677" i="4"/>
  <c r="E6679" i="4"/>
  <c r="E6681" i="4"/>
  <c r="E6683" i="4"/>
  <c r="E6685" i="4"/>
  <c r="E6687" i="4"/>
  <c r="E6689" i="4"/>
  <c r="E6691" i="4"/>
  <c r="E6693" i="4"/>
  <c r="E6695" i="4"/>
  <c r="E6697" i="4"/>
  <c r="E6699" i="4"/>
  <c r="E6701" i="4"/>
  <c r="E6703" i="4"/>
  <c r="E6705" i="4"/>
  <c r="E6707" i="4"/>
  <c r="E6709" i="4"/>
  <c r="E6711" i="4"/>
  <c r="E6713" i="4"/>
  <c r="E6715" i="4"/>
  <c r="E6717" i="4"/>
  <c r="E6719" i="4"/>
  <c r="E6721" i="4"/>
  <c r="E6723" i="4"/>
  <c r="E6725" i="4"/>
  <c r="E6727" i="4"/>
  <c r="E6729" i="4"/>
  <c r="E6731" i="4"/>
  <c r="E6733" i="4"/>
  <c r="E6735" i="4"/>
  <c r="E6737" i="4"/>
  <c r="E6739" i="4"/>
  <c r="E6741" i="4"/>
  <c r="E6743" i="4"/>
  <c r="E6745" i="4"/>
  <c r="E6747" i="4"/>
  <c r="E6749" i="4"/>
  <c r="E6751" i="4"/>
  <c r="E6753" i="4"/>
  <c r="E6755" i="4"/>
  <c r="E6757" i="4"/>
  <c r="E6759" i="4"/>
  <c r="E6761" i="4"/>
  <c r="E6763" i="4"/>
  <c r="E6765" i="4"/>
  <c r="E6767" i="4"/>
  <c r="E6769" i="4"/>
  <c r="E6771" i="4"/>
  <c r="E6773" i="4"/>
  <c r="E6775" i="4"/>
  <c r="E6777" i="4"/>
  <c r="E6779" i="4"/>
  <c r="E6781" i="4"/>
  <c r="E6783" i="4"/>
  <c r="E6785" i="4"/>
  <c r="E6787" i="4"/>
  <c r="E6789" i="4"/>
  <c r="E6791" i="4"/>
  <c r="E6793" i="4"/>
  <c r="E6795" i="4"/>
  <c r="E6797" i="4"/>
  <c r="E6799" i="4"/>
  <c r="E6801" i="4"/>
  <c r="E6803" i="4"/>
  <c r="E6805" i="4"/>
  <c r="E6807" i="4"/>
  <c r="E6809" i="4"/>
  <c r="E6811" i="4"/>
  <c r="E6813" i="4"/>
  <c r="E6815" i="4"/>
  <c r="E6817" i="4"/>
  <c r="E6819" i="4"/>
  <c r="E6821" i="4"/>
  <c r="E6823" i="4"/>
  <c r="E6825" i="4"/>
  <c r="E6827" i="4"/>
  <c r="E6829" i="4"/>
  <c r="E6831" i="4"/>
  <c r="E6833" i="4"/>
  <c r="E6835" i="4"/>
  <c r="E6837" i="4"/>
  <c r="E6839" i="4"/>
  <c r="E6841" i="4"/>
  <c r="E6843" i="4"/>
  <c r="E6845" i="4"/>
  <c r="E6847" i="4"/>
  <c r="E6849" i="4"/>
  <c r="E6851" i="4"/>
  <c r="E6853" i="4"/>
  <c r="E6855" i="4"/>
  <c r="E6857" i="4"/>
  <c r="E6859" i="4"/>
  <c r="E6861" i="4"/>
  <c r="E6863" i="4"/>
  <c r="E6865" i="4"/>
  <c r="E6867" i="4"/>
  <c r="E6869" i="4"/>
  <c r="E6871" i="4"/>
  <c r="E6873" i="4"/>
  <c r="E6875" i="4"/>
  <c r="E6877" i="4"/>
  <c r="E6879" i="4"/>
  <c r="E6881" i="4"/>
  <c r="E6883" i="4"/>
  <c r="E6885" i="4"/>
  <c r="E6887" i="4"/>
  <c r="E6889" i="4"/>
  <c r="E6891" i="4"/>
  <c r="E6893" i="4"/>
  <c r="E6895" i="4"/>
  <c r="E6897" i="4"/>
  <c r="E6899" i="4"/>
  <c r="E6901" i="4"/>
  <c r="E6903" i="4"/>
  <c r="E6905" i="4"/>
  <c r="E6907" i="4"/>
  <c r="E6909" i="4"/>
  <c r="E6911" i="4"/>
  <c r="E6913" i="4"/>
  <c r="E6915" i="4"/>
  <c r="E6917" i="4"/>
  <c r="E6919" i="4"/>
  <c r="E6921" i="4"/>
  <c r="E6923" i="4"/>
  <c r="E6925" i="4"/>
  <c r="E6927" i="4"/>
  <c r="E6929" i="4"/>
  <c r="E6931" i="4"/>
  <c r="E6933" i="4"/>
  <c r="E6935" i="4"/>
  <c r="E6937" i="4"/>
  <c r="E6939" i="4"/>
  <c r="E6941" i="4"/>
  <c r="E6943" i="4"/>
  <c r="E6945" i="4"/>
  <c r="F6542" i="4"/>
  <c r="F6550" i="4"/>
  <c r="F6558" i="4"/>
  <c r="F6574" i="4"/>
  <c r="F6590" i="4"/>
  <c r="F6606" i="4"/>
  <c r="F6612" i="4"/>
  <c r="F6616" i="4"/>
  <c r="F6620" i="4"/>
  <c r="F6624" i="4"/>
  <c r="F6628" i="4"/>
  <c r="F6635" i="4"/>
  <c r="F6645" i="4"/>
  <c r="F6647" i="4"/>
  <c r="F6651" i="4"/>
  <c r="F6653" i="4"/>
  <c r="F6655" i="4"/>
  <c r="F6657" i="4"/>
  <c r="F6659" i="4"/>
  <c r="F6661" i="4"/>
  <c r="F6665" i="4"/>
  <c r="F6671" i="4"/>
  <c r="F6673" i="4"/>
  <c r="F6677" i="4"/>
  <c r="F6679" i="4"/>
  <c r="F6681" i="4"/>
  <c r="F6683" i="4"/>
  <c r="F6685" i="4"/>
  <c r="F6697" i="4"/>
  <c r="F6699" i="4"/>
  <c r="F6703" i="4"/>
  <c r="F6705" i="4"/>
  <c r="F6707" i="4"/>
  <c r="F6709" i="4"/>
  <c r="F6711" i="4"/>
  <c r="F6713" i="4"/>
  <c r="F6715" i="4"/>
  <c r="F6719" i="4"/>
  <c r="F6721" i="4"/>
  <c r="F6727" i="4"/>
  <c r="F6731" i="4"/>
  <c r="F6733" i="4"/>
  <c r="F6735" i="4"/>
  <c r="F6739" i="4"/>
  <c r="F6743" i="4"/>
  <c r="F6745" i="4"/>
  <c r="F6747" i="4"/>
  <c r="F6749" i="4"/>
  <c r="F6751" i="4"/>
  <c r="F6755" i="4"/>
  <c r="F6759" i="4"/>
  <c r="F6761" i="4"/>
  <c r="F6767" i="4"/>
  <c r="F6771" i="4"/>
  <c r="F6779" i="4"/>
  <c r="F6785" i="4"/>
  <c r="F6789" i="4"/>
  <c r="F6793" i="4"/>
  <c r="F6811" i="4"/>
  <c r="F6813" i="4"/>
  <c r="F6819" i="4"/>
  <c r="F6827" i="4"/>
  <c r="F6829" i="4"/>
  <c r="F6831" i="4"/>
  <c r="F6835" i="4"/>
  <c r="F6839" i="4"/>
  <c r="F6845" i="4"/>
  <c r="F6851" i="4"/>
  <c r="F6855" i="4"/>
  <c r="F6859" i="4"/>
  <c r="F6899" i="4"/>
  <c r="F6905" i="4"/>
  <c r="F6909" i="4"/>
  <c r="F6913" i="4"/>
  <c r="F6917" i="4"/>
  <c r="F6925" i="4"/>
  <c r="F6929" i="4"/>
  <c r="F6933" i="4"/>
  <c r="F6950" i="4"/>
  <c r="F6952" i="4"/>
  <c r="F6954" i="4"/>
  <c r="F6956" i="4"/>
  <c r="F6958" i="4"/>
  <c r="F6962" i="4"/>
  <c r="F6966" i="4"/>
  <c r="F6968" i="4"/>
  <c r="F6970" i="4"/>
  <c r="F6974" i="4"/>
  <c r="F6982" i="4"/>
  <c r="F6984" i="4"/>
  <c r="F6988" i="4"/>
  <c r="F6990" i="4"/>
  <c r="F6992" i="4"/>
  <c r="F7006" i="4"/>
  <c r="F7008" i="4"/>
  <c r="F7012" i="4"/>
  <c r="F7016" i="4"/>
  <c r="F7018" i="4"/>
  <c r="F7022" i="4"/>
  <c r="F7024" i="4"/>
  <c r="F7028" i="4"/>
  <c r="F7036" i="4"/>
  <c r="F7040" i="4"/>
  <c r="F7042" i="4"/>
  <c r="F7044" i="4"/>
  <c r="F7046" i="4"/>
  <c r="F7048" i="4"/>
  <c r="F7050" i="4"/>
  <c r="F7052" i="4"/>
  <c r="F7058" i="4"/>
  <c r="F7060" i="4"/>
  <c r="F7062" i="4"/>
  <c r="F7068" i="4"/>
  <c r="F7070" i="4"/>
  <c r="F7072" i="4"/>
  <c r="F7074" i="4"/>
  <c r="F7082" i="4"/>
  <c r="F7088" i="4"/>
  <c r="F7092" i="4"/>
  <c r="F7096" i="4"/>
  <c r="F7098" i="4"/>
  <c r="F7100" i="4"/>
  <c r="F7102" i="4"/>
  <c r="F7110" i="4"/>
  <c r="F7114" i="4"/>
  <c r="F7116" i="4"/>
  <c r="F7128" i="4"/>
  <c r="F7132" i="4"/>
  <c r="F7134" i="4"/>
  <c r="F7138" i="4"/>
  <c r="F7142" i="4"/>
  <c r="F7144" i="4"/>
  <c r="F7146" i="4"/>
  <c r="F7148" i="4"/>
  <c r="F7152" i="4"/>
  <c r="F7154" i="4"/>
  <c r="F7162" i="4"/>
  <c r="F7164" i="4"/>
  <c r="F7168" i="4"/>
  <c r="F7170" i="4"/>
  <c r="F7176" i="4"/>
  <c r="F7178" i="4"/>
  <c r="F7182" i="4"/>
  <c r="F7190" i="4"/>
  <c r="F7192" i="4"/>
  <c r="F7194" i="4"/>
  <c r="F7196" i="4"/>
  <c r="F7208" i="4"/>
  <c r="F7212" i="4"/>
  <c r="F7216" i="4"/>
  <c r="F7218" i="4"/>
  <c r="F7222" i="4"/>
  <c r="F7224" i="4"/>
  <c r="F7226" i="4"/>
  <c r="F7230" i="4"/>
  <c r="F7232" i="4"/>
  <c r="F7246" i="4"/>
  <c r="F7250" i="4"/>
  <c r="F7254" i="4"/>
  <c r="F7260" i="4"/>
  <c r="F7264" i="4"/>
  <c r="F7268" i="4"/>
  <c r="F7270" i="4"/>
  <c r="F7272" i="4"/>
  <c r="F7278" i="4"/>
  <c r="F7280" i="4"/>
  <c r="F7288" i="4"/>
  <c r="F7290" i="4"/>
  <c r="F6861" i="4"/>
  <c r="F6869" i="4"/>
  <c r="F6877" i="4"/>
  <c r="F6885" i="4"/>
  <c r="F6893" i="4"/>
  <c r="F6910" i="4"/>
  <c r="F6914" i="4"/>
  <c r="F6922" i="4"/>
  <c r="F6938" i="4"/>
  <c r="E6949" i="4"/>
  <c r="E6951" i="4"/>
  <c r="E6953" i="4"/>
  <c r="E6955" i="4"/>
  <c r="E6957" i="4"/>
  <c r="E6959" i="4"/>
  <c r="E6961" i="4"/>
  <c r="E6963" i="4"/>
  <c r="E6965" i="4"/>
  <c r="E6967" i="4"/>
  <c r="E6969" i="4"/>
  <c r="E6971" i="4"/>
  <c r="E6973" i="4"/>
  <c r="E6975" i="4"/>
  <c r="E6977" i="4"/>
  <c r="E6979" i="4"/>
  <c r="E6981" i="4"/>
  <c r="E6983" i="4"/>
  <c r="E6985" i="4"/>
  <c r="E6987" i="4"/>
  <c r="E6989" i="4"/>
  <c r="E6991" i="4"/>
  <c r="E6993" i="4"/>
  <c r="E6995" i="4"/>
  <c r="E6997" i="4"/>
  <c r="E6999" i="4"/>
  <c r="E7001" i="4"/>
  <c r="E7003" i="4"/>
  <c r="E7005" i="4"/>
  <c r="E7007" i="4"/>
  <c r="E7009" i="4"/>
  <c r="E7011" i="4"/>
  <c r="E7013" i="4"/>
  <c r="E7015" i="4"/>
  <c r="E7017" i="4"/>
  <c r="E7019" i="4"/>
  <c r="E7021" i="4"/>
  <c r="E7023" i="4"/>
  <c r="E7025" i="4"/>
  <c r="E7027" i="4"/>
  <c r="E7029" i="4"/>
  <c r="E7031" i="4"/>
  <c r="E7035" i="4"/>
  <c r="E7037" i="4"/>
  <c r="E7039" i="4"/>
  <c r="E7041" i="4"/>
  <c r="E7043" i="4"/>
  <c r="E7045" i="4"/>
  <c r="E7047" i="4"/>
  <c r="E7049" i="4"/>
  <c r="E7051" i="4"/>
  <c r="E7053" i="4"/>
  <c r="E7055" i="4"/>
  <c r="E7057" i="4"/>
  <c r="E7059" i="4"/>
  <c r="E7061" i="4"/>
  <c r="E7063" i="4"/>
  <c r="E7065" i="4"/>
  <c r="E7067" i="4"/>
  <c r="E7069" i="4"/>
  <c r="E7071" i="4"/>
  <c r="E7073" i="4"/>
  <c r="E7075" i="4"/>
  <c r="E7077" i="4"/>
  <c r="E7079" i="4"/>
  <c r="E7081" i="4"/>
  <c r="E7083" i="4"/>
  <c r="E7085" i="4"/>
  <c r="E7087" i="4"/>
  <c r="E7089" i="4"/>
  <c r="E7091" i="4"/>
  <c r="E7093" i="4"/>
  <c r="E7095" i="4"/>
  <c r="E7097" i="4"/>
  <c r="E7099" i="4"/>
  <c r="E7101" i="4"/>
  <c r="E7103" i="4"/>
  <c r="E7105" i="4"/>
  <c r="E7107" i="4"/>
  <c r="E7109" i="4"/>
  <c r="E7111" i="4"/>
  <c r="E7113" i="4"/>
  <c r="E7115" i="4"/>
  <c r="E7117" i="4"/>
  <c r="E7119" i="4"/>
  <c r="E7121" i="4"/>
  <c r="E7123" i="4"/>
  <c r="E7125" i="4"/>
  <c r="E7127" i="4"/>
  <c r="E7129" i="4"/>
  <c r="E7131" i="4"/>
  <c r="E7133" i="4"/>
  <c r="E7135" i="4"/>
  <c r="E7137" i="4"/>
  <c r="E7139" i="4"/>
  <c r="E7141" i="4"/>
  <c r="E7143" i="4"/>
  <c r="E7145" i="4"/>
  <c r="E7147" i="4"/>
  <c r="E7149" i="4"/>
  <c r="E7151" i="4"/>
  <c r="E7153" i="4"/>
  <c r="E7155" i="4"/>
  <c r="E7157" i="4"/>
  <c r="E7159" i="4"/>
  <c r="E7161" i="4"/>
  <c r="E7163" i="4"/>
  <c r="E7165" i="4"/>
  <c r="E7167" i="4"/>
  <c r="E7169" i="4"/>
  <c r="E7171" i="4"/>
  <c r="E7173" i="4"/>
  <c r="E7175" i="4"/>
  <c r="E7177" i="4"/>
  <c r="E7179" i="4"/>
  <c r="E7181" i="4"/>
  <c r="E7183" i="4"/>
  <c r="E7187" i="4"/>
  <c r="E7189" i="4"/>
  <c r="E7191" i="4"/>
  <c r="E7193" i="4"/>
  <c r="E7195" i="4"/>
  <c r="E7197" i="4"/>
  <c r="E7199" i="4"/>
  <c r="E7201" i="4"/>
  <c r="E7203" i="4"/>
  <c r="E7205" i="4"/>
  <c r="E7207" i="4"/>
  <c r="E7209" i="4"/>
  <c r="E7211" i="4"/>
  <c r="E7213" i="4"/>
  <c r="E7215" i="4"/>
  <c r="E7217" i="4"/>
  <c r="E7219" i="4"/>
  <c r="E7223" i="4"/>
  <c r="E7225" i="4"/>
  <c r="E7227" i="4"/>
  <c r="E7229" i="4"/>
  <c r="E7231" i="4"/>
  <c r="E7233" i="4"/>
  <c r="E7235" i="4"/>
  <c r="E7237" i="4"/>
  <c r="E7239" i="4"/>
  <c r="E7241" i="4"/>
  <c r="E7243" i="4"/>
  <c r="E7245" i="4"/>
  <c r="E7247" i="4"/>
  <c r="E7249" i="4"/>
  <c r="E7251" i="4"/>
  <c r="E7253" i="4"/>
  <c r="F6863" i="4"/>
  <c r="F6879" i="4"/>
  <c r="F6895" i="4"/>
  <c r="F6915" i="4"/>
  <c r="F6919" i="4"/>
  <c r="F6927" i="4"/>
  <c r="F6931" i="4"/>
  <c r="F6935" i="4"/>
  <c r="F6943" i="4"/>
  <c r="F6949" i="4"/>
  <c r="F6951" i="4"/>
  <c r="F6953" i="4"/>
  <c r="F6959" i="4"/>
  <c r="F6967" i="4"/>
  <c r="F6969" i="4"/>
  <c r="F6971" i="4"/>
  <c r="F6973" i="4"/>
  <c r="F6977" i="4"/>
  <c r="F6979" i="4"/>
  <c r="F6981" i="4"/>
  <c r="F6987" i="4"/>
  <c r="F6989" i="4"/>
  <c r="F6991" i="4"/>
  <c r="F6993" i="4"/>
  <c r="F6997" i="4"/>
  <c r="F7001" i="4"/>
  <c r="F7007" i="4"/>
  <c r="F7015" i="4"/>
  <c r="F7017" i="4"/>
  <c r="F7019" i="4"/>
  <c r="F7025" i="4"/>
  <c r="F7029" i="4"/>
  <c r="F7031" i="4"/>
  <c r="F7033" i="4"/>
  <c r="F7035" i="4"/>
  <c r="F7045" i="4"/>
  <c r="F7047" i="4"/>
  <c r="F7049" i="4"/>
  <c r="F7051" i="4"/>
  <c r="F7053" i="4"/>
  <c r="F7057" i="4"/>
  <c r="F7063" i="4"/>
  <c r="F7065" i="4"/>
  <c r="F7069" i="4"/>
  <c r="F7071" i="4"/>
  <c r="F7077" i="4"/>
  <c r="F7079" i="4"/>
  <c r="F7085" i="4"/>
  <c r="F7089" i="4"/>
  <c r="F7093" i="4"/>
  <c r="F7095" i="4"/>
  <c r="F7103" i="4"/>
  <c r="F7105" i="4"/>
  <c r="F7107" i="4"/>
  <c r="F7111" i="4"/>
  <c r="F7113" i="4"/>
  <c r="F7119" i="4"/>
  <c r="F7123" i="4"/>
  <c r="F7125" i="4"/>
  <c r="F7129" i="4"/>
  <c r="F7131" i="4"/>
  <c r="F7133" i="4"/>
  <c r="F7139" i="4"/>
  <c r="F7141" i="4"/>
  <c r="F7143" i="4"/>
  <c r="F7149" i="4"/>
  <c r="F7157" i="4"/>
  <c r="F7161" i="4"/>
  <c r="F7165" i="4"/>
  <c r="F7167" i="4"/>
  <c r="F7175" i="4"/>
  <c r="F7179" i="4"/>
  <c r="F7185" i="4"/>
  <c r="F7187" i="4"/>
  <c r="F7189" i="4"/>
  <c r="F7197" i="4"/>
  <c r="F7201" i="4"/>
  <c r="F7203" i="4"/>
  <c r="F7205" i="4"/>
  <c r="F7213" i="4"/>
  <c r="F7215" i="4"/>
  <c r="F7217" i="4"/>
  <c r="F7219" i="4"/>
  <c r="F7221" i="4"/>
  <c r="F7225" i="4"/>
  <c r="F7237" i="4"/>
  <c r="F7239" i="4"/>
  <c r="F7241" i="4"/>
  <c r="F7247" i="4"/>
  <c r="F7251" i="4"/>
  <c r="F7253" i="4"/>
  <c r="F7257" i="4"/>
  <c r="F7263" i="4"/>
  <c r="F7265" i="4"/>
  <c r="F6865" i="4"/>
  <c r="F6889" i="4"/>
  <c r="F6904" i="4"/>
  <c r="F6912" i="4"/>
  <c r="F6924" i="4"/>
  <c r="F6928" i="4"/>
  <c r="F6936" i="4"/>
  <c r="F6944" i="4"/>
  <c r="F6947" i="4"/>
  <c r="E6950" i="4"/>
  <c r="E6952" i="4"/>
  <c r="E6954" i="4"/>
  <c r="E6956" i="4"/>
  <c r="E6958" i="4"/>
  <c r="E6960" i="4"/>
  <c r="E6962" i="4"/>
  <c r="E6964" i="4"/>
  <c r="E6966" i="4"/>
  <c r="E6968" i="4"/>
  <c r="E6970" i="4"/>
  <c r="E6972" i="4"/>
  <c r="E6974" i="4"/>
  <c r="E6976" i="4"/>
  <c r="E6978" i="4"/>
  <c r="E6980" i="4"/>
  <c r="E6982" i="4"/>
  <c r="E6984" i="4"/>
  <c r="E6986" i="4"/>
  <c r="E6988" i="4"/>
  <c r="E6990" i="4"/>
  <c r="E6992" i="4"/>
  <c r="E6994" i="4"/>
  <c r="E6996" i="4"/>
  <c r="E6998" i="4"/>
  <c r="E7000" i="4"/>
  <c r="E7002" i="4"/>
  <c r="E7004" i="4"/>
  <c r="E7006" i="4"/>
  <c r="E7008" i="4"/>
  <c r="E7010" i="4"/>
  <c r="E7012" i="4"/>
  <c r="E7014" i="4"/>
  <c r="E7016" i="4"/>
  <c r="E7018" i="4"/>
  <c r="E7020" i="4"/>
  <c r="E7022" i="4"/>
  <c r="E7024" i="4"/>
  <c r="E7026" i="4"/>
  <c r="E7028" i="4"/>
  <c r="E7030" i="4"/>
  <c r="E7032" i="4"/>
  <c r="E7034" i="4"/>
  <c r="E7036" i="4"/>
  <c r="E7038" i="4"/>
  <c r="E7040" i="4"/>
  <c r="E7042" i="4"/>
  <c r="E7044" i="4"/>
  <c r="E7046" i="4"/>
  <c r="E7050" i="4"/>
  <c r="E7052" i="4"/>
  <c r="E7056" i="4"/>
  <c r="E7058" i="4"/>
  <c r="E7060" i="4"/>
  <c r="E7062" i="4"/>
  <c r="E7064" i="4"/>
  <c r="E7066" i="4"/>
  <c r="E7068" i="4"/>
  <c r="E7070" i="4"/>
  <c r="E7072" i="4"/>
  <c r="E7074" i="4"/>
  <c r="E7076" i="4"/>
  <c r="E7078" i="4"/>
  <c r="E7080" i="4"/>
  <c r="E7082" i="4"/>
  <c r="E7084" i="4"/>
  <c r="E7086" i="4"/>
  <c r="E7088" i="4"/>
  <c r="E7090" i="4"/>
  <c r="E7092" i="4"/>
  <c r="E7094" i="4"/>
  <c r="E7098" i="4"/>
  <c r="E7100" i="4"/>
  <c r="E7102" i="4"/>
  <c r="E7104" i="4"/>
  <c r="E7106" i="4"/>
  <c r="E7108" i="4"/>
  <c r="E7110" i="4"/>
  <c r="E7112" i="4"/>
  <c r="E7114" i="4"/>
  <c r="E7116" i="4"/>
  <c r="E7118" i="4"/>
  <c r="E7120" i="4"/>
  <c r="E7122" i="4"/>
  <c r="E7124" i="4"/>
  <c r="E7126" i="4"/>
  <c r="E7128" i="4"/>
  <c r="E7130" i="4"/>
  <c r="E7132" i="4"/>
  <c r="E7134" i="4"/>
  <c r="E7136" i="4"/>
  <c r="E7138" i="4"/>
  <c r="E7140" i="4"/>
  <c r="E7142" i="4"/>
  <c r="E7144" i="4"/>
  <c r="E7146" i="4"/>
  <c r="E7148" i="4"/>
  <c r="E7150" i="4"/>
  <c r="E7152" i="4"/>
  <c r="E7154" i="4"/>
  <c r="E7156" i="4"/>
  <c r="E7158" i="4"/>
  <c r="E7160" i="4"/>
  <c r="E7162" i="4"/>
  <c r="E7164" i="4"/>
  <c r="E7166" i="4"/>
  <c r="E7168" i="4"/>
  <c r="E7170" i="4"/>
  <c r="E7172" i="4"/>
  <c r="E7174" i="4"/>
  <c r="E7176" i="4"/>
  <c r="E7178" i="4"/>
  <c r="E7180" i="4"/>
  <c r="E7182" i="4"/>
  <c r="E7184" i="4"/>
  <c r="E7186" i="4"/>
  <c r="E7188" i="4"/>
  <c r="E7190" i="4"/>
  <c r="E7192" i="4"/>
  <c r="E7194" i="4"/>
  <c r="E7196" i="4"/>
  <c r="E7198" i="4"/>
  <c r="E7200" i="4"/>
  <c r="E7202" i="4"/>
  <c r="E7204" i="4"/>
  <c r="E7206" i="4"/>
  <c r="E7208" i="4"/>
  <c r="E7210" i="4"/>
  <c r="E7212" i="4"/>
  <c r="E7214" i="4"/>
  <c r="E7216" i="4"/>
  <c r="E7218" i="4"/>
  <c r="E7220" i="4"/>
  <c r="E7222" i="4"/>
  <c r="E7224" i="4"/>
  <c r="E7226" i="4"/>
  <c r="E7228" i="4"/>
  <c r="E7230" i="4"/>
  <c r="E7232" i="4"/>
  <c r="E7234" i="4"/>
  <c r="E7238" i="4"/>
  <c r="E7246" i="4"/>
  <c r="E7254" i="4"/>
  <c r="E7258" i="4"/>
  <c r="E7262" i="4"/>
  <c r="E7266" i="4"/>
  <c r="E7270" i="4"/>
  <c r="E7276" i="4"/>
  <c r="E7279" i="4"/>
  <c r="F7281" i="4"/>
  <c r="E7284" i="4"/>
  <c r="E7287" i="4"/>
  <c r="E7292" i="4"/>
  <c r="E7294" i="4"/>
  <c r="E7296" i="4"/>
  <c r="E7298" i="4"/>
  <c r="E7300" i="4"/>
  <c r="E7302" i="4"/>
  <c r="E7304" i="4"/>
  <c r="E7306" i="4"/>
  <c r="E7308" i="4"/>
  <c r="E7310" i="4"/>
  <c r="E7312" i="4"/>
  <c r="E7314" i="4"/>
  <c r="E7316" i="4"/>
  <c r="E7318" i="4"/>
  <c r="E7320" i="4"/>
  <c r="E7322" i="4"/>
  <c r="E7324" i="4"/>
  <c r="E7326" i="4"/>
  <c r="E7328" i="4"/>
  <c r="E7330" i="4"/>
  <c r="E7332" i="4"/>
  <c r="E7334" i="4"/>
  <c r="E7336" i="4"/>
  <c r="E7338" i="4"/>
  <c r="E7340" i="4"/>
  <c r="E7342" i="4"/>
  <c r="E7344" i="4"/>
  <c r="E7346" i="4"/>
  <c r="E7348" i="4"/>
  <c r="E7350" i="4"/>
  <c r="E7354" i="4"/>
  <c r="E7356" i="4"/>
  <c r="E7358" i="4"/>
  <c r="E7360" i="4"/>
  <c r="E7362" i="4"/>
  <c r="E7364" i="4"/>
  <c r="E7366" i="4"/>
  <c r="E7368" i="4"/>
  <c r="E7370" i="4"/>
  <c r="E7372" i="4"/>
  <c r="E7374" i="4"/>
  <c r="E7376" i="4"/>
  <c r="E7378" i="4"/>
  <c r="E7382" i="4"/>
  <c r="E7384" i="4"/>
  <c r="E7386" i="4"/>
  <c r="E7388" i="4"/>
  <c r="E7390" i="4"/>
  <c r="E7392" i="4"/>
  <c r="E7394" i="4"/>
  <c r="E7396" i="4"/>
  <c r="E7398" i="4"/>
  <c r="E7400" i="4"/>
  <c r="E7402" i="4"/>
  <c r="E7404" i="4"/>
  <c r="E7406" i="4"/>
  <c r="E7408" i="4"/>
  <c r="E7410" i="4"/>
  <c r="E7412" i="4"/>
  <c r="E7414" i="4"/>
  <c r="E7416" i="4"/>
  <c r="E7418" i="4"/>
  <c r="E7420" i="4"/>
  <c r="E7422" i="4"/>
  <c r="E7424" i="4"/>
  <c r="E7426" i="4"/>
  <c r="E7428" i="4"/>
  <c r="E7430" i="4"/>
  <c r="E7432" i="4"/>
  <c r="E7434" i="4"/>
  <c r="E7436" i="4"/>
  <c r="E7438" i="4"/>
  <c r="E7440" i="4"/>
  <c r="E7442" i="4"/>
  <c r="E7444" i="4"/>
  <c r="E7446" i="4"/>
  <c r="E7448" i="4"/>
  <c r="E7450" i="4"/>
  <c r="E7452" i="4"/>
  <c r="E7454" i="4"/>
  <c r="E7456" i="4"/>
  <c r="E7458" i="4"/>
  <c r="E7460" i="4"/>
  <c r="E7462" i="4"/>
  <c r="E7464" i="4"/>
  <c r="E7466" i="4"/>
  <c r="E7470" i="4"/>
  <c r="E7472" i="4"/>
  <c r="E7474" i="4"/>
  <c r="E7476" i="4"/>
  <c r="E7478" i="4"/>
  <c r="E7480" i="4"/>
  <c r="E7482" i="4"/>
  <c r="E7484" i="4"/>
  <c r="E7486" i="4"/>
  <c r="E7488" i="4"/>
  <c r="E7490" i="4"/>
  <c r="E7494" i="4"/>
  <c r="E7496" i="4"/>
  <c r="E7502" i="4"/>
  <c r="E7504" i="4"/>
  <c r="E7506" i="4"/>
  <c r="E7508" i="4"/>
  <c r="E7510" i="4"/>
  <c r="E7512" i="4"/>
  <c r="E7514" i="4"/>
  <c r="E7516" i="4"/>
  <c r="E7518" i="4"/>
  <c r="E7520" i="4"/>
  <c r="E7522" i="4"/>
  <c r="E7524" i="4"/>
  <c r="E7526" i="4"/>
  <c r="E7528" i="4"/>
  <c r="E7530" i="4"/>
  <c r="E7532" i="4"/>
  <c r="E7534" i="4"/>
  <c r="E7536" i="4"/>
  <c r="E7538" i="4"/>
  <c r="E7540" i="4"/>
  <c r="E7544" i="4"/>
  <c r="E7546" i="4"/>
  <c r="E7548" i="4"/>
  <c r="E7550" i="4"/>
  <c r="E7552" i="4"/>
  <c r="E7554" i="4"/>
  <c r="E7556" i="4"/>
  <c r="E7558" i="4"/>
  <c r="E7560" i="4"/>
  <c r="E7562" i="4"/>
  <c r="E7564" i="4"/>
  <c r="E7566" i="4"/>
  <c r="E7568" i="4"/>
  <c r="E7570" i="4"/>
  <c r="E7572" i="4"/>
  <c r="E7574" i="4"/>
  <c r="E7576" i="4"/>
  <c r="E7578" i="4"/>
  <c r="E7580" i="4"/>
  <c r="E7582" i="4"/>
  <c r="E7584" i="4"/>
  <c r="E7586" i="4"/>
  <c r="E7588" i="4"/>
  <c r="E7590" i="4"/>
  <c r="E7592" i="4"/>
  <c r="E7594" i="4"/>
  <c r="E7596" i="4"/>
  <c r="E7598" i="4"/>
  <c r="E7600" i="4"/>
  <c r="E7602" i="4"/>
  <c r="E7604" i="4"/>
  <c r="E7606" i="4"/>
  <c r="E7608" i="4"/>
  <c r="E7610" i="4"/>
  <c r="E7612" i="4"/>
  <c r="E7614" i="4"/>
  <c r="E7616" i="4"/>
  <c r="E7618" i="4"/>
  <c r="E7620" i="4"/>
  <c r="E7622" i="4"/>
  <c r="E7624" i="4"/>
  <c r="E7626" i="4"/>
  <c r="E7628" i="4"/>
  <c r="E7630" i="4"/>
  <c r="E7632" i="4"/>
  <c r="E7634" i="4"/>
  <c r="E7636" i="4"/>
  <c r="E7638" i="4"/>
  <c r="E7640" i="4"/>
  <c r="E7642" i="4"/>
  <c r="E7644" i="4"/>
  <c r="E7240" i="4"/>
  <c r="E7248" i="4"/>
  <c r="E7255" i="4"/>
  <c r="E7259" i="4"/>
  <c r="E7263" i="4"/>
  <c r="E7267" i="4"/>
  <c r="E7271" i="4"/>
  <c r="E7274" i="4"/>
  <c r="E7277" i="4"/>
  <c r="E7282" i="4"/>
  <c r="E7285" i="4"/>
  <c r="F7287" i="4"/>
  <c r="E7290" i="4"/>
  <c r="F7294" i="4"/>
  <c r="F7296" i="4"/>
  <c r="F7298" i="4"/>
  <c r="F7300" i="4"/>
  <c r="F7306" i="4"/>
  <c r="F7310" i="4"/>
  <c r="F7312" i="4"/>
  <c r="F7316" i="4"/>
  <c r="F7318" i="4"/>
  <c r="F7320" i="4"/>
  <c r="F7322" i="4"/>
  <c r="F7328" i="4"/>
  <c r="F7336" i="4"/>
  <c r="F7340" i="4"/>
  <c r="F7344" i="4"/>
  <c r="F7348" i="4"/>
  <c r="F7350" i="4"/>
  <c r="F7352" i="4"/>
  <c r="F7356" i="4"/>
  <c r="F7362" i="4"/>
  <c r="F7370" i="4"/>
  <c r="F7378" i="4"/>
  <c r="F7380" i="4"/>
  <c r="F7384" i="4"/>
  <c r="F7386" i="4"/>
  <c r="F7388" i="4"/>
  <c r="F7394" i="4"/>
  <c r="F7398" i="4"/>
  <c r="F7404" i="4"/>
  <c r="F7408" i="4"/>
  <c r="F7414" i="4"/>
  <c r="F7416" i="4"/>
  <c r="F7418" i="4"/>
  <c r="F7428" i="4"/>
  <c r="F7430" i="4"/>
  <c r="F7432" i="4"/>
  <c r="F7434" i="4"/>
  <c r="F7440" i="4"/>
  <c r="F7444" i="4"/>
  <c r="F7448" i="4"/>
  <c r="F7452" i="4"/>
  <c r="F7458" i="4"/>
  <c r="F7460" i="4"/>
  <c r="F7462" i="4"/>
  <c r="F7466" i="4"/>
  <c r="F7468" i="4"/>
  <c r="F7470" i="4"/>
  <c r="F7480" i="4"/>
  <c r="F7484" i="4"/>
  <c r="F7486" i="4"/>
  <c r="F7492" i="4"/>
  <c r="F7494" i="4"/>
  <c r="F7496" i="4"/>
  <c r="F7498" i="4"/>
  <c r="F7500" i="4"/>
  <c r="F7502" i="4"/>
  <c r="F7504" i="4"/>
  <c r="F7506" i="4"/>
  <c r="F7510" i="4"/>
  <c r="F7512" i="4"/>
  <c r="F7516" i="4"/>
  <c r="F7520" i="4"/>
  <c r="F7524" i="4"/>
  <c r="F7528" i="4"/>
  <c r="F7542" i="4"/>
  <c r="F7548" i="4"/>
  <c r="F7550" i="4"/>
  <c r="F7556" i="4"/>
  <c r="F7558" i="4"/>
  <c r="F7562" i="4"/>
  <c r="F7568" i="4"/>
  <c r="F7570" i="4"/>
  <c r="F7572" i="4"/>
  <c r="F7576" i="4"/>
  <c r="F7578" i="4"/>
  <c r="F7582" i="4"/>
  <c r="F7586" i="4"/>
  <c r="F7596" i="4"/>
  <c r="F7598" i="4"/>
  <c r="F7600" i="4"/>
  <c r="F7602" i="4"/>
  <c r="F7608" i="4"/>
  <c r="F7610" i="4"/>
  <c r="F7614" i="4"/>
  <c r="F7618" i="4"/>
  <c r="F7630" i="4"/>
  <c r="F7634" i="4"/>
  <c r="F7638" i="4"/>
  <c r="E7242" i="4"/>
  <c r="E7250" i="4"/>
  <c r="E7256" i="4"/>
  <c r="E7260" i="4"/>
  <c r="E7264" i="4"/>
  <c r="E7268" i="4"/>
  <c r="E7272" i="4"/>
  <c r="E7275" i="4"/>
  <c r="E7280" i="4"/>
  <c r="E7283" i="4"/>
  <c r="E7288" i="4"/>
  <c r="E7291" i="4"/>
  <c r="E7293" i="4"/>
  <c r="E7295" i="4"/>
  <c r="E7297" i="4"/>
  <c r="E7299" i="4"/>
  <c r="E7301" i="4"/>
  <c r="E7303" i="4"/>
  <c r="E7305" i="4"/>
  <c r="E7307" i="4"/>
  <c r="E7309" i="4"/>
  <c r="E7311" i="4"/>
  <c r="E7313" i="4"/>
  <c r="E7315" i="4"/>
  <c r="E7317" i="4"/>
  <c r="E7319" i="4"/>
  <c r="E7321" i="4"/>
  <c r="E7323" i="4"/>
  <c r="E7325" i="4"/>
  <c r="E7327" i="4"/>
  <c r="E7329" i="4"/>
  <c r="E7331" i="4"/>
  <c r="E7333" i="4"/>
  <c r="E7335" i="4"/>
  <c r="E7337" i="4"/>
  <c r="E7339" i="4"/>
  <c r="E7341" i="4"/>
  <c r="E7343" i="4"/>
  <c r="E7345" i="4"/>
  <c r="E7347" i="4"/>
  <c r="E7349" i="4"/>
  <c r="E7351" i="4"/>
  <c r="E7353" i="4"/>
  <c r="E7355" i="4"/>
  <c r="E7357" i="4"/>
  <c r="E7359" i="4"/>
  <c r="E7361" i="4"/>
  <c r="E7363" i="4"/>
  <c r="E7365" i="4"/>
  <c r="E7367" i="4"/>
  <c r="E7369" i="4"/>
  <c r="E7371" i="4"/>
  <c r="E7373" i="4"/>
  <c r="E7375" i="4"/>
  <c r="E7377" i="4"/>
  <c r="E7379" i="4"/>
  <c r="E7381" i="4"/>
  <c r="E7383" i="4"/>
  <c r="E7385" i="4"/>
  <c r="E7387" i="4"/>
  <c r="E7389" i="4"/>
  <c r="E7391" i="4"/>
  <c r="E7393" i="4"/>
  <c r="E7395" i="4"/>
  <c r="E7397" i="4"/>
  <c r="E7399" i="4"/>
  <c r="E7401" i="4"/>
  <c r="E7403" i="4"/>
  <c r="E7405" i="4"/>
  <c r="E7407" i="4"/>
  <c r="E7409" i="4"/>
  <c r="E7411" i="4"/>
  <c r="E7413" i="4"/>
  <c r="E7415" i="4"/>
  <c r="E7417" i="4"/>
  <c r="E7419" i="4"/>
  <c r="E7421" i="4"/>
  <c r="E7423" i="4"/>
  <c r="E7425" i="4"/>
  <c r="E7427" i="4"/>
  <c r="E7431" i="4"/>
  <c r="E7433" i="4"/>
  <c r="E7435" i="4"/>
  <c r="E7437" i="4"/>
  <c r="E7439" i="4"/>
  <c r="E7441" i="4"/>
  <c r="E7443" i="4"/>
  <c r="E7445" i="4"/>
  <c r="E7447" i="4"/>
  <c r="E7449" i="4"/>
  <c r="E7451" i="4"/>
  <c r="E7453" i="4"/>
  <c r="E7455" i="4"/>
  <c r="E7457" i="4"/>
  <c r="E7461" i="4"/>
  <c r="E7463" i="4"/>
  <c r="E7465" i="4"/>
  <c r="E7467" i="4"/>
  <c r="E7469" i="4"/>
  <c r="E7471" i="4"/>
  <c r="E7473" i="4"/>
  <c r="E7475" i="4"/>
  <c r="E7477" i="4"/>
  <c r="E7479" i="4"/>
  <c r="E7481" i="4"/>
  <c r="E7483" i="4"/>
  <c r="E7485" i="4"/>
  <c r="E7487" i="4"/>
  <c r="E7489" i="4"/>
  <c r="E7491" i="4"/>
  <c r="E7493" i="4"/>
  <c r="E7495" i="4"/>
  <c r="E7499" i="4"/>
  <c r="E7501" i="4"/>
  <c r="E7503" i="4"/>
  <c r="E7505" i="4"/>
  <c r="E7507" i="4"/>
  <c r="E7509" i="4"/>
  <c r="E7511" i="4"/>
  <c r="E7513" i="4"/>
  <c r="E7515" i="4"/>
  <c r="E7517" i="4"/>
  <c r="E7519" i="4"/>
  <c r="E7521" i="4"/>
  <c r="E7523" i="4"/>
  <c r="E7525" i="4"/>
  <c r="E7527" i="4"/>
  <c r="E7529" i="4"/>
  <c r="E7531" i="4"/>
  <c r="E7535" i="4"/>
  <c r="E7537" i="4"/>
  <c r="E7539" i="4"/>
  <c r="E7541" i="4"/>
  <c r="E7543" i="4"/>
  <c r="E7545" i="4"/>
  <c r="E7547" i="4"/>
  <c r="E7549" i="4"/>
  <c r="E7551" i="4"/>
  <c r="E7553" i="4"/>
  <c r="E7555" i="4"/>
  <c r="E7557" i="4"/>
  <c r="E7559" i="4"/>
  <c r="E7561" i="4"/>
  <c r="E7563" i="4"/>
  <c r="E7565" i="4"/>
  <c r="E7567" i="4"/>
  <c r="E7569" i="4"/>
  <c r="E7571" i="4"/>
  <c r="E7573" i="4"/>
  <c r="E7575" i="4"/>
  <c r="E7577" i="4"/>
  <c r="E7579" i="4"/>
  <c r="E7581" i="4"/>
  <c r="E7583" i="4"/>
  <c r="E7587" i="4"/>
  <c r="E7589" i="4"/>
  <c r="E7591" i="4"/>
  <c r="E7593" i="4"/>
  <c r="E7595" i="4"/>
  <c r="E7597" i="4"/>
  <c r="E7599" i="4"/>
  <c r="E7601" i="4"/>
  <c r="E7603" i="4"/>
  <c r="E7605" i="4"/>
  <c r="E7607" i="4"/>
  <c r="E7609" i="4"/>
  <c r="E7611" i="4"/>
  <c r="E7613" i="4"/>
  <c r="E7615" i="4"/>
  <c r="E7617" i="4"/>
  <c r="E7619" i="4"/>
  <c r="E7621" i="4"/>
  <c r="E7623" i="4"/>
  <c r="E7625" i="4"/>
  <c r="E7627" i="4"/>
  <c r="E7236" i="4"/>
  <c r="E7244" i="4"/>
  <c r="E7252" i="4"/>
  <c r="E7257" i="4"/>
  <c r="E7261" i="4"/>
  <c r="E7265" i="4"/>
  <c r="E7269" i="4"/>
  <c r="E7273" i="4"/>
  <c r="E7278" i="4"/>
  <c r="E7281" i="4"/>
  <c r="E7286" i="4"/>
  <c r="E7289" i="4"/>
  <c r="F7291" i="4"/>
  <c r="F7293" i="4"/>
  <c r="F7299" i="4"/>
  <c r="F7303" i="4"/>
  <c r="F7305" i="4"/>
  <c r="F7307" i="4"/>
  <c r="F7311" i="4"/>
  <c r="F7317" i="4"/>
  <c r="F7319" i="4"/>
  <c r="F7323" i="4"/>
  <c r="F7325" i="4"/>
  <c r="F7329" i="4"/>
  <c r="F7335" i="4"/>
  <c r="F7341" i="4"/>
  <c r="F7347" i="4"/>
  <c r="F7349" i="4"/>
  <c r="F7355" i="4"/>
  <c r="F7359" i="4"/>
  <c r="F7361" i="4"/>
  <c r="F7363" i="4"/>
  <c r="F7367" i="4"/>
  <c r="F7369" i="4"/>
  <c r="F7371" i="4"/>
  <c r="F7375" i="4"/>
  <c r="F7377" i="4"/>
  <c r="F7379" i="4"/>
  <c r="F7381" i="4"/>
  <c r="F7383" i="4"/>
  <c r="F7385" i="4"/>
  <c r="F7391" i="4"/>
  <c r="F7393" i="4"/>
  <c r="F7395" i="4"/>
  <c r="F7399" i="4"/>
  <c r="F7401" i="4"/>
  <c r="F7403" i="4"/>
  <c r="F7405" i="4"/>
  <c r="F7407" i="4"/>
  <c r="F7409" i="4"/>
  <c r="F7413" i="4"/>
  <c r="F7415" i="4"/>
  <c r="F7417" i="4"/>
  <c r="F7419" i="4"/>
  <c r="F7427" i="4"/>
  <c r="F7429" i="4"/>
  <c r="F7435" i="4"/>
  <c r="F7437" i="4"/>
  <c r="F7439" i="4"/>
  <c r="F7443" i="4"/>
  <c r="F7453" i="4"/>
  <c r="F7455" i="4"/>
  <c r="F7459" i="4"/>
  <c r="F7461" i="4"/>
  <c r="F7463" i="4"/>
  <c r="F7465" i="4"/>
  <c r="F7469" i="4"/>
  <c r="F7481" i="4"/>
  <c r="F7485" i="4"/>
  <c r="F7487" i="4"/>
  <c r="F7493" i="4"/>
  <c r="F7495" i="4"/>
  <c r="F7497" i="4"/>
  <c r="F7499" i="4"/>
  <c r="F7503" i="4"/>
  <c r="F7507" i="4"/>
  <c r="F7513" i="4"/>
  <c r="F7521" i="4"/>
  <c r="F7523" i="4"/>
  <c r="F7527" i="4"/>
  <c r="F7533" i="4"/>
  <c r="F7539" i="4"/>
  <c r="F7543" i="4"/>
  <c r="F7553" i="4"/>
  <c r="F7555" i="4"/>
  <c r="F7559" i="4"/>
  <c r="F7561" i="4"/>
  <c r="F7563" i="4"/>
  <c r="F7565" i="4"/>
  <c r="F7575" i="4"/>
  <c r="F7581" i="4"/>
  <c r="F7583" i="4"/>
  <c r="F7585" i="4"/>
  <c r="F7593" i="4"/>
  <c r="F7605" i="4"/>
  <c r="F7621" i="4"/>
  <c r="E7629" i="4"/>
  <c r="E7633" i="4"/>
  <c r="E7637" i="4"/>
  <c r="F7640" i="4"/>
  <c r="E7643" i="4"/>
  <c r="F7645" i="4"/>
  <c r="F7649" i="4"/>
  <c r="F7651" i="4"/>
  <c r="F7653" i="4"/>
  <c r="F7655" i="4"/>
  <c r="F7673" i="4"/>
  <c r="F7677" i="4"/>
  <c r="F7679" i="4"/>
  <c r="F7681" i="4"/>
  <c r="F7683" i="4"/>
  <c r="F7685" i="4"/>
  <c r="F7687" i="4"/>
  <c r="F7691" i="4"/>
  <c r="F7695" i="4"/>
  <c r="F7697" i="4"/>
  <c r="F7699" i="4"/>
  <c r="F7701" i="4"/>
  <c r="F7705" i="4"/>
  <c r="F7709" i="4"/>
  <c r="F7711" i="4"/>
  <c r="F7713" i="4"/>
  <c r="F7715" i="4"/>
  <c r="F7719" i="4"/>
  <c r="F7721" i="4"/>
  <c r="F7723" i="4"/>
  <c r="F7725" i="4"/>
  <c r="F7727" i="4"/>
  <c r="F7735" i="4"/>
  <c r="F7737" i="4"/>
  <c r="F7741" i="4"/>
  <c r="F7751" i="4"/>
  <c r="F7755" i="4"/>
  <c r="F7757" i="4"/>
  <c r="F7763" i="4"/>
  <c r="F7769" i="4"/>
  <c r="F7771" i="4"/>
  <c r="F7777" i="4"/>
  <c r="F7781" i="4"/>
  <c r="F7785" i="4"/>
  <c r="F7789" i="4"/>
  <c r="F7791" i="4"/>
  <c r="F7795" i="4"/>
  <c r="F7807" i="4"/>
  <c r="F7809" i="4"/>
  <c r="F7811" i="4"/>
  <c r="F7813" i="4"/>
  <c r="F7817" i="4"/>
  <c r="F7819" i="4"/>
  <c r="F7823" i="4"/>
  <c r="F7827" i="4"/>
  <c r="F7829" i="4"/>
  <c r="F7833" i="4"/>
  <c r="F7839" i="4"/>
  <c r="F7845" i="4"/>
  <c r="F7851" i="4"/>
  <c r="F7853" i="4"/>
  <c r="F7859" i="4"/>
  <c r="F7865" i="4"/>
  <c r="F7867" i="4"/>
  <c r="F7869" i="4"/>
  <c r="F7871" i="4"/>
  <c r="F7873" i="4"/>
  <c r="F7875" i="4"/>
  <c r="F7879" i="4"/>
  <c r="F7881" i="4"/>
  <c r="F7885" i="4"/>
  <c r="F7887" i="4"/>
  <c r="F7889" i="4"/>
  <c r="F7891" i="4"/>
  <c r="F7893" i="4"/>
  <c r="F7897" i="4"/>
  <c r="F7901" i="4"/>
  <c r="F7903" i="4"/>
  <c r="F7909" i="4"/>
  <c r="F7911" i="4"/>
  <c r="F7915" i="4"/>
  <c r="F7923" i="4"/>
  <c r="F7933" i="4"/>
  <c r="F7935" i="4"/>
  <c r="F7937" i="4"/>
  <c r="F7939" i="4"/>
  <c r="F7945" i="4"/>
  <c r="F7947" i="4"/>
  <c r="F7951" i="4"/>
  <c r="F7953" i="4"/>
  <c r="F7957" i="4"/>
  <c r="F7961" i="4"/>
  <c r="F7967" i="4"/>
  <c r="F7969" i="4"/>
  <c r="F7973" i="4"/>
  <c r="F7975" i="4"/>
  <c r="F7979" i="4"/>
  <c r="F7981" i="4"/>
  <c r="F7983" i="4"/>
  <c r="F7987" i="4"/>
  <c r="F7989" i="4"/>
  <c r="F7991" i="4"/>
  <c r="F7993" i="4"/>
  <c r="F7995" i="4"/>
  <c r="F7997" i="4"/>
  <c r="F7999" i="4"/>
  <c r="F8001" i="4"/>
  <c r="F8003" i="4"/>
  <c r="F8005" i="4"/>
  <c r="F8007" i="4"/>
  <c r="F8009" i="4"/>
  <c r="F8011" i="4"/>
  <c r="F8013" i="4"/>
  <c r="F8017" i="4"/>
  <c r="F8019" i="4"/>
  <c r="F8023" i="4"/>
  <c r="F8031" i="4"/>
  <c r="F8033" i="4"/>
  <c r="F8035" i="4"/>
  <c r="F8037" i="4"/>
  <c r="F8039" i="4"/>
  <c r="F8043" i="4"/>
  <c r="F8045" i="4"/>
  <c r="F8051" i="4"/>
  <c r="F8065" i="4"/>
  <c r="F8071" i="4"/>
  <c r="F8073" i="4"/>
  <c r="F8075" i="4"/>
  <c r="F8077" i="4"/>
  <c r="F8079" i="4"/>
  <c r="F8081" i="4"/>
  <c r="F8083" i="4"/>
  <c r="F8085" i="4"/>
  <c r="F8087" i="4"/>
  <c r="F8089" i="4"/>
  <c r="F8091" i="4"/>
  <c r="F8093" i="4"/>
  <c r="F8095" i="4"/>
  <c r="F8097" i="4"/>
  <c r="F8099" i="4"/>
  <c r="F8101" i="4"/>
  <c r="F8103" i="4"/>
  <c r="F8105" i="4"/>
  <c r="F8107" i="4"/>
  <c r="F8109" i="4"/>
  <c r="F8111" i="4"/>
  <c r="F8113" i="4"/>
  <c r="F8115" i="4"/>
  <c r="F8117" i="4"/>
  <c r="F8119" i="4"/>
  <c r="F8121" i="4"/>
  <c r="F8123" i="4"/>
  <c r="F8125" i="4"/>
  <c r="F8127" i="4"/>
  <c r="F8129" i="4"/>
  <c r="F8131" i="4"/>
  <c r="F8133" i="4"/>
  <c r="F8135" i="4"/>
  <c r="F8137" i="4"/>
  <c r="F8139" i="4"/>
  <c r="F8141" i="4"/>
  <c r="F8143" i="4"/>
  <c r="F8145" i="4"/>
  <c r="F8147" i="4"/>
  <c r="F8149" i="4"/>
  <c r="F8151" i="4"/>
  <c r="F8153" i="4"/>
  <c r="F8155" i="4"/>
  <c r="F8157" i="4"/>
  <c r="F8159" i="4"/>
  <c r="F8161" i="4"/>
  <c r="F8163" i="4"/>
  <c r="F8165" i="4"/>
  <c r="F8167" i="4"/>
  <c r="F8169" i="4"/>
  <c r="F8171" i="4"/>
  <c r="F8173" i="4"/>
  <c r="F8175" i="4"/>
  <c r="F8177" i="4"/>
  <c r="F8179" i="4"/>
  <c r="F8181" i="4"/>
  <c r="F8183" i="4"/>
  <c r="F8185" i="4"/>
  <c r="F8187" i="4"/>
  <c r="F8189" i="4"/>
  <c r="F8191" i="4"/>
  <c r="F8193" i="4"/>
  <c r="F8195" i="4"/>
  <c r="F8197" i="4"/>
  <c r="F8199" i="4"/>
  <c r="F8201" i="4"/>
  <c r="F8203" i="4"/>
  <c r="F8205" i="4"/>
  <c r="F8207" i="4"/>
  <c r="F8209" i="4"/>
  <c r="F8211" i="4"/>
  <c r="F8213" i="4"/>
  <c r="F8215" i="4"/>
  <c r="F8217" i="4"/>
  <c r="F8219" i="4"/>
  <c r="F8221" i="4"/>
  <c r="F8223" i="4"/>
  <c r="F8225" i="4"/>
  <c r="F8227" i="4"/>
  <c r="F8229" i="4"/>
  <c r="F8231" i="4"/>
  <c r="F8233" i="4"/>
  <c r="F8235" i="4"/>
  <c r="F8237" i="4"/>
  <c r="F8239" i="4"/>
  <c r="F8241" i="4"/>
  <c r="F8243" i="4"/>
  <c r="F8245" i="4"/>
  <c r="F8247" i="4"/>
  <c r="F8249" i="4"/>
  <c r="F8251" i="4"/>
  <c r="F8253" i="4"/>
  <c r="F8255" i="4"/>
  <c r="F8257" i="4"/>
  <c r="F8259" i="4"/>
  <c r="F8261" i="4"/>
  <c r="F8263" i="4"/>
  <c r="F8265" i="4"/>
  <c r="F8267" i="4"/>
  <c r="F8269" i="4"/>
  <c r="F8271" i="4"/>
  <c r="F8273" i="4"/>
  <c r="F8275" i="4"/>
  <c r="F8277" i="4"/>
  <c r="F8279" i="4"/>
  <c r="F8281" i="4"/>
  <c r="F8283" i="4"/>
  <c r="F8285" i="4"/>
  <c r="F8287" i="4"/>
  <c r="F8289" i="4"/>
  <c r="F8291" i="4"/>
  <c r="F7607" i="4"/>
  <c r="F7623" i="4"/>
  <c r="E7641" i="4"/>
  <c r="E7646" i="4"/>
  <c r="E7648" i="4"/>
  <c r="E7650" i="4"/>
  <c r="E7652" i="4"/>
  <c r="E7654" i="4"/>
  <c r="E7658" i="4"/>
  <c r="E7660" i="4"/>
  <c r="E7662" i="4"/>
  <c r="E7664" i="4"/>
  <c r="E7666" i="4"/>
  <c r="E7668" i="4"/>
  <c r="E7670" i="4"/>
  <c r="E7672" i="4"/>
  <c r="E7674" i="4"/>
  <c r="E7676" i="4"/>
  <c r="E7678" i="4"/>
  <c r="E7680" i="4"/>
  <c r="E7682" i="4"/>
  <c r="E7684" i="4"/>
  <c r="E7686" i="4"/>
  <c r="E7688" i="4"/>
  <c r="E7690" i="4"/>
  <c r="E7692" i="4"/>
  <c r="E7694" i="4"/>
  <c r="E7696" i="4"/>
  <c r="E7698" i="4"/>
  <c r="E7700" i="4"/>
  <c r="E7702" i="4"/>
  <c r="E7704" i="4"/>
  <c r="E7706" i="4"/>
  <c r="E7708" i="4"/>
  <c r="E7710" i="4"/>
  <c r="E7712" i="4"/>
  <c r="E7714" i="4"/>
  <c r="E7716" i="4"/>
  <c r="E7718" i="4"/>
  <c r="E7720" i="4"/>
  <c r="E7722" i="4"/>
  <c r="E7724" i="4"/>
  <c r="E7726" i="4"/>
  <c r="E7728" i="4"/>
  <c r="E7730" i="4"/>
  <c r="E7732" i="4"/>
  <c r="E7734" i="4"/>
  <c r="E7736" i="4"/>
  <c r="E7738" i="4"/>
  <c r="E7740" i="4"/>
  <c r="E7742" i="4"/>
  <c r="E7744" i="4"/>
  <c r="E7746" i="4"/>
  <c r="E7748" i="4"/>
  <c r="E7750" i="4"/>
  <c r="E7752" i="4"/>
  <c r="E7754" i="4"/>
  <c r="E7756" i="4"/>
  <c r="E7758" i="4"/>
  <c r="E7760" i="4"/>
  <c r="E7762" i="4"/>
  <c r="E7764" i="4"/>
  <c r="E7766" i="4"/>
  <c r="E7768" i="4"/>
  <c r="E7770" i="4"/>
  <c r="E7772" i="4"/>
  <c r="E7774" i="4"/>
  <c r="E7776" i="4"/>
  <c r="E7778" i="4"/>
  <c r="E7780" i="4"/>
  <c r="E7782" i="4"/>
  <c r="E7784" i="4"/>
  <c r="E7786" i="4"/>
  <c r="E7788" i="4"/>
  <c r="E7790" i="4"/>
  <c r="E7792" i="4"/>
  <c r="E7794" i="4"/>
  <c r="E7796" i="4"/>
  <c r="E7798" i="4"/>
  <c r="E7800" i="4"/>
  <c r="E7802" i="4"/>
  <c r="E7804" i="4"/>
  <c r="E7806" i="4"/>
  <c r="E7808" i="4"/>
  <c r="E7810" i="4"/>
  <c r="E7812" i="4"/>
  <c r="E7814" i="4"/>
  <c r="E7816" i="4"/>
  <c r="E7818" i="4"/>
  <c r="E7820" i="4"/>
  <c r="E7822" i="4"/>
  <c r="E7824" i="4"/>
  <c r="E7826" i="4"/>
  <c r="E7828" i="4"/>
  <c r="E7830" i="4"/>
  <c r="E7832" i="4"/>
  <c r="E7834" i="4"/>
  <c r="E7836" i="4"/>
  <c r="E7838" i="4"/>
  <c r="E7840" i="4"/>
  <c r="E7842" i="4"/>
  <c r="E7844" i="4"/>
  <c r="E7846" i="4"/>
  <c r="E7848" i="4"/>
  <c r="E7850" i="4"/>
  <c r="E7852" i="4"/>
  <c r="E7854" i="4"/>
  <c r="E7856" i="4"/>
  <c r="E7858" i="4"/>
  <c r="E7860" i="4"/>
  <c r="E7862" i="4"/>
  <c r="E7866" i="4"/>
  <c r="E7868" i="4"/>
  <c r="E7870" i="4"/>
  <c r="E7872" i="4"/>
  <c r="E7874" i="4"/>
  <c r="E7876" i="4"/>
  <c r="E7878" i="4"/>
  <c r="E7880" i="4"/>
  <c r="E7882" i="4"/>
  <c r="E7884" i="4"/>
  <c r="E7886" i="4"/>
  <c r="E7888" i="4"/>
  <c r="E7890" i="4"/>
  <c r="E7892" i="4"/>
  <c r="E7894" i="4"/>
  <c r="E7896" i="4"/>
  <c r="E7898" i="4"/>
  <c r="E7900" i="4"/>
  <c r="E7902" i="4"/>
  <c r="E7904" i="4"/>
  <c r="E7906" i="4"/>
  <c r="E7908" i="4"/>
  <c r="E7910" i="4"/>
  <c r="E7912" i="4"/>
  <c r="E7914" i="4"/>
  <c r="E7916" i="4"/>
  <c r="E7918" i="4"/>
  <c r="E7920" i="4"/>
  <c r="E7922" i="4"/>
  <c r="E7924" i="4"/>
  <c r="E7926" i="4"/>
  <c r="E7928" i="4"/>
  <c r="E7930" i="4"/>
  <c r="E7932" i="4"/>
  <c r="E7934" i="4"/>
  <c r="E7936" i="4"/>
  <c r="E7938" i="4"/>
  <c r="E7940" i="4"/>
  <c r="E7942" i="4"/>
  <c r="E7944" i="4"/>
  <c r="E7946" i="4"/>
  <c r="E7948" i="4"/>
  <c r="E7950" i="4"/>
  <c r="E7952" i="4"/>
  <c r="E7954" i="4"/>
  <c r="E7956" i="4"/>
  <c r="E7958" i="4"/>
  <c r="E7960" i="4"/>
  <c r="E7962" i="4"/>
  <c r="E7964" i="4"/>
  <c r="E7966" i="4"/>
  <c r="E7968" i="4"/>
  <c r="E7970" i="4"/>
  <c r="E7972" i="4"/>
  <c r="E7974" i="4"/>
  <c r="E7976" i="4"/>
  <c r="E7978" i="4"/>
  <c r="E7982" i="4"/>
  <c r="E7984" i="4"/>
  <c r="E7986" i="4"/>
  <c r="E7988" i="4"/>
  <c r="E7990" i="4"/>
  <c r="E7992" i="4"/>
  <c r="E7994" i="4"/>
  <c r="E7996" i="4"/>
  <c r="E7998" i="4"/>
  <c r="E8000" i="4"/>
  <c r="E8002" i="4"/>
  <c r="E8004" i="4"/>
  <c r="E8006" i="4"/>
  <c r="E8008" i="4"/>
  <c r="E8010" i="4"/>
  <c r="E8012" i="4"/>
  <c r="E8014" i="4"/>
  <c r="E8016" i="4"/>
  <c r="E8018" i="4"/>
  <c r="E8020" i="4"/>
  <c r="E8022" i="4"/>
  <c r="E8024" i="4"/>
  <c r="E8026" i="4"/>
  <c r="E8030" i="4"/>
  <c r="E8032" i="4"/>
  <c r="E8034" i="4"/>
  <c r="E8038" i="4"/>
  <c r="E8040" i="4"/>
  <c r="E8042" i="4"/>
  <c r="E8044" i="4"/>
  <c r="E8046" i="4"/>
  <c r="E8048" i="4"/>
  <c r="E8050" i="4"/>
  <c r="E8052" i="4"/>
  <c r="E8054" i="4"/>
  <c r="E8056" i="4"/>
  <c r="E8058" i="4"/>
  <c r="E8060" i="4"/>
  <c r="E8062" i="4"/>
  <c r="E8064" i="4"/>
  <c r="E8066" i="4"/>
  <c r="E8068" i="4"/>
  <c r="E8070" i="4"/>
  <c r="E8072" i="4"/>
  <c r="E8074" i="4"/>
  <c r="E8076" i="4"/>
  <c r="E8078" i="4"/>
  <c r="E8080" i="4"/>
  <c r="E8082" i="4"/>
  <c r="E8084" i="4"/>
  <c r="E8086" i="4"/>
  <c r="E8088" i="4"/>
  <c r="E8090" i="4"/>
  <c r="E8092" i="4"/>
  <c r="E8094" i="4"/>
  <c r="E8096" i="4"/>
  <c r="E8098" i="4"/>
  <c r="E8100" i="4"/>
  <c r="E8102" i="4"/>
  <c r="E8104" i="4"/>
  <c r="E8106" i="4"/>
  <c r="E8108" i="4"/>
  <c r="E8110" i="4"/>
  <c r="E8112" i="4"/>
  <c r="E8114" i="4"/>
  <c r="E8116" i="4"/>
  <c r="E8118" i="4"/>
  <c r="E8120" i="4"/>
  <c r="E8122" i="4"/>
  <c r="E8124" i="4"/>
  <c r="E8126" i="4"/>
  <c r="E8128" i="4"/>
  <c r="E8130" i="4"/>
  <c r="E8132" i="4"/>
  <c r="E8134" i="4"/>
  <c r="E8136" i="4"/>
  <c r="E8138" i="4"/>
  <c r="E8140" i="4"/>
  <c r="E8142" i="4"/>
  <c r="E8144" i="4"/>
  <c r="E8146" i="4"/>
  <c r="E8148" i="4"/>
  <c r="E8150" i="4"/>
  <c r="E8152" i="4"/>
  <c r="E8154" i="4"/>
  <c r="E8156" i="4"/>
  <c r="E8158" i="4"/>
  <c r="E8160" i="4"/>
  <c r="E8162" i="4"/>
  <c r="E8164" i="4"/>
  <c r="E8166" i="4"/>
  <c r="E8168" i="4"/>
  <c r="E8170" i="4"/>
  <c r="E8172" i="4"/>
  <c r="E8174" i="4"/>
  <c r="E8176" i="4"/>
  <c r="E8178" i="4"/>
  <c r="E8180" i="4"/>
  <c r="E8182" i="4"/>
  <c r="E8184" i="4"/>
  <c r="E8186" i="4"/>
  <c r="E8188" i="4"/>
  <c r="E8190" i="4"/>
  <c r="E8192" i="4"/>
  <c r="E8194" i="4"/>
  <c r="E8196" i="4"/>
  <c r="E8198" i="4"/>
  <c r="E8200" i="4"/>
  <c r="E8202" i="4"/>
  <c r="E8204" i="4"/>
  <c r="E8206" i="4"/>
  <c r="E8208" i="4"/>
  <c r="E8210" i="4"/>
  <c r="E8212" i="4"/>
  <c r="E8214" i="4"/>
  <c r="E8216" i="4"/>
  <c r="E8218" i="4"/>
  <c r="E8220" i="4"/>
  <c r="E8222" i="4"/>
  <c r="E8224" i="4"/>
  <c r="E8226" i="4"/>
  <c r="E8228" i="4"/>
  <c r="E8230" i="4"/>
  <c r="E8232" i="4"/>
  <c r="E8234" i="4"/>
  <c r="E8236" i="4"/>
  <c r="E8238" i="4"/>
  <c r="E8240" i="4"/>
  <c r="E8242" i="4"/>
  <c r="E8244" i="4"/>
  <c r="E8246" i="4"/>
  <c r="E8248" i="4"/>
  <c r="E8250" i="4"/>
  <c r="E8252" i="4"/>
  <c r="E8254" i="4"/>
  <c r="E8256" i="4"/>
  <c r="E8258" i="4"/>
  <c r="E8260" i="4"/>
  <c r="E8262" i="4"/>
  <c r="E8264" i="4"/>
  <c r="E8266" i="4"/>
  <c r="E8268" i="4"/>
  <c r="E8270" i="4"/>
  <c r="E8272" i="4"/>
  <c r="E8274" i="4"/>
  <c r="E8276" i="4"/>
  <c r="E8278" i="4"/>
  <c r="E8280" i="4"/>
  <c r="E8282" i="4"/>
  <c r="E8284" i="4"/>
  <c r="E8286" i="4"/>
  <c r="E8288" i="4"/>
  <c r="E8290" i="4"/>
  <c r="E8292" i="4"/>
  <c r="E8294" i="4"/>
  <c r="E8296" i="4"/>
  <c r="E8298" i="4"/>
  <c r="E8300" i="4"/>
  <c r="E8302" i="4"/>
  <c r="E8304" i="4"/>
  <c r="E8306" i="4"/>
  <c r="E8308" i="4"/>
  <c r="E8310" i="4"/>
  <c r="F7609" i="4"/>
  <c r="F7617" i="4"/>
  <c r="F7625" i="4"/>
  <c r="E7631" i="4"/>
  <c r="E7635" i="4"/>
  <c r="E7639" i="4"/>
  <c r="F7646" i="4"/>
  <c r="F7656" i="4"/>
  <c r="F7660" i="4"/>
  <c r="F7666" i="4"/>
  <c r="F7670" i="4"/>
  <c r="F7672" i="4"/>
  <c r="F7674" i="4"/>
  <c r="F7676" i="4"/>
  <c r="F7678" i="4"/>
  <c r="F7684" i="4"/>
  <c r="F7688" i="4"/>
  <c r="F7690" i="4"/>
  <c r="F7692" i="4"/>
  <c r="F7698" i="4"/>
  <c r="F7700" i="4"/>
  <c r="F7704" i="4"/>
  <c r="F7708" i="4"/>
  <c r="F7714" i="4"/>
  <c r="F7736" i="4"/>
  <c r="F7740" i="4"/>
  <c r="F7742" i="4"/>
  <c r="F7748" i="4"/>
  <c r="F7750" i="4"/>
  <c r="F7754" i="4"/>
  <c r="F7756" i="4"/>
  <c r="F7760" i="4"/>
  <c r="F7762" i="4"/>
  <c r="F7766" i="4"/>
  <c r="F7768" i="4"/>
  <c r="F7770" i="4"/>
  <c r="F7772" i="4"/>
  <c r="F7780" i="4"/>
  <c r="F7782" i="4"/>
  <c r="F7786" i="4"/>
  <c r="F7792" i="4"/>
  <c r="F7796" i="4"/>
  <c r="F7798" i="4"/>
  <c r="F7808" i="4"/>
  <c r="F7810" i="4"/>
  <c r="F7812" i="4"/>
  <c r="F7814" i="4"/>
  <c r="F7820" i="4"/>
  <c r="F7834" i="4"/>
  <c r="F7836" i="4"/>
  <c r="F7838" i="4"/>
  <c r="F7840" i="4"/>
  <c r="F7844" i="4"/>
  <c r="F7848" i="4"/>
  <c r="F7854" i="4"/>
  <c r="F7856" i="4"/>
  <c r="F7858" i="4"/>
  <c r="F7860" i="4"/>
  <c r="F7864" i="4"/>
  <c r="F7866" i="4"/>
  <c r="F7868" i="4"/>
  <c r="F7872" i="4"/>
  <c r="F7878" i="4"/>
  <c r="F7880" i="4"/>
  <c r="F7884" i="4"/>
  <c r="F7886" i="4"/>
  <c r="F7888" i="4"/>
  <c r="F7890" i="4"/>
  <c r="F7900" i="4"/>
  <c r="F7904" i="4"/>
  <c r="F7908" i="4"/>
  <c r="F7910" i="4"/>
  <c r="F7914" i="4"/>
  <c r="F7916" i="4"/>
  <c r="F7920" i="4"/>
  <c r="F7922" i="4"/>
  <c r="F7924" i="4"/>
  <c r="F7928" i="4"/>
  <c r="F7930" i="4"/>
  <c r="F7934" i="4"/>
  <c r="F7936" i="4"/>
  <c r="F7948" i="4"/>
  <c r="F7952" i="4"/>
  <c r="F7954" i="4"/>
  <c r="F7958" i="4"/>
  <c r="F7964" i="4"/>
  <c r="F7970" i="4"/>
  <c r="F7972" i="4"/>
  <c r="F7976" i="4"/>
  <c r="F7980" i="4"/>
  <c r="F7984" i="4"/>
  <c r="F7986" i="4"/>
  <c r="F7988" i="4"/>
  <c r="F7990" i="4"/>
  <c r="F7996" i="4"/>
  <c r="F8004" i="4"/>
  <c r="F8010" i="4"/>
  <c r="F8012" i="4"/>
  <c r="F8016" i="4"/>
  <c r="F8022" i="4"/>
  <c r="F8024" i="4"/>
  <c r="F8028" i="4"/>
  <c r="F8030" i="4"/>
  <c r="F8034" i="4"/>
  <c r="F8036" i="4"/>
  <c r="F8038" i="4"/>
  <c r="F8040" i="4"/>
  <c r="F8042" i="4"/>
  <c r="F8052" i="4"/>
  <c r="F8056" i="4"/>
  <c r="F8058" i="4"/>
  <c r="F8060" i="4"/>
  <c r="F8062" i="4"/>
  <c r="F8064" i="4"/>
  <c r="F8066" i="4"/>
  <c r="F8068" i="4"/>
  <c r="F8070" i="4"/>
  <c r="F8072" i="4"/>
  <c r="F8074" i="4"/>
  <c r="F8076" i="4"/>
  <c r="F8078" i="4"/>
  <c r="F8080" i="4"/>
  <c r="F8082" i="4"/>
  <c r="F8084" i="4"/>
  <c r="F8086" i="4"/>
  <c r="F8088" i="4"/>
  <c r="F8090" i="4"/>
  <c r="F8092" i="4"/>
  <c r="F8094" i="4"/>
  <c r="F8096" i="4"/>
  <c r="F8098" i="4"/>
  <c r="F8100" i="4"/>
  <c r="F8102" i="4"/>
  <c r="F8104" i="4"/>
  <c r="F8106" i="4"/>
  <c r="F8108" i="4"/>
  <c r="F8110" i="4"/>
  <c r="F8112" i="4"/>
  <c r="F8114" i="4"/>
  <c r="F8116" i="4"/>
  <c r="F8118" i="4"/>
  <c r="F8120" i="4"/>
  <c r="F8122" i="4"/>
  <c r="F8124" i="4"/>
  <c r="F8126" i="4"/>
  <c r="F8128" i="4"/>
  <c r="F8130" i="4"/>
  <c r="F8132" i="4"/>
  <c r="F8134" i="4"/>
  <c r="F8136" i="4"/>
  <c r="F8138" i="4"/>
  <c r="F8140" i="4"/>
  <c r="F8142" i="4"/>
  <c r="F8144" i="4"/>
  <c r="F8146" i="4"/>
  <c r="F8148" i="4"/>
  <c r="F8150" i="4"/>
  <c r="F8152" i="4"/>
  <c r="F8154" i="4"/>
  <c r="F8156" i="4"/>
  <c r="F8158" i="4"/>
  <c r="F8160" i="4"/>
  <c r="F8162" i="4"/>
  <c r="F8164" i="4"/>
  <c r="F8166" i="4"/>
  <c r="F8168" i="4"/>
  <c r="F8170" i="4"/>
  <c r="F8172" i="4"/>
  <c r="F8174" i="4"/>
  <c r="F8176" i="4"/>
  <c r="F8178" i="4"/>
  <c r="F8180" i="4"/>
  <c r="F8182" i="4"/>
  <c r="F8184" i="4"/>
  <c r="F8186" i="4"/>
  <c r="F8188" i="4"/>
  <c r="F8190" i="4"/>
  <c r="F8192" i="4"/>
  <c r="F8194" i="4"/>
  <c r="F8196" i="4"/>
  <c r="F8198" i="4"/>
  <c r="F8200" i="4"/>
  <c r="F8202" i="4"/>
  <c r="F8204" i="4"/>
  <c r="F8206" i="4"/>
  <c r="F8208" i="4"/>
  <c r="F8210" i="4"/>
  <c r="F8212" i="4"/>
  <c r="F8214" i="4"/>
  <c r="F8216" i="4"/>
  <c r="F8218" i="4"/>
  <c r="F8220" i="4"/>
  <c r="F8222" i="4"/>
  <c r="F8224" i="4"/>
  <c r="F8226" i="4"/>
  <c r="F8228" i="4"/>
  <c r="F8230" i="4"/>
  <c r="F8232" i="4"/>
  <c r="F8234" i="4"/>
  <c r="F8236" i="4"/>
  <c r="F8238" i="4"/>
  <c r="F8240" i="4"/>
  <c r="F8242" i="4"/>
  <c r="F8244" i="4"/>
  <c r="F8246" i="4"/>
  <c r="F8248" i="4"/>
  <c r="F8250" i="4"/>
  <c r="F8252" i="4"/>
  <c r="F8254" i="4"/>
  <c r="F8256" i="4"/>
  <c r="F8258" i="4"/>
  <c r="F8260" i="4"/>
  <c r="F8262" i="4"/>
  <c r="F8264" i="4"/>
  <c r="F8266" i="4"/>
  <c r="F8268" i="4"/>
  <c r="F8270" i="4"/>
  <c r="F8272" i="4"/>
  <c r="F8274" i="4"/>
  <c r="F8276" i="4"/>
  <c r="F8278" i="4"/>
  <c r="F8280" i="4"/>
  <c r="F8282" i="4"/>
  <c r="F8284" i="4"/>
  <c r="F8286" i="4"/>
  <c r="F8288" i="4"/>
  <c r="F8290" i="4"/>
  <c r="F8292" i="4"/>
  <c r="F8294" i="4"/>
  <c r="F8296" i="4"/>
  <c r="F8298" i="4"/>
  <c r="F8300" i="4"/>
  <c r="F8302" i="4"/>
  <c r="F8304" i="4"/>
  <c r="F8306" i="4"/>
  <c r="F7603" i="4"/>
  <c r="F7627" i="4"/>
  <c r="F7631" i="4"/>
  <c r="F7635" i="4"/>
  <c r="F7639" i="4"/>
  <c r="F7642" i="4"/>
  <c r="E7645" i="4"/>
  <c r="E7647" i="4"/>
  <c r="E7651" i="4"/>
  <c r="E7653" i="4"/>
  <c r="E7655" i="4"/>
  <c r="E7657" i="4"/>
  <c r="E7659" i="4"/>
  <c r="E7661" i="4"/>
  <c r="E7663" i="4"/>
  <c r="E7665" i="4"/>
  <c r="E7667" i="4"/>
  <c r="E7669" i="4"/>
  <c r="E7671" i="4"/>
  <c r="E7673" i="4"/>
  <c r="E7675" i="4"/>
  <c r="E7677" i="4"/>
  <c r="E7679" i="4"/>
  <c r="E7681" i="4"/>
  <c r="E7683" i="4"/>
  <c r="E7685" i="4"/>
  <c r="E7687" i="4"/>
  <c r="E7689" i="4"/>
  <c r="E7691" i="4"/>
  <c r="E7693" i="4"/>
  <c r="E7695" i="4"/>
  <c r="E7697" i="4"/>
  <c r="E7699" i="4"/>
  <c r="E7701" i="4"/>
  <c r="E7703" i="4"/>
  <c r="E7705" i="4"/>
  <c r="E7707" i="4"/>
  <c r="E7709" i="4"/>
  <c r="E7711" i="4"/>
  <c r="E7713" i="4"/>
  <c r="E7715" i="4"/>
  <c r="E7717" i="4"/>
  <c r="E7719" i="4"/>
  <c r="E7721" i="4"/>
  <c r="E7723" i="4"/>
  <c r="E7725" i="4"/>
  <c r="E7727" i="4"/>
  <c r="E7729" i="4"/>
  <c r="E7731" i="4"/>
  <c r="E7733" i="4"/>
  <c r="E7735" i="4"/>
  <c r="E7737" i="4"/>
  <c r="E7739" i="4"/>
  <c r="E7741" i="4"/>
  <c r="E7743" i="4"/>
  <c r="E7745" i="4"/>
  <c r="E7747" i="4"/>
  <c r="E7749" i="4"/>
  <c r="E7751" i="4"/>
  <c r="E7753" i="4"/>
  <c r="E7755" i="4"/>
  <c r="E7757" i="4"/>
  <c r="E7759" i="4"/>
  <c r="E7761" i="4"/>
  <c r="E7763" i="4"/>
  <c r="E7765" i="4"/>
  <c r="E7767" i="4"/>
  <c r="E7769" i="4"/>
  <c r="E7771" i="4"/>
  <c r="E7773" i="4"/>
  <c r="E7775" i="4"/>
  <c r="E7777" i="4"/>
  <c r="E7779" i="4"/>
  <c r="E7781" i="4"/>
  <c r="E7783" i="4"/>
  <c r="E7785" i="4"/>
  <c r="E7787" i="4"/>
  <c r="E7789" i="4"/>
  <c r="E7791" i="4"/>
  <c r="E7793" i="4"/>
  <c r="E7795" i="4"/>
  <c r="E7797" i="4"/>
  <c r="E7799" i="4"/>
  <c r="E7801" i="4"/>
  <c r="E7803" i="4"/>
  <c r="E7805" i="4"/>
  <c r="E7807" i="4"/>
  <c r="E7809" i="4"/>
  <c r="E7811" i="4"/>
  <c r="E7813" i="4"/>
  <c r="E7815" i="4"/>
  <c r="E7817" i="4"/>
  <c r="E7819" i="4"/>
  <c r="E7821" i="4"/>
  <c r="E7823" i="4"/>
  <c r="E7825" i="4"/>
  <c r="E7827" i="4"/>
  <c r="E7831" i="4"/>
  <c r="E7833" i="4"/>
  <c r="E7835" i="4"/>
  <c r="E7837" i="4"/>
  <c r="E7839" i="4"/>
  <c r="E7841" i="4"/>
  <c r="E7843" i="4"/>
  <c r="E7845" i="4"/>
  <c r="E7847" i="4"/>
  <c r="E7849" i="4"/>
  <c r="E7851" i="4"/>
  <c r="E7853" i="4"/>
  <c r="E7855" i="4"/>
  <c r="E7857" i="4"/>
  <c r="E7859" i="4"/>
  <c r="E7861" i="4"/>
  <c r="E7863" i="4"/>
  <c r="E7865" i="4"/>
  <c r="E7869" i="4"/>
  <c r="E7871" i="4"/>
  <c r="E7873" i="4"/>
  <c r="E7875" i="4"/>
  <c r="E7877" i="4"/>
  <c r="E7879" i="4"/>
  <c r="E7881" i="4"/>
  <c r="E7883" i="4"/>
  <c r="E7885" i="4"/>
  <c r="E7887" i="4"/>
  <c r="E7889" i="4"/>
  <c r="E7891" i="4"/>
  <c r="E7893" i="4"/>
  <c r="E7895" i="4"/>
  <c r="E7897" i="4"/>
  <c r="E7899" i="4"/>
  <c r="E7901" i="4"/>
  <c r="E7903" i="4"/>
  <c r="E7905" i="4"/>
  <c r="E7907" i="4"/>
  <c r="E7909" i="4"/>
  <c r="E7911" i="4"/>
  <c r="E7913" i="4"/>
  <c r="E7915" i="4"/>
  <c r="E7917" i="4"/>
  <c r="E7919" i="4"/>
  <c r="E7921" i="4"/>
  <c r="E7923" i="4"/>
  <c r="E7925" i="4"/>
  <c r="E7927" i="4"/>
  <c r="E7929" i="4"/>
  <c r="E7931" i="4"/>
  <c r="E7933" i="4"/>
  <c r="E7935" i="4"/>
  <c r="E7939" i="4"/>
  <c r="E7941" i="4"/>
  <c r="E7943" i="4"/>
  <c r="E7945" i="4"/>
  <c r="E7947" i="4"/>
  <c r="E7949" i="4"/>
  <c r="E7951" i="4"/>
  <c r="E7953" i="4"/>
  <c r="E7955" i="4"/>
  <c r="E7957" i="4"/>
  <c r="E7959" i="4"/>
  <c r="E7961" i="4"/>
  <c r="E7963" i="4"/>
  <c r="E7965" i="4"/>
  <c r="E7967" i="4"/>
  <c r="E7969" i="4"/>
  <c r="E7971" i="4"/>
  <c r="E7973" i="4"/>
  <c r="E7975" i="4"/>
  <c r="E7977" i="4"/>
  <c r="E7979" i="4"/>
  <c r="E7981" i="4"/>
  <c r="E7985" i="4"/>
  <c r="E7987" i="4"/>
  <c r="E7989" i="4"/>
  <c r="E7991" i="4"/>
  <c r="E7993" i="4"/>
  <c r="E7995" i="4"/>
  <c r="E7997" i="4"/>
  <c r="E7999" i="4"/>
  <c r="E8001" i="4"/>
  <c r="E8003" i="4"/>
  <c r="E8005" i="4"/>
  <c r="E8007" i="4"/>
  <c r="E8009" i="4"/>
  <c r="E8011" i="4"/>
  <c r="E8013" i="4"/>
  <c r="E8015" i="4"/>
  <c r="E8017" i="4"/>
  <c r="E8019" i="4"/>
  <c r="E8021" i="4"/>
  <c r="E8023" i="4"/>
  <c r="E8025" i="4"/>
  <c r="E8027" i="4"/>
  <c r="E8029" i="4"/>
  <c r="E8031" i="4"/>
  <c r="E8033" i="4"/>
  <c r="E8035" i="4"/>
  <c r="E8037" i="4"/>
  <c r="E8039" i="4"/>
  <c r="E8041" i="4"/>
  <c r="E8043" i="4"/>
  <c r="E8045" i="4"/>
  <c r="E8047" i="4"/>
  <c r="E8049" i="4"/>
  <c r="E8051" i="4"/>
  <c r="E8053" i="4"/>
  <c r="E8055" i="4"/>
  <c r="E8057" i="4"/>
  <c r="E8059" i="4"/>
  <c r="E8061" i="4"/>
  <c r="E8063" i="4"/>
  <c r="E8065" i="4"/>
  <c r="E8067" i="4"/>
  <c r="E8069" i="4"/>
  <c r="E8071" i="4"/>
  <c r="E8073" i="4"/>
  <c r="E8075" i="4"/>
  <c r="E8077" i="4"/>
  <c r="E8079" i="4"/>
  <c r="E8081" i="4"/>
  <c r="E8083" i="4"/>
  <c r="E8085" i="4"/>
  <c r="E8087" i="4"/>
  <c r="E8089" i="4"/>
  <c r="E8091" i="4"/>
  <c r="E8093" i="4"/>
  <c r="E8095" i="4"/>
  <c r="E8097" i="4"/>
  <c r="E8099" i="4"/>
  <c r="E8101" i="4"/>
  <c r="E8103" i="4"/>
  <c r="E8105" i="4"/>
  <c r="E8107" i="4"/>
  <c r="E8109" i="4"/>
  <c r="E8111" i="4"/>
  <c r="E8113" i="4"/>
  <c r="E8115" i="4"/>
  <c r="E8117" i="4"/>
  <c r="E8119" i="4"/>
  <c r="E8121" i="4"/>
  <c r="E8123" i="4"/>
  <c r="E8125" i="4"/>
  <c r="E8127" i="4"/>
  <c r="E8129" i="4"/>
  <c r="E8131" i="4"/>
  <c r="E8133" i="4"/>
  <c r="E8135" i="4"/>
  <c r="E8137" i="4"/>
  <c r="E8139" i="4"/>
  <c r="E8141" i="4"/>
  <c r="E8143" i="4"/>
  <c r="E8145" i="4"/>
  <c r="E8147" i="4"/>
  <c r="E8149" i="4"/>
  <c r="E8151" i="4"/>
  <c r="E8153" i="4"/>
  <c r="E8155" i="4"/>
  <c r="E8157" i="4"/>
  <c r="E8159" i="4"/>
  <c r="E8161" i="4"/>
  <c r="E8163" i="4"/>
  <c r="E8165" i="4"/>
  <c r="E8167" i="4"/>
  <c r="E8169" i="4"/>
  <c r="E8171" i="4"/>
  <c r="E8173" i="4"/>
  <c r="E8175" i="4"/>
  <c r="E8177" i="4"/>
  <c r="E8179" i="4"/>
  <c r="E8181" i="4"/>
  <c r="E8183" i="4"/>
  <c r="E8185" i="4"/>
  <c r="E8187" i="4"/>
  <c r="E8189" i="4"/>
  <c r="E8191" i="4"/>
  <c r="E8193" i="4"/>
  <c r="E8195" i="4"/>
  <c r="E8197" i="4"/>
  <c r="E8199" i="4"/>
  <c r="E8201" i="4"/>
  <c r="E8203" i="4"/>
  <c r="E8205" i="4"/>
  <c r="E8207" i="4"/>
  <c r="E8209" i="4"/>
  <c r="E8211" i="4"/>
  <c r="E8213" i="4"/>
  <c r="E8215" i="4"/>
  <c r="E8217" i="4"/>
  <c r="E8219" i="4"/>
  <c r="E8221" i="4"/>
  <c r="E8223" i="4"/>
  <c r="E8225" i="4"/>
  <c r="E8227" i="4"/>
  <c r="E8229" i="4"/>
  <c r="E8231" i="4"/>
  <c r="E8233" i="4"/>
  <c r="E8235" i="4"/>
  <c r="E8237" i="4"/>
  <c r="E8239" i="4"/>
  <c r="E8241" i="4"/>
  <c r="E8243" i="4"/>
  <c r="E8245" i="4"/>
  <c r="E8247" i="4"/>
  <c r="E8249" i="4"/>
  <c r="E8251" i="4"/>
  <c r="E8253" i="4"/>
  <c r="E8257" i="4"/>
  <c r="E8265" i="4"/>
  <c r="E8273" i="4"/>
  <c r="E8281" i="4"/>
  <c r="E8289" i="4"/>
  <c r="E8295" i="4"/>
  <c r="E8299" i="4"/>
  <c r="E8303" i="4"/>
  <c r="E8307" i="4"/>
  <c r="F8309" i="4"/>
  <c r="E8312" i="4"/>
  <c r="E8314" i="4"/>
  <c r="E8316" i="4"/>
  <c r="E8318" i="4"/>
  <c r="E8320" i="4"/>
  <c r="E8322" i="4"/>
  <c r="E8324" i="4"/>
  <c r="E8326" i="4"/>
  <c r="E8328" i="4"/>
  <c r="E8330" i="4"/>
  <c r="E8332" i="4"/>
  <c r="E8334" i="4"/>
  <c r="E8336" i="4"/>
  <c r="E8338" i="4"/>
  <c r="E8340" i="4"/>
  <c r="E8342" i="4"/>
  <c r="E8344" i="4"/>
  <c r="E8346" i="4"/>
  <c r="E8348" i="4"/>
  <c r="E8350" i="4"/>
  <c r="E8352" i="4"/>
  <c r="E8354" i="4"/>
  <c r="E8356" i="4"/>
  <c r="E8358" i="4"/>
  <c r="E8360" i="4"/>
  <c r="E8362" i="4"/>
  <c r="E8364" i="4"/>
  <c r="E8366" i="4"/>
  <c r="E8368" i="4"/>
  <c r="E8370" i="4"/>
  <c r="E8372" i="4"/>
  <c r="E8374" i="4"/>
  <c r="E8376" i="4"/>
  <c r="E8378" i="4"/>
  <c r="E8380" i="4"/>
  <c r="E8382" i="4"/>
  <c r="E8384" i="4"/>
  <c r="E8386" i="4"/>
  <c r="E8388" i="4"/>
  <c r="E8390" i="4"/>
  <c r="E8392" i="4"/>
  <c r="E8394" i="4"/>
  <c r="E8396" i="4"/>
  <c r="E8398" i="4"/>
  <c r="E8400" i="4"/>
  <c r="E8402" i="4"/>
  <c r="E8404" i="4"/>
  <c r="E8406" i="4"/>
  <c r="E8408" i="4"/>
  <c r="E8410" i="4"/>
  <c r="E8412" i="4"/>
  <c r="E8414" i="4"/>
  <c r="E8416" i="4"/>
  <c r="E8418" i="4"/>
  <c r="E8420" i="4"/>
  <c r="E8422" i="4"/>
  <c r="E8424" i="4"/>
  <c r="E8426" i="4"/>
  <c r="E8428" i="4"/>
  <c r="E8430" i="4"/>
  <c r="E8432" i="4"/>
  <c r="E8434" i="4"/>
  <c r="E8436" i="4"/>
  <c r="E8438" i="4"/>
  <c r="E8440" i="4"/>
  <c r="E8442" i="4"/>
  <c r="E8444" i="4"/>
  <c r="E8446" i="4"/>
  <c r="E8448" i="4"/>
  <c r="E8450" i="4"/>
  <c r="E8452" i="4"/>
  <c r="E8454" i="4"/>
  <c r="E8456" i="4"/>
  <c r="E8458" i="4"/>
  <c r="E8460" i="4"/>
  <c r="E8462" i="4"/>
  <c r="E8464" i="4"/>
  <c r="E8466" i="4"/>
  <c r="E8468" i="4"/>
  <c r="E8470" i="4"/>
  <c r="E8472" i="4"/>
  <c r="E8474" i="4"/>
  <c r="E8476" i="4"/>
  <c r="E8478" i="4"/>
  <c r="E8480" i="4"/>
  <c r="E8482" i="4"/>
  <c r="E8484" i="4"/>
  <c r="E8486" i="4"/>
  <c r="E8488" i="4"/>
  <c r="E8490" i="4"/>
  <c r="E8492" i="4"/>
  <c r="E8494" i="4"/>
  <c r="E8496" i="4"/>
  <c r="E8498" i="4"/>
  <c r="E8500" i="4"/>
  <c r="E8502" i="4"/>
  <c r="E8504" i="4"/>
  <c r="E8506" i="4"/>
  <c r="E8508" i="4"/>
  <c r="E8510" i="4"/>
  <c r="E8512" i="4"/>
  <c r="E8514" i="4"/>
  <c r="E8516" i="4"/>
  <c r="E8518" i="4"/>
  <c r="E8520" i="4"/>
  <c r="E8522" i="4"/>
  <c r="E8524" i="4"/>
  <c r="E8526" i="4"/>
  <c r="E8528" i="4"/>
  <c r="E8530" i="4"/>
  <c r="E8532" i="4"/>
  <c r="E8534" i="4"/>
  <c r="E8536" i="4"/>
  <c r="E8538" i="4"/>
  <c r="E8540" i="4"/>
  <c r="E8542" i="4"/>
  <c r="E8544" i="4"/>
  <c r="E8546" i="4"/>
  <c r="E8548" i="4"/>
  <c r="E8550" i="4"/>
  <c r="E8552" i="4"/>
  <c r="E8554" i="4"/>
  <c r="E8556" i="4"/>
  <c r="E8558" i="4"/>
  <c r="E8560" i="4"/>
  <c r="E8562" i="4"/>
  <c r="E8564" i="4"/>
  <c r="E8566" i="4"/>
  <c r="E8568" i="4"/>
  <c r="E8570" i="4"/>
  <c r="E8572" i="4"/>
  <c r="E8574" i="4"/>
  <c r="E8576" i="4"/>
  <c r="E8578" i="4"/>
  <c r="E8580" i="4"/>
  <c r="E8582" i="4"/>
  <c r="E8584" i="4"/>
  <c r="E8586" i="4"/>
  <c r="E8588" i="4"/>
  <c r="E8590" i="4"/>
  <c r="E8592" i="4"/>
  <c r="E8594" i="4"/>
  <c r="E8596" i="4"/>
  <c r="E8598" i="4"/>
  <c r="E8600" i="4"/>
  <c r="E8602" i="4"/>
  <c r="E8604" i="4"/>
  <c r="E8606" i="4"/>
  <c r="E8608" i="4"/>
  <c r="E8610" i="4"/>
  <c r="E8612" i="4"/>
  <c r="E8614" i="4"/>
  <c r="E8616" i="4"/>
  <c r="E8618" i="4"/>
  <c r="E8620" i="4"/>
  <c r="E8622" i="4"/>
  <c r="E8624" i="4"/>
  <c r="E8626" i="4"/>
  <c r="E8628" i="4"/>
  <c r="E8630" i="4"/>
  <c r="E8632" i="4"/>
  <c r="E8634" i="4"/>
  <c r="E8636" i="4"/>
  <c r="E8638" i="4"/>
  <c r="E8640" i="4"/>
  <c r="E8642" i="4"/>
  <c r="E8644" i="4"/>
  <c r="E8646" i="4"/>
  <c r="E8648" i="4"/>
  <c r="E8650" i="4"/>
  <c r="E8652" i="4"/>
  <c r="E8654" i="4"/>
  <c r="E8656" i="4"/>
  <c r="E8658" i="4"/>
  <c r="E8660" i="4"/>
  <c r="E8662" i="4"/>
  <c r="E8664" i="4"/>
  <c r="E8666" i="4"/>
  <c r="E8668" i="4"/>
  <c r="E8670" i="4"/>
  <c r="E8672" i="4"/>
  <c r="E8674" i="4"/>
  <c r="E8676" i="4"/>
  <c r="E8678" i="4"/>
  <c r="E8680" i="4"/>
  <c r="E8682" i="4"/>
  <c r="E8684" i="4"/>
  <c r="E8686" i="4"/>
  <c r="E8688" i="4"/>
  <c r="E8690" i="4"/>
  <c r="E8692" i="4"/>
  <c r="E8694" i="4"/>
  <c r="E8696" i="4"/>
  <c r="E8698" i="4"/>
  <c r="E8700" i="4"/>
  <c r="E8702" i="4"/>
  <c r="E8704" i="4"/>
  <c r="E8706" i="4"/>
  <c r="E8708" i="4"/>
  <c r="E8710" i="4"/>
  <c r="E8712" i="4"/>
  <c r="E8714" i="4"/>
  <c r="E8716" i="4"/>
  <c r="E8718" i="4"/>
  <c r="E8720" i="4"/>
  <c r="E8722" i="4"/>
  <c r="E8724" i="4"/>
  <c r="E8726" i="4"/>
  <c r="E8728" i="4"/>
  <c r="E8730" i="4"/>
  <c r="E8732" i="4"/>
  <c r="E8734" i="4"/>
  <c r="E8736" i="4"/>
  <c r="E8738" i="4"/>
  <c r="E8740" i="4"/>
  <c r="E8742" i="4"/>
  <c r="E8744" i="4"/>
  <c r="E8746" i="4"/>
  <c r="E8748" i="4"/>
  <c r="E8750" i="4"/>
  <c r="E8752" i="4"/>
  <c r="E8754" i="4"/>
  <c r="E8756" i="4"/>
  <c r="E8758" i="4"/>
  <c r="E8760" i="4"/>
  <c r="E8762" i="4"/>
  <c r="E8764" i="4"/>
  <c r="E8766" i="4"/>
  <c r="E8768" i="4"/>
  <c r="E8770" i="4"/>
  <c r="E8772" i="4"/>
  <c r="E8774" i="4"/>
  <c r="E8776" i="4"/>
  <c r="E8778" i="4"/>
  <c r="E8780" i="4"/>
  <c r="E8782" i="4"/>
  <c r="E8784" i="4"/>
  <c r="E8786" i="4"/>
  <c r="E8788" i="4"/>
  <c r="E8790" i="4"/>
  <c r="E8792" i="4"/>
  <c r="E8794" i="4"/>
  <c r="E8796" i="4"/>
  <c r="E8798" i="4"/>
  <c r="E8800" i="4"/>
  <c r="E8802" i="4"/>
  <c r="E8804" i="4"/>
  <c r="E8806" i="4"/>
  <c r="E8808" i="4"/>
  <c r="E8810" i="4"/>
  <c r="E8812" i="4"/>
  <c r="E8814" i="4"/>
  <c r="E8816" i="4"/>
  <c r="E8818" i="4"/>
  <c r="E8820" i="4"/>
  <c r="E8822" i="4"/>
  <c r="E8824" i="4"/>
  <c r="E8826" i="4"/>
  <c r="E8828" i="4"/>
  <c r="E8830" i="4"/>
  <c r="E8832" i="4"/>
  <c r="E8834" i="4"/>
  <c r="E8836" i="4"/>
  <c r="E8838" i="4"/>
  <c r="E8840" i="4"/>
  <c r="E8842" i="4"/>
  <c r="E8844" i="4"/>
  <c r="E8846" i="4"/>
  <c r="E8848" i="4"/>
  <c r="E8850" i="4"/>
  <c r="E8852" i="4"/>
  <c r="E8854" i="4"/>
  <c r="E8856" i="4"/>
  <c r="E8858" i="4"/>
  <c r="E8860" i="4"/>
  <c r="E8862" i="4"/>
  <c r="E8864" i="4"/>
  <c r="E8866" i="4"/>
  <c r="E8868" i="4"/>
  <c r="E8870" i="4"/>
  <c r="E8872" i="4"/>
  <c r="E8874" i="4"/>
  <c r="E8876" i="4"/>
  <c r="E8878" i="4"/>
  <c r="E8880" i="4"/>
  <c r="E8882" i="4"/>
  <c r="E8884" i="4"/>
  <c r="E8886" i="4"/>
  <c r="E8888" i="4"/>
  <c r="E8890" i="4"/>
  <c r="E8892" i="4"/>
  <c r="E8894" i="4"/>
  <c r="E8896" i="4"/>
  <c r="E8898" i="4"/>
  <c r="E8900" i="4"/>
  <c r="E8902" i="4"/>
  <c r="E8904" i="4"/>
  <c r="E8906" i="4"/>
  <c r="E8908" i="4"/>
  <c r="E8910" i="4"/>
  <c r="E8912" i="4"/>
  <c r="E8914" i="4"/>
  <c r="E8916" i="4"/>
  <c r="E8918" i="4"/>
  <c r="E8920" i="4"/>
  <c r="E8922" i="4"/>
  <c r="E8924" i="4"/>
  <c r="E8926" i="4"/>
  <c r="E8928" i="4"/>
  <c r="E8930" i="4"/>
  <c r="E8932" i="4"/>
  <c r="E8934" i="4"/>
  <c r="E8936" i="4"/>
  <c r="E8938" i="4"/>
  <c r="E8940" i="4"/>
  <c r="E8942" i="4"/>
  <c r="E8944" i="4"/>
  <c r="E8946" i="4"/>
  <c r="E8948" i="4"/>
  <c r="E8950" i="4"/>
  <c r="E8952" i="4"/>
  <c r="E8954" i="4"/>
  <c r="E8956" i="4"/>
  <c r="E8958" i="4"/>
  <c r="E8960" i="4"/>
  <c r="E8962" i="4"/>
  <c r="E8964" i="4"/>
  <c r="E8966" i="4"/>
  <c r="E8968" i="4"/>
  <c r="E8970" i="4"/>
  <c r="E8259" i="4"/>
  <c r="E8267" i="4"/>
  <c r="E8275" i="4"/>
  <c r="E8283" i="4"/>
  <c r="E8291" i="4"/>
  <c r="F8295" i="4"/>
  <c r="F8299" i="4"/>
  <c r="F8303" i="4"/>
  <c r="F8307" i="4"/>
  <c r="F8310" i="4"/>
  <c r="F8312" i="4"/>
  <c r="F8314" i="4"/>
  <c r="F8316" i="4"/>
  <c r="F8318" i="4"/>
  <c r="F8320" i="4"/>
  <c r="F8322" i="4"/>
  <c r="F8324" i="4"/>
  <c r="F8326" i="4"/>
  <c r="F8328" i="4"/>
  <c r="F8330" i="4"/>
  <c r="F8332" i="4"/>
  <c r="F8334" i="4"/>
  <c r="F8336" i="4"/>
  <c r="F8338" i="4"/>
  <c r="F8340" i="4"/>
  <c r="F8342" i="4"/>
  <c r="F8344" i="4"/>
  <c r="F8346" i="4"/>
  <c r="F8348" i="4"/>
  <c r="F8350" i="4"/>
  <c r="F8352" i="4"/>
  <c r="F8354" i="4"/>
  <c r="F8356" i="4"/>
  <c r="F8358" i="4"/>
  <c r="F8360" i="4"/>
  <c r="F8362" i="4"/>
  <c r="F8364" i="4"/>
  <c r="F8366" i="4"/>
  <c r="F8368" i="4"/>
  <c r="F8370" i="4"/>
  <c r="F8372" i="4"/>
  <c r="F8374" i="4"/>
  <c r="F8376" i="4"/>
  <c r="F8378" i="4"/>
  <c r="F8380" i="4"/>
  <c r="F8382" i="4"/>
  <c r="F8384" i="4"/>
  <c r="F8386" i="4"/>
  <c r="F8388" i="4"/>
  <c r="F8390" i="4"/>
  <c r="F8392" i="4"/>
  <c r="F8394" i="4"/>
  <c r="F8396" i="4"/>
  <c r="F8398" i="4"/>
  <c r="F8400" i="4"/>
  <c r="F8402" i="4"/>
  <c r="F8404" i="4"/>
  <c r="F8406" i="4"/>
  <c r="F8408" i="4"/>
  <c r="F8410" i="4"/>
  <c r="F8412" i="4"/>
  <c r="F8414" i="4"/>
  <c r="F8416" i="4"/>
  <c r="F8418" i="4"/>
  <c r="F8420" i="4"/>
  <c r="F8422" i="4"/>
  <c r="F8424" i="4"/>
  <c r="F8426" i="4"/>
  <c r="F8428" i="4"/>
  <c r="F8430" i="4"/>
  <c r="F8432" i="4"/>
  <c r="F8434" i="4"/>
  <c r="F8436" i="4"/>
  <c r="F8438" i="4"/>
  <c r="F8440" i="4"/>
  <c r="F8442" i="4"/>
  <c r="F8444" i="4"/>
  <c r="F8446" i="4"/>
  <c r="F8448" i="4"/>
  <c r="F8450" i="4"/>
  <c r="F8452" i="4"/>
  <c r="F8454" i="4"/>
  <c r="F8456" i="4"/>
  <c r="F8458" i="4"/>
  <c r="F8460" i="4"/>
  <c r="F8462" i="4"/>
  <c r="F8464" i="4"/>
  <c r="F8466" i="4"/>
  <c r="F8468" i="4"/>
  <c r="F8470" i="4"/>
  <c r="F8472" i="4"/>
  <c r="F8474" i="4"/>
  <c r="F8476" i="4"/>
  <c r="F8478" i="4"/>
  <c r="F8480" i="4"/>
  <c r="F8482" i="4"/>
  <c r="F8484" i="4"/>
  <c r="F8486" i="4"/>
  <c r="F8488" i="4"/>
  <c r="F8490" i="4"/>
  <c r="F8492" i="4"/>
  <c r="F8494" i="4"/>
  <c r="F8496" i="4"/>
  <c r="F8498" i="4"/>
  <c r="F8500" i="4"/>
  <c r="F8502" i="4"/>
  <c r="F8504" i="4"/>
  <c r="F8506" i="4"/>
  <c r="F8508" i="4"/>
  <c r="F8510" i="4"/>
  <c r="F8512" i="4"/>
  <c r="F8514" i="4"/>
  <c r="F8516" i="4"/>
  <c r="F8518" i="4"/>
  <c r="F8520" i="4"/>
  <c r="F8522" i="4"/>
  <c r="F8524" i="4"/>
  <c r="F8526" i="4"/>
  <c r="F8528" i="4"/>
  <c r="F8530" i="4"/>
  <c r="F8532" i="4"/>
  <c r="F8534" i="4"/>
  <c r="F8536" i="4"/>
  <c r="F8538" i="4"/>
  <c r="F8540" i="4"/>
  <c r="F8542" i="4"/>
  <c r="F8544" i="4"/>
  <c r="F8546" i="4"/>
  <c r="F8548" i="4"/>
  <c r="F8550" i="4"/>
  <c r="F8552" i="4"/>
  <c r="F8554" i="4"/>
  <c r="F8556" i="4"/>
  <c r="F8558" i="4"/>
  <c r="F8560" i="4"/>
  <c r="F8562" i="4"/>
  <c r="F8564" i="4"/>
  <c r="F8566" i="4"/>
  <c r="F8568" i="4"/>
  <c r="F8570" i="4"/>
  <c r="F8572" i="4"/>
  <c r="F8574" i="4"/>
  <c r="F8576" i="4"/>
  <c r="F8578" i="4"/>
  <c r="F8580" i="4"/>
  <c r="F8582" i="4"/>
  <c r="F8584" i="4"/>
  <c r="F8586" i="4"/>
  <c r="F8588" i="4"/>
  <c r="F8590" i="4"/>
  <c r="F8592" i="4"/>
  <c r="F8594" i="4"/>
  <c r="F8596" i="4"/>
  <c r="F8598" i="4"/>
  <c r="F8600" i="4"/>
  <c r="F8602" i="4"/>
  <c r="F8604" i="4"/>
  <c r="F8606" i="4"/>
  <c r="F8608" i="4"/>
  <c r="F8610" i="4"/>
  <c r="F8612" i="4"/>
  <c r="F8614" i="4"/>
  <c r="F8616" i="4"/>
  <c r="F8618" i="4"/>
  <c r="F8620" i="4"/>
  <c r="F8622" i="4"/>
  <c r="F8624" i="4"/>
  <c r="F8626" i="4"/>
  <c r="F8628" i="4"/>
  <c r="F8630" i="4"/>
  <c r="F8632" i="4"/>
  <c r="F8634" i="4"/>
  <c r="F8636" i="4"/>
  <c r="F8638" i="4"/>
  <c r="F8640" i="4"/>
  <c r="F8642" i="4"/>
  <c r="F8644" i="4"/>
  <c r="F8646" i="4"/>
  <c r="F8648" i="4"/>
  <c r="F8650" i="4"/>
  <c r="F8652" i="4"/>
  <c r="F8654" i="4"/>
  <c r="F8656" i="4"/>
  <c r="F8658" i="4"/>
  <c r="F8660" i="4"/>
  <c r="F8662" i="4"/>
  <c r="F8664" i="4"/>
  <c r="F8666" i="4"/>
  <c r="F8668" i="4"/>
  <c r="F8670" i="4"/>
  <c r="F8672" i="4"/>
  <c r="F8674" i="4"/>
  <c r="F8676" i="4"/>
  <c r="F8678" i="4"/>
  <c r="F8680" i="4"/>
  <c r="F8682" i="4"/>
  <c r="F8684" i="4"/>
  <c r="F8686" i="4"/>
  <c r="F8688" i="4"/>
  <c r="F8690" i="4"/>
  <c r="F8692" i="4"/>
  <c r="F8694" i="4"/>
  <c r="F8696" i="4"/>
  <c r="F8698" i="4"/>
  <c r="F8700" i="4"/>
  <c r="F8702" i="4"/>
  <c r="F8704" i="4"/>
  <c r="F8706" i="4"/>
  <c r="F8708" i="4"/>
  <c r="F8710" i="4"/>
  <c r="F8712" i="4"/>
  <c r="F8714" i="4"/>
  <c r="F8716" i="4"/>
  <c r="F8718" i="4"/>
  <c r="F8720" i="4"/>
  <c r="F8722" i="4"/>
  <c r="F8724" i="4"/>
  <c r="F8726" i="4"/>
  <c r="F8728" i="4"/>
  <c r="F8730" i="4"/>
  <c r="F8732" i="4"/>
  <c r="F8734" i="4"/>
  <c r="F8736" i="4"/>
  <c r="F8738" i="4"/>
  <c r="F8740" i="4"/>
  <c r="F8742" i="4"/>
  <c r="F8744" i="4"/>
  <c r="F8746" i="4"/>
  <c r="F8748" i="4"/>
  <c r="F8750" i="4"/>
  <c r="F8752" i="4"/>
  <c r="F8754" i="4"/>
  <c r="F8756" i="4"/>
  <c r="F8758" i="4"/>
  <c r="F8760" i="4"/>
  <c r="F8762" i="4"/>
  <c r="F8764" i="4"/>
  <c r="F8766" i="4"/>
  <c r="F8768" i="4"/>
  <c r="F8770" i="4"/>
  <c r="F8772" i="4"/>
  <c r="F8774" i="4"/>
  <c r="F8776" i="4"/>
  <c r="F8778" i="4"/>
  <c r="F8780" i="4"/>
  <c r="F8782" i="4"/>
  <c r="F8784" i="4"/>
  <c r="F8786" i="4"/>
  <c r="F8788" i="4"/>
  <c r="F8790" i="4"/>
  <c r="F8792" i="4"/>
  <c r="F8794" i="4"/>
  <c r="F8796" i="4"/>
  <c r="F8798" i="4"/>
  <c r="F8800" i="4"/>
  <c r="F8802" i="4"/>
  <c r="F8804" i="4"/>
  <c r="F8806" i="4"/>
  <c r="F8808" i="4"/>
  <c r="F8810" i="4"/>
  <c r="F8812" i="4"/>
  <c r="F8814" i="4"/>
  <c r="F8816" i="4"/>
  <c r="F8818" i="4"/>
  <c r="F8820" i="4"/>
  <c r="F8822" i="4"/>
  <c r="F8824" i="4"/>
  <c r="F8826" i="4"/>
  <c r="F8828" i="4"/>
  <c r="F8830" i="4"/>
  <c r="F8832" i="4"/>
  <c r="F8834" i="4"/>
  <c r="F8836" i="4"/>
  <c r="F8838" i="4"/>
  <c r="F8840" i="4"/>
  <c r="F8842" i="4"/>
  <c r="F8844" i="4"/>
  <c r="F8846" i="4"/>
  <c r="F8848" i="4"/>
  <c r="F8850" i="4"/>
  <c r="F8852" i="4"/>
  <c r="F8854" i="4"/>
  <c r="F8856" i="4"/>
  <c r="F8858" i="4"/>
  <c r="F8860" i="4"/>
  <c r="F8862" i="4"/>
  <c r="F8864" i="4"/>
  <c r="F8866" i="4"/>
  <c r="F8868" i="4"/>
  <c r="F8870" i="4"/>
  <c r="F8872" i="4"/>
  <c r="F8874" i="4"/>
  <c r="F8876" i="4"/>
  <c r="F8878" i="4"/>
  <c r="F8880" i="4"/>
  <c r="F8882" i="4"/>
  <c r="F8884" i="4"/>
  <c r="F8886" i="4"/>
  <c r="F8888" i="4"/>
  <c r="F8890" i="4"/>
  <c r="F8892" i="4"/>
  <c r="F8894" i="4"/>
  <c r="F8896" i="4"/>
  <c r="F8898" i="4"/>
  <c r="F8900" i="4"/>
  <c r="F8902" i="4"/>
  <c r="F8904" i="4"/>
  <c r="F8906" i="4"/>
  <c r="F8908" i="4"/>
  <c r="F8910" i="4"/>
  <c r="F8912" i="4"/>
  <c r="F8914" i="4"/>
  <c r="F8916" i="4"/>
  <c r="F8918" i="4"/>
  <c r="F8920" i="4"/>
  <c r="F8922" i="4"/>
  <c r="F8924" i="4"/>
  <c r="F8926" i="4"/>
  <c r="F8928" i="4"/>
  <c r="F8930" i="4"/>
  <c r="F8932" i="4"/>
  <c r="F8934" i="4"/>
  <c r="F8936" i="4"/>
  <c r="F8938" i="4"/>
  <c r="F8940" i="4"/>
  <c r="F8942" i="4"/>
  <c r="F8944" i="4"/>
  <c r="F8946" i="4"/>
  <c r="F8948" i="4"/>
  <c r="F8950" i="4"/>
  <c r="F8952" i="4"/>
  <c r="F8954" i="4"/>
  <c r="F8956" i="4"/>
  <c r="F8958" i="4"/>
  <c r="F8960" i="4"/>
  <c r="F8962" i="4"/>
  <c r="F8964" i="4"/>
  <c r="F8966" i="4"/>
  <c r="F8968" i="4"/>
  <c r="F8970" i="4"/>
  <c r="E8261" i="4"/>
  <c r="E8269" i="4"/>
  <c r="E8277" i="4"/>
  <c r="E8285" i="4"/>
  <c r="E8293" i="4"/>
  <c r="E8297" i="4"/>
  <c r="E8301" i="4"/>
  <c r="E8305" i="4"/>
  <c r="F8308" i="4"/>
  <c r="E8311" i="4"/>
  <c r="E8313" i="4"/>
  <c r="E8315" i="4"/>
  <c r="E8317" i="4"/>
  <c r="E8319" i="4"/>
  <c r="E8321" i="4"/>
  <c r="E8323" i="4"/>
  <c r="E8325" i="4"/>
  <c r="E8327" i="4"/>
  <c r="E8329" i="4"/>
  <c r="E8331" i="4"/>
  <c r="E8333" i="4"/>
  <c r="E8335" i="4"/>
  <c r="E8337" i="4"/>
  <c r="E8339" i="4"/>
  <c r="E8341" i="4"/>
  <c r="E8343" i="4"/>
  <c r="E8345" i="4"/>
  <c r="E8347" i="4"/>
  <c r="E8349" i="4"/>
  <c r="E8351" i="4"/>
  <c r="E8353" i="4"/>
  <c r="E8355" i="4"/>
  <c r="E8357" i="4"/>
  <c r="E8359" i="4"/>
  <c r="E8361" i="4"/>
  <c r="E8363" i="4"/>
  <c r="E8365" i="4"/>
  <c r="E8367" i="4"/>
  <c r="E8369" i="4"/>
  <c r="E8371" i="4"/>
  <c r="E8373" i="4"/>
  <c r="E8375" i="4"/>
  <c r="E8377" i="4"/>
  <c r="E8379" i="4"/>
  <c r="E8381" i="4"/>
  <c r="E8383" i="4"/>
  <c r="E8385" i="4"/>
  <c r="E8387" i="4"/>
  <c r="E8389" i="4"/>
  <c r="E8391" i="4"/>
  <c r="E8393" i="4"/>
  <c r="E8395" i="4"/>
  <c r="E8397" i="4"/>
  <c r="E8399" i="4"/>
  <c r="E8401" i="4"/>
  <c r="E8403" i="4"/>
  <c r="E8405" i="4"/>
  <c r="E8407" i="4"/>
  <c r="E8409" i="4"/>
  <c r="E8411" i="4"/>
  <c r="E8413" i="4"/>
  <c r="E8415" i="4"/>
  <c r="E8417" i="4"/>
  <c r="E8419" i="4"/>
  <c r="E8421" i="4"/>
  <c r="E8423" i="4"/>
  <c r="E8425" i="4"/>
  <c r="E8427" i="4"/>
  <c r="E8429" i="4"/>
  <c r="E8431" i="4"/>
  <c r="E8433" i="4"/>
  <c r="E8435" i="4"/>
  <c r="E8437" i="4"/>
  <c r="E8439" i="4"/>
  <c r="E8441" i="4"/>
  <c r="E8443" i="4"/>
  <c r="E8445" i="4"/>
  <c r="E8447" i="4"/>
  <c r="E8449" i="4"/>
  <c r="E8451" i="4"/>
  <c r="E8453" i="4"/>
  <c r="E8455" i="4"/>
  <c r="E8457" i="4"/>
  <c r="E8459" i="4"/>
  <c r="E8461" i="4"/>
  <c r="E8463" i="4"/>
  <c r="E8465" i="4"/>
  <c r="E8467" i="4"/>
  <c r="E8469" i="4"/>
  <c r="E8471" i="4"/>
  <c r="E8473" i="4"/>
  <c r="E8475" i="4"/>
  <c r="E8477" i="4"/>
  <c r="E8479" i="4"/>
  <c r="E8481" i="4"/>
  <c r="E8483" i="4"/>
  <c r="E8485" i="4"/>
  <c r="E8487" i="4"/>
  <c r="E8489" i="4"/>
  <c r="E8491" i="4"/>
  <c r="E8493" i="4"/>
  <c r="E8495" i="4"/>
  <c r="E8497" i="4"/>
  <c r="E8499" i="4"/>
  <c r="E8501" i="4"/>
  <c r="E8503" i="4"/>
  <c r="E8505" i="4"/>
  <c r="E8507" i="4"/>
  <c r="E8509" i="4"/>
  <c r="E8511" i="4"/>
  <c r="E8513" i="4"/>
  <c r="E8515" i="4"/>
  <c r="E8517" i="4"/>
  <c r="E8519" i="4"/>
  <c r="E8521" i="4"/>
  <c r="E8523" i="4"/>
  <c r="E8525" i="4"/>
  <c r="E8527" i="4"/>
  <c r="E8529" i="4"/>
  <c r="E8531" i="4"/>
  <c r="E8533" i="4"/>
  <c r="E8535" i="4"/>
  <c r="E8537" i="4"/>
  <c r="E8539" i="4"/>
  <c r="E8541" i="4"/>
  <c r="E8543" i="4"/>
  <c r="E8545" i="4"/>
  <c r="E8547" i="4"/>
  <c r="E8549" i="4"/>
  <c r="E8551" i="4"/>
  <c r="E8553" i="4"/>
  <c r="E8555" i="4"/>
  <c r="E8557" i="4"/>
  <c r="E8559" i="4"/>
  <c r="E8561" i="4"/>
  <c r="E8563" i="4"/>
  <c r="E8565" i="4"/>
  <c r="E8567" i="4"/>
  <c r="E8569" i="4"/>
  <c r="E8571" i="4"/>
  <c r="E8573" i="4"/>
  <c r="E8575" i="4"/>
  <c r="E8577" i="4"/>
  <c r="E8579" i="4"/>
  <c r="E8581" i="4"/>
  <c r="E8583" i="4"/>
  <c r="E8585" i="4"/>
  <c r="E8587" i="4"/>
  <c r="E8589" i="4"/>
  <c r="E8591" i="4"/>
  <c r="E8593" i="4"/>
  <c r="E8595" i="4"/>
  <c r="E8597" i="4"/>
  <c r="E8599" i="4"/>
  <c r="E8601" i="4"/>
  <c r="E8603" i="4"/>
  <c r="E8605" i="4"/>
  <c r="E8607" i="4"/>
  <c r="E8609" i="4"/>
  <c r="E8611" i="4"/>
  <c r="E8613" i="4"/>
  <c r="E8615" i="4"/>
  <c r="E8617" i="4"/>
  <c r="E8619" i="4"/>
  <c r="E8621" i="4"/>
  <c r="E8623" i="4"/>
  <c r="E8625" i="4"/>
  <c r="E8627" i="4"/>
  <c r="E8629" i="4"/>
  <c r="E8631" i="4"/>
  <c r="E8633" i="4"/>
  <c r="E8635" i="4"/>
  <c r="E8637" i="4"/>
  <c r="E8639" i="4"/>
  <c r="E8641" i="4"/>
  <c r="E8643" i="4"/>
  <c r="E8645" i="4"/>
  <c r="E8647" i="4"/>
  <c r="E8649" i="4"/>
  <c r="E8651" i="4"/>
  <c r="E8653" i="4"/>
  <c r="E8655" i="4"/>
  <c r="E8657" i="4"/>
  <c r="E8659" i="4"/>
  <c r="E8661" i="4"/>
  <c r="E8663" i="4"/>
  <c r="E8665" i="4"/>
  <c r="E8667" i="4"/>
  <c r="E8669" i="4"/>
  <c r="E8671" i="4"/>
  <c r="E8673" i="4"/>
  <c r="E8675" i="4"/>
  <c r="E8677" i="4"/>
  <c r="E8679" i="4"/>
  <c r="E8681" i="4"/>
  <c r="E8683" i="4"/>
  <c r="E8685" i="4"/>
  <c r="E8687" i="4"/>
  <c r="E8689" i="4"/>
  <c r="E8691" i="4"/>
  <c r="E8693" i="4"/>
  <c r="E8695" i="4"/>
  <c r="E8697" i="4"/>
  <c r="E8699" i="4"/>
  <c r="E8701" i="4"/>
  <c r="E8703" i="4"/>
  <c r="E8705" i="4"/>
  <c r="E8707" i="4"/>
  <c r="E8709" i="4"/>
  <c r="E8711" i="4"/>
  <c r="E8713" i="4"/>
  <c r="E8715" i="4"/>
  <c r="E8717" i="4"/>
  <c r="E8719" i="4"/>
  <c r="E8721" i="4"/>
  <c r="E8723" i="4"/>
  <c r="E8725" i="4"/>
  <c r="E8727" i="4"/>
  <c r="E8729" i="4"/>
  <c r="E8731" i="4"/>
  <c r="E8733" i="4"/>
  <c r="E8735" i="4"/>
  <c r="E8737" i="4"/>
  <c r="E8739" i="4"/>
  <c r="E8741" i="4"/>
  <c r="E8743" i="4"/>
  <c r="E8745" i="4"/>
  <c r="E8747" i="4"/>
  <c r="E8749" i="4"/>
  <c r="E8751" i="4"/>
  <c r="E8753" i="4"/>
  <c r="E8755" i="4"/>
  <c r="E8757" i="4"/>
  <c r="E8759" i="4"/>
  <c r="E8761" i="4"/>
  <c r="E8763" i="4"/>
  <c r="E8765" i="4"/>
  <c r="E8767" i="4"/>
  <c r="E8769" i="4"/>
  <c r="E8771" i="4"/>
  <c r="E8773" i="4"/>
  <c r="E8775" i="4"/>
  <c r="E8777" i="4"/>
  <c r="E8779" i="4"/>
  <c r="E8781" i="4"/>
  <c r="E8783" i="4"/>
  <c r="E8785" i="4"/>
  <c r="E8787" i="4"/>
  <c r="E8789" i="4"/>
  <c r="E8791" i="4"/>
  <c r="E8793" i="4"/>
  <c r="E8795" i="4"/>
  <c r="E8797" i="4"/>
  <c r="E8799" i="4"/>
  <c r="E8801" i="4"/>
  <c r="E8803" i="4"/>
  <c r="E8805" i="4"/>
  <c r="E8807" i="4"/>
  <c r="E8809" i="4"/>
  <c r="E8811" i="4"/>
  <c r="E8813" i="4"/>
  <c r="E8815" i="4"/>
  <c r="E8817" i="4"/>
  <c r="E8819" i="4"/>
  <c r="E8821" i="4"/>
  <c r="E8823" i="4"/>
  <c r="E8825" i="4"/>
  <c r="E8827" i="4"/>
  <c r="E8829" i="4"/>
  <c r="E8831" i="4"/>
  <c r="E8833" i="4"/>
  <c r="E8835" i="4"/>
  <c r="E8837" i="4"/>
  <c r="E8839" i="4"/>
  <c r="E8841" i="4"/>
  <c r="E8843" i="4"/>
  <c r="E8845" i="4"/>
  <c r="E8847" i="4"/>
  <c r="E8849" i="4"/>
  <c r="E8851" i="4"/>
  <c r="E8853" i="4"/>
  <c r="E8855" i="4"/>
  <c r="E8857" i="4"/>
  <c r="E8859" i="4"/>
  <c r="E8861" i="4"/>
  <c r="E8863" i="4"/>
  <c r="E8865" i="4"/>
  <c r="E8867" i="4"/>
  <c r="E8869" i="4"/>
  <c r="E8871" i="4"/>
  <c r="E8873" i="4"/>
  <c r="E8875" i="4"/>
  <c r="E8877" i="4"/>
  <c r="E8879" i="4"/>
  <c r="E8881" i="4"/>
  <c r="E8883" i="4"/>
  <c r="E8885" i="4"/>
  <c r="E8887" i="4"/>
  <c r="E8889" i="4"/>
  <c r="E8891" i="4"/>
  <c r="E8893" i="4"/>
  <c r="E8895" i="4"/>
  <c r="E8897" i="4"/>
  <c r="E8899" i="4"/>
  <c r="E8901" i="4"/>
  <c r="E8903" i="4"/>
  <c r="E8905" i="4"/>
  <c r="E8907" i="4"/>
  <c r="E8909" i="4"/>
  <c r="E8911" i="4"/>
  <c r="E8913" i="4"/>
  <c r="E8915" i="4"/>
  <c r="E8917" i="4"/>
  <c r="E8919" i="4"/>
  <c r="E8921" i="4"/>
  <c r="E8923" i="4"/>
  <c r="E8925" i="4"/>
  <c r="E8927" i="4"/>
  <c r="E8929" i="4"/>
  <c r="E8931" i="4"/>
  <c r="E8933" i="4"/>
  <c r="E8935" i="4"/>
  <c r="E8937" i="4"/>
  <c r="E8939" i="4"/>
  <c r="E8941" i="4"/>
  <c r="E8943" i="4"/>
  <c r="E8945" i="4"/>
  <c r="E8947" i="4"/>
  <c r="E8949" i="4"/>
  <c r="E8951" i="4"/>
  <c r="E8953" i="4"/>
  <c r="E8955" i="4"/>
  <c r="E8957" i="4"/>
  <c r="E8959" i="4"/>
  <c r="E8961" i="4"/>
  <c r="E8963" i="4"/>
  <c r="E8965" i="4"/>
  <c r="E8967" i="4"/>
  <c r="E8969" i="4"/>
  <c r="E8971" i="4"/>
  <c r="E8973" i="4"/>
  <c r="E8255" i="4"/>
  <c r="E8263" i="4"/>
  <c r="E8271" i="4"/>
  <c r="E8279" i="4"/>
  <c r="E8287" i="4"/>
  <c r="F8293" i="4"/>
  <c r="F8297" i="4"/>
  <c r="F8301" i="4"/>
  <c r="F8305" i="4"/>
  <c r="E8309" i="4"/>
  <c r="F8311" i="4"/>
  <c r="F8313" i="4"/>
  <c r="F8315" i="4"/>
  <c r="F8317" i="4"/>
  <c r="F8319" i="4"/>
  <c r="F8321" i="4"/>
  <c r="F8323" i="4"/>
  <c r="F8325" i="4"/>
  <c r="F8327" i="4"/>
  <c r="F8329" i="4"/>
  <c r="F8331" i="4"/>
  <c r="F8333" i="4"/>
  <c r="F8335" i="4"/>
  <c r="F8337" i="4"/>
  <c r="F8339" i="4"/>
  <c r="F8341" i="4"/>
  <c r="F8343" i="4"/>
  <c r="F8345" i="4"/>
  <c r="F8347" i="4"/>
  <c r="F8349" i="4"/>
  <c r="F8351" i="4"/>
  <c r="F8353" i="4"/>
  <c r="F8355" i="4"/>
  <c r="F8357" i="4"/>
  <c r="F8359" i="4"/>
  <c r="F8361" i="4"/>
  <c r="F8363" i="4"/>
  <c r="F8365" i="4"/>
  <c r="F8367" i="4"/>
  <c r="F8369" i="4"/>
  <c r="F8371" i="4"/>
  <c r="F8373" i="4"/>
  <c r="F8375" i="4"/>
  <c r="F8377" i="4"/>
  <c r="F8379" i="4"/>
  <c r="F8381" i="4"/>
  <c r="F8383" i="4"/>
  <c r="F8385" i="4"/>
  <c r="F8387" i="4"/>
  <c r="F8389" i="4"/>
  <c r="F8391" i="4"/>
  <c r="F8393" i="4"/>
  <c r="F8395" i="4"/>
  <c r="F8397" i="4"/>
  <c r="F8399" i="4"/>
  <c r="F8401" i="4"/>
  <c r="F8403" i="4"/>
  <c r="F8405" i="4"/>
  <c r="F8407" i="4"/>
  <c r="F8409" i="4"/>
  <c r="F8411" i="4"/>
  <c r="F8413" i="4"/>
  <c r="F8415" i="4"/>
  <c r="F8417" i="4"/>
  <c r="F8419" i="4"/>
  <c r="F8421" i="4"/>
  <c r="F8423" i="4"/>
  <c r="F8425" i="4"/>
  <c r="F8427" i="4"/>
  <c r="F8429" i="4"/>
  <c r="F8431" i="4"/>
  <c r="F8433" i="4"/>
  <c r="F8435" i="4"/>
  <c r="F8437" i="4"/>
  <c r="F8439" i="4"/>
  <c r="F8441" i="4"/>
  <c r="F8443" i="4"/>
  <c r="F8445" i="4"/>
  <c r="F8447" i="4"/>
  <c r="F8449" i="4"/>
  <c r="F8451" i="4"/>
  <c r="F8453" i="4"/>
  <c r="F8455" i="4"/>
  <c r="F8457" i="4"/>
  <c r="F8459" i="4"/>
  <c r="F8461" i="4"/>
  <c r="F8463" i="4"/>
  <c r="F8465" i="4"/>
  <c r="F8467" i="4"/>
  <c r="F8469" i="4"/>
  <c r="F8471" i="4"/>
  <c r="F8473" i="4"/>
  <c r="F8475" i="4"/>
  <c r="F8477" i="4"/>
  <c r="F8479" i="4"/>
  <c r="F8481" i="4"/>
  <c r="F8483" i="4"/>
  <c r="F8485" i="4"/>
  <c r="F8487" i="4"/>
  <c r="F8489" i="4"/>
  <c r="F8491" i="4"/>
  <c r="F8493" i="4"/>
  <c r="F8495" i="4"/>
  <c r="F8497" i="4"/>
  <c r="F8499" i="4"/>
  <c r="F8501" i="4"/>
  <c r="F8503" i="4"/>
  <c r="F8505" i="4"/>
  <c r="F8507" i="4"/>
  <c r="F8509" i="4"/>
  <c r="F8511" i="4"/>
  <c r="F8513" i="4"/>
  <c r="F8515" i="4"/>
  <c r="F8517" i="4"/>
  <c r="F8519" i="4"/>
  <c r="F8521" i="4"/>
  <c r="F8523" i="4"/>
  <c r="F8525" i="4"/>
  <c r="F8527" i="4"/>
  <c r="F8529" i="4"/>
  <c r="F8531" i="4"/>
  <c r="F8533" i="4"/>
  <c r="F8535" i="4"/>
  <c r="F8537" i="4"/>
  <c r="F8539" i="4"/>
  <c r="F8541" i="4"/>
  <c r="F8543" i="4"/>
  <c r="F8545" i="4"/>
  <c r="F8547" i="4"/>
  <c r="F8549" i="4"/>
  <c r="F8551" i="4"/>
  <c r="F8553" i="4"/>
  <c r="F8555" i="4"/>
  <c r="F8557" i="4"/>
  <c r="F8559" i="4"/>
  <c r="F8561" i="4"/>
  <c r="F8563" i="4"/>
  <c r="F8565" i="4"/>
  <c r="F8567" i="4"/>
  <c r="F8569" i="4"/>
  <c r="F8571" i="4"/>
  <c r="F8573" i="4"/>
  <c r="F8575" i="4"/>
  <c r="F8577" i="4"/>
  <c r="F8579" i="4"/>
  <c r="F8581" i="4"/>
  <c r="F8583" i="4"/>
  <c r="F8585" i="4"/>
  <c r="F8587" i="4"/>
  <c r="F8589" i="4"/>
  <c r="F8591" i="4"/>
  <c r="F8593" i="4"/>
  <c r="F8595" i="4"/>
  <c r="F8597" i="4"/>
  <c r="F8599" i="4"/>
  <c r="F8601" i="4"/>
  <c r="F8603" i="4"/>
  <c r="F8605" i="4"/>
  <c r="F8607" i="4"/>
  <c r="F8609" i="4"/>
  <c r="F8611" i="4"/>
  <c r="F8613" i="4"/>
  <c r="F8615" i="4"/>
  <c r="F8617" i="4"/>
  <c r="F8619" i="4"/>
  <c r="F8621" i="4"/>
  <c r="F8623" i="4"/>
  <c r="F8625" i="4"/>
  <c r="F8627" i="4"/>
  <c r="F8629" i="4"/>
  <c r="F8631" i="4"/>
  <c r="F8633" i="4"/>
  <c r="F8635" i="4"/>
  <c r="F8637" i="4"/>
  <c r="F8639" i="4"/>
  <c r="F8641" i="4"/>
  <c r="F8643" i="4"/>
  <c r="F8645" i="4"/>
  <c r="F8647" i="4"/>
  <c r="F8649" i="4"/>
  <c r="F8651" i="4"/>
  <c r="F8653" i="4"/>
  <c r="F8655" i="4"/>
  <c r="F8657" i="4"/>
  <c r="F8659" i="4"/>
  <c r="F8661" i="4"/>
  <c r="F8663" i="4"/>
  <c r="F8665" i="4"/>
  <c r="F8667" i="4"/>
  <c r="F8669" i="4"/>
  <c r="F8671" i="4"/>
  <c r="F8673" i="4"/>
  <c r="F8675" i="4"/>
  <c r="F8677" i="4"/>
  <c r="F8679" i="4"/>
  <c r="F8681" i="4"/>
  <c r="F8683" i="4"/>
  <c r="F8685" i="4"/>
  <c r="F8687" i="4"/>
  <c r="F8689" i="4"/>
  <c r="F8691" i="4"/>
  <c r="F8693" i="4"/>
  <c r="F8695" i="4"/>
  <c r="F8697" i="4"/>
  <c r="F8699" i="4"/>
  <c r="F8701" i="4"/>
  <c r="F8703" i="4"/>
  <c r="F8705" i="4"/>
  <c r="F8707" i="4"/>
  <c r="F8709" i="4"/>
  <c r="F8711" i="4"/>
  <c r="F8713" i="4"/>
  <c r="F8715" i="4"/>
  <c r="F8717" i="4"/>
  <c r="F8719" i="4"/>
  <c r="F8721" i="4"/>
  <c r="F8723" i="4"/>
  <c r="F8725" i="4"/>
  <c r="F8727" i="4"/>
  <c r="F8729" i="4"/>
  <c r="F8731" i="4"/>
  <c r="F8733" i="4"/>
  <c r="F8735" i="4"/>
  <c r="F8737" i="4"/>
  <c r="F8739" i="4"/>
  <c r="F8741" i="4"/>
  <c r="F8743" i="4"/>
  <c r="F8745" i="4"/>
  <c r="F8747" i="4"/>
  <c r="F8749" i="4"/>
  <c r="F8751" i="4"/>
  <c r="F8753" i="4"/>
  <c r="F8755" i="4"/>
  <c r="F8757" i="4"/>
  <c r="F8759" i="4"/>
  <c r="F8761" i="4"/>
  <c r="F8763" i="4"/>
  <c r="F8765" i="4"/>
  <c r="F8767" i="4"/>
  <c r="F8769" i="4"/>
  <c r="F8771" i="4"/>
  <c r="F8773" i="4"/>
  <c r="F8775" i="4"/>
  <c r="F8777" i="4"/>
  <c r="F8779" i="4"/>
  <c r="F8781" i="4"/>
  <c r="F8783" i="4"/>
  <c r="F8785" i="4"/>
  <c r="F8787" i="4"/>
  <c r="F8789" i="4"/>
  <c r="F8791" i="4"/>
  <c r="F8793" i="4"/>
  <c r="F8795" i="4"/>
  <c r="F8797" i="4"/>
  <c r="F8799" i="4"/>
  <c r="F8801" i="4"/>
  <c r="F8803" i="4"/>
  <c r="F8805" i="4"/>
  <c r="F8807" i="4"/>
  <c r="F8809" i="4"/>
  <c r="F8811" i="4"/>
  <c r="F8813" i="4"/>
  <c r="F8815" i="4"/>
  <c r="F8817" i="4"/>
  <c r="F8819" i="4"/>
  <c r="F8821" i="4"/>
  <c r="F8823" i="4"/>
  <c r="F8825" i="4"/>
  <c r="F8827" i="4"/>
  <c r="F8829" i="4"/>
  <c r="F8831" i="4"/>
  <c r="F8833" i="4"/>
  <c r="F8835" i="4"/>
  <c r="F8837" i="4"/>
  <c r="F8839" i="4"/>
  <c r="F8841" i="4"/>
  <c r="F8843" i="4"/>
  <c r="F8845" i="4"/>
  <c r="F8847" i="4"/>
  <c r="F8849" i="4"/>
  <c r="F8851" i="4"/>
  <c r="F8853" i="4"/>
  <c r="F8855" i="4"/>
  <c r="F8857" i="4"/>
  <c r="F8859" i="4"/>
  <c r="F8861" i="4"/>
  <c r="F8863" i="4"/>
  <c r="F8865" i="4"/>
  <c r="F8867" i="4"/>
  <c r="F8869" i="4"/>
  <c r="F8871" i="4"/>
  <c r="F8873" i="4"/>
  <c r="F8875" i="4"/>
  <c r="F8877" i="4"/>
  <c r="F8879" i="4"/>
  <c r="F8881" i="4"/>
  <c r="F8883" i="4"/>
  <c r="F8885" i="4"/>
  <c r="F8887" i="4"/>
  <c r="F8889" i="4"/>
  <c r="F8891" i="4"/>
  <c r="F8893" i="4"/>
  <c r="F8895" i="4"/>
  <c r="F8897" i="4"/>
  <c r="F8899" i="4"/>
  <c r="F8901" i="4"/>
  <c r="F8903" i="4"/>
  <c r="F8905" i="4"/>
  <c r="F8909" i="4"/>
  <c r="F8917" i="4"/>
  <c r="F8925" i="4"/>
  <c r="F8933" i="4"/>
  <c r="F8941" i="4"/>
  <c r="F8949" i="4"/>
  <c r="F8957" i="4"/>
  <c r="F8965" i="4"/>
  <c r="E8972" i="4"/>
  <c r="F8974" i="4"/>
  <c r="F8976" i="4"/>
  <c r="F8978" i="4"/>
  <c r="F8980" i="4"/>
  <c r="F8982" i="4"/>
  <c r="F8984" i="4"/>
  <c r="F8986" i="4"/>
  <c r="F8988" i="4"/>
  <c r="F8990" i="4"/>
  <c r="F8992" i="4"/>
  <c r="F8994" i="4"/>
  <c r="F8996" i="4"/>
  <c r="F8998" i="4"/>
  <c r="F9000" i="4"/>
  <c r="F9002" i="4"/>
  <c r="F9004" i="4"/>
  <c r="F9006" i="4"/>
  <c r="F9008" i="4"/>
  <c r="F9010" i="4"/>
  <c r="F9012" i="4"/>
  <c r="F9014" i="4"/>
  <c r="F9016" i="4"/>
  <c r="F9018" i="4"/>
  <c r="F9020" i="4"/>
  <c r="F9022" i="4"/>
  <c r="F9024" i="4"/>
  <c r="F9026" i="4"/>
  <c r="F9028" i="4"/>
  <c r="F9030" i="4"/>
  <c r="F9032" i="4"/>
  <c r="F9034" i="4"/>
  <c r="F9036" i="4"/>
  <c r="F9038" i="4"/>
  <c r="F9040" i="4"/>
  <c r="F9042" i="4"/>
  <c r="F9044" i="4"/>
  <c r="F9046" i="4"/>
  <c r="F9048" i="4"/>
  <c r="F9050" i="4"/>
  <c r="F9052" i="4"/>
  <c r="F9054" i="4"/>
  <c r="F9056" i="4"/>
  <c r="F9058" i="4"/>
  <c r="F9060" i="4"/>
  <c r="F9062" i="4"/>
  <c r="F9064" i="4"/>
  <c r="F9066" i="4"/>
  <c r="F9068" i="4"/>
  <c r="F9070" i="4"/>
  <c r="F9072" i="4"/>
  <c r="F9074" i="4"/>
  <c r="F9076" i="4"/>
  <c r="F9078" i="4"/>
  <c r="F9080" i="4"/>
  <c r="F9082" i="4"/>
  <c r="F9084" i="4"/>
  <c r="F9086" i="4"/>
  <c r="F9088" i="4"/>
  <c r="F9090" i="4"/>
  <c r="F9092" i="4"/>
  <c r="F9094" i="4"/>
  <c r="F9096" i="4"/>
  <c r="F9098" i="4"/>
  <c r="F9100" i="4"/>
  <c r="F9102" i="4"/>
  <c r="F9104" i="4"/>
  <c r="F9106" i="4"/>
  <c r="F9108" i="4"/>
  <c r="F9110" i="4"/>
  <c r="F9112" i="4"/>
  <c r="F9114" i="4"/>
  <c r="F9116" i="4"/>
  <c r="F9118" i="4"/>
  <c r="F9120" i="4"/>
  <c r="F9122" i="4"/>
  <c r="F9124" i="4"/>
  <c r="F9126" i="4"/>
  <c r="F9128" i="4"/>
  <c r="F9130" i="4"/>
  <c r="F9132" i="4"/>
  <c r="F9134" i="4"/>
  <c r="F9136" i="4"/>
  <c r="F9138" i="4"/>
  <c r="F9140" i="4"/>
  <c r="F9142" i="4"/>
  <c r="F9144" i="4"/>
  <c r="F9146" i="4"/>
  <c r="F9148" i="4"/>
  <c r="F9150" i="4"/>
  <c r="F9152" i="4"/>
  <c r="F9154" i="4"/>
  <c r="F9156" i="4"/>
  <c r="F9158" i="4"/>
  <c r="F9160" i="4"/>
  <c r="F9162" i="4"/>
  <c r="F9164" i="4"/>
  <c r="F9166" i="4"/>
  <c r="F9168" i="4"/>
  <c r="F9170" i="4"/>
  <c r="F9172" i="4"/>
  <c r="F9174" i="4"/>
  <c r="F9176" i="4"/>
  <c r="F9178" i="4"/>
  <c r="F9180" i="4"/>
  <c r="F9182" i="4"/>
  <c r="F9184" i="4"/>
  <c r="F9186" i="4"/>
  <c r="F9188" i="4"/>
  <c r="F9190" i="4"/>
  <c r="F9192" i="4"/>
  <c r="F9194" i="4"/>
  <c r="F9196" i="4"/>
  <c r="F9198" i="4"/>
  <c r="F9200" i="4"/>
  <c r="F9202" i="4"/>
  <c r="F9204" i="4"/>
  <c r="F9206" i="4"/>
  <c r="F9208" i="4"/>
  <c r="F9210" i="4"/>
  <c r="F9212" i="4"/>
  <c r="F9214" i="4"/>
  <c r="F9216" i="4"/>
  <c r="F9218" i="4"/>
  <c r="F9220" i="4"/>
  <c r="F9222" i="4"/>
  <c r="F9224" i="4"/>
  <c r="F9226" i="4"/>
  <c r="F9228" i="4"/>
  <c r="F9230" i="4"/>
  <c r="F9232" i="4"/>
  <c r="F9234" i="4"/>
  <c r="F9236" i="4"/>
  <c r="F9238" i="4"/>
  <c r="F9240" i="4"/>
  <c r="F9242" i="4"/>
  <c r="F9244" i="4"/>
  <c r="F9246" i="4"/>
  <c r="F9248" i="4"/>
  <c r="F9250" i="4"/>
  <c r="F9252" i="4"/>
  <c r="F9254" i="4"/>
  <c r="F9256" i="4"/>
  <c r="F9258" i="4"/>
  <c r="F9260" i="4"/>
  <c r="F9262" i="4"/>
  <c r="F9264" i="4"/>
  <c r="F9266" i="4"/>
  <c r="F9268" i="4"/>
  <c r="F9270" i="4"/>
  <c r="F9272" i="4"/>
  <c r="F9274" i="4"/>
  <c r="F9276" i="4"/>
  <c r="F9278" i="4"/>
  <c r="F9280" i="4"/>
  <c r="F9282" i="4"/>
  <c r="F9284" i="4"/>
  <c r="F9286" i="4"/>
  <c r="F9288" i="4"/>
  <c r="F9290" i="4"/>
  <c r="F9292" i="4"/>
  <c r="F9294" i="4"/>
  <c r="F9296" i="4"/>
  <c r="F9298" i="4"/>
  <c r="F9300" i="4"/>
  <c r="F9302" i="4"/>
  <c r="F9304" i="4"/>
  <c r="F9306" i="4"/>
  <c r="F9308" i="4"/>
  <c r="F9310" i="4"/>
  <c r="F9312" i="4"/>
  <c r="F9314" i="4"/>
  <c r="F9316" i="4"/>
  <c r="F9318" i="4"/>
  <c r="F9320" i="4"/>
  <c r="F9322" i="4"/>
  <c r="F9324" i="4"/>
  <c r="F9326" i="4"/>
  <c r="F9328" i="4"/>
  <c r="F9330" i="4"/>
  <c r="F9332" i="4"/>
  <c r="F9334" i="4"/>
  <c r="F9336" i="4"/>
  <c r="F9338" i="4"/>
  <c r="F9340" i="4"/>
  <c r="F9342" i="4"/>
  <c r="F9344" i="4"/>
  <c r="F9346" i="4"/>
  <c r="F9348" i="4"/>
  <c r="F9350" i="4"/>
  <c r="F9352" i="4"/>
  <c r="F9354" i="4"/>
  <c r="F9356" i="4"/>
  <c r="F9358" i="4"/>
  <c r="F9360" i="4"/>
  <c r="F9362" i="4"/>
  <c r="F9364" i="4"/>
  <c r="F9366" i="4"/>
  <c r="F9368" i="4"/>
  <c r="F9370" i="4"/>
  <c r="F9372" i="4"/>
  <c r="F9374" i="4"/>
  <c r="F9376" i="4"/>
  <c r="F9378" i="4"/>
  <c r="F9380" i="4"/>
  <c r="F9382" i="4"/>
  <c r="F9384" i="4"/>
  <c r="F9386" i="4"/>
  <c r="F9388" i="4"/>
  <c r="F9390" i="4"/>
  <c r="F9392" i="4"/>
  <c r="F9394" i="4"/>
  <c r="F9396" i="4"/>
  <c r="F9398" i="4"/>
  <c r="F9400" i="4"/>
  <c r="F9402" i="4"/>
  <c r="F9404" i="4"/>
  <c r="F9406" i="4"/>
  <c r="F9408" i="4"/>
  <c r="F9410" i="4"/>
  <c r="F9412" i="4"/>
  <c r="F9414" i="4"/>
  <c r="F9416" i="4"/>
  <c r="F9418" i="4"/>
  <c r="F9420" i="4"/>
  <c r="F9422" i="4"/>
  <c r="F9424" i="4"/>
  <c r="F9426" i="4"/>
  <c r="F9428" i="4"/>
  <c r="F9430" i="4"/>
  <c r="F9432" i="4"/>
  <c r="F9434" i="4"/>
  <c r="F9436" i="4"/>
  <c r="F9438" i="4"/>
  <c r="F9440" i="4"/>
  <c r="F9442" i="4"/>
  <c r="F9444" i="4"/>
  <c r="F9446" i="4"/>
  <c r="F9448" i="4"/>
  <c r="F9450" i="4"/>
  <c r="F9452" i="4"/>
  <c r="F9454" i="4"/>
  <c r="F9456" i="4"/>
  <c r="F9458" i="4"/>
  <c r="F9460" i="4"/>
  <c r="F9462" i="4"/>
  <c r="F9464" i="4"/>
  <c r="F9466" i="4"/>
  <c r="F9468" i="4"/>
  <c r="F9470" i="4"/>
  <c r="F9472" i="4"/>
  <c r="F9474" i="4"/>
  <c r="F9476" i="4"/>
  <c r="F9478" i="4"/>
  <c r="F9480" i="4"/>
  <c r="F9482" i="4"/>
  <c r="F9484" i="4"/>
  <c r="F9486" i="4"/>
  <c r="F9488" i="4"/>
  <c r="F9490" i="4"/>
  <c r="F9492" i="4"/>
  <c r="F9494" i="4"/>
  <c r="F9496" i="4"/>
  <c r="F9498" i="4"/>
  <c r="F9500" i="4"/>
  <c r="F9502" i="4"/>
  <c r="F9504" i="4"/>
  <c r="F9506" i="4"/>
  <c r="F9508" i="4"/>
  <c r="F9510" i="4"/>
  <c r="F9512" i="4"/>
  <c r="F9514" i="4"/>
  <c r="F9516" i="4"/>
  <c r="F9518" i="4"/>
  <c r="F9520" i="4"/>
  <c r="F9522" i="4"/>
  <c r="F9524" i="4"/>
  <c r="F9526" i="4"/>
  <c r="F9528" i="4"/>
  <c r="F9530" i="4"/>
  <c r="F9532" i="4"/>
  <c r="F9534" i="4"/>
  <c r="F9536" i="4"/>
  <c r="F9538" i="4"/>
  <c r="F9540" i="4"/>
  <c r="F9542" i="4"/>
  <c r="F9544" i="4"/>
  <c r="F9546" i="4"/>
  <c r="F9548" i="4"/>
  <c r="F9550" i="4"/>
  <c r="F9552" i="4"/>
  <c r="F9554" i="4"/>
  <c r="F9556" i="4"/>
  <c r="F9558" i="4"/>
  <c r="F9560" i="4"/>
  <c r="F9562" i="4"/>
  <c r="F9564" i="4"/>
  <c r="F9566" i="4"/>
  <c r="F9568" i="4"/>
  <c r="F9570" i="4"/>
  <c r="F9572" i="4"/>
  <c r="F9574" i="4"/>
  <c r="F9576" i="4"/>
  <c r="F9578" i="4"/>
  <c r="F9580" i="4"/>
  <c r="F9582" i="4"/>
  <c r="F9584" i="4"/>
  <c r="F9586" i="4"/>
  <c r="F9588" i="4"/>
  <c r="F9590" i="4"/>
  <c r="F9592" i="4"/>
  <c r="F9594" i="4"/>
  <c r="F9596" i="4"/>
  <c r="F9598" i="4"/>
  <c r="F9600" i="4"/>
  <c r="F9602" i="4"/>
  <c r="F9604" i="4"/>
  <c r="F9606" i="4"/>
  <c r="F9608" i="4"/>
  <c r="F9610" i="4"/>
  <c r="F9612" i="4"/>
  <c r="F9614" i="4"/>
  <c r="F9616" i="4"/>
  <c r="F9618" i="4"/>
  <c r="F8911" i="4"/>
  <c r="F8919" i="4"/>
  <c r="F8927" i="4"/>
  <c r="F8935" i="4"/>
  <c r="F8943" i="4"/>
  <c r="F8951" i="4"/>
  <c r="F8959" i="4"/>
  <c r="F8967" i="4"/>
  <c r="F8972" i="4"/>
  <c r="E8975" i="4"/>
  <c r="E8977" i="4"/>
  <c r="E8979" i="4"/>
  <c r="E8981" i="4"/>
  <c r="E8983" i="4"/>
  <c r="E8985" i="4"/>
  <c r="E8987" i="4"/>
  <c r="E8989" i="4"/>
  <c r="E8991" i="4"/>
  <c r="E8993" i="4"/>
  <c r="E8995" i="4"/>
  <c r="E8997" i="4"/>
  <c r="E8999" i="4"/>
  <c r="E9001" i="4"/>
  <c r="E9003" i="4"/>
  <c r="E9005" i="4"/>
  <c r="E9007" i="4"/>
  <c r="E9009" i="4"/>
  <c r="E9011" i="4"/>
  <c r="E9013" i="4"/>
  <c r="E9015" i="4"/>
  <c r="E9017" i="4"/>
  <c r="E9019" i="4"/>
  <c r="E9021" i="4"/>
  <c r="E9023" i="4"/>
  <c r="E9025" i="4"/>
  <c r="E9027" i="4"/>
  <c r="E9029" i="4"/>
  <c r="E9031" i="4"/>
  <c r="E9033" i="4"/>
  <c r="E9035" i="4"/>
  <c r="E9037" i="4"/>
  <c r="E9039" i="4"/>
  <c r="E9041" i="4"/>
  <c r="E9043" i="4"/>
  <c r="E9045" i="4"/>
  <c r="E9047" i="4"/>
  <c r="E9049" i="4"/>
  <c r="E9051" i="4"/>
  <c r="E9053" i="4"/>
  <c r="E9055" i="4"/>
  <c r="E9057" i="4"/>
  <c r="E9059" i="4"/>
  <c r="E9061" i="4"/>
  <c r="E9063" i="4"/>
  <c r="E9065" i="4"/>
  <c r="E9067" i="4"/>
  <c r="E9069" i="4"/>
  <c r="E9071" i="4"/>
  <c r="E9073" i="4"/>
  <c r="E9075" i="4"/>
  <c r="E9077" i="4"/>
  <c r="E9079" i="4"/>
  <c r="E9081" i="4"/>
  <c r="E9083" i="4"/>
  <c r="E9085" i="4"/>
  <c r="E9087" i="4"/>
  <c r="E9089" i="4"/>
  <c r="E9091" i="4"/>
  <c r="E9093" i="4"/>
  <c r="E9095" i="4"/>
  <c r="E9097" i="4"/>
  <c r="E9099" i="4"/>
  <c r="E9101" i="4"/>
  <c r="E9103" i="4"/>
  <c r="E9105" i="4"/>
  <c r="E9107" i="4"/>
  <c r="E9109" i="4"/>
  <c r="E9111" i="4"/>
  <c r="E9113" i="4"/>
  <c r="E9115" i="4"/>
  <c r="E9117" i="4"/>
  <c r="E9119" i="4"/>
  <c r="E9121" i="4"/>
  <c r="E9123" i="4"/>
  <c r="E9125" i="4"/>
  <c r="E9127" i="4"/>
  <c r="E9129" i="4"/>
  <c r="E9131" i="4"/>
  <c r="E9133" i="4"/>
  <c r="E9135" i="4"/>
  <c r="E9137" i="4"/>
  <c r="E9139" i="4"/>
  <c r="E9141" i="4"/>
  <c r="E9143" i="4"/>
  <c r="E9145" i="4"/>
  <c r="E9147" i="4"/>
  <c r="E9149" i="4"/>
  <c r="E9151" i="4"/>
  <c r="E9153" i="4"/>
  <c r="E9155" i="4"/>
  <c r="E9157" i="4"/>
  <c r="E9159" i="4"/>
  <c r="E9161" i="4"/>
  <c r="E9163" i="4"/>
  <c r="E9165" i="4"/>
  <c r="E9167" i="4"/>
  <c r="E9169" i="4"/>
  <c r="E9171" i="4"/>
  <c r="E9173" i="4"/>
  <c r="E9175" i="4"/>
  <c r="E9177" i="4"/>
  <c r="E9179" i="4"/>
  <c r="E9181" i="4"/>
  <c r="E9183" i="4"/>
  <c r="E9185" i="4"/>
  <c r="E9187" i="4"/>
  <c r="E9189" i="4"/>
  <c r="E9191" i="4"/>
  <c r="E9193" i="4"/>
  <c r="E9195" i="4"/>
  <c r="E9197" i="4"/>
  <c r="E9199" i="4"/>
  <c r="E9201" i="4"/>
  <c r="E9203" i="4"/>
  <c r="E9205" i="4"/>
  <c r="E9207" i="4"/>
  <c r="E9209" i="4"/>
  <c r="E9211" i="4"/>
  <c r="E9213" i="4"/>
  <c r="E9215" i="4"/>
  <c r="E9217" i="4"/>
  <c r="E9219" i="4"/>
  <c r="E9221" i="4"/>
  <c r="E9223" i="4"/>
  <c r="E9225" i="4"/>
  <c r="E9227" i="4"/>
  <c r="E9229" i="4"/>
  <c r="E9231" i="4"/>
  <c r="E9233" i="4"/>
  <c r="E9235" i="4"/>
  <c r="E9237" i="4"/>
  <c r="E9239" i="4"/>
  <c r="E9241" i="4"/>
  <c r="E9243" i="4"/>
  <c r="E9245" i="4"/>
  <c r="E9247" i="4"/>
  <c r="E9249" i="4"/>
  <c r="E9251" i="4"/>
  <c r="E9253" i="4"/>
  <c r="E9255" i="4"/>
  <c r="E9257" i="4"/>
  <c r="E9259" i="4"/>
  <c r="E9261" i="4"/>
  <c r="E9263" i="4"/>
  <c r="E9265" i="4"/>
  <c r="E9267" i="4"/>
  <c r="E9269" i="4"/>
  <c r="E9271" i="4"/>
  <c r="E9273" i="4"/>
  <c r="E9275" i="4"/>
  <c r="E9277" i="4"/>
  <c r="E9279" i="4"/>
  <c r="E9281" i="4"/>
  <c r="E9283" i="4"/>
  <c r="E9285" i="4"/>
  <c r="E9287" i="4"/>
  <c r="E9289" i="4"/>
  <c r="E9291" i="4"/>
  <c r="E9293" i="4"/>
  <c r="E9295" i="4"/>
  <c r="E9297" i="4"/>
  <c r="E9299" i="4"/>
  <c r="E9301" i="4"/>
  <c r="E9303" i="4"/>
  <c r="E9305" i="4"/>
  <c r="E9307" i="4"/>
  <c r="E9309" i="4"/>
  <c r="E9311" i="4"/>
  <c r="E9313" i="4"/>
  <c r="E9315" i="4"/>
  <c r="E9317" i="4"/>
  <c r="E9319" i="4"/>
  <c r="E9321" i="4"/>
  <c r="E9323" i="4"/>
  <c r="E9325" i="4"/>
  <c r="E9327" i="4"/>
  <c r="E9329" i="4"/>
  <c r="E9331" i="4"/>
  <c r="E9333" i="4"/>
  <c r="E9335" i="4"/>
  <c r="E9337" i="4"/>
  <c r="E9339" i="4"/>
  <c r="E9341" i="4"/>
  <c r="E9343" i="4"/>
  <c r="E9345" i="4"/>
  <c r="E9347" i="4"/>
  <c r="E9349" i="4"/>
  <c r="E9351" i="4"/>
  <c r="E9353" i="4"/>
  <c r="E9355" i="4"/>
  <c r="E9357" i="4"/>
  <c r="E9359" i="4"/>
  <c r="E9361" i="4"/>
  <c r="E9363" i="4"/>
  <c r="E9365" i="4"/>
  <c r="E9367" i="4"/>
  <c r="E9369" i="4"/>
  <c r="E9371" i="4"/>
  <c r="E9373" i="4"/>
  <c r="E9375" i="4"/>
  <c r="E9377" i="4"/>
  <c r="E9379" i="4"/>
  <c r="E9381" i="4"/>
  <c r="E9383" i="4"/>
  <c r="E9385" i="4"/>
  <c r="E9387" i="4"/>
  <c r="E9389" i="4"/>
  <c r="E9391" i="4"/>
  <c r="E9393" i="4"/>
  <c r="E9395" i="4"/>
  <c r="E9397" i="4"/>
  <c r="E9399" i="4"/>
  <c r="E9401" i="4"/>
  <c r="E9403" i="4"/>
  <c r="E9405" i="4"/>
  <c r="E9407" i="4"/>
  <c r="E9409" i="4"/>
  <c r="E9411" i="4"/>
  <c r="E9413" i="4"/>
  <c r="E9415" i="4"/>
  <c r="E9417" i="4"/>
  <c r="E9419" i="4"/>
  <c r="E9421" i="4"/>
  <c r="E9423" i="4"/>
  <c r="E9425" i="4"/>
  <c r="E9427" i="4"/>
  <c r="E9429" i="4"/>
  <c r="E9431" i="4"/>
  <c r="E9433" i="4"/>
  <c r="E9435" i="4"/>
  <c r="E9437" i="4"/>
  <c r="E9439" i="4"/>
  <c r="E9441" i="4"/>
  <c r="E9443" i="4"/>
  <c r="E9445" i="4"/>
  <c r="E9447" i="4"/>
  <c r="E9449" i="4"/>
  <c r="E9451" i="4"/>
  <c r="E9453" i="4"/>
  <c r="E9455" i="4"/>
  <c r="E9457" i="4"/>
  <c r="E9459" i="4"/>
  <c r="E9461" i="4"/>
  <c r="E9463" i="4"/>
  <c r="E9465" i="4"/>
  <c r="E9467" i="4"/>
  <c r="E9469" i="4"/>
  <c r="E9471" i="4"/>
  <c r="E9473" i="4"/>
  <c r="E9475" i="4"/>
  <c r="E9477" i="4"/>
  <c r="E9479" i="4"/>
  <c r="E9481" i="4"/>
  <c r="E9483" i="4"/>
  <c r="E9485" i="4"/>
  <c r="E9487" i="4"/>
  <c r="E9489" i="4"/>
  <c r="E9491" i="4"/>
  <c r="E9493" i="4"/>
  <c r="E9495" i="4"/>
  <c r="E9497" i="4"/>
  <c r="E9499" i="4"/>
  <c r="E9501" i="4"/>
  <c r="E9503" i="4"/>
  <c r="E9505" i="4"/>
  <c r="E9507" i="4"/>
  <c r="E9509" i="4"/>
  <c r="E9511" i="4"/>
  <c r="E9513" i="4"/>
  <c r="E9515" i="4"/>
  <c r="E9517" i="4"/>
  <c r="E9519" i="4"/>
  <c r="E9521" i="4"/>
  <c r="E9523" i="4"/>
  <c r="E9525" i="4"/>
  <c r="E9527" i="4"/>
  <c r="E9529" i="4"/>
  <c r="E9531" i="4"/>
  <c r="E9533" i="4"/>
  <c r="E9535" i="4"/>
  <c r="E9537" i="4"/>
  <c r="E9539" i="4"/>
  <c r="E9541" i="4"/>
  <c r="E9543" i="4"/>
  <c r="E9545" i="4"/>
  <c r="E9547" i="4"/>
  <c r="E9549" i="4"/>
  <c r="E9551" i="4"/>
  <c r="E9553" i="4"/>
  <c r="E9555" i="4"/>
  <c r="E9557" i="4"/>
  <c r="E9559" i="4"/>
  <c r="E9561" i="4"/>
  <c r="E9563" i="4"/>
  <c r="E9565" i="4"/>
  <c r="E9567" i="4"/>
  <c r="E9569" i="4"/>
  <c r="E9571" i="4"/>
  <c r="E9573" i="4"/>
  <c r="E9575" i="4"/>
  <c r="E9577" i="4"/>
  <c r="E9579" i="4"/>
  <c r="E9581" i="4"/>
  <c r="E9583" i="4"/>
  <c r="E9585" i="4"/>
  <c r="E9587" i="4"/>
  <c r="E9589" i="4"/>
  <c r="E9591" i="4"/>
  <c r="E9593" i="4"/>
  <c r="E9595" i="4"/>
  <c r="E9597" i="4"/>
  <c r="E9599" i="4"/>
  <c r="E9601" i="4"/>
  <c r="E9603" i="4"/>
  <c r="E9605" i="4"/>
  <c r="E9607" i="4"/>
  <c r="E9609" i="4"/>
  <c r="E9611" i="4"/>
  <c r="E9613" i="4"/>
  <c r="E9615" i="4"/>
  <c r="E9617" i="4"/>
  <c r="F8913" i="4"/>
  <c r="F8921" i="4"/>
  <c r="F8929" i="4"/>
  <c r="F8937" i="4"/>
  <c r="F8945" i="4"/>
  <c r="F8953" i="4"/>
  <c r="F8961" i="4"/>
  <c r="F8969" i="4"/>
  <c r="F8973" i="4"/>
  <c r="F8975" i="4"/>
  <c r="F8977" i="4"/>
  <c r="F8979" i="4"/>
  <c r="F8981" i="4"/>
  <c r="F8983" i="4"/>
  <c r="F8985" i="4"/>
  <c r="F8987" i="4"/>
  <c r="F8989" i="4"/>
  <c r="F8991" i="4"/>
  <c r="F8993" i="4"/>
  <c r="F8995" i="4"/>
  <c r="F8997" i="4"/>
  <c r="F8999" i="4"/>
  <c r="F9001" i="4"/>
  <c r="F9003" i="4"/>
  <c r="F9005" i="4"/>
  <c r="F9007" i="4"/>
  <c r="F9009" i="4"/>
  <c r="F9011" i="4"/>
  <c r="F9013" i="4"/>
  <c r="F9015" i="4"/>
  <c r="F9017" i="4"/>
  <c r="F9019" i="4"/>
  <c r="F9021" i="4"/>
  <c r="F9023" i="4"/>
  <c r="F9025" i="4"/>
  <c r="F9027" i="4"/>
  <c r="F9029" i="4"/>
  <c r="F9031" i="4"/>
  <c r="F9033" i="4"/>
  <c r="F9035" i="4"/>
  <c r="F9037" i="4"/>
  <c r="F9039" i="4"/>
  <c r="F9041" i="4"/>
  <c r="F9043" i="4"/>
  <c r="F9045" i="4"/>
  <c r="F9047" i="4"/>
  <c r="F9049" i="4"/>
  <c r="F9051" i="4"/>
  <c r="F9053" i="4"/>
  <c r="F9055" i="4"/>
  <c r="F9057" i="4"/>
  <c r="F9059" i="4"/>
  <c r="F9061" i="4"/>
  <c r="F9063" i="4"/>
  <c r="F9065" i="4"/>
  <c r="F9067" i="4"/>
  <c r="F9069" i="4"/>
  <c r="F9071" i="4"/>
  <c r="F9073" i="4"/>
  <c r="F9075" i="4"/>
  <c r="F9077" i="4"/>
  <c r="F9079" i="4"/>
  <c r="F9081" i="4"/>
  <c r="F9083" i="4"/>
  <c r="F9085" i="4"/>
  <c r="F9087" i="4"/>
  <c r="F9089" i="4"/>
  <c r="F9091" i="4"/>
  <c r="F9093" i="4"/>
  <c r="F9095" i="4"/>
  <c r="F9097" i="4"/>
  <c r="F9099" i="4"/>
  <c r="F9101" i="4"/>
  <c r="F9103" i="4"/>
  <c r="F9105" i="4"/>
  <c r="F9107" i="4"/>
  <c r="F9109" i="4"/>
  <c r="F9111" i="4"/>
  <c r="F9113" i="4"/>
  <c r="F9115" i="4"/>
  <c r="F9117" i="4"/>
  <c r="F9119" i="4"/>
  <c r="F9121" i="4"/>
  <c r="F9123" i="4"/>
  <c r="F9125" i="4"/>
  <c r="F9127" i="4"/>
  <c r="F9129" i="4"/>
  <c r="F9131" i="4"/>
  <c r="F9133" i="4"/>
  <c r="F9135" i="4"/>
  <c r="F9137" i="4"/>
  <c r="F9139" i="4"/>
  <c r="F9141" i="4"/>
  <c r="F9143" i="4"/>
  <c r="F9145" i="4"/>
  <c r="F9147" i="4"/>
  <c r="F9149" i="4"/>
  <c r="F9151" i="4"/>
  <c r="F9153" i="4"/>
  <c r="F9155" i="4"/>
  <c r="F9157" i="4"/>
  <c r="F9159" i="4"/>
  <c r="F9161" i="4"/>
  <c r="F9163" i="4"/>
  <c r="F9165" i="4"/>
  <c r="F9167" i="4"/>
  <c r="F9169" i="4"/>
  <c r="F9171" i="4"/>
  <c r="F9173" i="4"/>
  <c r="F9175" i="4"/>
  <c r="F9177" i="4"/>
  <c r="F9179" i="4"/>
  <c r="F9181" i="4"/>
  <c r="F9183" i="4"/>
  <c r="F9185" i="4"/>
  <c r="F9187" i="4"/>
  <c r="F9189" i="4"/>
  <c r="F9191" i="4"/>
  <c r="F9193" i="4"/>
  <c r="F9195" i="4"/>
  <c r="F9197" i="4"/>
  <c r="F9199" i="4"/>
  <c r="F9201" i="4"/>
  <c r="F9203" i="4"/>
  <c r="F9205" i="4"/>
  <c r="F9207" i="4"/>
  <c r="F9209" i="4"/>
  <c r="F9211" i="4"/>
  <c r="F9213" i="4"/>
  <c r="F9215" i="4"/>
  <c r="F9217" i="4"/>
  <c r="F9219" i="4"/>
  <c r="F9221" i="4"/>
  <c r="F9223" i="4"/>
  <c r="F9225" i="4"/>
  <c r="F9227" i="4"/>
  <c r="F9229" i="4"/>
  <c r="F9231" i="4"/>
  <c r="F9233" i="4"/>
  <c r="F9235" i="4"/>
  <c r="F9237" i="4"/>
  <c r="F9239" i="4"/>
  <c r="F9241" i="4"/>
  <c r="F9243" i="4"/>
  <c r="F9245" i="4"/>
  <c r="F9247" i="4"/>
  <c r="F9249" i="4"/>
  <c r="F9251" i="4"/>
  <c r="F9253" i="4"/>
  <c r="F9255" i="4"/>
  <c r="F9257" i="4"/>
  <c r="F9259" i="4"/>
  <c r="F9261" i="4"/>
  <c r="F9263" i="4"/>
  <c r="F9265" i="4"/>
  <c r="F9267" i="4"/>
  <c r="F9269" i="4"/>
  <c r="F9271" i="4"/>
  <c r="F9273" i="4"/>
  <c r="F9275" i="4"/>
  <c r="F9277" i="4"/>
  <c r="F9279" i="4"/>
  <c r="F9281" i="4"/>
  <c r="F9283" i="4"/>
  <c r="F9285" i="4"/>
  <c r="F9287" i="4"/>
  <c r="F9289" i="4"/>
  <c r="F9291" i="4"/>
  <c r="F9293" i="4"/>
  <c r="F9295" i="4"/>
  <c r="F9297" i="4"/>
  <c r="F9299" i="4"/>
  <c r="F9301" i="4"/>
  <c r="F9303" i="4"/>
  <c r="F9305" i="4"/>
  <c r="F9307" i="4"/>
  <c r="F9309" i="4"/>
  <c r="F9311" i="4"/>
  <c r="F9313" i="4"/>
  <c r="F9315" i="4"/>
  <c r="F9317" i="4"/>
  <c r="F9319" i="4"/>
  <c r="F9321" i="4"/>
  <c r="F9323" i="4"/>
  <c r="F9325" i="4"/>
  <c r="F9327" i="4"/>
  <c r="F9329" i="4"/>
  <c r="F9331" i="4"/>
  <c r="F9333" i="4"/>
  <c r="F9335" i="4"/>
  <c r="F9337" i="4"/>
  <c r="F9339" i="4"/>
  <c r="F9341" i="4"/>
  <c r="F9343" i="4"/>
  <c r="F9345" i="4"/>
  <c r="F9347" i="4"/>
  <c r="F9349" i="4"/>
  <c r="F9351" i="4"/>
  <c r="F9353" i="4"/>
  <c r="F9355" i="4"/>
  <c r="F9357" i="4"/>
  <c r="F9359" i="4"/>
  <c r="F9361" i="4"/>
  <c r="F9363" i="4"/>
  <c r="F9365" i="4"/>
  <c r="F9367" i="4"/>
  <c r="F9369" i="4"/>
  <c r="F9371" i="4"/>
  <c r="F9373" i="4"/>
  <c r="F9375" i="4"/>
  <c r="F9377" i="4"/>
  <c r="F9379" i="4"/>
  <c r="F9381" i="4"/>
  <c r="F9383" i="4"/>
  <c r="F9385" i="4"/>
  <c r="F9387" i="4"/>
  <c r="F9389" i="4"/>
  <c r="F9391" i="4"/>
  <c r="F9393" i="4"/>
  <c r="F9395" i="4"/>
  <c r="F9397" i="4"/>
  <c r="F9399" i="4"/>
  <c r="F9401" i="4"/>
  <c r="F9403" i="4"/>
  <c r="F9405" i="4"/>
  <c r="F9407" i="4"/>
  <c r="F9409" i="4"/>
  <c r="F9411" i="4"/>
  <c r="F9413" i="4"/>
  <c r="F9415" i="4"/>
  <c r="F9417" i="4"/>
  <c r="F9419" i="4"/>
  <c r="F9421" i="4"/>
  <c r="F9423" i="4"/>
  <c r="F9425" i="4"/>
  <c r="F9427" i="4"/>
  <c r="F9429" i="4"/>
  <c r="F9431" i="4"/>
  <c r="F9433" i="4"/>
  <c r="F9435" i="4"/>
  <c r="F9437" i="4"/>
  <c r="F9439" i="4"/>
  <c r="F9441" i="4"/>
  <c r="F9443" i="4"/>
  <c r="F9445" i="4"/>
  <c r="F9447" i="4"/>
  <c r="F9449" i="4"/>
  <c r="F9451" i="4"/>
  <c r="F9453" i="4"/>
  <c r="F9455" i="4"/>
  <c r="F9457" i="4"/>
  <c r="F9459" i="4"/>
  <c r="F9461" i="4"/>
  <c r="F9463" i="4"/>
  <c r="F9465" i="4"/>
  <c r="F9467" i="4"/>
  <c r="F9469" i="4"/>
  <c r="F9471" i="4"/>
  <c r="F9473" i="4"/>
  <c r="F9475" i="4"/>
  <c r="F9477" i="4"/>
  <c r="F9479" i="4"/>
  <c r="F9481" i="4"/>
  <c r="F9483" i="4"/>
  <c r="F9485" i="4"/>
  <c r="F9487" i="4"/>
  <c r="F9489" i="4"/>
  <c r="F9491" i="4"/>
  <c r="F9493" i="4"/>
  <c r="F9495" i="4"/>
  <c r="F9497" i="4"/>
  <c r="F9499" i="4"/>
  <c r="F9501" i="4"/>
  <c r="F9503" i="4"/>
  <c r="F9505" i="4"/>
  <c r="F9507" i="4"/>
  <c r="F9509" i="4"/>
  <c r="F9511" i="4"/>
  <c r="F9513" i="4"/>
  <c r="F9515" i="4"/>
  <c r="F9517" i="4"/>
  <c r="F9519" i="4"/>
  <c r="F9521" i="4"/>
  <c r="F9523" i="4"/>
  <c r="F9525" i="4"/>
  <c r="F9527" i="4"/>
  <c r="F9529" i="4"/>
  <c r="F9531" i="4"/>
  <c r="F9533" i="4"/>
  <c r="F9535" i="4"/>
  <c r="F9537" i="4"/>
  <c r="F9539" i="4"/>
  <c r="F9541" i="4"/>
  <c r="F9543" i="4"/>
  <c r="F9545" i="4"/>
  <c r="F9547" i="4"/>
  <c r="F9549" i="4"/>
  <c r="F9551" i="4"/>
  <c r="F9553" i="4"/>
  <c r="F9555" i="4"/>
  <c r="F9557" i="4"/>
  <c r="F9559" i="4"/>
  <c r="F9561" i="4"/>
  <c r="F9563" i="4"/>
  <c r="F9565" i="4"/>
  <c r="F9567" i="4"/>
  <c r="F9569" i="4"/>
  <c r="F9571" i="4"/>
  <c r="F9573" i="4"/>
  <c r="F9575" i="4"/>
  <c r="F9577" i="4"/>
  <c r="F9579" i="4"/>
  <c r="F9581" i="4"/>
  <c r="F9583" i="4"/>
  <c r="F9585" i="4"/>
  <c r="F9587" i="4"/>
  <c r="F9589" i="4"/>
  <c r="F9591" i="4"/>
  <c r="F9593" i="4"/>
  <c r="F9595" i="4"/>
  <c r="F9597" i="4"/>
  <c r="F9599" i="4"/>
  <c r="F9601" i="4"/>
  <c r="F9603" i="4"/>
  <c r="F9605" i="4"/>
  <c r="F9607" i="4"/>
  <c r="F9609" i="4"/>
  <c r="F9611" i="4"/>
  <c r="F9613" i="4"/>
  <c r="F9615" i="4"/>
  <c r="F9617" i="4"/>
  <c r="C4920" i="4"/>
  <c r="F8907" i="4"/>
  <c r="F8915" i="4"/>
  <c r="F8923" i="4"/>
  <c r="F8931" i="4"/>
  <c r="F8939" i="4"/>
  <c r="F8947" i="4"/>
  <c r="F8955" i="4"/>
  <c r="F8963" i="4"/>
  <c r="F8971" i="4"/>
  <c r="E8974" i="4"/>
  <c r="E8976" i="4"/>
  <c r="E8978" i="4"/>
  <c r="E8980" i="4"/>
  <c r="E8982" i="4"/>
  <c r="E8984" i="4"/>
  <c r="E8986" i="4"/>
  <c r="E8988" i="4"/>
  <c r="E8990" i="4"/>
  <c r="E8992" i="4"/>
  <c r="E8994" i="4"/>
  <c r="E8996" i="4"/>
  <c r="E8998" i="4"/>
  <c r="E9000" i="4"/>
  <c r="E9002" i="4"/>
  <c r="E9004" i="4"/>
  <c r="E9006" i="4"/>
  <c r="E9008" i="4"/>
  <c r="E9010" i="4"/>
  <c r="E9012" i="4"/>
  <c r="E9014" i="4"/>
  <c r="E9016" i="4"/>
  <c r="E9018" i="4"/>
  <c r="E9020" i="4"/>
  <c r="E9022" i="4"/>
  <c r="E9024" i="4"/>
  <c r="E9026" i="4"/>
  <c r="E9028" i="4"/>
  <c r="E9030" i="4"/>
  <c r="E9032" i="4"/>
  <c r="E9034" i="4"/>
  <c r="E9036" i="4"/>
  <c r="E9038" i="4"/>
  <c r="E9040" i="4"/>
  <c r="E9042" i="4"/>
  <c r="E9044" i="4"/>
  <c r="E9046" i="4"/>
  <c r="E9048" i="4"/>
  <c r="E9050" i="4"/>
  <c r="E9052" i="4"/>
  <c r="E9054" i="4"/>
  <c r="E9056" i="4"/>
  <c r="E9058" i="4"/>
  <c r="E9060" i="4"/>
  <c r="E9062" i="4"/>
  <c r="E9064" i="4"/>
  <c r="E9066" i="4"/>
  <c r="E9068" i="4"/>
  <c r="E9070" i="4"/>
  <c r="E9072" i="4"/>
  <c r="E9074" i="4"/>
  <c r="E9076" i="4"/>
  <c r="E9078" i="4"/>
  <c r="E9080" i="4"/>
  <c r="E9082" i="4"/>
  <c r="E9084" i="4"/>
  <c r="E9086" i="4"/>
  <c r="E9088" i="4"/>
  <c r="E9090" i="4"/>
  <c r="E9092" i="4"/>
  <c r="E9094" i="4"/>
  <c r="E9096" i="4"/>
  <c r="E9098" i="4"/>
  <c r="E9100" i="4"/>
  <c r="E9102" i="4"/>
  <c r="E9104" i="4"/>
  <c r="E9106" i="4"/>
  <c r="E9108" i="4"/>
  <c r="E9110" i="4"/>
  <c r="E9112" i="4"/>
  <c r="E9114" i="4"/>
  <c r="E9116" i="4"/>
  <c r="E9118" i="4"/>
  <c r="E9120" i="4"/>
  <c r="E9122" i="4"/>
  <c r="E9124" i="4"/>
  <c r="E9126" i="4"/>
  <c r="E9128" i="4"/>
  <c r="E9130" i="4"/>
  <c r="E9132" i="4"/>
  <c r="E9134" i="4"/>
  <c r="E9136" i="4"/>
  <c r="E9138" i="4"/>
  <c r="E9140" i="4"/>
  <c r="E9142" i="4"/>
  <c r="E9144" i="4"/>
  <c r="E9146" i="4"/>
  <c r="E9148" i="4"/>
  <c r="E9150" i="4"/>
  <c r="E9152" i="4"/>
  <c r="E9154" i="4"/>
  <c r="E9156" i="4"/>
  <c r="E9158" i="4"/>
  <c r="E9160" i="4"/>
  <c r="E9162" i="4"/>
  <c r="E9164" i="4"/>
  <c r="E9166" i="4"/>
  <c r="E9168" i="4"/>
  <c r="E9170" i="4"/>
  <c r="E9172" i="4"/>
  <c r="E9174" i="4"/>
  <c r="E9176" i="4"/>
  <c r="E9178" i="4"/>
  <c r="E9180" i="4"/>
  <c r="E9182" i="4"/>
  <c r="E9184" i="4"/>
  <c r="E9186" i="4"/>
  <c r="E9188" i="4"/>
  <c r="E9190" i="4"/>
  <c r="E9192" i="4"/>
  <c r="E9194" i="4"/>
  <c r="E9196" i="4"/>
  <c r="E9198" i="4"/>
  <c r="E9200" i="4"/>
  <c r="E9202" i="4"/>
  <c r="E9204" i="4"/>
  <c r="E9206" i="4"/>
  <c r="E9208" i="4"/>
  <c r="E9210" i="4"/>
  <c r="E9212" i="4"/>
  <c r="E9214" i="4"/>
  <c r="E9216" i="4"/>
  <c r="E9218" i="4"/>
  <c r="E9220" i="4"/>
  <c r="E9222" i="4"/>
  <c r="E9224" i="4"/>
  <c r="E9226" i="4"/>
  <c r="E9228" i="4"/>
  <c r="E9230" i="4"/>
  <c r="E9232" i="4"/>
  <c r="E9234" i="4"/>
  <c r="E9236" i="4"/>
  <c r="E9238" i="4"/>
  <c r="E9240" i="4"/>
  <c r="E9242" i="4"/>
  <c r="E9244" i="4"/>
  <c r="E9246" i="4"/>
  <c r="E9248" i="4"/>
  <c r="E9250" i="4"/>
  <c r="E9252" i="4"/>
  <c r="E9254" i="4"/>
  <c r="E9256" i="4"/>
  <c r="E9258" i="4"/>
  <c r="E9260" i="4"/>
  <c r="E9262" i="4"/>
  <c r="E9264" i="4"/>
  <c r="E9266" i="4"/>
  <c r="E9268" i="4"/>
  <c r="E9270" i="4"/>
  <c r="E9272" i="4"/>
  <c r="E9274" i="4"/>
  <c r="E9276" i="4"/>
  <c r="E9278" i="4"/>
  <c r="E9280" i="4"/>
  <c r="E9282" i="4"/>
  <c r="E9284" i="4"/>
  <c r="E9286" i="4"/>
  <c r="E9288" i="4"/>
  <c r="E9290" i="4"/>
  <c r="E9292" i="4"/>
  <c r="E9294" i="4"/>
  <c r="E9296" i="4"/>
  <c r="E9298" i="4"/>
  <c r="E9300" i="4"/>
  <c r="E9302" i="4"/>
  <c r="E9304" i="4"/>
  <c r="E9306" i="4"/>
  <c r="E9308" i="4"/>
  <c r="E9310" i="4"/>
  <c r="E9312" i="4"/>
  <c r="E9314" i="4"/>
  <c r="E9316" i="4"/>
  <c r="E9318" i="4"/>
  <c r="E9320" i="4"/>
  <c r="E9322" i="4"/>
  <c r="E9324" i="4"/>
  <c r="E9326" i="4"/>
  <c r="E9328" i="4"/>
  <c r="E9330" i="4"/>
  <c r="E9332" i="4"/>
  <c r="E9334" i="4"/>
  <c r="E9336" i="4"/>
  <c r="E9338" i="4"/>
  <c r="E9340" i="4"/>
  <c r="E9342" i="4"/>
  <c r="E9344" i="4"/>
  <c r="E9346" i="4"/>
  <c r="E9348" i="4"/>
  <c r="E9350" i="4"/>
  <c r="E9352" i="4"/>
  <c r="E9354" i="4"/>
  <c r="E9356" i="4"/>
  <c r="E9358" i="4"/>
  <c r="E9360" i="4"/>
  <c r="E9362" i="4"/>
  <c r="E9364" i="4"/>
  <c r="E9366" i="4"/>
  <c r="E9368" i="4"/>
  <c r="E9370" i="4"/>
  <c r="E9372" i="4"/>
  <c r="E9374" i="4"/>
  <c r="E9376" i="4"/>
  <c r="E9378" i="4"/>
  <c r="E9380" i="4"/>
  <c r="E9382" i="4"/>
  <c r="E9384" i="4"/>
  <c r="E9386" i="4"/>
  <c r="E9388" i="4"/>
  <c r="E9390" i="4"/>
  <c r="E9392" i="4"/>
  <c r="E9394" i="4"/>
  <c r="E9396" i="4"/>
  <c r="E9398" i="4"/>
  <c r="E9400" i="4"/>
  <c r="E9402" i="4"/>
  <c r="E9404" i="4"/>
  <c r="E9406" i="4"/>
  <c r="E9408" i="4"/>
  <c r="E9410" i="4"/>
  <c r="E9412" i="4"/>
  <c r="E9414" i="4"/>
  <c r="E9416" i="4"/>
  <c r="E9418" i="4"/>
  <c r="E9420" i="4"/>
  <c r="E9422" i="4"/>
  <c r="E9424" i="4"/>
  <c r="E9426" i="4"/>
  <c r="E9428" i="4"/>
  <c r="E9430" i="4"/>
  <c r="E9432" i="4"/>
  <c r="E9434" i="4"/>
  <c r="E9436" i="4"/>
  <c r="E9438" i="4"/>
  <c r="E9440" i="4"/>
  <c r="E9442" i="4"/>
  <c r="E9444" i="4"/>
  <c r="E9446" i="4"/>
  <c r="E9448" i="4"/>
  <c r="E9450" i="4"/>
  <c r="E9452" i="4"/>
  <c r="E9454" i="4"/>
  <c r="E9456" i="4"/>
  <c r="E9458" i="4"/>
  <c r="E9460" i="4"/>
  <c r="E9462" i="4"/>
  <c r="E9464" i="4"/>
  <c r="E9466" i="4"/>
  <c r="E9468" i="4"/>
  <c r="E9470" i="4"/>
  <c r="E9472" i="4"/>
  <c r="E9474" i="4"/>
  <c r="E9476" i="4"/>
  <c r="E9478" i="4"/>
  <c r="E9480" i="4"/>
  <c r="E9482" i="4"/>
  <c r="E9484" i="4"/>
  <c r="E9486" i="4"/>
  <c r="E9488" i="4"/>
  <c r="E9490" i="4"/>
  <c r="E9492" i="4"/>
  <c r="E9494" i="4"/>
  <c r="E9496" i="4"/>
  <c r="E9498" i="4"/>
  <c r="E9500" i="4"/>
  <c r="E9502" i="4"/>
  <c r="E9504" i="4"/>
  <c r="E9506" i="4"/>
  <c r="E9508" i="4"/>
  <c r="E9510" i="4"/>
  <c r="E9512" i="4"/>
  <c r="E9514" i="4"/>
  <c r="E9516" i="4"/>
  <c r="E9518" i="4"/>
  <c r="E9520" i="4"/>
  <c r="E9522" i="4"/>
  <c r="E9524" i="4"/>
  <c r="E9526" i="4"/>
  <c r="E9528" i="4"/>
  <c r="E9530" i="4"/>
  <c r="E9532" i="4"/>
  <c r="E9534" i="4"/>
  <c r="E9536" i="4"/>
  <c r="E9538" i="4"/>
  <c r="E9540" i="4"/>
  <c r="E9542" i="4"/>
  <c r="E9544" i="4"/>
  <c r="E9546" i="4"/>
  <c r="E9548" i="4"/>
  <c r="E9550" i="4"/>
  <c r="E9552" i="4"/>
  <c r="E9554" i="4"/>
  <c r="E9556" i="4"/>
  <c r="E9558" i="4"/>
  <c r="E9560" i="4"/>
  <c r="E9562" i="4"/>
  <c r="E9564" i="4"/>
  <c r="E9566" i="4"/>
  <c r="E9568" i="4"/>
  <c r="E9570" i="4"/>
  <c r="E9572" i="4"/>
  <c r="E9574" i="4"/>
  <c r="E9576" i="4"/>
  <c r="E9578" i="4"/>
  <c r="E9580" i="4"/>
  <c r="E9582" i="4"/>
  <c r="E9584" i="4"/>
  <c r="E9586" i="4"/>
  <c r="E9588" i="4"/>
  <c r="E9590" i="4"/>
  <c r="E9592" i="4"/>
  <c r="E9594" i="4"/>
  <c r="E9596" i="4"/>
  <c r="E9598" i="4"/>
  <c r="E9600" i="4"/>
  <c r="E9602" i="4"/>
  <c r="E9604" i="4"/>
  <c r="E9606" i="4"/>
  <c r="E9608" i="4"/>
  <c r="E9610" i="4"/>
  <c r="E9612" i="4"/>
  <c r="E9614" i="4"/>
  <c r="E9616" i="4"/>
  <c r="E9618" i="4"/>
  <c r="C4927" i="4"/>
  <c r="F4756" i="4"/>
  <c r="E4908" i="4"/>
  <c r="F4908" i="4"/>
  <c r="E4756" i="4"/>
  <c r="F4939" i="4"/>
  <c r="C4765" i="4"/>
  <c r="E4939" i="4"/>
  <c r="C3755" i="4"/>
  <c r="F3755" i="4" s="1"/>
  <c r="F4094" i="4"/>
  <c r="F4080" i="4"/>
  <c r="E4080" i="4"/>
  <c r="C3516" i="4"/>
  <c r="E3516" i="4" s="1"/>
  <c r="E4094" i="4"/>
  <c r="G4094" i="4" s="1"/>
  <c r="C4417" i="4"/>
  <c r="C4437" i="4"/>
  <c r="F5214" i="4"/>
  <c r="G5214" i="4" s="1"/>
  <c r="F5774" i="4"/>
  <c r="G5774" i="4" s="1"/>
  <c r="F4602" i="4"/>
  <c r="G4602" i="4" s="1"/>
  <c r="C5157" i="4"/>
  <c r="C5076" i="4"/>
  <c r="C5019" i="4"/>
  <c r="F5424" i="4"/>
  <c r="G5424" i="4" s="1"/>
  <c r="F5442" i="4"/>
  <c r="G5442" i="4" s="1"/>
  <c r="F5006" i="4"/>
  <c r="G5006" i="4" s="1"/>
  <c r="F4975" i="4"/>
  <c r="G4975" i="4" s="1"/>
  <c r="F4857" i="4"/>
  <c r="G4857" i="4" s="1"/>
  <c r="F4931" i="4"/>
  <c r="G4931" i="4" s="1"/>
  <c r="F4677" i="4"/>
  <c r="G4677" i="4" s="1"/>
  <c r="F4655" i="4"/>
  <c r="G4655" i="4" s="1"/>
  <c r="F4595" i="4"/>
  <c r="G4595" i="4" s="1"/>
  <c r="F4334" i="4"/>
  <c r="G4334" i="4" s="1"/>
  <c r="F5463" i="4"/>
  <c r="G5463" i="4" s="1"/>
  <c r="F5191" i="4"/>
  <c r="G5191" i="4" s="1"/>
  <c r="F5438" i="4"/>
  <c r="G5438" i="4" s="1"/>
  <c r="F5763" i="4"/>
  <c r="G5763" i="4" s="1"/>
  <c r="F5898" i="4"/>
  <c r="G5898" i="4" s="1"/>
  <c r="F5302" i="4"/>
  <c r="G5302" i="4" s="1"/>
  <c r="F5904" i="4"/>
  <c r="G5904" i="4" s="1"/>
  <c r="F3046" i="4"/>
  <c r="G3046" i="4" s="1"/>
  <c r="F5228" i="4"/>
  <c r="G5228" i="4" s="1"/>
  <c r="F4662" i="4"/>
  <c r="G4662" i="4" s="1"/>
  <c r="F4990" i="4"/>
  <c r="G4990" i="4" s="1"/>
  <c r="F5317" i="4"/>
  <c r="G5317" i="4" s="1"/>
  <c r="C5040" i="4"/>
  <c r="C4879" i="4"/>
  <c r="C3569" i="4"/>
  <c r="F3569" i="4" s="1"/>
  <c r="C3447" i="4"/>
  <c r="C3628" i="4"/>
  <c r="E3628" i="4" s="1"/>
  <c r="C3631" i="4"/>
  <c r="F3631" i="4" s="1"/>
  <c r="F4586" i="4"/>
  <c r="G4586" i="4" s="1"/>
  <c r="E5913" i="4"/>
  <c r="E5924" i="4"/>
  <c r="F5913" i="4"/>
  <c r="F5924" i="4"/>
  <c r="E5908" i="4"/>
  <c r="E5922" i="4"/>
  <c r="F5908" i="4"/>
  <c r="F5922" i="4"/>
  <c r="E5916" i="4"/>
  <c r="E5923" i="4"/>
  <c r="F5900" i="4"/>
  <c r="F5920" i="4"/>
  <c r="E5900" i="4"/>
  <c r="E5920" i="4"/>
  <c r="G5918" i="4"/>
  <c r="G5915" i="4"/>
  <c r="E5893" i="4"/>
  <c r="E5914" i="4"/>
  <c r="G5917" i="4"/>
  <c r="F5890" i="4"/>
  <c r="F5905" i="4"/>
  <c r="F5907" i="4"/>
  <c r="E5852" i="4"/>
  <c r="E5906" i="4"/>
  <c r="E5521" i="4"/>
  <c r="E5909" i="4"/>
  <c r="E5901" i="4"/>
  <c r="E5912" i="4"/>
  <c r="E5890" i="4"/>
  <c r="E5905" i="4"/>
  <c r="E5907" i="4"/>
  <c r="E5873" i="4"/>
  <c r="E5911" i="4"/>
  <c r="F5901" i="4"/>
  <c r="F5912" i="4"/>
  <c r="F5873" i="4"/>
  <c r="F5911" i="4"/>
  <c r="G5903" i="4"/>
  <c r="E4969" i="4"/>
  <c r="E5897" i="4"/>
  <c r="E5842" i="4"/>
  <c r="E5896" i="4"/>
  <c r="F5842" i="4"/>
  <c r="F5896" i="4"/>
  <c r="E5820" i="4"/>
  <c r="E5894" i="4"/>
  <c r="E5902" i="4"/>
  <c r="E5891" i="4"/>
  <c r="E5892" i="4"/>
  <c r="G5886" i="4"/>
  <c r="F5864" i="4"/>
  <c r="F5887" i="4"/>
  <c r="E5885" i="4"/>
  <c r="E5889" i="4"/>
  <c r="G5888" i="4"/>
  <c r="E5864" i="4"/>
  <c r="E5887" i="4"/>
  <c r="F5863" i="4"/>
  <c r="F5884" i="4"/>
  <c r="E5863" i="4"/>
  <c r="E5884" i="4"/>
  <c r="G5883" i="4"/>
  <c r="G5881" i="4"/>
  <c r="F5756" i="4"/>
  <c r="F5877" i="4"/>
  <c r="E5876" i="4"/>
  <c r="E5882" i="4"/>
  <c r="E5874" i="4"/>
  <c r="E5875" i="4"/>
  <c r="E5870" i="4"/>
  <c r="E5871" i="4"/>
  <c r="E5861" i="4"/>
  <c r="E5878" i="4"/>
  <c r="E5879" i="4"/>
  <c r="F5876" i="4"/>
  <c r="F5882" i="4"/>
  <c r="E5673" i="4"/>
  <c r="E5872" i="4"/>
  <c r="E5756" i="4"/>
  <c r="E5877" i="4"/>
  <c r="E5865" i="4"/>
  <c r="E5867" i="4"/>
  <c r="F5850" i="4"/>
  <c r="F5869" i="4"/>
  <c r="F5865" i="4"/>
  <c r="F5867" i="4"/>
  <c r="E5850" i="4"/>
  <c r="E5869" i="4"/>
  <c r="E5602" i="4"/>
  <c r="E5862" i="4"/>
  <c r="F5810" i="4"/>
  <c r="F5868" i="4"/>
  <c r="E5810" i="4"/>
  <c r="E5868" i="4"/>
  <c r="E5824" i="4"/>
  <c r="E5858" i="4"/>
  <c r="F5824" i="4"/>
  <c r="F5858" i="4"/>
  <c r="F4951" i="4"/>
  <c r="F5855" i="4"/>
  <c r="E5524" i="4"/>
  <c r="E5847" i="4"/>
  <c r="E4951" i="4"/>
  <c r="G4951" i="4" s="1"/>
  <c r="E5855" i="4"/>
  <c r="G5855" i="4" s="1"/>
  <c r="E5574" i="4"/>
  <c r="E5851" i="4"/>
  <c r="E5496" i="4"/>
  <c r="E5853" i="4"/>
  <c r="E5769" i="4"/>
  <c r="E5857" i="4"/>
  <c r="F5496" i="4"/>
  <c r="F5853" i="4"/>
  <c r="F5839" i="4"/>
  <c r="F5844" i="4"/>
  <c r="F5846" i="4"/>
  <c r="E5840" i="4"/>
  <c r="E5841" i="4"/>
  <c r="E5845" i="4"/>
  <c r="E5844" i="4"/>
  <c r="E5846" i="4"/>
  <c r="E5839" i="4"/>
  <c r="G5839" i="4" s="1"/>
  <c r="E5795" i="4"/>
  <c r="E5837" i="4"/>
  <c r="F5829" i="4"/>
  <c r="F5831" i="4"/>
  <c r="F5833" i="4"/>
  <c r="F5834" i="4"/>
  <c r="F5836" i="4"/>
  <c r="E5829" i="4"/>
  <c r="E5831" i="4"/>
  <c r="E5833" i="4"/>
  <c r="E4598" i="4"/>
  <c r="E5832" i="4"/>
  <c r="E5828" i="4"/>
  <c r="E5834" i="4"/>
  <c r="G5834" i="4" s="1"/>
  <c r="E5836" i="4"/>
  <c r="G5836" i="4" s="1"/>
  <c r="E5789" i="4"/>
  <c r="E5838" i="4"/>
  <c r="E5818" i="4"/>
  <c r="E5826" i="4"/>
  <c r="E5822" i="4"/>
  <c r="E5825" i="4"/>
  <c r="F5796" i="4"/>
  <c r="F5828" i="4"/>
  <c r="F5818" i="4"/>
  <c r="F5826" i="4"/>
  <c r="G5827" i="4"/>
  <c r="E5725" i="4"/>
  <c r="E5821" i="4"/>
  <c r="E5819" i="4"/>
  <c r="E5823" i="4"/>
  <c r="E5803" i="4"/>
  <c r="E5817" i="4"/>
  <c r="F5803" i="4"/>
  <c r="F5817" i="4"/>
  <c r="F5735" i="4"/>
  <c r="F5811" i="4"/>
  <c r="E5801" i="4"/>
  <c r="E5815" i="4"/>
  <c r="E5484" i="4"/>
  <c r="E5816" i="4"/>
  <c r="G5816" i="4" s="1"/>
  <c r="F5202" i="4"/>
  <c r="F5807" i="4"/>
  <c r="E5761" i="4"/>
  <c r="E5813" i="4"/>
  <c r="E5735" i="4"/>
  <c r="E5811" i="4"/>
  <c r="G5809" i="4"/>
  <c r="E5797" i="4"/>
  <c r="E5805" i="4"/>
  <c r="E5802" i="4"/>
  <c r="E5808" i="4"/>
  <c r="E5750" i="4"/>
  <c r="E5814" i="4"/>
  <c r="E5634" i="4"/>
  <c r="E5806" i="4"/>
  <c r="E5202" i="4"/>
  <c r="E5807" i="4"/>
  <c r="G5804" i="4"/>
  <c r="E5771" i="4"/>
  <c r="E5796" i="4"/>
  <c r="E5565" i="4"/>
  <c r="E5799" i="4"/>
  <c r="F5748" i="4"/>
  <c r="F5798" i="4"/>
  <c r="E5748" i="4"/>
  <c r="E5798" i="4"/>
  <c r="E5263" i="4"/>
  <c r="E5791" i="4"/>
  <c r="E5506" i="4"/>
  <c r="E5794" i="4"/>
  <c r="E5779" i="4"/>
  <c r="E5792" i="4"/>
  <c r="F5506" i="4"/>
  <c r="F5794" i="4"/>
  <c r="E5723" i="4"/>
  <c r="E5790" i="4"/>
  <c r="F5779" i="4"/>
  <c r="F5792" i="4"/>
  <c r="E5737" i="4"/>
  <c r="E5793" i="4"/>
  <c r="E5711" i="4"/>
  <c r="E5786" i="4"/>
  <c r="E5783" i="4"/>
  <c r="E5784" i="4"/>
  <c r="F5711" i="4"/>
  <c r="F5786" i="4"/>
  <c r="F5783" i="4"/>
  <c r="G5783" i="4" s="1"/>
  <c r="F5784" i="4"/>
  <c r="E5765" i="4"/>
  <c r="E5773" i="4"/>
  <c r="F5593" i="4"/>
  <c r="F5777" i="4"/>
  <c r="F5615" i="4"/>
  <c r="F5771" i="4"/>
  <c r="E5772" i="4"/>
  <c r="E5778" i="4"/>
  <c r="E5764" i="4"/>
  <c r="E5775" i="4"/>
  <c r="E5728" i="4"/>
  <c r="E5776" i="4"/>
  <c r="F5772" i="4"/>
  <c r="F5778" i="4"/>
  <c r="E5593" i="4"/>
  <c r="G5593" i="4" s="1"/>
  <c r="E5777" i="4"/>
  <c r="G5777" i="4" s="1"/>
  <c r="F4110" i="4"/>
  <c r="F5766" i="4"/>
  <c r="E5754" i="4"/>
  <c r="E5767" i="4"/>
  <c r="E5714" i="4"/>
  <c r="E5768" i="4"/>
  <c r="E4110" i="4"/>
  <c r="E5766" i="4"/>
  <c r="E5752" i="4"/>
  <c r="E5760" i="4"/>
  <c r="E5690" i="4"/>
  <c r="E5762" i="4"/>
  <c r="F5752" i="4"/>
  <c r="F5760" i="4"/>
  <c r="E5637" i="4"/>
  <c r="E5759" i="4"/>
  <c r="F5745" i="4"/>
  <c r="F5758" i="4"/>
  <c r="E5713" i="4"/>
  <c r="E5755" i="4"/>
  <c r="G5757" i="4"/>
  <c r="G5753" i="4"/>
  <c r="E5745" i="4"/>
  <c r="E5758" i="4"/>
  <c r="E5721" i="4"/>
  <c r="E5741" i="4"/>
  <c r="E5727" i="4"/>
  <c r="E5734" i="4"/>
  <c r="E5696" i="4"/>
  <c r="E5732" i="4"/>
  <c r="E5743" i="4"/>
  <c r="E5747" i="4"/>
  <c r="E5608" i="4"/>
  <c r="E5736" i="4"/>
  <c r="E5739" i="4"/>
  <c r="E5749" i="4"/>
  <c r="F5727" i="4"/>
  <c r="F5734" i="4"/>
  <c r="E5487" i="4"/>
  <c r="E5742" i="4"/>
  <c r="E5538" i="4"/>
  <c r="E5746" i="4"/>
  <c r="F5608" i="4"/>
  <c r="F5736" i="4"/>
  <c r="F5231" i="4"/>
  <c r="F5738" i="4"/>
  <c r="E5699" i="4"/>
  <c r="E5733" i="4"/>
  <c r="F5487" i="4"/>
  <c r="F5742" i="4"/>
  <c r="E5231" i="4"/>
  <c r="E5738" i="4"/>
  <c r="E5726" i="4"/>
  <c r="E5740" i="4"/>
  <c r="G5729" i="4"/>
  <c r="E5715" i="4"/>
  <c r="E5730" i="4"/>
  <c r="G5731" i="4"/>
  <c r="E5666" i="4"/>
  <c r="E5722" i="4"/>
  <c r="E5704" i="4"/>
  <c r="E5720" i="4"/>
  <c r="G5719" i="4"/>
  <c r="E5612" i="4"/>
  <c r="E5716" i="4"/>
  <c r="E5706" i="4"/>
  <c r="E5717" i="4"/>
  <c r="E5604" i="4"/>
  <c r="E5712" i="4"/>
  <c r="F5604" i="4"/>
  <c r="F5712" i="4"/>
  <c r="E5677" i="4"/>
  <c r="E5710" i="4"/>
  <c r="E5156" i="4"/>
  <c r="E5709" i="4"/>
  <c r="F5677" i="4"/>
  <c r="F5710" i="4"/>
  <c r="E5700" i="4"/>
  <c r="E5707" i="4"/>
  <c r="G5708" i="4"/>
  <c r="E5625" i="4"/>
  <c r="E5705" i="4"/>
  <c r="F5697" i="4"/>
  <c r="F5701" i="4"/>
  <c r="E5697" i="4"/>
  <c r="E5701" i="4"/>
  <c r="E5685" i="4"/>
  <c r="E5694" i="4"/>
  <c r="E5652" i="4"/>
  <c r="E5695" i="4"/>
  <c r="F5652" i="4"/>
  <c r="F5695" i="4"/>
  <c r="E5603" i="4"/>
  <c r="E5693" i="4"/>
  <c r="E4592" i="4"/>
  <c r="E5689" i="4"/>
  <c r="E5676" i="4"/>
  <c r="E5684" i="4"/>
  <c r="E5683" i="4"/>
  <c r="E5691" i="4"/>
  <c r="G5686" i="4"/>
  <c r="E5535" i="4"/>
  <c r="E5692" i="4"/>
  <c r="E5654" i="4"/>
  <c r="E5687" i="4"/>
  <c r="F5535" i="4"/>
  <c r="F5692" i="4"/>
  <c r="E5283" i="4"/>
  <c r="E5681" i="4"/>
  <c r="F5491" i="4"/>
  <c r="F5682" i="4"/>
  <c r="E5491" i="4"/>
  <c r="E5682" i="4"/>
  <c r="F5678" i="4"/>
  <c r="F5680" i="4"/>
  <c r="E5678" i="4"/>
  <c r="E5680" i="4"/>
  <c r="E5619" i="4"/>
  <c r="E5675" i="4"/>
  <c r="F5659" i="4"/>
  <c r="F5670" i="4"/>
  <c r="E5548" i="4"/>
  <c r="E5667" i="4"/>
  <c r="E5656" i="4"/>
  <c r="E5671" i="4"/>
  <c r="E5655" i="4"/>
  <c r="E5672" i="4"/>
  <c r="E5669" i="4"/>
  <c r="F5577" i="4"/>
  <c r="F5668" i="4"/>
  <c r="E5659" i="4"/>
  <c r="E5670" i="4"/>
  <c r="F5656" i="4"/>
  <c r="F5671" i="4"/>
  <c r="E5577" i="4"/>
  <c r="E5668" i="4"/>
  <c r="E5219" i="4"/>
  <c r="E5664" i="4"/>
  <c r="E5658" i="4"/>
  <c r="E5665" i="4"/>
  <c r="F5219" i="4"/>
  <c r="F5664" i="4"/>
  <c r="E5312" i="4"/>
  <c r="E5661" i="4"/>
  <c r="E5624" i="4"/>
  <c r="E5660" i="4"/>
  <c r="E5663" i="4"/>
  <c r="E5054" i="4"/>
  <c r="E5657" i="4"/>
  <c r="F5054" i="4"/>
  <c r="F5657" i="4"/>
  <c r="E5596" i="4"/>
  <c r="E5650" i="4"/>
  <c r="E5632" i="4"/>
  <c r="E5651" i="4"/>
  <c r="F5632" i="4"/>
  <c r="F5651" i="4"/>
  <c r="G5653" i="4"/>
  <c r="E5640" i="4"/>
  <c r="E5644" i="4"/>
  <c r="E5648" i="4"/>
  <c r="E5639" i="4"/>
  <c r="E5643" i="4"/>
  <c r="E5645" i="4"/>
  <c r="F5640" i="4"/>
  <c r="F5644" i="4"/>
  <c r="E5143" i="4"/>
  <c r="E5638" i="4"/>
  <c r="G5638" i="4" s="1"/>
  <c r="E5616" i="4"/>
  <c r="E5646" i="4"/>
  <c r="F5616" i="4"/>
  <c r="F5646" i="4"/>
  <c r="E5479" i="4"/>
  <c r="E5641" i="4"/>
  <c r="E5642" i="4"/>
  <c r="E5647" i="4"/>
  <c r="G5636" i="4"/>
  <c r="F5617" i="4"/>
  <c r="F5622" i="4"/>
  <c r="F5509" i="4"/>
  <c r="F5633" i="4"/>
  <c r="E5576" i="4"/>
  <c r="E5635" i="4"/>
  <c r="E5611" i="4"/>
  <c r="E5620" i="4"/>
  <c r="E5626" i="4"/>
  <c r="E5628" i="4"/>
  <c r="E5627" i="4"/>
  <c r="E5617" i="4"/>
  <c r="E5622" i="4"/>
  <c r="E5509" i="4"/>
  <c r="E5633" i="4"/>
  <c r="E5605" i="4"/>
  <c r="E5623" i="4"/>
  <c r="E5629" i="4"/>
  <c r="F5611" i="4"/>
  <c r="F5620" i="4"/>
  <c r="F5626" i="4"/>
  <c r="E5488" i="4"/>
  <c r="E5621" i="4"/>
  <c r="F5576" i="4"/>
  <c r="F5635" i="4"/>
  <c r="E5615" i="4"/>
  <c r="E5347" i="4"/>
  <c r="E5618" i="4"/>
  <c r="F4751" i="4"/>
  <c r="F5609" i="4"/>
  <c r="F5606" i="4"/>
  <c r="F5201" i="4"/>
  <c r="F5610" i="4"/>
  <c r="F5581" i="4"/>
  <c r="F5607" i="4"/>
  <c r="F5600" i="4"/>
  <c r="F5614" i="4"/>
  <c r="E5581" i="4"/>
  <c r="E5600" i="4"/>
  <c r="E5614" i="4"/>
  <c r="E5607" i="4"/>
  <c r="E4751" i="4"/>
  <c r="E5606" i="4"/>
  <c r="E5609" i="4"/>
  <c r="E5599" i="4"/>
  <c r="E5601" i="4"/>
  <c r="E5201" i="4"/>
  <c r="E5610" i="4"/>
  <c r="E5507" i="4"/>
  <c r="E5613" i="4"/>
  <c r="F5586" i="4"/>
  <c r="F5587" i="4"/>
  <c r="E5469" i="4"/>
  <c r="E5590" i="4"/>
  <c r="E5559" i="4"/>
  <c r="E5598" i="4"/>
  <c r="E5588" i="4"/>
  <c r="E5592" i="4"/>
  <c r="E5501" i="4"/>
  <c r="E5591" i="4"/>
  <c r="E5586" i="4"/>
  <c r="E5587" i="4"/>
  <c r="E5584" i="4"/>
  <c r="E5595" i="4"/>
  <c r="E5376" i="4"/>
  <c r="E5594" i="4"/>
  <c r="F5588" i="4"/>
  <c r="F5592" i="4"/>
  <c r="F5376" i="4"/>
  <c r="F5594" i="4"/>
  <c r="F5584" i="4"/>
  <c r="G5584" i="4" s="1"/>
  <c r="F5595" i="4"/>
  <c r="E5560" i="4"/>
  <c r="E5589" i="4"/>
  <c r="E5573" i="4"/>
  <c r="E5579" i="4"/>
  <c r="E5414" i="4"/>
  <c r="E5583" i="4"/>
  <c r="E5578" i="4"/>
  <c r="E5568" i="4"/>
  <c r="E5580" i="4"/>
  <c r="E5582" i="4"/>
  <c r="F5573" i="4"/>
  <c r="F5579" i="4"/>
  <c r="F5414" i="4"/>
  <c r="F5578" i="4"/>
  <c r="F5583" i="4"/>
  <c r="E5109" i="4"/>
  <c r="E5585" i="4"/>
  <c r="E5561" i="4"/>
  <c r="E5575" i="4"/>
  <c r="G5571" i="4"/>
  <c r="E5498" i="4"/>
  <c r="E5570" i="4"/>
  <c r="G5563" i="4"/>
  <c r="E5555" i="4"/>
  <c r="E5558" i="4"/>
  <c r="E5552" i="4"/>
  <c r="E5567" i="4"/>
  <c r="F5530" i="4"/>
  <c r="F5569" i="4"/>
  <c r="F5522" i="4"/>
  <c r="F5564" i="4"/>
  <c r="F5555" i="4"/>
  <c r="F5558" i="4"/>
  <c r="F5552" i="4"/>
  <c r="F5567" i="4"/>
  <c r="E5543" i="4"/>
  <c r="E5566" i="4"/>
  <c r="E5551" i="4"/>
  <c r="E5562" i="4"/>
  <c r="E5530" i="4"/>
  <c r="G5530" i="4" s="1"/>
  <c r="E5569" i="4"/>
  <c r="G5569" i="4" s="1"/>
  <c r="E5522" i="4"/>
  <c r="G5522" i="4" s="1"/>
  <c r="E5564" i="4"/>
  <c r="G5564" i="4" s="1"/>
  <c r="G5555" i="4"/>
  <c r="F5542" i="4"/>
  <c r="F5556" i="4"/>
  <c r="E5550" i="4"/>
  <c r="E5554" i="4"/>
  <c r="E5553" i="4"/>
  <c r="E5542" i="4"/>
  <c r="E5556" i="4"/>
  <c r="F5276" i="4"/>
  <c r="F5529" i="4"/>
  <c r="E5478" i="4"/>
  <c r="E5546" i="4"/>
  <c r="E5549" i="4"/>
  <c r="E5408" i="4"/>
  <c r="E5540" i="4"/>
  <c r="E3339" i="4"/>
  <c r="E5536" i="4"/>
  <c r="F5379" i="4"/>
  <c r="F5531" i="4"/>
  <c r="F5445" i="4"/>
  <c r="F5537" i="4"/>
  <c r="F5539" i="4"/>
  <c r="F5541" i="4"/>
  <c r="E5381" i="4"/>
  <c r="E5532" i="4"/>
  <c r="F1954" i="4"/>
  <c r="F5536" i="4"/>
  <c r="E5445" i="4"/>
  <c r="G5445" i="4" s="1"/>
  <c r="E5537" i="4"/>
  <c r="E5539" i="4"/>
  <c r="G5539" i="4" s="1"/>
  <c r="E5541" i="4"/>
  <c r="G5541" i="4" s="1"/>
  <c r="E4144" i="4"/>
  <c r="E5544" i="4"/>
  <c r="E5379" i="4"/>
  <c r="G5379" i="4" s="1"/>
  <c r="E5531" i="4"/>
  <c r="G5531" i="4" s="1"/>
  <c r="E5534" i="4"/>
  <c r="E5545" i="4"/>
  <c r="E5276" i="4"/>
  <c r="E5529" i="4"/>
  <c r="E5255" i="4"/>
  <c r="E5533" i="4"/>
  <c r="E5391" i="4"/>
  <c r="E5516" i="4"/>
  <c r="E5494" i="4"/>
  <c r="E5519" i="4"/>
  <c r="E5493" i="4"/>
  <c r="E5513" i="4"/>
  <c r="E5511" i="4"/>
  <c r="E5512" i="4"/>
  <c r="F5494" i="4"/>
  <c r="F5519" i="4"/>
  <c r="E5499" i="4"/>
  <c r="E5515" i="4"/>
  <c r="E5508" i="4"/>
  <c r="E5525" i="4"/>
  <c r="E5476" i="4"/>
  <c r="E5527" i="4"/>
  <c r="F5493" i="4"/>
  <c r="F5513" i="4"/>
  <c r="E5477" i="4"/>
  <c r="E5526" i="4"/>
  <c r="E5528" i="4"/>
  <c r="F5477" i="4"/>
  <c r="F5526" i="4"/>
  <c r="F5528" i="4"/>
  <c r="E5417" i="4"/>
  <c r="E5518" i="4"/>
  <c r="E5517" i="4"/>
  <c r="E5280" i="4"/>
  <c r="E5523" i="4"/>
  <c r="F5508" i="4"/>
  <c r="F5525" i="4"/>
  <c r="E5435" i="4"/>
  <c r="E5514" i="4"/>
  <c r="F2480" i="4"/>
  <c r="F5503" i="4"/>
  <c r="G5504" i="4"/>
  <c r="E5425" i="4"/>
  <c r="E5500" i="4"/>
  <c r="E5368" i="4"/>
  <c r="E5502" i="4"/>
  <c r="F5425" i="4"/>
  <c r="F5500" i="4"/>
  <c r="E3083" i="4"/>
  <c r="E5503" i="4"/>
  <c r="F5368" i="4"/>
  <c r="F5502" i="4"/>
  <c r="F5461" i="4"/>
  <c r="F5495" i="4"/>
  <c r="E5461" i="4"/>
  <c r="E5495" i="4"/>
  <c r="E5378" i="4"/>
  <c r="E5490" i="4"/>
  <c r="G5486" i="4"/>
  <c r="E5483" i="4"/>
  <c r="E5492" i="4"/>
  <c r="E5389" i="4"/>
  <c r="E5475" i="4"/>
  <c r="F5086" i="4"/>
  <c r="F5484" i="4"/>
  <c r="E5192" i="4"/>
  <c r="E5481" i="4"/>
  <c r="F5192" i="4"/>
  <c r="F5481" i="4"/>
  <c r="E5474" i="4"/>
  <c r="E5485" i="4"/>
  <c r="E5027" i="4"/>
  <c r="E5462" i="4"/>
  <c r="E5470" i="4"/>
  <c r="E5467" i="4"/>
  <c r="E5361" i="4"/>
  <c r="E5458" i="4"/>
  <c r="E5472" i="4"/>
  <c r="E5455" i="4"/>
  <c r="E5471" i="4"/>
  <c r="E5473" i="4"/>
  <c r="E4913" i="4"/>
  <c r="E5466" i="4"/>
  <c r="E5449" i="4"/>
  <c r="E5456" i="4"/>
  <c r="F5361" i="4"/>
  <c r="F5458" i="4"/>
  <c r="F5472" i="4"/>
  <c r="F5455" i="4"/>
  <c r="E5448" i="4"/>
  <c r="E5459" i="4"/>
  <c r="F4913" i="4"/>
  <c r="F5466" i="4"/>
  <c r="F5448" i="4"/>
  <c r="F5459" i="4"/>
  <c r="E5266" i="4"/>
  <c r="E5465" i="4"/>
  <c r="E5383" i="4"/>
  <c r="E5457" i="4"/>
  <c r="F5387" i="4"/>
  <c r="G5387" i="4" s="1"/>
  <c r="F5464" i="4"/>
  <c r="G5464" i="4" s="1"/>
  <c r="E5418" i="4"/>
  <c r="E5454" i="4"/>
  <c r="F5383" i="4"/>
  <c r="F5457" i="4"/>
  <c r="E5382" i="4"/>
  <c r="E5460" i="4"/>
  <c r="F5430" i="4"/>
  <c r="F5450" i="4"/>
  <c r="F5452" i="4"/>
  <c r="E5371" i="4"/>
  <c r="E5451" i="4"/>
  <c r="F5371" i="4"/>
  <c r="F5451" i="4"/>
  <c r="E5430" i="4"/>
  <c r="E5450" i="4"/>
  <c r="E5452" i="4"/>
  <c r="G5448" i="4"/>
  <c r="F5354" i="4"/>
  <c r="F5453" i="4"/>
  <c r="E5354" i="4"/>
  <c r="E5453" i="4"/>
  <c r="E5357" i="4"/>
  <c r="E5444" i="4"/>
  <c r="F5349" i="4"/>
  <c r="F5446" i="4"/>
  <c r="E5427" i="4"/>
  <c r="E5443" i="4"/>
  <c r="E5436" i="4"/>
  <c r="E5441" i="4"/>
  <c r="F5357" i="4"/>
  <c r="F5444" i="4"/>
  <c r="F5427" i="4"/>
  <c r="F5443" i="4"/>
  <c r="F5436" i="4"/>
  <c r="F5441" i="4"/>
  <c r="E5349" i="4"/>
  <c r="E5446" i="4"/>
  <c r="E5400" i="4"/>
  <c r="E5437" i="4"/>
  <c r="F5415" i="4"/>
  <c r="F5439" i="4"/>
  <c r="E5431" i="4"/>
  <c r="E5434" i="4"/>
  <c r="E5415" i="4"/>
  <c r="E5439" i="4"/>
  <c r="F5400" i="4"/>
  <c r="G5400" i="4" s="1"/>
  <c r="F5437" i="4"/>
  <c r="E5320" i="4"/>
  <c r="E5440" i="4"/>
  <c r="E5413" i="4"/>
  <c r="E5428" i="4"/>
  <c r="E5390" i="4"/>
  <c r="E5423" i="4"/>
  <c r="E2159" i="4"/>
  <c r="E5429" i="4"/>
  <c r="E5394" i="4"/>
  <c r="E5426" i="4"/>
  <c r="E5412" i="4"/>
  <c r="E5421" i="4"/>
  <c r="E5411" i="4"/>
  <c r="E5416" i="4"/>
  <c r="E5401" i="4"/>
  <c r="E5403" i="4"/>
  <c r="E5374" i="4"/>
  <c r="E5402" i="4"/>
  <c r="E5404" i="4"/>
  <c r="E5405" i="4"/>
  <c r="E5407" i="4"/>
  <c r="F5401" i="4"/>
  <c r="F5403" i="4"/>
  <c r="F3451" i="4"/>
  <c r="F5406" i="4"/>
  <c r="E3451" i="4"/>
  <c r="E5406" i="4"/>
  <c r="F5172" i="4"/>
  <c r="F5398" i="4"/>
  <c r="E5373" i="4"/>
  <c r="E5395" i="4"/>
  <c r="E5396" i="4"/>
  <c r="F3334" i="4"/>
  <c r="F5393" i="4"/>
  <c r="E3334" i="4"/>
  <c r="E5393" i="4"/>
  <c r="E5172" i="4"/>
  <c r="E5398" i="4"/>
  <c r="F5373" i="4"/>
  <c r="F5396" i="4"/>
  <c r="F5395" i="4"/>
  <c r="F5397" i="4"/>
  <c r="F5399" i="4"/>
  <c r="F5117" i="4"/>
  <c r="F5388" i="4"/>
  <c r="E5397" i="4"/>
  <c r="E5399" i="4"/>
  <c r="G5399" i="4" s="1"/>
  <c r="E5117" i="4"/>
  <c r="G5117" i="4" s="1"/>
  <c r="E5388" i="4"/>
  <c r="G5388" i="4" s="1"/>
  <c r="F5322" i="4"/>
  <c r="F5385" i="4"/>
  <c r="E5342" i="4"/>
  <c r="E5386" i="4"/>
  <c r="E5322" i="4"/>
  <c r="G5322" i="4" s="1"/>
  <c r="E5385" i="4"/>
  <c r="G5385" i="4" s="1"/>
  <c r="E5351" i="4"/>
  <c r="E5384" i="4"/>
  <c r="F5351" i="4"/>
  <c r="F5384" i="4"/>
  <c r="E5346" i="4"/>
  <c r="E5380" i="4"/>
  <c r="E5348" i="4"/>
  <c r="E5370" i="4"/>
  <c r="E3916" i="4"/>
  <c r="E5366" i="4"/>
  <c r="E5367" i="4"/>
  <c r="E5375" i="4"/>
  <c r="E5362" i="4"/>
  <c r="F5348" i="4"/>
  <c r="F5370" i="4"/>
  <c r="E5041" i="4"/>
  <c r="E5365" i="4"/>
  <c r="F5041" i="4"/>
  <c r="F5365" i="4"/>
  <c r="E5195" i="4"/>
  <c r="E5363" i="4"/>
  <c r="E5359" i="4"/>
  <c r="E5372" i="4"/>
  <c r="E5315" i="4"/>
  <c r="E5369" i="4"/>
  <c r="E5364" i="4"/>
  <c r="G5360" i="4"/>
  <c r="E5305" i="4"/>
  <c r="E5355" i="4"/>
  <c r="E5343" i="4"/>
  <c r="E5350" i="4"/>
  <c r="E5260" i="4"/>
  <c r="E5353" i="4"/>
  <c r="E5337" i="4"/>
  <c r="E5344" i="4"/>
  <c r="F5305" i="4"/>
  <c r="G5305" i="4" s="1"/>
  <c r="F5355" i="4"/>
  <c r="F5260" i="4"/>
  <c r="F5353" i="4"/>
  <c r="E5338" i="4"/>
  <c r="E5358" i="4"/>
  <c r="E5023" i="4"/>
  <c r="E5356" i="4"/>
  <c r="E5341" i="4"/>
  <c r="E5352" i="4"/>
  <c r="E5335" i="4"/>
  <c r="E5340" i="4"/>
  <c r="E5334" i="4"/>
  <c r="E5339" i="4"/>
  <c r="E5311" i="4"/>
  <c r="E5336" i="4"/>
  <c r="E5285" i="4"/>
  <c r="E5333" i="4"/>
  <c r="E5257" i="4"/>
  <c r="E5332" i="4"/>
  <c r="F5257" i="4"/>
  <c r="F5332" i="4"/>
  <c r="G5331" i="4"/>
  <c r="E5290" i="4"/>
  <c r="E5330" i="4"/>
  <c r="F4566" i="4"/>
  <c r="F5329" i="4"/>
  <c r="G5328" i="4"/>
  <c r="E4566" i="4"/>
  <c r="E5329" i="4"/>
  <c r="F5304" i="4"/>
  <c r="F5327" i="4"/>
  <c r="E5304" i="4"/>
  <c r="E5327" i="4"/>
  <c r="E5190" i="4"/>
  <c r="E5326" i="4"/>
  <c r="F5190" i="4"/>
  <c r="F5326" i="4"/>
  <c r="E5323" i="4"/>
  <c r="E5325" i="4"/>
  <c r="F5323" i="4"/>
  <c r="F5325" i="4"/>
  <c r="E5237" i="4"/>
  <c r="E5324" i="4"/>
  <c r="E4129" i="4"/>
  <c r="E5321" i="4"/>
  <c r="F4129" i="4"/>
  <c r="F5321" i="4"/>
  <c r="G5318" i="4"/>
  <c r="G5319" i="4"/>
  <c r="E5197" i="4"/>
  <c r="E5316" i="4"/>
  <c r="F4933" i="4"/>
  <c r="F5314" i="4"/>
  <c r="E4933" i="4"/>
  <c r="E5314" i="4"/>
  <c r="E5085" i="4"/>
  <c r="E5313" i="4"/>
  <c r="E5303" i="4"/>
  <c r="E5310" i="4"/>
  <c r="E4982" i="4"/>
  <c r="E5309" i="4"/>
  <c r="E5307" i="4"/>
  <c r="E5308" i="4"/>
  <c r="E5250" i="4"/>
  <c r="E5306" i="4"/>
  <c r="F5250" i="4"/>
  <c r="F5306" i="4"/>
  <c r="G5298" i="4"/>
  <c r="E5243" i="4"/>
  <c r="E5299" i="4"/>
  <c r="E5238" i="4"/>
  <c r="E5301" i="4"/>
  <c r="E5286" i="4"/>
  <c r="E5294" i="4"/>
  <c r="F5269" i="4"/>
  <c r="F5296" i="4"/>
  <c r="F5243" i="4"/>
  <c r="F5299" i="4"/>
  <c r="E5287" i="4"/>
  <c r="E5300" i="4"/>
  <c r="E5232" i="4"/>
  <c r="E5295" i="4"/>
  <c r="F5238" i="4"/>
  <c r="F5301" i="4"/>
  <c r="E5269" i="4"/>
  <c r="E5296" i="4"/>
  <c r="E5293" i="4"/>
  <c r="E5297" i="4"/>
  <c r="E5249" i="4"/>
  <c r="E5291" i="4"/>
  <c r="E5193" i="4"/>
  <c r="E5288" i="4"/>
  <c r="F5249" i="4"/>
  <c r="F5291" i="4"/>
  <c r="F5154" i="4"/>
  <c r="G5154" i="4" s="1"/>
  <c r="F5292" i="4"/>
  <c r="G5292" i="4" s="1"/>
  <c r="F5289" i="4"/>
  <c r="G5289" i="4" s="1"/>
  <c r="F5193" i="4"/>
  <c r="F5288" i="4"/>
  <c r="E5270" i="4"/>
  <c r="E5275" i="4"/>
  <c r="E5205" i="4"/>
  <c r="E5274" i="4"/>
  <c r="F5180" i="4"/>
  <c r="F5281" i="4"/>
  <c r="F5235" i="4"/>
  <c r="F5279" i="4"/>
  <c r="F5173" i="4"/>
  <c r="F5277" i="4"/>
  <c r="E5180" i="4"/>
  <c r="E5281" i="4"/>
  <c r="E5206" i="4"/>
  <c r="E5282" i="4"/>
  <c r="E4871" i="4"/>
  <c r="E5278" i="4"/>
  <c r="E5235" i="4"/>
  <c r="E5279" i="4"/>
  <c r="E5173" i="4"/>
  <c r="E5277" i="4"/>
  <c r="E5251" i="4"/>
  <c r="E5273" i="4"/>
  <c r="F4871" i="4"/>
  <c r="F5278" i="4"/>
  <c r="E5146" i="4"/>
  <c r="E5271" i="4"/>
  <c r="E5226" i="4"/>
  <c r="E5268" i="4"/>
  <c r="F5065" i="4"/>
  <c r="F5267" i="4"/>
  <c r="F5226" i="4"/>
  <c r="F5268" i="4"/>
  <c r="E5065" i="4"/>
  <c r="G5065" i="4" s="1"/>
  <c r="E5267" i="4"/>
  <c r="G5267" i="4" s="1"/>
  <c r="E4998" i="4"/>
  <c r="E5262" i="4"/>
  <c r="E5252" i="4"/>
  <c r="E5261" i="4"/>
  <c r="E5264" i="4"/>
  <c r="E5265" i="4"/>
  <c r="E5129" i="4"/>
  <c r="E5259" i="4"/>
  <c r="E4977" i="4"/>
  <c r="E5258" i="4"/>
  <c r="F5248" i="4"/>
  <c r="F5253" i="4"/>
  <c r="E5254" i="4"/>
  <c r="E5256" i="4"/>
  <c r="F5254" i="4"/>
  <c r="F5256" i="4"/>
  <c r="E5248" i="4"/>
  <c r="E5253" i="4"/>
  <c r="F5118" i="4"/>
  <c r="F5247" i="4"/>
  <c r="E5118" i="4"/>
  <c r="E5247" i="4"/>
  <c r="E5203" i="4"/>
  <c r="E5246" i="4"/>
  <c r="E5239" i="4"/>
  <c r="E5244" i="4"/>
  <c r="E4855" i="4"/>
  <c r="E5245" i="4"/>
  <c r="F5221" i="4"/>
  <c r="F5241" i="4"/>
  <c r="E5221" i="4"/>
  <c r="E5241" i="4"/>
  <c r="F4696" i="4"/>
  <c r="F5240" i="4"/>
  <c r="E4696" i="4"/>
  <c r="E5240" i="4"/>
  <c r="E4874" i="4"/>
  <c r="E5233" i="4"/>
  <c r="F4874" i="4"/>
  <c r="F5233" i="4"/>
  <c r="E5234" i="4"/>
  <c r="E5236" i="4"/>
  <c r="E5224" i="4"/>
  <c r="E5230" i="4"/>
  <c r="F5218" i="4"/>
  <c r="F5227" i="4"/>
  <c r="E5218" i="4"/>
  <c r="E5227" i="4"/>
  <c r="E4973" i="4"/>
  <c r="E5225" i="4"/>
  <c r="F5127" i="4"/>
  <c r="F5220" i="4"/>
  <c r="E5120" i="4"/>
  <c r="E5222" i="4"/>
  <c r="E5223" i="4"/>
  <c r="E5127" i="4"/>
  <c r="E5220" i="4"/>
  <c r="E5213" i="4"/>
  <c r="E5217" i="4"/>
  <c r="E5207" i="4"/>
  <c r="E5211" i="4"/>
  <c r="E5100" i="4"/>
  <c r="E5212" i="4"/>
  <c r="E4972" i="4"/>
  <c r="E5216" i="4"/>
  <c r="E5176" i="4"/>
  <c r="E5215" i="4"/>
  <c r="E5208" i="4"/>
  <c r="E5210" i="4"/>
  <c r="E5187" i="4"/>
  <c r="E5200" i="4"/>
  <c r="E5119" i="4"/>
  <c r="E5204" i="4"/>
  <c r="E5185" i="4"/>
  <c r="E5209" i="4"/>
  <c r="F5187" i="4"/>
  <c r="F5200" i="4"/>
  <c r="E5188" i="4"/>
  <c r="E5199" i="4"/>
  <c r="E5124" i="4"/>
  <c r="E5198" i="4"/>
  <c r="F5124" i="4"/>
  <c r="F5198" i="4"/>
  <c r="E4974" i="4"/>
  <c r="E5194" i="4"/>
  <c r="E5186" i="4"/>
  <c r="E5189" i="4"/>
  <c r="F5186" i="4"/>
  <c r="F5189" i="4"/>
  <c r="F3191" i="4"/>
  <c r="F5184" i="4"/>
  <c r="E3191" i="4"/>
  <c r="E5184" i="4"/>
  <c r="E5179" i="4"/>
  <c r="E5183" i="4"/>
  <c r="E5182" i="4"/>
  <c r="F5033" i="4"/>
  <c r="F5181" i="4"/>
  <c r="E5033" i="4"/>
  <c r="E5181" i="4"/>
  <c r="E4914" i="4"/>
  <c r="E5177" i="4"/>
  <c r="F4914" i="4"/>
  <c r="F5177" i="4"/>
  <c r="E5081" i="4"/>
  <c r="E5178" i="4"/>
  <c r="F5167" i="4"/>
  <c r="F5171" i="4"/>
  <c r="E5069" i="4"/>
  <c r="E5175" i="4"/>
  <c r="E5136" i="4"/>
  <c r="E5174" i="4"/>
  <c r="E5167" i="4"/>
  <c r="E5171" i="4"/>
  <c r="F2033" i="4"/>
  <c r="F5169" i="4"/>
  <c r="E3464" i="4"/>
  <c r="E5169" i="4"/>
  <c r="E5166" i="4"/>
  <c r="E5168" i="4"/>
  <c r="E5164" i="4"/>
  <c r="E5165" i="4"/>
  <c r="E5063" i="4"/>
  <c r="E5162" i="4"/>
  <c r="F5063" i="4"/>
  <c r="F5162" i="4"/>
  <c r="E5141" i="4"/>
  <c r="E5163" i="4"/>
  <c r="E5148" i="4"/>
  <c r="E5160" i="4"/>
  <c r="E5155" i="4"/>
  <c r="E5161" i="4"/>
  <c r="F5148" i="4"/>
  <c r="F5160" i="4"/>
  <c r="E5170" i="4"/>
  <c r="E5159" i="4"/>
  <c r="E5130" i="4"/>
  <c r="E5153" i="4"/>
  <c r="F5130" i="4"/>
  <c r="F5153" i="4"/>
  <c r="E5088" i="4"/>
  <c r="E5158" i="4"/>
  <c r="E5137" i="4"/>
  <c r="E5152" i="4"/>
  <c r="E5115" i="4"/>
  <c r="E5147" i="4"/>
  <c r="E5140" i="4"/>
  <c r="E5151" i="4"/>
  <c r="E5092" i="4"/>
  <c r="E5150" i="4"/>
  <c r="E5122" i="4"/>
  <c r="E5145" i="4"/>
  <c r="F5122" i="4"/>
  <c r="F5145" i="4"/>
  <c r="E5048" i="4"/>
  <c r="E5144" i="4"/>
  <c r="F4853" i="4"/>
  <c r="F5143" i="4"/>
  <c r="E4135" i="4"/>
  <c r="E5138" i="4"/>
  <c r="E4854" i="4"/>
  <c r="E5142" i="4"/>
  <c r="E3731" i="4"/>
  <c r="E5139" i="4"/>
  <c r="F4135" i="4"/>
  <c r="F5138" i="4"/>
  <c r="F4854" i="4"/>
  <c r="F5142" i="4"/>
  <c r="F5134" i="4"/>
  <c r="F5133" i="4"/>
  <c r="E5133" i="4"/>
  <c r="E5135" i="4"/>
  <c r="E5134" i="4"/>
  <c r="G5134" i="4" s="1"/>
  <c r="E5110" i="4"/>
  <c r="E5132" i="4"/>
  <c r="F5107" i="4"/>
  <c r="F5128" i="4"/>
  <c r="F5131" i="4"/>
  <c r="E5107" i="4"/>
  <c r="E5131" i="4"/>
  <c r="E5128" i="4"/>
  <c r="E5126" i="4"/>
  <c r="E5125" i="4"/>
  <c r="E5108" i="4"/>
  <c r="E5123" i="4"/>
  <c r="F5089" i="4"/>
  <c r="F5121" i="4"/>
  <c r="E5089" i="4"/>
  <c r="E5121" i="4"/>
  <c r="E5056" i="4"/>
  <c r="E5116" i="4"/>
  <c r="E5064" i="4"/>
  <c r="E5114" i="4"/>
  <c r="F5064" i="4"/>
  <c r="F5114" i="4"/>
  <c r="E5068" i="4"/>
  <c r="E5113" i="4"/>
  <c r="F5099" i="4"/>
  <c r="F5112" i="4"/>
  <c r="E5099" i="4"/>
  <c r="E5112" i="4"/>
  <c r="E5044" i="4"/>
  <c r="E5111" i="4"/>
  <c r="E5105" i="4"/>
  <c r="E5106" i="4"/>
  <c r="F5106" i="4"/>
  <c r="F5105" i="4"/>
  <c r="F3184" i="4"/>
  <c r="F5103" i="4"/>
  <c r="E3184" i="4"/>
  <c r="E5103" i="4"/>
  <c r="F5096" i="4"/>
  <c r="F5102" i="4"/>
  <c r="E5096" i="4"/>
  <c r="E5102" i="4"/>
  <c r="F5042" i="4"/>
  <c r="F5101" i="4"/>
  <c r="E5042" i="4"/>
  <c r="E5101" i="4"/>
  <c r="E4989" i="4"/>
  <c r="E5098" i="4"/>
  <c r="G5097" i="4"/>
  <c r="E4980" i="4"/>
  <c r="E5094" i="4"/>
  <c r="E5078" i="4"/>
  <c r="E5095" i="4"/>
  <c r="F5080" i="4"/>
  <c r="F5093" i="4"/>
  <c r="E5080" i="4"/>
  <c r="E5093" i="4"/>
  <c r="E5060" i="4"/>
  <c r="E5091" i="4"/>
  <c r="F5060" i="4"/>
  <c r="F5091" i="4"/>
  <c r="F4981" i="4"/>
  <c r="G4981" i="4" s="1"/>
  <c r="F5090" i="4"/>
  <c r="G5090" i="4" s="1"/>
  <c r="E5077" i="4"/>
  <c r="E5087" i="4"/>
  <c r="E2784" i="4"/>
  <c r="E5086" i="4"/>
  <c r="E3152" i="4"/>
  <c r="E5084" i="4"/>
  <c r="F3152" i="4"/>
  <c r="F5084" i="4"/>
  <c r="E4899" i="4"/>
  <c r="E5083" i="4"/>
  <c r="E4903" i="4"/>
  <c r="E5082" i="4"/>
  <c r="F4903" i="4"/>
  <c r="F5082" i="4"/>
  <c r="E5073" i="4"/>
  <c r="E5079" i="4"/>
  <c r="E5029" i="4"/>
  <c r="E5075" i="4"/>
  <c r="G5074" i="4"/>
  <c r="E5050" i="4"/>
  <c r="E5072" i="4"/>
  <c r="F5066" i="4"/>
  <c r="F5071" i="4"/>
  <c r="E5066" i="4"/>
  <c r="E5071" i="4"/>
  <c r="F5059" i="4"/>
  <c r="F5070" i="4"/>
  <c r="E5059" i="4"/>
  <c r="E5070" i="4"/>
  <c r="E4574" i="4"/>
  <c r="E5067" i="4"/>
  <c r="F4574" i="4"/>
  <c r="F5067" i="4"/>
  <c r="E5057" i="4"/>
  <c r="E5062" i="4"/>
  <c r="E5034" i="4"/>
  <c r="E5061" i="4"/>
  <c r="E5047" i="4"/>
  <c r="E5058" i="4"/>
  <c r="F5049" i="4"/>
  <c r="F5055" i="4"/>
  <c r="E5049" i="4"/>
  <c r="E5055" i="4"/>
  <c r="F4776" i="4"/>
  <c r="F5053" i="4"/>
  <c r="E4776" i="4"/>
  <c r="E5053" i="4"/>
  <c r="E4697" i="4"/>
  <c r="E5051" i="4"/>
  <c r="E4897" i="4"/>
  <c r="E5052" i="4"/>
  <c r="E5002" i="4"/>
  <c r="E5046" i="4"/>
  <c r="E5043" i="4"/>
  <c r="E5045" i="4"/>
  <c r="E5038" i="4"/>
  <c r="E5039" i="4"/>
  <c r="F5030" i="4"/>
  <c r="F5037" i="4"/>
  <c r="E5030" i="4"/>
  <c r="E5037" i="4"/>
  <c r="E4418" i="4"/>
  <c r="E5035" i="4"/>
  <c r="E4994" i="4"/>
  <c r="E5036" i="4"/>
  <c r="E4836" i="4"/>
  <c r="E5032" i="4"/>
  <c r="E5011" i="4"/>
  <c r="E5031" i="4"/>
  <c r="E5014" i="4"/>
  <c r="E5026" i="4"/>
  <c r="E5016" i="4"/>
  <c r="E5028" i="4"/>
  <c r="E5022" i="4"/>
  <c r="E5025" i="4"/>
  <c r="E5015" i="4"/>
  <c r="E5020" i="4"/>
  <c r="F4992" i="4"/>
  <c r="F5024" i="4"/>
  <c r="F5005" i="4"/>
  <c r="F5021" i="4"/>
  <c r="E4992" i="4"/>
  <c r="G4992" i="4" s="1"/>
  <c r="E5024" i="4"/>
  <c r="G5024" i="4" s="1"/>
  <c r="E5005" i="4"/>
  <c r="G5005" i="4" s="1"/>
  <c r="E5021" i="4"/>
  <c r="G5021" i="4" s="1"/>
  <c r="E5004" i="4"/>
  <c r="E5018" i="4"/>
  <c r="F5004" i="4"/>
  <c r="F5018" i="4"/>
  <c r="F5009" i="4"/>
  <c r="F5012" i="4"/>
  <c r="E4970" i="4"/>
  <c r="E5013" i="4"/>
  <c r="F4970" i="4"/>
  <c r="F5013" i="4"/>
  <c r="E5009" i="4"/>
  <c r="E5012" i="4"/>
  <c r="E4993" i="4"/>
  <c r="E5010" i="4"/>
  <c r="E5000" i="4"/>
  <c r="E5008" i="4"/>
  <c r="E4952" i="4"/>
  <c r="E5007" i="4"/>
  <c r="F4952" i="4"/>
  <c r="F5007" i="4"/>
  <c r="F4938" i="4"/>
  <c r="F5003" i="4"/>
  <c r="F4986" i="4"/>
  <c r="F5001" i="4"/>
  <c r="E4938" i="4"/>
  <c r="G4938" i="4" s="1"/>
  <c r="E5003" i="4"/>
  <c r="F4593" i="4"/>
  <c r="F4999" i="4"/>
  <c r="E4986" i="4"/>
  <c r="E5001" i="4"/>
  <c r="E4979" i="4"/>
  <c r="E4997" i="4"/>
  <c r="E3120" i="4"/>
  <c r="E4996" i="4"/>
  <c r="F2573" i="4"/>
  <c r="F4996" i="4"/>
  <c r="E4960" i="4"/>
  <c r="E4991" i="4"/>
  <c r="E4869" i="4"/>
  <c r="E4995" i="4"/>
  <c r="F4971" i="4"/>
  <c r="F4984" i="4"/>
  <c r="F4988" i="4"/>
  <c r="E4860" i="4"/>
  <c r="E4985" i="4"/>
  <c r="E4987" i="4"/>
  <c r="E4971" i="4"/>
  <c r="E4984" i="4"/>
  <c r="E4988" i="4"/>
  <c r="E4928" i="4"/>
  <c r="E4983" i="4"/>
  <c r="E4665" i="4"/>
  <c r="E4978" i="4"/>
  <c r="F4665" i="4"/>
  <c r="F4978" i="4"/>
  <c r="E4910" i="4"/>
  <c r="E4967" i="4"/>
  <c r="E4932" i="4"/>
  <c r="E4968" i="4"/>
  <c r="E4934" i="4"/>
  <c r="E4966" i="4"/>
  <c r="F4946" i="4"/>
  <c r="F4964" i="4"/>
  <c r="F4950" i="4"/>
  <c r="F4965" i="4"/>
  <c r="E4950" i="4"/>
  <c r="E4965" i="4"/>
  <c r="E4946" i="4"/>
  <c r="E4964" i="4"/>
  <c r="F4898" i="4"/>
  <c r="F4962" i="4"/>
  <c r="E4900" i="4"/>
  <c r="E4963" i="4"/>
  <c r="F4900" i="4"/>
  <c r="F4963" i="4"/>
  <c r="E4898" i="4"/>
  <c r="E4962" i="4"/>
  <c r="E3930" i="4"/>
  <c r="E4961" i="4"/>
  <c r="E4957" i="4"/>
  <c r="E4959" i="4"/>
  <c r="G4958" i="4"/>
  <c r="E4916" i="4"/>
  <c r="E4956" i="4"/>
  <c r="E4949" i="4"/>
  <c r="E4955" i="4"/>
  <c r="E4917" i="4"/>
  <c r="E4954" i="4"/>
  <c r="F4766" i="4"/>
  <c r="E4766" i="4"/>
  <c r="E4948" i="4"/>
  <c r="F4943" i="4"/>
  <c r="F4947" i="4"/>
  <c r="E4943" i="4"/>
  <c r="E4947" i="4"/>
  <c r="E4864" i="4"/>
  <c r="E4945" i="4"/>
  <c r="E2444" i="4"/>
  <c r="E4944" i="4"/>
  <c r="F2517" i="4"/>
  <c r="F4944" i="4"/>
  <c r="E4873" i="4"/>
  <c r="E4942" i="4"/>
  <c r="F4845" i="4"/>
  <c r="F4940" i="4"/>
  <c r="F4929" i="4"/>
  <c r="F4941" i="4"/>
  <c r="E4845" i="4"/>
  <c r="G4845" i="4" s="1"/>
  <c r="E4940" i="4"/>
  <c r="G4940" i="4" s="1"/>
  <c r="E4929" i="4"/>
  <c r="G4929" i="4" s="1"/>
  <c r="E4941" i="4"/>
  <c r="G4941" i="4" s="1"/>
  <c r="E4837" i="4"/>
  <c r="E4936" i="4"/>
  <c r="E4613" i="4"/>
  <c r="E4935" i="4"/>
  <c r="E4915" i="4"/>
  <c r="E4930" i="4"/>
  <c r="F4915" i="4"/>
  <c r="F4930" i="4"/>
  <c r="F4893" i="4"/>
  <c r="F4924" i="4"/>
  <c r="E4813" i="4"/>
  <c r="E4926" i="4"/>
  <c r="F4921" i="4"/>
  <c r="F4925" i="4"/>
  <c r="E4921" i="4"/>
  <c r="E4925" i="4"/>
  <c r="E4887" i="4"/>
  <c r="E4923" i="4"/>
  <c r="E4893" i="4"/>
  <c r="E4924" i="4"/>
  <c r="F4906" i="4"/>
  <c r="F4922" i="4"/>
  <c r="E4906" i="4"/>
  <c r="E4922" i="4"/>
  <c r="F4863" i="4"/>
  <c r="F4919" i="4"/>
  <c r="E4863" i="4"/>
  <c r="E4919" i="4"/>
  <c r="E4891" i="4"/>
  <c r="E4912" i="4"/>
  <c r="E4877" i="4"/>
  <c r="E4911" i="4"/>
  <c r="E4904" i="4"/>
  <c r="E4909" i="4"/>
  <c r="E4905" i="4"/>
  <c r="E4907" i="4"/>
  <c r="F4905" i="4"/>
  <c r="F4907" i="4"/>
  <c r="E4757" i="4"/>
  <c r="E4901" i="4"/>
  <c r="F4757" i="4"/>
  <c r="F4901" i="4"/>
  <c r="E3094" i="4"/>
  <c r="E4902" i="4"/>
  <c r="E4896" i="4"/>
  <c r="E4895" i="4"/>
  <c r="F4762" i="4"/>
  <c r="F4894" i="4"/>
  <c r="E4762" i="4"/>
  <c r="E4894" i="4"/>
  <c r="F4888" i="4"/>
  <c r="F4890" i="4"/>
  <c r="E4888" i="4"/>
  <c r="E4890" i="4"/>
  <c r="E4884" i="4"/>
  <c r="E4889" i="4"/>
  <c r="F4876" i="4"/>
  <c r="F4886" i="4"/>
  <c r="E4876" i="4"/>
  <c r="E4886" i="4"/>
  <c r="E4842" i="4"/>
  <c r="E4885" i="4"/>
  <c r="F4842" i="4"/>
  <c r="F4885" i="4"/>
  <c r="G4882" i="4"/>
  <c r="E4866" i="4"/>
  <c r="E4881" i="4"/>
  <c r="E4867" i="4"/>
  <c r="E4880" i="4"/>
  <c r="F4867" i="4"/>
  <c r="F4880" i="4"/>
  <c r="E2369" i="4"/>
  <c r="E4878" i="4"/>
  <c r="F2552" i="4"/>
  <c r="F4878" i="4"/>
  <c r="E4778" i="4"/>
  <c r="E4875" i="4"/>
  <c r="E4798" i="4"/>
  <c r="E4872" i="4"/>
  <c r="E4815" i="4"/>
  <c r="E4870" i="4"/>
  <c r="F4815" i="4"/>
  <c r="F4870" i="4"/>
  <c r="E4708" i="4"/>
  <c r="E4868" i="4"/>
  <c r="F4708" i="4"/>
  <c r="F4868" i="4"/>
  <c r="E4791" i="4"/>
  <c r="E4865" i="4"/>
  <c r="F4791" i="4"/>
  <c r="F4865" i="4"/>
  <c r="E4859" i="4"/>
  <c r="E4862" i="4"/>
  <c r="F4849" i="4"/>
  <c r="F4858" i="4"/>
  <c r="E4849" i="4"/>
  <c r="E4858" i="4"/>
  <c r="F4707" i="4"/>
  <c r="F4856" i="4"/>
  <c r="E4707" i="4"/>
  <c r="E4856" i="4"/>
  <c r="E4839" i="4"/>
  <c r="E4851" i="4"/>
  <c r="E4731" i="4"/>
  <c r="E4852" i="4"/>
  <c r="E4496" i="4"/>
  <c r="E4853" i="4"/>
  <c r="E4846" i="4"/>
  <c r="E4850" i="4"/>
  <c r="F4796" i="4"/>
  <c r="F4848" i="4"/>
  <c r="E4796" i="4"/>
  <c r="E4848" i="4"/>
  <c r="E4715" i="4"/>
  <c r="E4847" i="4"/>
  <c r="F4715" i="4"/>
  <c r="F4847" i="4"/>
  <c r="E4667" i="4"/>
  <c r="E4844" i="4"/>
  <c r="F4667" i="4"/>
  <c r="F4844" i="4"/>
  <c r="E4010" i="4"/>
  <c r="E4843" i="4"/>
  <c r="E4741" i="4"/>
  <c r="E4841" i="4"/>
  <c r="E4829" i="4"/>
  <c r="E4840" i="4"/>
  <c r="F4741" i="4"/>
  <c r="F4841" i="4"/>
  <c r="E4711" i="4"/>
  <c r="E4838" i="4"/>
  <c r="F4711" i="4"/>
  <c r="F4838" i="4"/>
  <c r="E4670" i="4"/>
  <c r="E4835" i="4"/>
  <c r="F4670" i="4"/>
  <c r="F4835" i="4"/>
  <c r="E4744" i="4"/>
  <c r="E4834" i="4"/>
  <c r="E4703" i="4"/>
  <c r="E4833" i="4"/>
  <c r="E4830" i="4"/>
  <c r="E4832" i="4"/>
  <c r="E4820" i="4"/>
  <c r="E4831" i="4"/>
  <c r="F4820" i="4"/>
  <c r="F4831" i="4"/>
  <c r="E4805" i="4"/>
  <c r="E4828" i="4"/>
  <c r="E4770" i="4"/>
  <c r="E4827" i="4"/>
  <c r="E4299" i="4"/>
  <c r="E4826" i="4"/>
  <c r="F4299" i="4"/>
  <c r="F4826" i="4"/>
  <c r="E4822" i="4"/>
  <c r="E4825" i="4"/>
  <c r="F4819" i="4"/>
  <c r="F4824" i="4"/>
  <c r="E4811" i="4"/>
  <c r="E4823" i="4"/>
  <c r="E4819" i="4"/>
  <c r="G4819" i="4" s="1"/>
  <c r="E4824" i="4"/>
  <c r="E4800" i="4"/>
  <c r="E4821" i="4"/>
  <c r="F4809" i="4"/>
  <c r="F4817" i="4"/>
  <c r="E4809" i="4"/>
  <c r="E4817" i="4"/>
  <c r="F4802" i="4"/>
  <c r="F4818" i="4"/>
  <c r="E4802" i="4"/>
  <c r="E4818" i="4"/>
  <c r="E4749" i="4"/>
  <c r="E4816" i="4"/>
  <c r="F4749" i="4"/>
  <c r="F4816" i="4"/>
  <c r="E4799" i="4"/>
  <c r="E4814" i="4"/>
  <c r="E4747" i="4"/>
  <c r="E4812" i="4"/>
  <c r="F4747" i="4"/>
  <c r="F4812" i="4"/>
  <c r="E4794" i="4"/>
  <c r="E4810" i="4"/>
  <c r="F4794" i="4"/>
  <c r="F4672" i="4"/>
  <c r="F4808" i="4"/>
  <c r="E4672" i="4"/>
  <c r="E4808" i="4"/>
  <c r="E4739" i="4"/>
  <c r="E4807" i="4"/>
  <c r="F4739" i="4"/>
  <c r="F4807" i="4"/>
  <c r="E4497" i="4"/>
  <c r="E4806" i="4"/>
  <c r="F4497" i="4"/>
  <c r="F4806" i="4"/>
  <c r="E4583" i="4"/>
  <c r="E4803" i="4"/>
  <c r="G4804" i="4"/>
  <c r="E4793" i="4"/>
  <c r="E4801" i="4"/>
  <c r="E4288" i="4"/>
  <c r="E4797" i="4"/>
  <c r="E4785" i="4"/>
  <c r="E4795" i="4"/>
  <c r="E3381" i="4"/>
  <c r="E4792" i="4"/>
  <c r="E2099" i="4"/>
  <c r="E4790" i="4"/>
  <c r="E4788" i="4"/>
  <c r="E4789" i="4"/>
  <c r="G4787" i="4"/>
  <c r="F4775" i="4"/>
  <c r="F4786" i="4"/>
  <c r="E4775" i="4"/>
  <c r="E4786" i="4"/>
  <c r="E4777" i="4"/>
  <c r="E4782" i="4"/>
  <c r="E4783" i="4"/>
  <c r="F4165" i="4"/>
  <c r="F4784" i="4"/>
  <c r="E4724" i="4"/>
  <c r="E4781" i="4"/>
  <c r="E4165" i="4"/>
  <c r="G4165" i="4" s="1"/>
  <c r="E4784" i="4"/>
  <c r="E4523" i="4"/>
  <c r="E4779" i="4"/>
  <c r="E4772" i="4"/>
  <c r="E4773" i="4"/>
  <c r="F4773" i="4"/>
  <c r="F4638" i="4"/>
  <c r="G4638" i="4" s="1"/>
  <c r="F4774" i="4"/>
  <c r="G4774" i="4" s="1"/>
  <c r="E4162" i="4"/>
  <c r="E4771" i="4"/>
  <c r="E4745" i="4"/>
  <c r="E4763" i="4"/>
  <c r="E4768" i="4"/>
  <c r="E4753" i="4"/>
  <c r="E4769" i="4"/>
  <c r="E4722" i="4"/>
  <c r="E4767" i="4"/>
  <c r="F4745" i="4"/>
  <c r="F4768" i="4"/>
  <c r="F4763" i="4"/>
  <c r="E4705" i="4"/>
  <c r="E4764" i="4"/>
  <c r="E4736" i="4"/>
  <c r="E4761" i="4"/>
  <c r="F4720" i="4"/>
  <c r="F4760" i="4"/>
  <c r="E4720" i="4"/>
  <c r="E4760" i="4"/>
  <c r="E4678" i="4"/>
  <c r="E4758" i="4"/>
  <c r="E3185" i="4"/>
  <c r="E4759" i="4"/>
  <c r="F4678" i="4"/>
  <c r="F4758" i="4"/>
  <c r="E4690" i="4"/>
  <c r="E4755" i="4"/>
  <c r="E4750" i="4"/>
  <c r="E4725" i="4"/>
  <c r="E4754" i="4"/>
  <c r="F4725" i="4"/>
  <c r="F4754" i="4"/>
  <c r="F4659" i="4"/>
  <c r="F4748" i="4"/>
  <c r="E4659" i="4"/>
  <c r="E4748" i="4"/>
  <c r="E4742" i="4"/>
  <c r="E4746" i="4"/>
  <c r="E4738" i="4"/>
  <c r="E4743" i="4"/>
  <c r="F4738" i="4"/>
  <c r="F4743" i="4"/>
  <c r="E4729" i="4"/>
  <c r="E4740" i="4"/>
  <c r="E4733" i="4"/>
  <c r="E4737" i="4"/>
  <c r="F4733" i="4"/>
  <c r="F4737" i="4"/>
  <c r="E4712" i="4"/>
  <c r="E4735" i="4"/>
  <c r="F4712" i="4"/>
  <c r="F4735" i="4"/>
  <c r="E4666" i="4"/>
  <c r="E4734" i="4"/>
  <c r="F4666" i="4"/>
  <c r="F4734" i="4"/>
  <c r="E4103" i="4"/>
  <c r="E4732" i="4"/>
  <c r="F4704" i="4"/>
  <c r="F4730" i="4"/>
  <c r="E4704" i="4"/>
  <c r="E4730" i="4"/>
  <c r="E4727" i="4"/>
  <c r="E4728" i="4"/>
  <c r="F4727" i="4"/>
  <c r="F4728" i="4"/>
  <c r="E4224" i="4"/>
  <c r="E4723" i="4"/>
  <c r="F4224" i="4"/>
  <c r="F4723" i="4"/>
  <c r="E4709" i="4"/>
  <c r="E4721" i="4"/>
  <c r="F4693" i="4"/>
  <c r="F4719" i="4"/>
  <c r="E4710" i="4"/>
  <c r="E4718" i="4"/>
  <c r="E4693" i="4"/>
  <c r="G4693" i="4" s="1"/>
  <c r="E4719" i="4"/>
  <c r="G4719" i="4" s="1"/>
  <c r="E4422" i="4"/>
  <c r="E4716" i="4"/>
  <c r="E4676" i="4"/>
  <c r="E4717" i="4"/>
  <c r="E4702" i="4"/>
  <c r="E4714" i="4"/>
  <c r="F4504" i="4"/>
  <c r="F4713" i="4"/>
  <c r="E4504" i="4"/>
  <c r="E4713" i="4"/>
  <c r="E3129" i="4"/>
  <c r="E4706" i="4"/>
  <c r="F3129" i="4"/>
  <c r="F4706" i="4"/>
  <c r="F4698" i="4"/>
  <c r="F4701" i="4"/>
  <c r="E4698" i="4"/>
  <c r="E4701" i="4"/>
  <c r="E4627" i="4"/>
  <c r="E4700" i="4"/>
  <c r="E4664" i="4"/>
  <c r="E4699" i="4"/>
  <c r="G4695" i="4"/>
  <c r="F4632" i="4"/>
  <c r="F4692" i="4"/>
  <c r="E4673" i="4"/>
  <c r="E4691" i="4"/>
  <c r="E4632" i="4"/>
  <c r="E4692" i="4"/>
  <c r="G4692" i="4" s="1"/>
  <c r="E4637" i="4"/>
  <c r="E4694" i="4"/>
  <c r="E4172" i="4"/>
  <c r="E4689" i="4"/>
  <c r="F4172" i="4"/>
  <c r="F4689" i="4"/>
  <c r="E4559" i="4"/>
  <c r="E4688" i="4"/>
  <c r="E4579" i="4"/>
  <c r="E4687" i="4"/>
  <c r="F4634" i="4"/>
  <c r="F4685" i="4"/>
  <c r="E4669" i="4"/>
  <c r="E4682" i="4"/>
  <c r="F4669" i="4"/>
  <c r="F4682" i="4"/>
  <c r="E4557" i="4"/>
  <c r="E4683" i="4"/>
  <c r="E4505" i="4"/>
  <c r="E4681" i="4"/>
  <c r="E4671" i="4"/>
  <c r="E4684" i="4"/>
  <c r="E4358" i="4"/>
  <c r="E4686" i="4"/>
  <c r="E4634" i="4"/>
  <c r="E4685" i="4"/>
  <c r="E4289" i="4"/>
  <c r="E4679" i="4"/>
  <c r="E4674" i="4"/>
  <c r="E4680" i="4"/>
  <c r="E2424" i="4"/>
  <c r="E4675" i="4"/>
  <c r="E4653" i="4"/>
  <c r="E4668" i="4"/>
  <c r="F1137" i="4"/>
  <c r="E1137" i="4"/>
  <c r="F1096" i="4"/>
  <c r="E1096" i="4"/>
  <c r="F1049" i="4"/>
  <c r="E1049" i="4"/>
  <c r="F1044" i="4"/>
  <c r="E1044" i="4"/>
  <c r="E1039" i="4"/>
  <c r="F1039" i="4"/>
  <c r="F996" i="4"/>
  <c r="E996" i="4"/>
  <c r="F984" i="4"/>
  <c r="E984" i="4"/>
  <c r="E972" i="4"/>
  <c r="F972" i="4"/>
  <c r="F960" i="4"/>
  <c r="E960" i="4"/>
  <c r="E956" i="4"/>
  <c r="F956" i="4"/>
  <c r="F936" i="4"/>
  <c r="E936" i="4"/>
  <c r="F911" i="4"/>
  <c r="E911" i="4"/>
  <c r="F879" i="4"/>
  <c r="E879" i="4"/>
  <c r="F843" i="4"/>
  <c r="E843" i="4"/>
  <c r="F839" i="4"/>
  <c r="E839" i="4"/>
  <c r="E831" i="4"/>
  <c r="F831" i="4"/>
  <c r="F823" i="4"/>
  <c r="E823" i="4"/>
  <c r="F815" i="4"/>
  <c r="E815" i="4"/>
  <c r="F714" i="4"/>
  <c r="E714" i="4"/>
  <c r="F710" i="4"/>
  <c r="E710" i="4"/>
  <c r="E706" i="4"/>
  <c r="F706" i="4"/>
  <c r="F690" i="4"/>
  <c r="E690" i="4"/>
  <c r="E678" i="4"/>
  <c r="F678" i="4"/>
  <c r="E661" i="4"/>
  <c r="F661" i="4"/>
  <c r="F657" i="4"/>
  <c r="E657" i="4"/>
  <c r="F653" i="4"/>
  <c r="E653" i="4"/>
  <c r="F644" i="4"/>
  <c r="E644" i="4"/>
  <c r="F640" i="4"/>
  <c r="E640" i="4"/>
  <c r="F628" i="4"/>
  <c r="E628" i="4"/>
  <c r="F624" i="4"/>
  <c r="E624" i="4"/>
  <c r="F564" i="4"/>
  <c r="E564" i="4"/>
  <c r="G496" i="4"/>
  <c r="G462" i="4"/>
  <c r="E1516" i="4"/>
  <c r="F1516" i="4"/>
  <c r="F1231" i="4"/>
  <c r="E1231" i="4"/>
  <c r="E1215" i="4"/>
  <c r="G1215" i="4" s="1"/>
  <c r="F1302" i="4"/>
  <c r="E1302" i="4"/>
  <c r="F1274" i="4"/>
  <c r="E1274" i="4"/>
  <c r="F1152" i="4"/>
  <c r="E1152" i="4"/>
  <c r="F1042" i="4"/>
  <c r="E1042" i="4"/>
  <c r="F1018" i="4"/>
  <c r="E1018" i="4"/>
  <c r="F995" i="4"/>
  <c r="E995" i="4"/>
  <c r="F979" i="4"/>
  <c r="E979" i="4"/>
  <c r="E975" i="4"/>
  <c r="F975" i="4"/>
  <c r="F967" i="4"/>
  <c r="E967" i="4"/>
  <c r="F890" i="4"/>
  <c r="E890" i="4"/>
  <c r="E882" i="4"/>
  <c r="F882" i="4"/>
  <c r="F878" i="4"/>
  <c r="E878" i="4"/>
  <c r="F862" i="4"/>
  <c r="E862" i="4"/>
  <c r="F818" i="4"/>
  <c r="E818" i="4"/>
  <c r="F697" i="4"/>
  <c r="E697" i="4"/>
  <c r="F652" i="4"/>
  <c r="E652" i="4"/>
  <c r="G461" i="4"/>
  <c r="G316" i="4"/>
  <c r="G279" i="4"/>
  <c r="G190" i="4"/>
  <c r="G89" i="4"/>
  <c r="G69" i="4"/>
  <c r="G65" i="4"/>
  <c r="F1391" i="4"/>
  <c r="E1391" i="4"/>
  <c r="F1125" i="4"/>
  <c r="E1125" i="4"/>
  <c r="F1004" i="4"/>
  <c r="G1004" i="4" s="1"/>
  <c r="E1223" i="4"/>
  <c r="G1223" i="4" s="1"/>
  <c r="F1198" i="4"/>
  <c r="E1198" i="4"/>
  <c r="F1186" i="4"/>
  <c r="E1186" i="4"/>
  <c r="F1087" i="4"/>
  <c r="E1087" i="4"/>
  <c r="E1060" i="4"/>
  <c r="F1060" i="4"/>
  <c r="F991" i="4"/>
  <c r="E991" i="4"/>
  <c r="F987" i="4"/>
  <c r="E987" i="4"/>
  <c r="F746" i="4"/>
  <c r="E746" i="4"/>
  <c r="F725" i="4"/>
  <c r="E725" i="4"/>
  <c r="E571" i="4"/>
  <c r="F571" i="4"/>
  <c r="F563" i="4"/>
  <c r="E563" i="4"/>
  <c r="G503" i="4"/>
  <c r="G435" i="4"/>
  <c r="E1352" i="4"/>
  <c r="G1352" i="4" s="1"/>
  <c r="F883" i="4"/>
  <c r="G883" i="4" s="1"/>
  <c r="E1356" i="4"/>
  <c r="G1356" i="4" s="1"/>
  <c r="F1331" i="4"/>
  <c r="G1331" i="4" s="1"/>
  <c r="F1605" i="4"/>
  <c r="G1605" i="4" s="1"/>
  <c r="F722" i="4"/>
  <c r="G722" i="4" s="1"/>
  <c r="F830" i="4"/>
  <c r="G830" i="4" s="1"/>
  <c r="E1303" i="4"/>
  <c r="G1303" i="4" s="1"/>
  <c r="F1278" i="4"/>
  <c r="G1278" i="4" s="1"/>
  <c r="F1219" i="4"/>
  <c r="G1219" i="4" s="1"/>
  <c r="E1348" i="4"/>
  <c r="G1348" i="4" s="1"/>
  <c r="F1258" i="4"/>
  <c r="G1258" i="4" s="1"/>
  <c r="F768" i="4"/>
  <c r="G768" i="4" s="1"/>
  <c r="F1019" i="4"/>
  <c r="G1019" i="4" s="1"/>
  <c r="F980" i="4"/>
  <c r="G980" i="4" s="1"/>
  <c r="F1179" i="4"/>
  <c r="G1179" i="4" s="1"/>
  <c r="F1255" i="4"/>
  <c r="G1255" i="4" s="1"/>
  <c r="E729" i="4"/>
  <c r="G729" i="4" s="1"/>
  <c r="E866" i="4"/>
  <c r="G866" i="4" s="1"/>
  <c r="E600" i="4"/>
  <c r="G600" i="4" s="1"/>
  <c r="E976" i="4"/>
  <c r="G976" i="4" s="1"/>
  <c r="E1132" i="4"/>
  <c r="G1132" i="4" s="1"/>
  <c r="E1316" i="4"/>
  <c r="G1316" i="4" s="1"/>
  <c r="E1084" i="4"/>
  <c r="G1084" i="4" s="1"/>
  <c r="E1171" i="4"/>
  <c r="G1171" i="4" s="1"/>
  <c r="E1259" i="4"/>
  <c r="G1259" i="4" s="1"/>
  <c r="F583" i="4"/>
  <c r="G583" i="4" s="1"/>
  <c r="F1149" i="4"/>
  <c r="G1149" i="4" s="1"/>
  <c r="F1038" i="4"/>
  <c r="G1038" i="4" s="1"/>
  <c r="F790" i="4"/>
  <c r="G790" i="4" s="1"/>
  <c r="F1239" i="4"/>
  <c r="E1239" i="4"/>
  <c r="F1199" i="4"/>
  <c r="E1199" i="4"/>
  <c r="F1183" i="4"/>
  <c r="E1183" i="4"/>
  <c r="F932" i="4"/>
  <c r="G932" i="4" s="1"/>
  <c r="F1175" i="4"/>
  <c r="G1175" i="4" s="1"/>
  <c r="E895" i="4"/>
  <c r="G895" i="4" s="1"/>
  <c r="F1166" i="4"/>
  <c r="E1166" i="4"/>
  <c r="F1156" i="4"/>
  <c r="E1156" i="4"/>
  <c r="F1136" i="4"/>
  <c r="E1136" i="4"/>
  <c r="F1119" i="4"/>
  <c r="E1119" i="4"/>
  <c r="F1115" i="4"/>
  <c r="E1115" i="4"/>
  <c r="E959" i="4"/>
  <c r="F959" i="4"/>
  <c r="F826" i="4"/>
  <c r="E826" i="4"/>
  <c r="E810" i="4"/>
  <c r="F810" i="4"/>
  <c r="E1360" i="4"/>
  <c r="G1360" i="4" s="1"/>
  <c r="F907" i="4"/>
  <c r="G907" i="4" s="1"/>
  <c r="F924" i="4"/>
  <c r="G924" i="4" s="1"/>
  <c r="F1275" i="4"/>
  <c r="G1275" i="4" s="1"/>
  <c r="F1295" i="4"/>
  <c r="G1295" i="4" s="1"/>
  <c r="G354" i="4"/>
  <c r="F1067" i="4"/>
  <c r="G1067" i="4" s="1"/>
  <c r="F1308" i="4"/>
  <c r="G1308" i="4" s="1"/>
  <c r="F944" i="4"/>
  <c r="G944" i="4" s="1"/>
  <c r="F1218" i="4"/>
  <c r="G1218" i="4" s="1"/>
  <c r="F1262" i="4"/>
  <c r="G1262" i="4" s="1"/>
  <c r="F935" i="4"/>
  <c r="G935" i="4" s="1"/>
  <c r="F1023" i="4"/>
  <c r="G1023" i="4" s="1"/>
  <c r="F1254" i="4"/>
  <c r="G1254" i="4" s="1"/>
  <c r="F1052" i="4"/>
  <c r="G1052" i="4" s="1"/>
  <c r="F764" i="4"/>
  <c r="G764" i="4" s="1"/>
  <c r="E623" i="4"/>
  <c r="G623" i="4" s="1"/>
  <c r="E870" i="4"/>
  <c r="G870" i="4" s="1"/>
  <c r="E918" i="4"/>
  <c r="G918" i="4" s="1"/>
  <c r="E983" i="4"/>
  <c r="G983" i="4" s="1"/>
  <c r="E608" i="4"/>
  <c r="G608" i="4" s="1"/>
  <c r="E1144" i="4"/>
  <c r="G1144" i="4" s="1"/>
  <c r="E1433" i="4"/>
  <c r="G1433" i="4" s="1"/>
  <c r="F1148" i="4"/>
  <c r="G1148" i="4" s="1"/>
  <c r="F718" i="4"/>
  <c r="G718" i="4" s="1"/>
  <c r="G532" i="4"/>
  <c r="G333" i="4"/>
  <c r="G239" i="4"/>
  <c r="G178" i="4"/>
  <c r="G21" i="4"/>
  <c r="F1833" i="4"/>
  <c r="G1833" i="4" s="1"/>
  <c r="F1838" i="4"/>
  <c r="G1838" i="4" s="1"/>
  <c r="E1830" i="4"/>
  <c r="F1830" i="4"/>
  <c r="F1839" i="4"/>
  <c r="E1839" i="4"/>
  <c r="E1859" i="4"/>
  <c r="F1859" i="4"/>
  <c r="E1881" i="4"/>
  <c r="F1881" i="4"/>
  <c r="G423" i="4"/>
  <c r="F673" i="4"/>
  <c r="G673" i="4" s="1"/>
  <c r="G427" i="4"/>
  <c r="G411" i="4"/>
  <c r="G371" i="4"/>
  <c r="G320" i="4"/>
  <c r="G134" i="4"/>
  <c r="G126" i="4"/>
  <c r="G9" i="4"/>
  <c r="F1813" i="4"/>
  <c r="G1813" i="4" s="1"/>
  <c r="F1421" i="4"/>
  <c r="G1421" i="4" s="1"/>
  <c r="F3006" i="4"/>
  <c r="G3006" i="4" s="1"/>
  <c r="G388" i="4"/>
  <c r="F1088" i="4"/>
  <c r="G1088" i="4" s="1"/>
  <c r="G473" i="4"/>
  <c r="G403" i="4"/>
  <c r="G342" i="4"/>
  <c r="G312" i="4"/>
  <c r="G263" i="4"/>
  <c r="G243" i="4"/>
  <c r="G174" i="4"/>
  <c r="G101" i="4"/>
  <c r="F3019" i="4"/>
  <c r="G3019" i="4" s="1"/>
  <c r="G3804" i="4"/>
  <c r="E4282" i="4"/>
  <c r="E4663" i="4"/>
  <c r="F4282" i="4"/>
  <c r="F4663" i="4"/>
  <c r="E4550" i="4"/>
  <c r="E4660" i="4"/>
  <c r="G4658" i="4"/>
  <c r="F4640" i="4"/>
  <c r="F4657" i="4"/>
  <c r="E4640" i="4"/>
  <c r="E4657" i="4"/>
  <c r="E4577" i="4"/>
  <c r="E4656" i="4"/>
  <c r="E4596" i="4"/>
  <c r="E4654" i="4"/>
  <c r="E4607" i="4"/>
  <c r="E4651" i="4"/>
  <c r="F4607" i="4"/>
  <c r="F4651" i="4"/>
  <c r="E4646" i="4"/>
  <c r="E4650" i="4"/>
  <c r="E4641" i="4"/>
  <c r="E4649" i="4"/>
  <c r="B67" i="12" s="1"/>
  <c r="F4616" i="4"/>
  <c r="F4648" i="4"/>
  <c r="E4616" i="4"/>
  <c r="E4648" i="4"/>
  <c r="E4624" i="4"/>
  <c r="E4647" i="4"/>
  <c r="F4624" i="4"/>
  <c r="F4647" i="4"/>
  <c r="F4214" i="4"/>
  <c r="F4645" i="4"/>
  <c r="E4214" i="4"/>
  <c r="E4645" i="4"/>
  <c r="F4600" i="4"/>
  <c r="F4644" i="4"/>
  <c r="E4600" i="4"/>
  <c r="E4644" i="4"/>
  <c r="F4153" i="4"/>
  <c r="F4643" i="4"/>
  <c r="E4153" i="4"/>
  <c r="E4643" i="4"/>
  <c r="E4633" i="4"/>
  <c r="E4642" i="4"/>
  <c r="E4597" i="4"/>
  <c r="E4636" i="4"/>
  <c r="E4233" i="4"/>
  <c r="E4635" i="4"/>
  <c r="F4233" i="4"/>
  <c r="F4635" i="4"/>
  <c r="F4535" i="4"/>
  <c r="F4631" i="4"/>
  <c r="E4535" i="4"/>
  <c r="E4631" i="4"/>
  <c r="E4252" i="4"/>
  <c r="E4629" i="4"/>
  <c r="E4619" i="4"/>
  <c r="E4630" i="4"/>
  <c r="F4252" i="4"/>
  <c r="F4629" i="4"/>
  <c r="F4230" i="4"/>
  <c r="F4628" i="4"/>
  <c r="E4230" i="4"/>
  <c r="E4628" i="4"/>
  <c r="F4576" i="4"/>
  <c r="F4626" i="4"/>
  <c r="E4576" i="4"/>
  <c r="E4626" i="4"/>
  <c r="E4608" i="4"/>
  <c r="E4625" i="4"/>
  <c r="E4614" i="4"/>
  <c r="E4623" i="4"/>
  <c r="F4614" i="4"/>
  <c r="F4623" i="4"/>
  <c r="E4606" i="4"/>
  <c r="E4622" i="4"/>
  <c r="E4620" i="4"/>
  <c r="E4621" i="4"/>
  <c r="E4572" i="4"/>
  <c r="E4618" i="4"/>
  <c r="E4610" i="4"/>
  <c r="E4617" i="4"/>
  <c r="E2967" i="4"/>
  <c r="E4615" i="4"/>
  <c r="F2967" i="4"/>
  <c r="F4615" i="4"/>
  <c r="E4554" i="4"/>
  <c r="E4612" i="4"/>
  <c r="E4582" i="4"/>
  <c r="E4611" i="4"/>
  <c r="E4553" i="4"/>
  <c r="E4609" i="4"/>
  <c r="E4246" i="4"/>
  <c r="E4605" i="4"/>
  <c r="E4604" i="4"/>
  <c r="E4603" i="4"/>
  <c r="E4265" i="4"/>
  <c r="E4601" i="4"/>
  <c r="E4491" i="4"/>
  <c r="E4599" i="4"/>
  <c r="E4489" i="4"/>
  <c r="E4594" i="4"/>
  <c r="F4489" i="4"/>
  <c r="F4594" i="4"/>
  <c r="E4324" i="4"/>
  <c r="E4591" i="4"/>
  <c r="E4521" i="4"/>
  <c r="E4590" i="4"/>
  <c r="F4573" i="4"/>
  <c r="F4588" i="4"/>
  <c r="E4569" i="4"/>
  <c r="E4589" i="4"/>
  <c r="E4573" i="4"/>
  <c r="G4573" i="4" s="1"/>
  <c r="E4588" i="4"/>
  <c r="E4587" i="4"/>
  <c r="E4556" i="4"/>
  <c r="E4585" i="4"/>
  <c r="E4575" i="4"/>
  <c r="E4584" i="4"/>
  <c r="E4561" i="4"/>
  <c r="E4581" i="4"/>
  <c r="E4534" i="4"/>
  <c r="E4580" i="4"/>
  <c r="E4568" i="4"/>
  <c r="E4578" i="4"/>
  <c r="F4568" i="4"/>
  <c r="F4578" i="4"/>
  <c r="F4216" i="4"/>
  <c r="F4570" i="4"/>
  <c r="E4216" i="4"/>
  <c r="E4570" i="4"/>
  <c r="E4571" i="4"/>
  <c r="E4552" i="4"/>
  <c r="E4567" i="4"/>
  <c r="F4558" i="4"/>
  <c r="F4564" i="4"/>
  <c r="E4558" i="4"/>
  <c r="E4564" i="4"/>
  <c r="E3956" i="4"/>
  <c r="E4565" i="4"/>
  <c r="F3956" i="4"/>
  <c r="F4565" i="4"/>
  <c r="F4507" i="4"/>
  <c r="F4562" i="4"/>
  <c r="E4555" i="4"/>
  <c r="E4560" i="4"/>
  <c r="F4555" i="4"/>
  <c r="F4560" i="4"/>
  <c r="E4507" i="4"/>
  <c r="E4562" i="4"/>
  <c r="E4548" i="4"/>
  <c r="E4563" i="4"/>
  <c r="F4546" i="4"/>
  <c r="F4551" i="4"/>
  <c r="E4546" i="4"/>
  <c r="E4551" i="4"/>
  <c r="E4541" i="4"/>
  <c r="E4549" i="4"/>
  <c r="E4545" i="4"/>
  <c r="E4544" i="4"/>
  <c r="E4350" i="4"/>
  <c r="E4542" i="4"/>
  <c r="E4508" i="4"/>
  <c r="E4540" i="4"/>
  <c r="F4528" i="4"/>
  <c r="F4543" i="4"/>
  <c r="E4528" i="4"/>
  <c r="E4543" i="4"/>
  <c r="F4290" i="4"/>
  <c r="F4538" i="4"/>
  <c r="E4537" i="4"/>
  <c r="E4539" i="4"/>
  <c r="E4290" i="4"/>
  <c r="E4538" i="4"/>
  <c r="E4343" i="4"/>
  <c r="E4536" i="4"/>
  <c r="E4522" i="4"/>
  <c r="E4532" i="4"/>
  <c r="E4529" i="4"/>
  <c r="F3982" i="4"/>
  <c r="F4533" i="4"/>
  <c r="E4302" i="4"/>
  <c r="E4530" i="4"/>
  <c r="E3982" i="4"/>
  <c r="G3982" i="4" s="1"/>
  <c r="E4533" i="4"/>
  <c r="G4533" i="4" s="1"/>
  <c r="E4327" i="4"/>
  <c r="E4531" i="4"/>
  <c r="F4302" i="4"/>
  <c r="F4530" i="4"/>
  <c r="E4527" i="4"/>
  <c r="E4520" i="4"/>
  <c r="E4524" i="4"/>
  <c r="E4316" i="4"/>
  <c r="E4525" i="4"/>
  <c r="E4090" i="4"/>
  <c r="E4518" i="4"/>
  <c r="E4487" i="4"/>
  <c r="E4519" i="4"/>
  <c r="F1932" i="4"/>
  <c r="F4516" i="4"/>
  <c r="E3290" i="4"/>
  <c r="E4516" i="4"/>
  <c r="E4377" i="4"/>
  <c r="E4515" i="4"/>
  <c r="E4270" i="4"/>
  <c r="E4517" i="4"/>
  <c r="E4300" i="4"/>
  <c r="E4514" i="4"/>
  <c r="E4502" i="4"/>
  <c r="E4513" i="4"/>
  <c r="E4506" i="4"/>
  <c r="E4512" i="4"/>
  <c r="F4295" i="4"/>
  <c r="F4509" i="4"/>
  <c r="E4295" i="4"/>
  <c r="E4509" i="4"/>
  <c r="E4428" i="4"/>
  <c r="E4511" i="4"/>
  <c r="E4351" i="4"/>
  <c r="E4510" i="4"/>
  <c r="F3953" i="4"/>
  <c r="F4503" i="4"/>
  <c r="E3953" i="4"/>
  <c r="E4503" i="4"/>
  <c r="E4359" i="4"/>
  <c r="E4498" i="4"/>
  <c r="F4419" i="4"/>
  <c r="F4500" i="4"/>
  <c r="E4419" i="4"/>
  <c r="E4500" i="4"/>
  <c r="E3677" i="4"/>
  <c r="E4499" i="4"/>
  <c r="F3677" i="4"/>
  <c r="F4499" i="4"/>
  <c r="E4319" i="4"/>
  <c r="E4501" i="4"/>
  <c r="E4424" i="4"/>
  <c r="E4493" i="4"/>
  <c r="E4494" i="4"/>
  <c r="F4424" i="4"/>
  <c r="F4493" i="4"/>
  <c r="F4494" i="4"/>
  <c r="E4296" i="4"/>
  <c r="E4495" i="4"/>
  <c r="F2241" i="4"/>
  <c r="F4496" i="4"/>
  <c r="F4296" i="4"/>
  <c r="F4495" i="4"/>
  <c r="E4488" i="4"/>
  <c r="E4490" i="4"/>
  <c r="E4212" i="4"/>
  <c r="E4492" i="4"/>
  <c r="E4184" i="4"/>
  <c r="E4486" i="4"/>
  <c r="E4243" i="4"/>
  <c r="E4430" i="4"/>
  <c r="F4322" i="4"/>
  <c r="F4426" i="4"/>
  <c r="F4429" i="4"/>
  <c r="F4306" i="4"/>
  <c r="F4421" i="4"/>
  <c r="F4363" i="4"/>
  <c r="F4423" i="4"/>
  <c r="F4427" i="4"/>
  <c r="E4306" i="4"/>
  <c r="E4421" i="4"/>
  <c r="E4325" i="4"/>
  <c r="E4425" i="4"/>
  <c r="F4309" i="4"/>
  <c r="F4420" i="4"/>
  <c r="E4329" i="4"/>
  <c r="E4427" i="4"/>
  <c r="E4423" i="4"/>
  <c r="E4322" i="4"/>
  <c r="E4426" i="4"/>
  <c r="E4429" i="4"/>
  <c r="E4354" i="4"/>
  <c r="E4420" i="4"/>
  <c r="G4420" i="4" s="1"/>
  <c r="E3826" i="4"/>
  <c r="F3826" i="4"/>
  <c r="F3628" i="4"/>
  <c r="F3624" i="4"/>
  <c r="F3447" i="4"/>
  <c r="E3624" i="4"/>
  <c r="F3516" i="4"/>
  <c r="E3447" i="4"/>
  <c r="E4435" i="4"/>
  <c r="E4437" i="4"/>
  <c r="E4439" i="4"/>
  <c r="E4441" i="4"/>
  <c r="E4443" i="4"/>
  <c r="E4445" i="4"/>
  <c r="E4447" i="4"/>
  <c r="E4449" i="4"/>
  <c r="E4451" i="4"/>
  <c r="E4453" i="4"/>
  <c r="E4455" i="4"/>
  <c r="E4457" i="4"/>
  <c r="E4459" i="4"/>
  <c r="E4461" i="4"/>
  <c r="E4463" i="4"/>
  <c r="E4465" i="4"/>
  <c r="E4467" i="4"/>
  <c r="E4469" i="4"/>
  <c r="E4471" i="4"/>
  <c r="E4473" i="4"/>
  <c r="E4475" i="4"/>
  <c r="E4477" i="4"/>
  <c r="E4479" i="4"/>
  <c r="E4481" i="4"/>
  <c r="E4483" i="4"/>
  <c r="E4485" i="4"/>
  <c r="F4471" i="4"/>
  <c r="F4475" i="4"/>
  <c r="E4438" i="4"/>
  <c r="E4440" i="4"/>
  <c r="E4444" i="4"/>
  <c r="E4448" i="4"/>
  <c r="E4450" i="4"/>
  <c r="E4454" i="4"/>
  <c r="E4460" i="4"/>
  <c r="E4464" i="4"/>
  <c r="E4470" i="4"/>
  <c r="E4474" i="4"/>
  <c r="E4480" i="4"/>
  <c r="F4436" i="4"/>
  <c r="F4440" i="4"/>
  <c r="F4442" i="4"/>
  <c r="F4446" i="4"/>
  <c r="F4452" i="4"/>
  <c r="F4484" i="4"/>
  <c r="F4437" i="4"/>
  <c r="F4439" i="4"/>
  <c r="F4441" i="4"/>
  <c r="F4447" i="4"/>
  <c r="F4449" i="4"/>
  <c r="F4453" i="4"/>
  <c r="F4457" i="4"/>
  <c r="F4459" i="4"/>
  <c r="F4461" i="4"/>
  <c r="E4442" i="4"/>
  <c r="E4452" i="4"/>
  <c r="E4456" i="4"/>
  <c r="E4458" i="4"/>
  <c r="E4462" i="4"/>
  <c r="E4466" i="4"/>
  <c r="E4472" i="4"/>
  <c r="E4478" i="4"/>
  <c r="E4484" i="4"/>
  <c r="F4456" i="4"/>
  <c r="F4464" i="4"/>
  <c r="F4470" i="4"/>
  <c r="F4478" i="4"/>
  <c r="F4482" i="4"/>
  <c r="E4468" i="4"/>
  <c r="E4476" i="4"/>
  <c r="E4482" i="4"/>
  <c r="F4438" i="4"/>
  <c r="F4454" i="4"/>
  <c r="F4474" i="4"/>
  <c r="E4378" i="4"/>
  <c r="E4379" i="4"/>
  <c r="F4379" i="4"/>
  <c r="E4380" i="4"/>
  <c r="E4381" i="4"/>
  <c r="F4381" i="4"/>
  <c r="E4382" i="4"/>
  <c r="E4383" i="4"/>
  <c r="E4384" i="4"/>
  <c r="F4384" i="4"/>
  <c r="E4385" i="4"/>
  <c r="E4386" i="4"/>
  <c r="F4386" i="4"/>
  <c r="E4387" i="4"/>
  <c r="E4388" i="4"/>
  <c r="F4388" i="4"/>
  <c r="E4389" i="4"/>
  <c r="E4390" i="4"/>
  <c r="E4391" i="4"/>
  <c r="F4391" i="4"/>
  <c r="E4392" i="4"/>
  <c r="E4393" i="4"/>
  <c r="E4394" i="4"/>
  <c r="E4395" i="4"/>
  <c r="F4395" i="4"/>
  <c r="E4396" i="4"/>
  <c r="F4396" i="4"/>
  <c r="E4397" i="4"/>
  <c r="E4398" i="4"/>
  <c r="F4398" i="4"/>
  <c r="E4399" i="4"/>
  <c r="E4400" i="4"/>
  <c r="E4401" i="4"/>
  <c r="E4402" i="4"/>
  <c r="F4402" i="4"/>
  <c r="E4403" i="4"/>
  <c r="E4404" i="4"/>
  <c r="F4404" i="4"/>
  <c r="E4405" i="4"/>
  <c r="F4405" i="4"/>
  <c r="E4406" i="4"/>
  <c r="E4407" i="4"/>
  <c r="E4408" i="4"/>
  <c r="F4408" i="4"/>
  <c r="E4409" i="4"/>
  <c r="E4410" i="4"/>
  <c r="F4410" i="4"/>
  <c r="E4411" i="4"/>
  <c r="F4411" i="4"/>
  <c r="E4412" i="4"/>
  <c r="E4413" i="4"/>
  <c r="E4414" i="4"/>
  <c r="E4415" i="4"/>
  <c r="F4415" i="4"/>
  <c r="E4431" i="4"/>
  <c r="E4432" i="4"/>
  <c r="E4433" i="4"/>
  <c r="E4434" i="4"/>
  <c r="F4434" i="4"/>
  <c r="C4318" i="4"/>
  <c r="E4376" i="4"/>
  <c r="F4375" i="4"/>
  <c r="E4374" i="4"/>
  <c r="E4375" i="4"/>
  <c r="E4373" i="4"/>
  <c r="F4374" i="4"/>
  <c r="E4372" i="4"/>
  <c r="E4370" i="4"/>
  <c r="E4371" i="4"/>
  <c r="F4369" i="4"/>
  <c r="E4368" i="4"/>
  <c r="E4369" i="4"/>
  <c r="E4367" i="4"/>
  <c r="E4366" i="4"/>
  <c r="E4365" i="4"/>
  <c r="F4364" i="4"/>
  <c r="E4364" i="4"/>
  <c r="E4363" i="4"/>
  <c r="F4362" i="4"/>
  <c r="E4362" i="4"/>
  <c r="E4361" i="4"/>
  <c r="F4361" i="4"/>
  <c r="E4360" i="4"/>
  <c r="E4357" i="4"/>
  <c r="E4356" i="4"/>
  <c r="F4355" i="4"/>
  <c r="E4355" i="4"/>
  <c r="F4354" i="4"/>
  <c r="F4353" i="4"/>
  <c r="E4353" i="4"/>
  <c r="E4352" i="4"/>
  <c r="F4349" i="4"/>
  <c r="E4349" i="4"/>
  <c r="E4348" i="4"/>
  <c r="E4347" i="4"/>
  <c r="E4346" i="4"/>
  <c r="F4345" i="4"/>
  <c r="E4345" i="4"/>
  <c r="E4344" i="4"/>
  <c r="F4344" i="4"/>
  <c r="E4342" i="4"/>
  <c r="E4341" i="4"/>
  <c r="F4340" i="4"/>
  <c r="E4340" i="4"/>
  <c r="E4339" i="4"/>
  <c r="E4331" i="4"/>
  <c r="F4329" i="4"/>
  <c r="E4338" i="4"/>
  <c r="E4337" i="4"/>
  <c r="F4337" i="4"/>
  <c r="E4335" i="4"/>
  <c r="E4333" i="4"/>
  <c r="E4332" i="4"/>
  <c r="G4336" i="4"/>
  <c r="E4330" i="4"/>
  <c r="G4283" i="4"/>
  <c r="E4328" i="4"/>
  <c r="F2478" i="4"/>
  <c r="F4326" i="4"/>
  <c r="E2478" i="4"/>
  <c r="E4326" i="4"/>
  <c r="E4321" i="4"/>
  <c r="E4253" i="4"/>
  <c r="E4323" i="4"/>
  <c r="E4315" i="4"/>
  <c r="E4320" i="4"/>
  <c r="F4271" i="4"/>
  <c r="F4317" i="4"/>
  <c r="E4271" i="4"/>
  <c r="E4317" i="4"/>
  <c r="F4308" i="4"/>
  <c r="F4314" i="4"/>
  <c r="E4308" i="4"/>
  <c r="E4314" i="4"/>
  <c r="E4291" i="4"/>
  <c r="E4313" i="4"/>
  <c r="E4310" i="4"/>
  <c r="E4312" i="4"/>
  <c r="E4301" i="4"/>
  <c r="E4311" i="4"/>
  <c r="E4298" i="4"/>
  <c r="E4309" i="4"/>
  <c r="E4293" i="4"/>
  <c r="E4307" i="4"/>
  <c r="E4150" i="4"/>
  <c r="E4305" i="4"/>
  <c r="E4287" i="4"/>
  <c r="E4304" i="4"/>
  <c r="F4084" i="4"/>
  <c r="F4303" i="4"/>
  <c r="E4084" i="4"/>
  <c r="E4303" i="4"/>
  <c r="F4248" i="4"/>
  <c r="F4298" i="4"/>
  <c r="F4274" i="4"/>
  <c r="G4274" i="4" s="1"/>
  <c r="F4297" i="4"/>
  <c r="G4297" i="4" s="1"/>
  <c r="E4285" i="4"/>
  <c r="E4294" i="4"/>
  <c r="F4035" i="4"/>
  <c r="F4292" i="4"/>
  <c r="E4035" i="4"/>
  <c r="E4292" i="4"/>
  <c r="E4279" i="4"/>
  <c r="E4286" i="4"/>
  <c r="E4278" i="4"/>
  <c r="E4284" i="4"/>
  <c r="E4280" i="4"/>
  <c r="E4281" i="4"/>
  <c r="E2795" i="4"/>
  <c r="E4277" i="4"/>
  <c r="F4267" i="4"/>
  <c r="F4276" i="4"/>
  <c r="E4267" i="4"/>
  <c r="E4276" i="4"/>
  <c r="E4177" i="4"/>
  <c r="E4275" i="4"/>
  <c r="E3986" i="4"/>
  <c r="E4273" i="4"/>
  <c r="F3986" i="4"/>
  <c r="F4273" i="4"/>
  <c r="F4231" i="4"/>
  <c r="F4272" i="4"/>
  <c r="E4231" i="4"/>
  <c r="E4272" i="4"/>
  <c r="E4245" i="4"/>
  <c r="E4269" i="4"/>
  <c r="E3661" i="4"/>
  <c r="E4268" i="4"/>
  <c r="F3661" i="4"/>
  <c r="F4268" i="4"/>
  <c r="F4199" i="4"/>
  <c r="F4266" i="4"/>
  <c r="E4199" i="4"/>
  <c r="E4266" i="4"/>
  <c r="E4163" i="4"/>
  <c r="E4262" i="4"/>
  <c r="E4259" i="4"/>
  <c r="E4261" i="4"/>
  <c r="F3241" i="4"/>
  <c r="F4260" i="4"/>
  <c r="E3241" i="4"/>
  <c r="E4260" i="4"/>
  <c r="E3110" i="4"/>
  <c r="E4258" i="4"/>
  <c r="E4242" i="4"/>
  <c r="E4257" i="4"/>
  <c r="F4242" i="4"/>
  <c r="F4257" i="4"/>
  <c r="E4249" i="4"/>
  <c r="E4256" i="4"/>
  <c r="F4249" i="4"/>
  <c r="F4256" i="4"/>
  <c r="E4254" i="4"/>
  <c r="E4255" i="4"/>
  <c r="E4063" i="4"/>
  <c r="E4250" i="4"/>
  <c r="E4232" i="4"/>
  <c r="E4248" i="4"/>
  <c r="F4115" i="4"/>
  <c r="F4247" i="4"/>
  <c r="E4115" i="4"/>
  <c r="E4247" i="4"/>
  <c r="E4211" i="4"/>
  <c r="E4244" i="4"/>
  <c r="E4174" i="4"/>
  <c r="E4241" i="4"/>
  <c r="F4174" i="4"/>
  <c r="F4241" i="4"/>
  <c r="E4225" i="4"/>
  <c r="E4240" i="4"/>
  <c r="F4225" i="4"/>
  <c r="F4240" i="4"/>
  <c r="E4263" i="4"/>
  <c r="E4239" i="4"/>
  <c r="E4223" i="4"/>
  <c r="E4236" i="4"/>
  <c r="E4234" i="4"/>
  <c r="E4264" i="4"/>
  <c r="E4227" i="4"/>
  <c r="E4235" i="4"/>
  <c r="F1264" i="4"/>
  <c r="G1264" i="4" s="1"/>
  <c r="F1074" i="4"/>
  <c r="F1069" i="4"/>
  <c r="F926" i="4"/>
  <c r="F873" i="4"/>
  <c r="F860" i="4"/>
  <c r="G860" i="4" s="1"/>
  <c r="F716" i="4"/>
  <c r="F711" i="4"/>
  <c r="F692" i="4"/>
  <c r="F629" i="4"/>
  <c r="G629" i="4" s="1"/>
  <c r="F545" i="4"/>
  <c r="G545" i="4" s="1"/>
  <c r="F1406" i="4"/>
  <c r="F1410" i="4"/>
  <c r="F1427" i="4"/>
  <c r="G1427" i="4" s="1"/>
  <c r="F1376" i="4"/>
  <c r="G1376" i="4" s="1"/>
  <c r="F1373" i="4"/>
  <c r="F1359" i="4"/>
  <c r="F1354" i="4"/>
  <c r="G1354" i="4" s="1"/>
  <c r="F1337" i="4"/>
  <c r="G1337" i="4" s="1"/>
  <c r="F1318" i="4"/>
  <c r="G1318" i="4" s="1"/>
  <c r="F1443" i="4"/>
  <c r="F1519" i="4"/>
  <c r="F1542" i="4"/>
  <c r="G1542" i="4" s="1"/>
  <c r="F1549" i="4"/>
  <c r="F1573" i="4"/>
  <c r="G1573" i="4" s="1"/>
  <c r="F1607" i="4"/>
  <c r="G1607" i="4" s="1"/>
  <c r="F1701" i="4"/>
  <c r="G1701" i="4" s="1"/>
  <c r="F1724" i="4"/>
  <c r="F1739" i="4"/>
  <c r="G1739" i="4" s="1"/>
  <c r="F1751" i="4"/>
  <c r="G1751" i="4" s="1"/>
  <c r="F1773" i="4"/>
  <c r="G1773" i="4" s="1"/>
  <c r="F1810" i="4"/>
  <c r="G1810" i="4" s="1"/>
  <c r="F1818" i="4"/>
  <c r="F2451" i="4"/>
  <c r="G2451" i="4" s="1"/>
  <c r="F3157" i="4"/>
  <c r="G3157" i="4" s="1"/>
  <c r="F3170" i="4"/>
  <c r="G3170" i="4" s="1"/>
  <c r="F2355" i="4"/>
  <c r="G2355" i="4" s="1"/>
  <c r="F3492" i="4"/>
  <c r="G3492" i="4" s="1"/>
  <c r="F3675" i="4"/>
  <c r="G3675" i="4" s="1"/>
  <c r="F3726" i="4"/>
  <c r="G3726" i="4" s="1"/>
  <c r="F3815" i="4"/>
  <c r="G3815" i="4" s="1"/>
  <c r="F3052" i="4"/>
  <c r="G3052" i="4" s="1"/>
  <c r="F3414" i="4"/>
  <c r="G3414" i="4" s="1"/>
  <c r="F3595" i="4"/>
  <c r="G3595" i="4" s="1"/>
  <c r="F4062" i="4"/>
  <c r="G4062" i="4" s="1"/>
  <c r="F3345" i="4"/>
  <c r="G3345" i="4" s="1"/>
  <c r="F3579" i="4"/>
  <c r="G3579" i="4" s="1"/>
  <c r="F4176" i="4"/>
  <c r="G4176" i="4" s="1"/>
  <c r="F3972" i="4"/>
  <c r="G3972" i="4" s="1"/>
  <c r="F2968" i="4"/>
  <c r="G2968" i="4" s="1"/>
  <c r="F4209" i="4"/>
  <c r="G4209" i="4" s="1"/>
  <c r="F3117" i="4"/>
  <c r="G3117" i="4" s="1"/>
  <c r="F3477" i="4"/>
  <c r="G3477" i="4" s="1"/>
  <c r="F3513" i="4"/>
  <c r="G3513" i="4" s="1"/>
  <c r="F3652" i="4"/>
  <c r="G3652" i="4" s="1"/>
  <c r="F3891" i="4"/>
  <c r="G3891" i="4" s="1"/>
  <c r="F2188" i="4"/>
  <c r="G2188" i="4" s="1"/>
  <c r="A46" i="6"/>
  <c r="F4217" i="4"/>
  <c r="F4232" i="4"/>
  <c r="E4226" i="4"/>
  <c r="E4229" i="4"/>
  <c r="F4226" i="4"/>
  <c r="F4229" i="4"/>
  <c r="E3959" i="4"/>
  <c r="E4228" i="4"/>
  <c r="E4221" i="4"/>
  <c r="E4222" i="4"/>
  <c r="F4175" i="4"/>
  <c r="F4220" i="4"/>
  <c r="E4175" i="4"/>
  <c r="E4220" i="4"/>
  <c r="E4201" i="4"/>
  <c r="E4219" i="4"/>
  <c r="E4200" i="4"/>
  <c r="E4217" i="4"/>
  <c r="E2467" i="4"/>
  <c r="E4215" i="4"/>
  <c r="G4215" i="4" s="1"/>
  <c r="E4131" i="4"/>
  <c r="E4213" i="4"/>
  <c r="F4131" i="4"/>
  <c r="F4213" i="4"/>
  <c r="F4087" i="4"/>
  <c r="F4210" i="4"/>
  <c r="E4087" i="4"/>
  <c r="E4210" i="4"/>
  <c r="E4141" i="4"/>
  <c r="E4208" i="4"/>
  <c r="E4197" i="4"/>
  <c r="E4207" i="4"/>
  <c r="F4197" i="4"/>
  <c r="F4207" i="4"/>
  <c r="E3150" i="4"/>
  <c r="E4206" i="4"/>
  <c r="F3076" i="4"/>
  <c r="F4206" i="4"/>
  <c r="G4205" i="4"/>
  <c r="F4109" i="4"/>
  <c r="F4204" i="4"/>
  <c r="E4109" i="4"/>
  <c r="E4204" i="4"/>
  <c r="E4189" i="4"/>
  <c r="E4203" i="4"/>
  <c r="F4078" i="4"/>
  <c r="F4202" i="4"/>
  <c r="E4078" i="4"/>
  <c r="E4202" i="4"/>
  <c r="F4139" i="4"/>
  <c r="F4200" i="4"/>
  <c r="E4018" i="4"/>
  <c r="E4198" i="4"/>
  <c r="E4167" i="4"/>
  <c r="E4196" i="4"/>
  <c r="F4167" i="4"/>
  <c r="F4196" i="4"/>
  <c r="E4086" i="4"/>
  <c r="E4195" i="4"/>
  <c r="F4132" i="4"/>
  <c r="F4194" i="4"/>
  <c r="E4132" i="4"/>
  <c r="E4194" i="4"/>
  <c r="E4181" i="4"/>
  <c r="E4193" i="4"/>
  <c r="E4191" i="4"/>
  <c r="E4192" i="4"/>
  <c r="E3858" i="4"/>
  <c r="E4190" i="4"/>
  <c r="E4178" i="4"/>
  <c r="E4187" i="4"/>
  <c r="E4138" i="4"/>
  <c r="E4185" i="4"/>
  <c r="E4143" i="4"/>
  <c r="E4183" i="4"/>
  <c r="E3962" i="4"/>
  <c r="E4182" i="4"/>
  <c r="E4168" i="4"/>
  <c r="E4180" i="4"/>
  <c r="E4171" i="4"/>
  <c r="E4173" i="4"/>
  <c r="F4149" i="4"/>
  <c r="F4170" i="4"/>
  <c r="E4149" i="4"/>
  <c r="E4170" i="4"/>
  <c r="E3317" i="4"/>
  <c r="E4169" i="4"/>
  <c r="E4012" i="4"/>
  <c r="E4164" i="4"/>
  <c r="F2193" i="4"/>
  <c r="F4161" i="4"/>
  <c r="E2888" i="4"/>
  <c r="E4161" i="4"/>
  <c r="E4154" i="4"/>
  <c r="E4160" i="4"/>
  <c r="F2560" i="4"/>
  <c r="F4159" i="4"/>
  <c r="E2770" i="4"/>
  <c r="E4159" i="4"/>
  <c r="E3760" i="4"/>
  <c r="E4158" i="4"/>
  <c r="F2440" i="4"/>
  <c r="F4158" i="4"/>
  <c r="F2226" i="4"/>
  <c r="F4156" i="4"/>
  <c r="E3247" i="4"/>
  <c r="E4155" i="4"/>
  <c r="E4136" i="4"/>
  <c r="E4152" i="4"/>
  <c r="E4127" i="4"/>
  <c r="E4151" i="4"/>
  <c r="E2429" i="4"/>
  <c r="E4148" i="4"/>
  <c r="E4134" i="4"/>
  <c r="E4147" i="4"/>
  <c r="F4134" i="4"/>
  <c r="F4147" i="4"/>
  <c r="E4044" i="4"/>
  <c r="E4146" i="4"/>
  <c r="E2521" i="4"/>
  <c r="E4145" i="4"/>
  <c r="F2521" i="4"/>
  <c r="F4145" i="4"/>
  <c r="E4137" i="4"/>
  <c r="E4142" i="4"/>
  <c r="E4130" i="4"/>
  <c r="E4139" i="4"/>
  <c r="E4106" i="4"/>
  <c r="E4133" i="4"/>
  <c r="F4101" i="4"/>
  <c r="F4130" i="4"/>
  <c r="E4119" i="4"/>
  <c r="E4128" i="4"/>
  <c r="E4125" i="4"/>
  <c r="E4126" i="4"/>
  <c r="F4125" i="4"/>
  <c r="F4126" i="4"/>
  <c r="E4092" i="4"/>
  <c r="B63" i="12" s="1"/>
  <c r="E4124" i="4"/>
  <c r="E4116" i="4"/>
  <c r="E4123" i="4"/>
  <c r="E2087" i="4"/>
  <c r="E4122" i="4"/>
  <c r="F2895" i="4"/>
  <c r="F4122" i="4"/>
  <c r="F4057" i="4"/>
  <c r="G4057" i="4" s="1"/>
  <c r="F4121" i="4"/>
  <c r="G4121" i="4" s="1"/>
  <c r="E3383" i="4"/>
  <c r="E4120" i="4"/>
  <c r="F3383" i="4"/>
  <c r="F4120" i="4"/>
  <c r="E4027" i="4"/>
  <c r="E4118" i="4"/>
  <c r="F4027" i="4"/>
  <c r="F4118" i="4"/>
  <c r="F3680" i="4"/>
  <c r="F4117" i="4"/>
  <c r="E3680" i="4"/>
  <c r="E4117" i="4"/>
  <c r="E4068" i="4"/>
  <c r="E4114" i="4"/>
  <c r="E4065" i="4"/>
  <c r="E4113" i="4"/>
  <c r="F4065" i="4"/>
  <c r="F4113" i="4"/>
  <c r="E3942" i="4"/>
  <c r="E4112" i="4"/>
  <c r="E2864" i="4"/>
  <c r="E4111" i="4"/>
  <c r="E4099" i="4"/>
  <c r="E4108" i="4"/>
  <c r="E4098" i="4"/>
  <c r="E4107" i="4"/>
  <c r="E4097" i="4"/>
  <c r="E4105" i="4"/>
  <c r="F3973" i="4"/>
  <c r="F4104" i="4"/>
  <c r="E3973" i="4"/>
  <c r="E4104" i="4"/>
  <c r="F4016" i="4"/>
  <c r="F4102" i="4"/>
  <c r="E4016" i="4"/>
  <c r="E4102" i="4"/>
  <c r="E4089" i="4"/>
  <c r="E4101" i="4"/>
  <c r="E4039" i="4"/>
  <c r="E4100" i="4"/>
  <c r="F4039" i="4"/>
  <c r="F4100" i="4"/>
  <c r="E4046" i="4"/>
  <c r="E4096" i="4"/>
  <c r="F4056" i="4"/>
  <c r="F4095" i="4"/>
  <c r="E4056" i="4"/>
  <c r="E4095" i="4"/>
  <c r="E4081" i="4"/>
  <c r="E4093" i="4"/>
  <c r="E4060" i="4"/>
  <c r="E4091" i="4"/>
  <c r="F4055" i="4"/>
  <c r="F4089" i="4"/>
  <c r="E4085" i="4"/>
  <c r="E4088" i="4"/>
  <c r="E4043" i="4"/>
  <c r="E4083" i="4"/>
  <c r="E4050" i="4"/>
  <c r="E4082" i="4"/>
  <c r="E4061" i="4"/>
  <c r="E4079" i="4"/>
  <c r="E4021" i="4"/>
  <c r="E4077" i="4"/>
  <c r="F4021" i="4"/>
  <c r="F4077" i="4"/>
  <c r="G4076" i="4"/>
  <c r="F4029" i="4"/>
  <c r="F4075" i="4"/>
  <c r="E4029" i="4"/>
  <c r="E4075" i="4"/>
  <c r="E4070" i="4"/>
  <c r="E4074" i="4"/>
  <c r="F4070" i="4"/>
  <c r="F4074" i="4"/>
  <c r="F4006" i="4"/>
  <c r="F4073" i="4"/>
  <c r="E4006" i="4"/>
  <c r="E4073" i="4"/>
  <c r="E4026" i="4"/>
  <c r="E4072" i="4"/>
  <c r="F4026" i="4"/>
  <c r="F4072" i="4"/>
  <c r="E3578" i="4"/>
  <c r="E4071" i="4"/>
  <c r="E3938" i="4"/>
  <c r="E4069" i="4"/>
  <c r="E4054" i="4"/>
  <c r="E4067" i="4"/>
  <c r="E4030" i="4"/>
  <c r="E4066" i="4"/>
  <c r="F4030" i="4"/>
  <c r="F4066" i="4"/>
  <c r="E4000" i="4"/>
  <c r="E4064" i="4"/>
  <c r="E3088" i="4"/>
  <c r="E4059" i="4"/>
  <c r="F1993" i="4"/>
  <c r="F4058" i="4"/>
  <c r="E3292" i="4"/>
  <c r="E4058" i="4"/>
  <c r="E4031" i="4"/>
  <c r="E4055" i="4"/>
  <c r="E3960" i="4"/>
  <c r="E4053" i="4"/>
  <c r="E4040" i="4"/>
  <c r="E4052" i="4"/>
  <c r="E4048" i="4"/>
  <c r="E4051" i="4"/>
  <c r="E3079" i="4"/>
  <c r="E4049" i="4"/>
  <c r="E2287" i="4"/>
  <c r="E4047" i="4"/>
  <c r="E3991" i="4"/>
  <c r="E4045" i="4"/>
  <c r="E2452" i="4"/>
  <c r="E4042" i="4"/>
  <c r="E3484" i="4"/>
  <c r="E4041" i="4"/>
  <c r="E3843" i="4"/>
  <c r="E4038" i="4"/>
  <c r="E3954" i="4"/>
  <c r="E4034" i="4"/>
  <c r="E4008" i="4"/>
  <c r="E4033" i="4"/>
  <c r="E3981" i="4"/>
  <c r="E4032" i="4"/>
  <c r="F4028" i="4"/>
  <c r="F4031" i="4"/>
  <c r="E3970" i="4"/>
  <c r="E4028" i="4"/>
  <c r="E3069" i="4"/>
  <c r="E4025" i="4"/>
  <c r="F2405" i="4"/>
  <c r="F4025" i="4"/>
  <c r="F3955" i="4"/>
  <c r="F4024" i="4"/>
  <c r="E3955" i="4"/>
  <c r="E4024" i="4"/>
  <c r="F3172" i="4"/>
  <c r="F4023" i="4"/>
  <c r="E2217" i="4"/>
  <c r="E4023" i="4"/>
  <c r="E3951" i="4"/>
  <c r="E4022" i="4"/>
  <c r="E4007" i="4"/>
  <c r="E4020" i="4"/>
  <c r="E3999" i="4"/>
  <c r="E4019" i="4"/>
  <c r="F3950" i="4"/>
  <c r="G3950" i="4" s="1"/>
  <c r="F4017" i="4"/>
  <c r="G4017" i="4" s="1"/>
  <c r="E3990" i="4"/>
  <c r="E4015" i="4"/>
  <c r="F3990" i="4"/>
  <c r="F4015" i="4"/>
  <c r="F3803" i="4"/>
  <c r="F4014" i="4"/>
  <c r="E3803" i="4"/>
  <c r="E4014" i="4"/>
  <c r="E3354" i="4"/>
  <c r="E4013" i="4"/>
  <c r="E3007" i="4"/>
  <c r="E4011" i="4"/>
  <c r="E3979" i="4"/>
  <c r="E4009" i="4"/>
  <c r="E3998" i="4"/>
  <c r="E4005" i="4"/>
  <c r="E3997" i="4"/>
  <c r="E4004" i="4"/>
  <c r="F3969" i="4"/>
  <c r="F4003" i="4"/>
  <c r="E3969" i="4"/>
  <c r="E4003" i="4"/>
  <c r="E3939" i="4"/>
  <c r="E4002" i="4"/>
  <c r="F3939" i="4"/>
  <c r="F4002" i="4"/>
  <c r="F3965" i="4"/>
  <c r="F4001" i="4"/>
  <c r="E3965" i="4"/>
  <c r="E4001" i="4"/>
  <c r="E3993" i="4"/>
  <c r="E3996" i="4"/>
  <c r="E3966" i="4"/>
  <c r="E3995" i="4"/>
  <c r="E3992" i="4"/>
  <c r="E3994" i="4"/>
  <c r="F3992" i="4"/>
  <c r="F3994" i="4"/>
  <c r="E2507" i="4"/>
  <c r="E3989" i="4"/>
  <c r="F2507" i="4"/>
  <c r="F3989" i="4"/>
  <c r="E1998" i="4"/>
  <c r="E3988" i="4"/>
  <c r="F1892" i="4"/>
  <c r="F3988" i="4"/>
  <c r="F2788" i="4"/>
  <c r="F3985" i="4"/>
  <c r="E3180" i="4"/>
  <c r="E3985" i="4"/>
  <c r="E3974" i="4"/>
  <c r="E3984" i="4"/>
  <c r="E3914" i="4"/>
  <c r="E3983" i="4"/>
  <c r="E2433" i="4"/>
  <c r="E3980" i="4"/>
  <c r="F2143" i="4"/>
  <c r="F3980" i="4"/>
  <c r="E3932" i="4"/>
  <c r="E3978" i="4"/>
  <c r="E3807" i="4"/>
  <c r="E3977" i="4"/>
  <c r="F3807" i="4"/>
  <c r="F3977" i="4"/>
  <c r="E3940" i="4"/>
  <c r="E3975" i="4"/>
  <c r="F3940" i="4"/>
  <c r="F3975" i="4"/>
  <c r="F3912" i="4"/>
  <c r="F3971" i="4"/>
  <c r="E3912" i="4"/>
  <c r="E3971" i="4"/>
  <c r="F3961" i="4"/>
  <c r="F3970" i="4"/>
  <c r="E3363" i="4"/>
  <c r="E3968" i="4"/>
  <c r="E3899" i="4"/>
  <c r="E3967" i="4"/>
  <c r="E2899" i="4"/>
  <c r="E3964" i="4"/>
  <c r="F2899" i="4"/>
  <c r="F3964" i="4"/>
  <c r="F3922" i="4"/>
  <c r="F3963" i="4"/>
  <c r="E3922" i="4"/>
  <c r="E3963" i="4"/>
  <c r="E3948" i="4"/>
  <c r="E3961" i="4"/>
  <c r="E3945" i="4"/>
  <c r="E3958" i="4"/>
  <c r="F3945" i="4"/>
  <c r="F3958" i="4"/>
  <c r="F3838" i="4"/>
  <c r="F3957" i="4"/>
  <c r="E3838" i="4"/>
  <c r="E3957" i="4"/>
  <c r="F3923" i="4"/>
  <c r="F3948" i="4"/>
  <c r="E3937" i="4"/>
  <c r="E3947" i="4"/>
  <c r="E1957" i="4"/>
  <c r="E3946" i="4"/>
  <c r="E2111" i="4"/>
  <c r="E3944" i="4"/>
  <c r="E2572" i="4"/>
  <c r="E3941" i="4"/>
  <c r="E3931" i="4"/>
  <c r="E3936" i="4"/>
  <c r="F3931" i="4"/>
  <c r="F3936" i="4"/>
  <c r="F3927" i="4"/>
  <c r="F3935" i="4"/>
  <c r="E3927" i="4"/>
  <c r="E3935" i="4"/>
  <c r="E3908" i="4"/>
  <c r="E3934" i="4"/>
  <c r="E3795" i="4"/>
  <c r="E3933" i="4"/>
  <c r="F3097" i="4"/>
  <c r="G3097" i="4" s="1"/>
  <c r="F3929" i="4"/>
  <c r="G3929" i="4" s="1"/>
  <c r="F3897" i="4"/>
  <c r="F3928" i="4"/>
  <c r="E3897" i="4"/>
  <c r="E3928" i="4"/>
  <c r="E3901" i="4"/>
  <c r="E3925" i="4"/>
  <c r="E3921" i="4"/>
  <c r="E3924" i="4"/>
  <c r="E3919" i="4"/>
  <c r="E3923" i="4"/>
  <c r="E3898" i="4"/>
  <c r="E3920" i="4"/>
  <c r="F3898" i="4"/>
  <c r="F3920" i="4"/>
  <c r="F3913" i="4"/>
  <c r="F3919" i="4"/>
  <c r="E2803" i="4"/>
  <c r="E3918" i="4"/>
  <c r="F2532" i="4"/>
  <c r="F3918" i="4"/>
  <c r="F3910" i="4"/>
  <c r="F3917" i="4"/>
  <c r="E3910" i="4"/>
  <c r="E3917" i="4"/>
  <c r="E3903" i="4"/>
  <c r="E3915" i="4"/>
  <c r="E3902" i="4"/>
  <c r="E3913" i="4"/>
  <c r="E3144" i="4"/>
  <c r="E3911" i="4"/>
  <c r="E2411" i="4"/>
  <c r="E3909" i="4"/>
  <c r="F3855" i="4"/>
  <c r="F3907" i="4"/>
  <c r="E3855" i="4"/>
  <c r="E3907" i="4"/>
  <c r="E3896" i="4"/>
  <c r="E3906" i="4"/>
  <c r="E3124" i="4"/>
  <c r="E3905" i="4"/>
  <c r="F3892" i="4"/>
  <c r="F3902" i="4"/>
  <c r="E2500" i="4"/>
  <c r="E3900" i="4"/>
  <c r="E3888" i="4"/>
  <c r="E3894" i="4"/>
  <c r="E3870" i="4"/>
  <c r="E3893" i="4"/>
  <c r="E3830" i="4"/>
  <c r="E3892" i="4"/>
  <c r="F3841" i="4"/>
  <c r="F3890" i="4"/>
  <c r="E3841" i="4"/>
  <c r="E3890" i="4"/>
  <c r="E3837" i="4"/>
  <c r="E3889" i="4"/>
  <c r="F3837" i="4"/>
  <c r="F3889" i="4"/>
  <c r="E3872" i="4"/>
  <c r="E3887" i="4"/>
  <c r="F3872" i="4"/>
  <c r="F3887" i="4"/>
  <c r="E3883" i="4"/>
  <c r="E3886" i="4"/>
  <c r="E3850" i="4"/>
  <c r="E3885" i="4"/>
  <c r="E3776" i="4"/>
  <c r="E3884" i="4"/>
  <c r="F3776" i="4"/>
  <c r="F3884" i="4"/>
  <c r="E3878" i="4"/>
  <c r="E3882" i="4"/>
  <c r="F2862" i="4"/>
  <c r="F3881" i="4"/>
  <c r="E2862" i="4"/>
  <c r="E3881" i="4"/>
  <c r="F3218" i="4"/>
  <c r="F3880" i="4"/>
  <c r="E3221" i="4"/>
  <c r="E3880" i="4"/>
  <c r="E2731" i="4"/>
  <c r="E3879" i="4"/>
  <c r="F2731" i="4"/>
  <c r="F3879" i="4"/>
  <c r="E3176" i="4"/>
  <c r="E3877" i="4"/>
  <c r="E3861" i="4"/>
  <c r="E3876" i="4"/>
  <c r="E2518" i="4"/>
  <c r="E3875" i="4"/>
  <c r="E3860" i="4"/>
  <c r="E3874" i="4"/>
  <c r="E3040" i="4"/>
  <c r="E3873" i="4"/>
  <c r="E2385" i="4"/>
  <c r="E3871" i="4"/>
  <c r="F2240" i="4"/>
  <c r="F3871" i="4"/>
  <c r="E3802" i="4"/>
  <c r="E3869" i="4"/>
  <c r="E3032" i="4"/>
  <c r="E3868" i="4"/>
  <c r="E2450" i="4"/>
  <c r="E3867" i="4"/>
  <c r="E3862" i="4"/>
  <c r="E3865" i="4"/>
  <c r="F3862" i="4"/>
  <c r="F3865" i="4"/>
  <c r="E2412" i="4"/>
  <c r="E3864" i="4"/>
  <c r="E3853" i="4"/>
  <c r="E3863" i="4"/>
  <c r="E3810" i="4"/>
  <c r="E3859" i="4"/>
  <c r="F3810" i="4"/>
  <c r="F3859" i="4"/>
  <c r="E3252" i="4"/>
  <c r="E3857" i="4"/>
  <c r="E3854" i="4"/>
  <c r="E3856" i="4"/>
  <c r="G510" i="4"/>
  <c r="G500" i="4"/>
  <c r="G494" i="4"/>
  <c r="G476" i="4"/>
  <c r="G467" i="4"/>
  <c r="G449" i="4"/>
  <c r="G445" i="4"/>
  <c r="G437" i="4"/>
  <c r="G425" i="4"/>
  <c r="G422" i="4"/>
  <c r="G409" i="4"/>
  <c r="G385" i="4"/>
  <c r="G378" i="4"/>
  <c r="G348" i="4"/>
  <c r="G330" i="4"/>
  <c r="G326" i="4"/>
  <c r="G302" i="4"/>
  <c r="G262" i="4"/>
  <c r="G258" i="4"/>
  <c r="G257" i="4"/>
  <c r="G246" i="4"/>
  <c r="G217" i="4"/>
  <c r="G210" i="4"/>
  <c r="G184" i="4"/>
  <c r="G161" i="4"/>
  <c r="G157" i="4"/>
  <c r="G132" i="4"/>
  <c r="G125" i="4"/>
  <c r="G120" i="4"/>
  <c r="G112" i="4"/>
  <c r="G103" i="4"/>
  <c r="G76" i="4"/>
  <c r="G36" i="4"/>
  <c r="G23" i="4"/>
  <c r="G12" i="4"/>
  <c r="F1286" i="4"/>
  <c r="G1286" i="4" s="1"/>
  <c r="F6" i="6"/>
  <c r="F7" i="6"/>
  <c r="C31" i="14"/>
  <c r="F3839" i="4"/>
  <c r="F3851" i="4"/>
  <c r="E3839" i="4"/>
  <c r="E3851" i="4"/>
  <c r="E3848" i="4"/>
  <c r="E3849" i="4"/>
  <c r="E2526" i="4"/>
  <c r="E3847" i="4"/>
  <c r="E3824" i="4"/>
  <c r="E3846" i="4"/>
  <c r="F3824" i="4"/>
  <c r="F3846" i="4"/>
  <c r="F2580" i="4"/>
  <c r="F3845" i="4"/>
  <c r="E3034" i="4"/>
  <c r="E3845" i="4"/>
  <c r="E3234" i="4"/>
  <c r="E3844" i="4"/>
  <c r="F2437" i="4"/>
  <c r="F3842" i="4"/>
  <c r="E2437" i="4"/>
  <c r="E3842" i="4"/>
  <c r="E3827" i="4"/>
  <c r="E3840" i="4"/>
  <c r="E2436" i="4"/>
  <c r="E3836" i="4"/>
  <c r="F2665" i="4"/>
  <c r="F3836" i="4"/>
  <c r="E2812" i="4"/>
  <c r="E3835" i="4"/>
  <c r="F3105" i="4"/>
  <c r="F3834" i="4"/>
  <c r="E3105" i="4"/>
  <c r="E3834" i="4"/>
  <c r="E2258" i="4"/>
  <c r="E3833" i="4"/>
  <c r="F2258" i="4"/>
  <c r="F3833" i="4"/>
  <c r="E3828" i="4"/>
  <c r="E3832" i="4"/>
  <c r="E3806" i="4"/>
  <c r="E3831" i="4"/>
  <c r="F3822" i="4"/>
  <c r="F3830" i="4"/>
  <c r="E2058" i="4"/>
  <c r="E3829" i="4"/>
  <c r="E3096" i="4"/>
  <c r="E3825" i="4"/>
  <c r="F2404" i="4"/>
  <c r="F3825" i="4"/>
  <c r="E3822" i="4"/>
  <c r="G3822" i="4" s="1"/>
  <c r="F2038" i="4"/>
  <c r="E2038" i="4"/>
  <c r="E3823" i="4"/>
  <c r="F3805" i="4"/>
  <c r="F3821" i="4"/>
  <c r="E3805" i="4"/>
  <c r="E3821" i="4"/>
  <c r="E3797" i="4"/>
  <c r="E3820" i="4"/>
  <c r="E3814" i="4"/>
  <c r="E3819" i="4"/>
  <c r="E3373" i="4"/>
  <c r="E3818" i="4"/>
  <c r="F2065" i="4"/>
  <c r="F3817" i="4"/>
  <c r="E3033" i="4"/>
  <c r="E3817" i="4"/>
  <c r="E3782" i="4"/>
  <c r="E3816" i="4"/>
  <c r="F2655" i="4"/>
  <c r="F3811" i="4"/>
  <c r="E2071" i="4"/>
  <c r="E3811" i="4"/>
  <c r="E2007" i="4"/>
  <c r="E3809" i="4"/>
  <c r="F3364" i="4"/>
  <c r="F3808" i="4"/>
  <c r="E3364" i="4"/>
  <c r="E3808" i="4"/>
  <c r="F2333" i="4"/>
  <c r="F3801" i="4"/>
  <c r="E3092" i="4"/>
  <c r="E3801" i="4"/>
  <c r="E3100" i="4"/>
  <c r="E3799" i="4"/>
  <c r="F3796" i="4"/>
  <c r="F3798" i="4"/>
  <c r="E3796" i="4"/>
  <c r="E3798" i="4"/>
  <c r="E3785" i="4"/>
  <c r="E3794" i="4"/>
  <c r="F2558" i="4"/>
  <c r="F3793" i="4"/>
  <c r="E3013" i="4"/>
  <c r="E3793" i="4"/>
  <c r="E2653" i="4"/>
  <c r="E3792" i="4"/>
  <c r="E3070" i="4"/>
  <c r="E3791" i="4"/>
  <c r="F3070" i="4"/>
  <c r="F3791" i="4"/>
  <c r="E1978" i="4"/>
  <c r="E3790" i="4"/>
  <c r="E3217" i="4"/>
  <c r="E3789" i="4"/>
  <c r="E3065" i="4"/>
  <c r="E3788" i="4"/>
  <c r="E3098" i="4"/>
  <c r="E3787" i="4"/>
  <c r="F3037" i="4"/>
  <c r="F3787" i="4"/>
  <c r="F2137" i="4"/>
  <c r="F3786" i="4"/>
  <c r="E3303" i="4"/>
  <c r="E3786" i="4"/>
  <c r="F3778" i="4"/>
  <c r="F3784" i="4"/>
  <c r="E3778" i="4"/>
  <c r="E3784" i="4"/>
  <c r="E3435" i="4"/>
  <c r="E3783" i="4"/>
  <c r="F2183" i="4"/>
  <c r="F3781" i="4"/>
  <c r="E3071" i="4"/>
  <c r="E3781" i="4"/>
  <c r="E2370" i="4"/>
  <c r="E3780" i="4"/>
  <c r="F2420" i="4"/>
  <c r="F3780" i="4"/>
  <c r="E2326" i="4"/>
  <c r="E3779" i="4"/>
  <c r="E3770" i="4"/>
  <c r="E3777" i="4"/>
  <c r="E1925" i="4"/>
  <c r="E3775" i="4"/>
  <c r="F2590" i="4"/>
  <c r="F3774" i="4"/>
  <c r="E3204" i="4"/>
  <c r="E3774" i="4"/>
  <c r="F3102" i="4"/>
  <c r="F3773" i="4"/>
  <c r="E3102" i="4"/>
  <c r="E3773" i="4"/>
  <c r="E3061" i="4"/>
  <c r="E3772" i="4"/>
  <c r="E3055" i="4"/>
  <c r="E3771" i="4"/>
  <c r="E3029" i="4"/>
  <c r="E3769" i="4"/>
  <c r="F2489" i="4"/>
  <c r="F3769" i="4"/>
  <c r="E3112" i="4"/>
  <c r="E3768" i="4"/>
  <c r="F1997" i="4"/>
  <c r="F3768" i="4"/>
  <c r="E2715" i="4"/>
  <c r="E3767" i="4"/>
  <c r="F3192" i="4"/>
  <c r="F3767" i="4"/>
  <c r="E3031" i="4"/>
  <c r="E3765" i="4"/>
  <c r="F3116" i="4"/>
  <c r="F3765" i="4"/>
  <c r="F2140" i="4"/>
  <c r="F3764" i="4"/>
  <c r="E2350" i="4"/>
  <c r="E3764" i="4"/>
  <c r="E2495" i="4"/>
  <c r="E3763" i="4"/>
  <c r="E2357" i="4"/>
  <c r="E3762" i="4"/>
  <c r="E2438" i="4"/>
  <c r="E3761" i="4"/>
  <c r="E3757" i="4"/>
  <c r="E3756" i="4"/>
  <c r="F3754" i="4"/>
  <c r="E3754" i="4"/>
  <c r="E3753" i="4"/>
  <c r="F3752" i="4"/>
  <c r="E3752" i="4"/>
  <c r="F3759" i="4"/>
  <c r="F3760" i="4"/>
  <c r="E3759" i="4"/>
  <c r="E3751" i="4"/>
  <c r="F3750" i="4"/>
  <c r="E3750" i="4"/>
  <c r="F3749" i="4"/>
  <c r="E3749" i="4"/>
  <c r="F3748" i="4"/>
  <c r="G3748" i="4" s="1"/>
  <c r="E3747" i="4"/>
  <c r="E3746" i="4"/>
  <c r="E3745" i="4"/>
  <c r="F3744" i="4"/>
  <c r="E3744" i="4"/>
  <c r="E3743" i="4"/>
  <c r="E3742" i="4"/>
  <c r="F3742" i="4"/>
  <c r="E3741" i="4"/>
  <c r="E3740" i="4"/>
  <c r="E3739" i="4"/>
  <c r="F3737" i="4"/>
  <c r="E3737" i="4"/>
  <c r="F3736" i="4"/>
  <c r="E3738" i="4"/>
  <c r="E3736" i="4"/>
  <c r="E3735" i="4"/>
  <c r="E3734" i="4"/>
  <c r="F3733" i="4"/>
  <c r="E3733" i="4"/>
  <c r="E3732" i="4"/>
  <c r="E3730" i="4"/>
  <c r="E3729" i="4"/>
  <c r="E3728" i="4"/>
  <c r="E3725" i="4"/>
  <c r="E3727" i="4"/>
  <c r="E3724" i="4"/>
  <c r="E3723" i="4"/>
  <c r="F3717" i="4"/>
  <c r="F3722" i="4"/>
  <c r="E3722" i="4"/>
  <c r="F3719" i="4"/>
  <c r="E3719" i="4"/>
  <c r="E3717" i="4"/>
  <c r="F3718" i="4"/>
  <c r="E3720" i="4"/>
  <c r="E3718" i="4"/>
  <c r="E3715" i="4"/>
  <c r="E3716" i="4"/>
  <c r="F3715" i="4"/>
  <c r="E3714" i="4"/>
  <c r="F3712" i="4"/>
  <c r="E3712" i="4"/>
  <c r="F3710" i="4"/>
  <c r="E3711" i="4"/>
  <c r="E3710" i="4"/>
  <c r="E3708" i="4"/>
  <c r="E3709" i="4"/>
  <c r="E3707" i="4"/>
  <c r="E3706" i="4"/>
  <c r="E3705" i="4"/>
  <c r="F3704" i="4"/>
  <c r="E3704" i="4"/>
  <c r="E3701" i="4"/>
  <c r="F3703" i="4"/>
  <c r="E3703" i="4"/>
  <c r="F3702" i="4"/>
  <c r="E3702" i="4"/>
  <c r="F3700" i="4"/>
  <c r="F3701" i="4"/>
  <c r="E3700" i="4"/>
  <c r="F3699" i="4"/>
  <c r="E3699" i="4"/>
  <c r="E3698" i="4"/>
  <c r="E3696" i="4"/>
  <c r="E3697" i="4"/>
  <c r="F3695" i="4"/>
  <c r="E3695" i="4"/>
  <c r="E3694" i="4"/>
  <c r="F3693" i="4"/>
  <c r="E3693" i="4"/>
  <c r="F3688" i="4"/>
  <c r="E3692" i="4"/>
  <c r="E3691" i="4"/>
  <c r="E3686" i="4"/>
  <c r="F3690" i="4"/>
  <c r="E3690" i="4"/>
  <c r="E3688" i="4"/>
  <c r="E3685" i="4"/>
  <c r="F3687" i="4"/>
  <c r="E3689" i="4"/>
  <c r="E3687" i="4"/>
  <c r="E3683" i="4"/>
  <c r="F3682" i="4"/>
  <c r="E3682" i="4"/>
  <c r="E3684" i="4"/>
  <c r="E3681" i="4"/>
  <c r="F3679" i="4"/>
  <c r="E3679" i="4"/>
  <c r="F3678" i="4"/>
  <c r="E3678" i="4"/>
  <c r="E3676" i="4"/>
  <c r="E3674" i="4"/>
  <c r="F3674" i="4"/>
  <c r="F3668" i="4"/>
  <c r="E3669" i="4"/>
  <c r="F3673" i="4"/>
  <c r="E3673" i="4"/>
  <c r="E3671" i="4"/>
  <c r="F3670" i="4"/>
  <c r="F3672" i="4"/>
  <c r="E3670" i="4"/>
  <c r="E3668" i="4"/>
  <c r="G3668" i="4" s="1"/>
  <c r="E3672" i="4"/>
  <c r="F3669" i="4"/>
  <c r="F3667" i="4"/>
  <c r="E3667" i="4"/>
  <c r="E3666" i="4"/>
  <c r="E3663" i="4"/>
  <c r="E3665" i="4"/>
  <c r="F3663" i="4"/>
  <c r="F3662" i="4"/>
  <c r="E3660" i="4"/>
  <c r="E3664" i="4"/>
  <c r="E3662" i="4"/>
  <c r="E3659" i="4"/>
  <c r="E3658" i="4"/>
  <c r="E3657" i="4"/>
  <c r="E3656" i="4"/>
  <c r="E3655" i="4"/>
  <c r="F3655" i="4"/>
  <c r="E3650" i="4"/>
  <c r="F3649" i="4"/>
  <c r="F3651" i="4"/>
  <c r="E3649" i="4"/>
  <c r="E3651" i="4"/>
  <c r="E3648" i="4"/>
  <c r="E3647" i="4"/>
  <c r="E3646" i="4"/>
  <c r="F3645" i="4"/>
  <c r="E3645" i="4"/>
  <c r="F3654" i="4"/>
  <c r="E3654" i="4"/>
  <c r="E3653" i="4"/>
  <c r="E3644" i="4"/>
  <c r="E3643" i="4"/>
  <c r="E3642" i="4"/>
  <c r="E3641" i="4"/>
  <c r="E3640" i="4"/>
  <c r="F3639" i="4"/>
  <c r="E3639" i="4"/>
  <c r="E3636" i="4"/>
  <c r="F3638" i="4"/>
  <c r="E3638" i="4"/>
  <c r="E3637" i="4"/>
  <c r="E3635" i="4"/>
  <c r="F3636" i="4"/>
  <c r="E3634" i="4"/>
  <c r="F3633" i="4"/>
  <c r="E3633" i="4"/>
  <c r="F3632" i="4"/>
  <c r="E3632" i="4"/>
  <c r="E3630" i="4"/>
  <c r="E3629" i="4"/>
  <c r="E3626" i="4"/>
  <c r="E3627" i="4"/>
  <c r="F3626" i="4"/>
  <c r="F3622" i="4"/>
  <c r="G3622" i="4" s="1"/>
  <c r="E3623" i="4"/>
  <c r="E3621" i="4"/>
  <c r="F3620" i="4"/>
  <c r="E3620" i="4"/>
  <c r="E3618" i="4"/>
  <c r="E3619" i="4"/>
  <c r="F3617" i="4"/>
  <c r="F3618" i="4"/>
  <c r="E3617" i="4"/>
  <c r="F3616" i="4"/>
  <c r="E3616" i="4"/>
  <c r="E3615" i="4"/>
  <c r="E3614" i="4"/>
  <c r="E3613" i="4"/>
  <c r="F3612" i="4"/>
  <c r="E3612" i="4"/>
  <c r="E3611" i="4"/>
  <c r="E3610" i="4"/>
  <c r="F3609" i="4"/>
  <c r="E3609" i="4"/>
  <c r="F3607" i="4"/>
  <c r="F3608" i="4"/>
  <c r="E3608" i="4"/>
  <c r="F3606" i="4"/>
  <c r="E3606" i="4"/>
  <c r="F3605" i="4"/>
  <c r="E3605" i="4"/>
  <c r="E3604" i="4"/>
  <c r="F3604" i="4"/>
  <c r="F3603" i="4"/>
  <c r="G3603" i="4" s="1"/>
  <c r="E3601" i="4"/>
  <c r="E3602" i="4"/>
  <c r="F3601" i="4"/>
  <c r="E3600" i="4"/>
  <c r="E3599" i="4"/>
  <c r="F3598" i="4"/>
  <c r="E3597" i="4"/>
  <c r="E3598" i="4"/>
  <c r="F3596" i="4"/>
  <c r="E3596" i="4"/>
  <c r="E3594" i="4"/>
  <c r="E3593" i="4"/>
  <c r="E3591" i="4"/>
  <c r="E3592" i="4"/>
  <c r="E3590" i="4"/>
  <c r="F3589" i="4"/>
  <c r="E3588" i="4"/>
  <c r="F3590" i="4"/>
  <c r="E3589" i="4"/>
  <c r="F3588" i="4"/>
  <c r="E3587" i="4"/>
  <c r="E3586" i="4"/>
  <c r="E3585" i="4"/>
  <c r="E3584" i="4"/>
  <c r="F3584" i="4"/>
  <c r="F3583" i="4"/>
  <c r="E3583" i="4"/>
  <c r="F3582" i="4"/>
  <c r="E3582" i="4"/>
  <c r="F3581" i="4"/>
  <c r="E3581" i="4"/>
  <c r="E3580" i="4"/>
  <c r="F3580" i="4"/>
  <c r="F3574" i="4"/>
  <c r="E3572" i="4"/>
  <c r="E3577" i="4"/>
  <c r="F3575" i="4"/>
  <c r="F3573" i="4"/>
  <c r="E3575" i="4"/>
  <c r="E3573" i="4"/>
  <c r="F3576" i="4"/>
  <c r="E3576" i="4"/>
  <c r="E3574" i="4"/>
  <c r="B60" i="12" s="1"/>
  <c r="E3570" i="4"/>
  <c r="E3564" i="4"/>
  <c r="F3563" i="4"/>
  <c r="F3562" i="4"/>
  <c r="E3566" i="4"/>
  <c r="E3562" i="4"/>
  <c r="F3561" i="4"/>
  <c r="F3566" i="4"/>
  <c r="E3565" i="4"/>
  <c r="E3563" i="4"/>
  <c r="E3561" i="4"/>
  <c r="F3564" i="4"/>
  <c r="E3560" i="4"/>
  <c r="F3559" i="4"/>
  <c r="E3567" i="4"/>
  <c r="E3559" i="4"/>
  <c r="E3568" i="4"/>
  <c r="E3558" i="4"/>
  <c r="F3553" i="4"/>
  <c r="F3557" i="4"/>
  <c r="E3555" i="4"/>
  <c r="E3553" i="4"/>
  <c r="F3550" i="4"/>
  <c r="E3557" i="4"/>
  <c r="G3557" i="4" s="1"/>
  <c r="F3554" i="4"/>
  <c r="E3550" i="4"/>
  <c r="F3555" i="4"/>
  <c r="F3558" i="4"/>
  <c r="E3556" i="4"/>
  <c r="E3554" i="4"/>
  <c r="E3548" i="4"/>
  <c r="F3549" i="4"/>
  <c r="E3549" i="4"/>
  <c r="E3547" i="4"/>
  <c r="F3548" i="4"/>
  <c r="G3548" i="4" s="1"/>
  <c r="F3544" i="4"/>
  <c r="E3537" i="4"/>
  <c r="F3547" i="4"/>
  <c r="E3542" i="4"/>
  <c r="E3540" i="4"/>
  <c r="E3544" i="4"/>
  <c r="F3541" i="4"/>
  <c r="F3539" i="4"/>
  <c r="F3536" i="4"/>
  <c r="E3546" i="4"/>
  <c r="E3543" i="4"/>
  <c r="E3541" i="4"/>
  <c r="E3539" i="4"/>
  <c r="E3536" i="4"/>
  <c r="E3545" i="4"/>
  <c r="F3542" i="4"/>
  <c r="F3540" i="4"/>
  <c r="E3538" i="4"/>
  <c r="E3535" i="4"/>
  <c r="F3533" i="4"/>
  <c r="E3533" i="4"/>
  <c r="F3534" i="4"/>
  <c r="F3530" i="4"/>
  <c r="E3534" i="4"/>
  <c r="F3528" i="4"/>
  <c r="E3532" i="4"/>
  <c r="E3530" i="4"/>
  <c r="G3530" i="4" s="1"/>
  <c r="E3528" i="4"/>
  <c r="F3531" i="4"/>
  <c r="F3529" i="4"/>
  <c r="E3527" i="4"/>
  <c r="F3532" i="4"/>
  <c r="E3525" i="4"/>
  <c r="E3531" i="4"/>
  <c r="E3529" i="4"/>
  <c r="E3526" i="4"/>
  <c r="F3522" i="4"/>
  <c r="E3524" i="4"/>
  <c r="E3522" i="4"/>
  <c r="F3524" i="4"/>
  <c r="F3523" i="4"/>
  <c r="E3523" i="4"/>
  <c r="E3521" i="4"/>
  <c r="F3521" i="4"/>
  <c r="F3511" i="4"/>
  <c r="E3514" i="4"/>
  <c r="F3501" i="4"/>
  <c r="E3519" i="4"/>
  <c r="E3509" i="4"/>
  <c r="F3518" i="4"/>
  <c r="E3511" i="4"/>
  <c r="F3508" i="4"/>
  <c r="F3496" i="4"/>
  <c r="E3520" i="4"/>
  <c r="E3518" i="4"/>
  <c r="F3515" i="4"/>
  <c r="F3510" i="4"/>
  <c r="E3508" i="4"/>
  <c r="F3519" i="4"/>
  <c r="E3517" i="4"/>
  <c r="E3515" i="4"/>
  <c r="E3512" i="4"/>
  <c r="E3510" i="4"/>
  <c r="E3507" i="4"/>
  <c r="F3504" i="4"/>
  <c r="E3499" i="4"/>
  <c r="F3506" i="4"/>
  <c r="E3504" i="4"/>
  <c r="E3501" i="4"/>
  <c r="E3498" i="4"/>
  <c r="E3496" i="4"/>
  <c r="E3506" i="4"/>
  <c r="E3503" i="4"/>
  <c r="F3500" i="4"/>
  <c r="F3497" i="4"/>
  <c r="E3495" i="4"/>
  <c r="E3505" i="4"/>
  <c r="E3502" i="4"/>
  <c r="E3500" i="4"/>
  <c r="E3497" i="4"/>
  <c r="F3494" i="4"/>
  <c r="F3495" i="4"/>
  <c r="E3490" i="4"/>
  <c r="E3494" i="4"/>
  <c r="E3491" i="4"/>
  <c r="E3493" i="4"/>
  <c r="F3490" i="4"/>
  <c r="E3489" i="4"/>
  <c r="G1785" i="4"/>
  <c r="E3488" i="4"/>
  <c r="E3487" i="4"/>
  <c r="E3485" i="4"/>
  <c r="F3487" i="4"/>
  <c r="E3481" i="4"/>
  <c r="F3480" i="4"/>
  <c r="F3486" i="4"/>
  <c r="E3483" i="4"/>
  <c r="E3480" i="4"/>
  <c r="E3473" i="4"/>
  <c r="E3486" i="4"/>
  <c r="E3482" i="4"/>
  <c r="E3479" i="4"/>
  <c r="E3476" i="4"/>
  <c r="E3475" i="4"/>
  <c r="E3474" i="4"/>
  <c r="E3478" i="4"/>
  <c r="E3472" i="4"/>
  <c r="F3479" i="4"/>
  <c r="F3473" i="4"/>
  <c r="E3466" i="4"/>
  <c r="F3470" i="4"/>
  <c r="E3468" i="4"/>
  <c r="F3465" i="4"/>
  <c r="E3471" i="4"/>
  <c r="E3469" i="4"/>
  <c r="E3470" i="4"/>
  <c r="E3465" i="4"/>
  <c r="F3469" i="4"/>
  <c r="F3463" i="4"/>
  <c r="E3463" i="4"/>
  <c r="F3464" i="4"/>
  <c r="E3462" i="4"/>
  <c r="E3461" i="4"/>
  <c r="E3460" i="4"/>
  <c r="E3457" i="4"/>
  <c r="F3456" i="4"/>
  <c r="E3459" i="4"/>
  <c r="E3456" i="4"/>
  <c r="E3458" i="4"/>
  <c r="E3455" i="4"/>
  <c r="E6" i="6"/>
  <c r="E3454" i="4"/>
  <c r="F3454" i="4"/>
  <c r="E3453" i="4"/>
  <c r="F3452" i="4"/>
  <c r="E3452" i="4"/>
  <c r="E3448" i="4"/>
  <c r="F3450" i="4"/>
  <c r="E3450" i="4"/>
  <c r="E3449" i="4"/>
  <c r="F3448" i="4"/>
  <c r="F3445" i="4"/>
  <c r="E3445" i="4"/>
  <c r="F3444" i="4"/>
  <c r="E3446" i="4"/>
  <c r="E3444" i="4"/>
  <c r="F3439" i="4"/>
  <c r="E3439" i="4"/>
  <c r="F3440" i="4"/>
  <c r="F3433" i="4"/>
  <c r="E3440" i="4"/>
  <c r="E3438" i="4"/>
  <c r="E3436" i="4"/>
  <c r="E3433" i="4"/>
  <c r="G3433" i="4" s="1"/>
  <c r="F3434" i="4"/>
  <c r="E3437" i="4"/>
  <c r="E3434" i="4"/>
  <c r="E3432" i="4"/>
  <c r="F3429" i="4"/>
  <c r="E3429" i="4"/>
  <c r="E3427" i="4"/>
  <c r="F3428" i="4"/>
  <c r="E3428" i="4"/>
  <c r="E3426" i="4"/>
  <c r="E3425" i="4"/>
  <c r="F3425" i="4"/>
  <c r="F3423" i="4"/>
  <c r="E3424" i="4"/>
  <c r="E3421" i="4"/>
  <c r="E3423" i="4"/>
  <c r="E3419" i="4"/>
  <c r="F3422" i="4"/>
  <c r="E3422" i="4"/>
  <c r="E3420" i="4"/>
  <c r="E3416" i="4"/>
  <c r="F3416" i="4"/>
  <c r="E3415" i="4"/>
  <c r="E3417" i="4"/>
  <c r="E3413" i="4"/>
  <c r="F3412" i="4"/>
  <c r="E3412" i="4"/>
  <c r="E3411" i="4"/>
  <c r="F3441" i="4"/>
  <c r="E3441" i="4"/>
  <c r="E3442" i="4"/>
  <c r="E3443" i="4"/>
  <c r="F3443" i="4"/>
  <c r="E3431" i="4"/>
  <c r="F3431" i="4"/>
  <c r="E3430" i="4"/>
  <c r="F3430" i="4"/>
  <c r="E3418" i="4"/>
  <c r="F3418" i="4"/>
  <c r="E3410" i="4"/>
  <c r="E3409" i="4"/>
  <c r="E3408" i="4"/>
  <c r="E3407" i="4"/>
  <c r="E3404" i="4"/>
  <c r="E3406" i="4"/>
  <c r="E3402" i="4"/>
  <c r="F3405" i="4"/>
  <c r="E3405" i="4"/>
  <c r="F3403" i="4"/>
  <c r="E3403" i="4"/>
  <c r="F3402" i="4"/>
  <c r="E3401" i="4"/>
  <c r="E3397" i="4"/>
  <c r="E3400" i="4"/>
  <c r="E3399" i="4"/>
  <c r="F3399" i="4"/>
  <c r="F3397" i="4"/>
  <c r="E3395" i="4"/>
  <c r="F3393" i="4"/>
  <c r="E3393" i="4"/>
  <c r="E3392" i="4"/>
  <c r="E3394" i="4"/>
  <c r="F3391" i="4"/>
  <c r="E3391" i="4"/>
  <c r="F3390" i="4"/>
  <c r="E3390" i="4"/>
  <c r="F3389" i="4"/>
  <c r="E3389" i="4"/>
  <c r="E3388" i="4"/>
  <c r="E3387" i="4"/>
  <c r="E3386" i="4"/>
  <c r="F3385" i="4"/>
  <c r="E3385" i="4"/>
  <c r="E3382" i="4"/>
  <c r="E3380" i="4"/>
  <c r="E3379" i="4"/>
  <c r="F3378" i="4"/>
  <c r="E3378" i="4"/>
  <c r="E3377" i="4"/>
  <c r="E3376" i="4"/>
  <c r="E3375" i="4"/>
  <c r="E3374" i="4"/>
  <c r="E3370" i="4"/>
  <c r="E3371" i="4"/>
  <c r="E3372" i="4"/>
  <c r="E3369" i="4"/>
  <c r="E3368" i="4"/>
  <c r="E3367" i="4"/>
  <c r="F3366" i="4"/>
  <c r="E3366" i="4"/>
  <c r="F3365" i="4"/>
  <c r="E3365" i="4"/>
  <c r="E3362" i="4"/>
  <c r="F3361" i="4"/>
  <c r="E3361" i="4"/>
  <c r="E3360" i="4"/>
  <c r="F3359" i="4"/>
  <c r="E3359" i="4"/>
  <c r="E3358" i="4"/>
  <c r="E3357" i="4"/>
  <c r="E3356" i="4"/>
  <c r="F3355" i="4"/>
  <c r="E3355" i="4"/>
  <c r="E3353" i="4"/>
  <c r="E3352" i="4"/>
  <c r="E3351" i="4"/>
  <c r="E3350" i="4"/>
  <c r="E3349" i="4"/>
  <c r="E3348" i="4"/>
  <c r="E3347" i="4"/>
  <c r="E3346" i="4"/>
  <c r="F3343" i="4"/>
  <c r="E3344" i="4"/>
  <c r="E3343" i="4"/>
  <c r="E3342" i="4"/>
  <c r="F3341" i="4"/>
  <c r="E3341" i="4"/>
  <c r="F3339" i="4"/>
  <c r="F3340" i="4"/>
  <c r="E3340" i="4"/>
  <c r="F3338" i="4"/>
  <c r="E3338" i="4"/>
  <c r="E3337" i="4"/>
  <c r="E3336" i="4"/>
  <c r="F3335" i="4"/>
  <c r="E3335" i="4"/>
  <c r="F3333" i="4"/>
  <c r="E3333" i="4"/>
  <c r="E3332" i="4"/>
  <c r="E3331" i="4"/>
  <c r="E3330" i="4"/>
  <c r="E3329" i="4"/>
  <c r="F3328" i="4"/>
  <c r="E3328" i="4"/>
  <c r="E3326" i="4"/>
  <c r="F3325" i="4"/>
  <c r="F3327" i="4"/>
  <c r="E3325" i="4"/>
  <c r="E3327" i="4"/>
  <c r="E3323" i="4"/>
  <c r="F3322" i="4"/>
  <c r="E3322" i="4"/>
  <c r="E3324" i="4"/>
  <c r="E3321" i="4"/>
  <c r="E3320" i="4"/>
  <c r="E3319" i="4"/>
  <c r="F3318" i="4"/>
  <c r="E3316" i="4"/>
  <c r="E3318" i="4"/>
  <c r="E3315" i="4"/>
  <c r="E3310" i="4"/>
  <c r="E3314" i="4"/>
  <c r="E3313" i="4"/>
  <c r="F3312" i="4"/>
  <c r="E3309" i="4"/>
  <c r="E3312" i="4"/>
  <c r="F3313" i="4"/>
  <c r="E3311" i="4"/>
  <c r="E3308" i="4"/>
  <c r="F3307" i="4"/>
  <c r="E3307" i="4"/>
  <c r="E3306" i="4"/>
  <c r="E3305" i="4"/>
  <c r="F3303" i="4"/>
  <c r="E3304" i="4"/>
  <c r="F3304" i="4"/>
  <c r="E3299" i="4"/>
  <c r="E3297" i="4"/>
  <c r="E3302" i="4"/>
  <c r="E3301" i="4"/>
  <c r="F3298" i="4"/>
  <c r="E3300" i="4"/>
  <c r="E3298" i="4"/>
  <c r="F3299" i="4"/>
  <c r="F3297" i="4"/>
  <c r="F3295" i="4"/>
  <c r="E3295" i="4"/>
  <c r="E3296" i="4"/>
  <c r="E3294" i="4"/>
  <c r="E3293" i="4"/>
  <c r="F3292" i="4"/>
  <c r="F3291" i="4"/>
  <c r="E3291" i="4"/>
  <c r="E3289" i="4"/>
  <c r="F3290" i="4"/>
  <c r="E3288" i="4"/>
  <c r="E3286" i="4"/>
  <c r="F3287" i="4"/>
  <c r="E3287" i="4"/>
  <c r="E3285" i="4"/>
  <c r="F3283" i="4"/>
  <c r="E3283" i="4"/>
  <c r="E3284" i="4"/>
  <c r="E3281" i="4"/>
  <c r="E3282" i="4"/>
  <c r="F3279" i="4"/>
  <c r="E3279" i="4"/>
  <c r="E3278" i="4"/>
  <c r="F3277" i="4"/>
  <c r="E3277" i="4"/>
  <c r="F3273" i="4"/>
  <c r="E3276" i="4"/>
  <c r="F3274" i="4"/>
  <c r="E3274" i="4"/>
  <c r="E3273" i="4"/>
  <c r="E3272" i="4"/>
  <c r="F3270" i="4"/>
  <c r="E3268" i="4"/>
  <c r="E3270" i="4"/>
  <c r="F3267" i="4"/>
  <c r="E3265" i="4"/>
  <c r="E3269" i="4"/>
  <c r="E3267" i="4"/>
  <c r="B57" i="12" s="1"/>
  <c r="E3271" i="4"/>
  <c r="F3268" i="4"/>
  <c r="E3262" i="4"/>
  <c r="F3264" i="4"/>
  <c r="E3264" i="4"/>
  <c r="F3263" i="4"/>
  <c r="E3263" i="4"/>
  <c r="E3261" i="4"/>
  <c r="F3261" i="4"/>
  <c r="E3260" i="4"/>
  <c r="E3255" i="4"/>
  <c r="E3259" i="4"/>
  <c r="F3258" i="4"/>
  <c r="F3260" i="4"/>
  <c r="E3258" i="4"/>
  <c r="F3254" i="4"/>
  <c r="E3257" i="4"/>
  <c r="E3254" i="4"/>
  <c r="E3256" i="4"/>
  <c r="E3248" i="4"/>
  <c r="E3253" i="4"/>
  <c r="F3249" i="4"/>
  <c r="E3250" i="4"/>
  <c r="E3249" i="4"/>
  <c r="F3246" i="4"/>
  <c r="E3251" i="4"/>
  <c r="F3248" i="4"/>
  <c r="E3246" i="4"/>
  <c r="E3245" i="4"/>
  <c r="E3242" i="4"/>
  <c r="E3240" i="4"/>
  <c r="E3244" i="4"/>
  <c r="E3243" i="4"/>
  <c r="F3240" i="4"/>
  <c r="E3239" i="4"/>
  <c r="F3239" i="4"/>
  <c r="E3237" i="4"/>
  <c r="E3236" i="4"/>
  <c r="F3235" i="4"/>
  <c r="E3235" i="4"/>
  <c r="E3232" i="4"/>
  <c r="E3231" i="4"/>
  <c r="F3233" i="4"/>
  <c r="E3230" i="4"/>
  <c r="E3233" i="4"/>
  <c r="E3229" i="4"/>
  <c r="E3226" i="4"/>
  <c r="E3228" i="4"/>
  <c r="F3228" i="4"/>
  <c r="F3225" i="4"/>
  <c r="E3225" i="4"/>
  <c r="E3227" i="4"/>
  <c r="C24" i="14"/>
  <c r="C57" i="14"/>
  <c r="C25" i="14"/>
  <c r="C46" i="14"/>
  <c r="E3224" i="4"/>
  <c r="C104" i="14"/>
  <c r="C118" i="14"/>
  <c r="C103" i="14"/>
  <c r="C125" i="14"/>
  <c r="C107" i="14"/>
  <c r="C108" i="14"/>
  <c r="C141" i="14"/>
  <c r="C134" i="14"/>
  <c r="C16" i="14"/>
  <c r="C21" i="14"/>
  <c r="C41" i="14"/>
  <c r="F3224" i="4"/>
  <c r="F3222" i="4"/>
  <c r="E3220" i="4"/>
  <c r="E3218" i="4"/>
  <c r="E3222" i="4"/>
  <c r="F3219" i="4"/>
  <c r="F3221" i="4"/>
  <c r="E3219" i="4"/>
  <c r="E3223" i="4"/>
  <c r="F3213" i="4"/>
  <c r="E3211" i="4"/>
  <c r="E3208" i="4"/>
  <c r="E3216" i="4"/>
  <c r="E3213" i="4"/>
  <c r="F3210" i="4"/>
  <c r="E3207" i="4"/>
  <c r="F3214" i="4"/>
  <c r="F3212" i="4"/>
  <c r="E3210" i="4"/>
  <c r="F3206" i="4"/>
  <c r="E3214" i="4"/>
  <c r="E3212" i="4"/>
  <c r="E3209" i="4"/>
  <c r="E3206" i="4"/>
  <c r="F3215" i="4"/>
  <c r="E3215" i="4"/>
  <c r="F3205" i="4"/>
  <c r="E3205" i="4"/>
  <c r="F3204" i="4"/>
  <c r="F3201" i="4"/>
  <c r="F3203" i="4"/>
  <c r="E3203" i="4"/>
  <c r="E3202" i="4"/>
  <c r="E3201" i="4"/>
  <c r="G3201" i="4" s="1"/>
  <c r="F3200" i="4"/>
  <c r="E3200" i="4"/>
  <c r="E3199" i="4"/>
  <c r="F3199" i="4"/>
  <c r="E3198" i="4"/>
  <c r="F3196" i="4"/>
  <c r="F3197" i="4"/>
  <c r="G3197" i="4" s="1"/>
  <c r="E3196" i="4"/>
  <c r="E3195" i="4"/>
  <c r="F3194" i="4"/>
  <c r="E3194" i="4"/>
  <c r="E3193" i="4"/>
  <c r="E3192" i="4"/>
  <c r="E3189" i="4"/>
  <c r="E3183" i="4"/>
  <c r="F3189" i="4"/>
  <c r="E3188" i="4"/>
  <c r="E3182" i="4"/>
  <c r="E3187" i="4"/>
  <c r="E3186" i="4"/>
  <c r="F3183" i="4"/>
  <c r="E3178" i="4"/>
  <c r="F3175" i="4"/>
  <c r="F3180" i="4"/>
  <c r="F3177" i="4"/>
  <c r="E3175" i="4"/>
  <c r="E3177" i="4"/>
  <c r="E3174" i="4"/>
  <c r="E3179" i="4"/>
  <c r="E3172" i="4"/>
  <c r="F3171" i="4"/>
  <c r="F3168" i="4"/>
  <c r="E3173" i="4"/>
  <c r="E3171" i="4"/>
  <c r="F3165" i="4"/>
  <c r="E3155" i="4"/>
  <c r="E3163" i="4"/>
  <c r="F3160" i="4"/>
  <c r="E3168" i="4"/>
  <c r="E3165" i="4"/>
  <c r="F3162" i="4"/>
  <c r="E3160" i="4"/>
  <c r="E3154" i="4"/>
  <c r="F3169" i="4"/>
  <c r="E3167" i="4"/>
  <c r="F3164" i="4"/>
  <c r="G3164" i="4" s="1"/>
  <c r="E3162" i="4"/>
  <c r="E3159" i="4"/>
  <c r="E3156" i="4"/>
  <c r="E3169" i="4"/>
  <c r="E3166" i="4"/>
  <c r="E3161" i="4"/>
  <c r="E3158" i="4"/>
  <c r="F3155" i="4"/>
  <c r="E3153" i="4"/>
  <c r="E3151" i="4"/>
  <c r="F3150" i="4"/>
  <c r="E3149" i="4"/>
  <c r="E3148" i="4"/>
  <c r="F3146" i="4"/>
  <c r="E3147" i="4"/>
  <c r="E3146" i="4"/>
  <c r="E3145" i="4"/>
  <c r="E3139" i="4"/>
  <c r="E3142" i="4"/>
  <c r="F3136" i="4"/>
  <c r="F3141" i="4"/>
  <c r="E3138" i="4"/>
  <c r="E3136" i="4"/>
  <c r="F3143" i="4"/>
  <c r="E3141" i="4"/>
  <c r="F3137" i="4"/>
  <c r="E3135" i="4"/>
  <c r="E3143" i="4"/>
  <c r="E3140" i="4"/>
  <c r="E3137" i="4"/>
  <c r="G3137" i="4" s="1"/>
  <c r="E3134" i="4"/>
  <c r="B54" i="12" s="1"/>
  <c r="E3132" i="4"/>
  <c r="F3131" i="4"/>
  <c r="E3131" i="4"/>
  <c r="E3130" i="4"/>
  <c r="F3126" i="4"/>
  <c r="F3128" i="4"/>
  <c r="E3126" i="4"/>
  <c r="E3128" i="4"/>
  <c r="F3123" i="4"/>
  <c r="E3127" i="4"/>
  <c r="F3125" i="4"/>
  <c r="E3123" i="4"/>
  <c r="E3125" i="4"/>
  <c r="E3121" i="4"/>
  <c r="E3119" i="4"/>
  <c r="F3120" i="4"/>
  <c r="F3118" i="4"/>
  <c r="F3122" i="4"/>
  <c r="E3118" i="4"/>
  <c r="E3116" i="4"/>
  <c r="E3122" i="4"/>
  <c r="F3119" i="4"/>
  <c r="F3114" i="4"/>
  <c r="E3115" i="4"/>
  <c r="E3114" i="4"/>
  <c r="E3113" i="4"/>
  <c r="F3112" i="4"/>
  <c r="E3111" i="4"/>
  <c r="F3111" i="4"/>
  <c r="E3109" i="4"/>
  <c r="E3108" i="4"/>
  <c r="E3107" i="4"/>
  <c r="E3104" i="4"/>
  <c r="E3103" i="4"/>
  <c r="F3101" i="4"/>
  <c r="G3101" i="4" s="1"/>
  <c r="F3098" i="4"/>
  <c r="F3099" i="4"/>
  <c r="E3099" i="4"/>
  <c r="F3096" i="4"/>
  <c r="E1442" i="4"/>
  <c r="F1442" i="4"/>
  <c r="E1446" i="4"/>
  <c r="F1446" i="4"/>
  <c r="E1530" i="4"/>
  <c r="F1530" i="4"/>
  <c r="E1566" i="4"/>
  <c r="F1566" i="4"/>
  <c r="E1583" i="4"/>
  <c r="F1583" i="4"/>
  <c r="F1594" i="4"/>
  <c r="E1594" i="4"/>
  <c r="F1618" i="4"/>
  <c r="E1618" i="4"/>
  <c r="F1622" i="4"/>
  <c r="E1622" i="4"/>
  <c r="B40" i="12" s="1"/>
  <c r="F1627" i="4"/>
  <c r="E1627" i="4"/>
  <c r="E1639" i="4"/>
  <c r="F1639" i="4"/>
  <c r="E1879" i="4"/>
  <c r="F1879" i="4"/>
  <c r="F2906" i="4"/>
  <c r="G2906" i="4" s="1"/>
  <c r="F1900" i="4"/>
  <c r="G1900" i="4" s="1"/>
  <c r="F1471" i="4"/>
  <c r="G1471" i="4" s="1"/>
  <c r="F325" i="4"/>
  <c r="F1826" i="4"/>
  <c r="G1826" i="4" s="1"/>
  <c r="F517" i="4"/>
  <c r="G517" i="4" s="1"/>
  <c r="E1269" i="4"/>
  <c r="F1269" i="4"/>
  <c r="F1257" i="4"/>
  <c r="E1257" i="4"/>
  <c r="E1241" i="4"/>
  <c r="F1241" i="4"/>
  <c r="E1201" i="4"/>
  <c r="F1201" i="4"/>
  <c r="F1151" i="4"/>
  <c r="E1151" i="4"/>
  <c r="E1122" i="4"/>
  <c r="F1122" i="4"/>
  <c r="F1041" i="4"/>
  <c r="E1041" i="4"/>
  <c r="E998" i="4"/>
  <c r="F998" i="4"/>
  <c r="E986" i="4"/>
  <c r="F986" i="4"/>
  <c r="F934" i="4"/>
  <c r="E934" i="4"/>
  <c r="F913" i="4"/>
  <c r="E913" i="4"/>
  <c r="E909" i="4"/>
  <c r="F909" i="4"/>
  <c r="F881" i="4"/>
  <c r="E881" i="4"/>
  <c r="E825" i="4"/>
  <c r="F825" i="4"/>
  <c r="F821" i="4"/>
  <c r="E821" i="4"/>
  <c r="F667" i="4"/>
  <c r="E667" i="4"/>
  <c r="F651" i="4"/>
  <c r="E651" i="4"/>
  <c r="F630" i="4"/>
  <c r="E630" i="4"/>
  <c r="F622" i="4"/>
  <c r="E622" i="4"/>
  <c r="G8" i="6"/>
  <c r="E1384" i="4"/>
  <c r="F1384" i="4"/>
  <c r="F1372" i="4"/>
  <c r="G1372" i="4" s="1"/>
  <c r="F1362" i="4"/>
  <c r="E1362" i="4"/>
  <c r="E1350" i="4"/>
  <c r="F1350" i="4"/>
  <c r="F1341" i="4"/>
  <c r="E1341" i="4"/>
  <c r="E1328" i="4"/>
  <c r="F1328" i="4"/>
  <c r="E1504" i="4"/>
  <c r="G1504" i="4" s="1"/>
  <c r="E1456" i="4"/>
  <c r="F1456" i="4"/>
  <c r="F1503" i="4"/>
  <c r="E1503" i="4"/>
  <c r="E1507" i="4"/>
  <c r="F1507" i="4"/>
  <c r="E1559" i="4"/>
  <c r="F1559" i="4"/>
  <c r="E1652" i="4"/>
  <c r="F1652" i="4"/>
  <c r="E1884" i="4"/>
  <c r="F1884" i="4"/>
  <c r="F1450" i="4"/>
  <c r="G1450" i="4" s="1"/>
  <c r="E1476" i="4"/>
  <c r="G1476" i="4" s="1"/>
  <c r="F286" i="4"/>
  <c r="G286" i="4" s="1"/>
  <c r="F465" i="4"/>
  <c r="G465" i="4" s="1"/>
  <c r="F526" i="4"/>
  <c r="G526" i="4" s="1"/>
  <c r="F116" i="4"/>
  <c r="G116" i="4" s="1"/>
  <c r="F1877" i="4"/>
  <c r="G1877" i="4" s="1"/>
  <c r="F402" i="4"/>
  <c r="G402" i="4" s="1"/>
  <c r="D72" i="14"/>
  <c r="F6475" i="4" s="1"/>
  <c r="F1836" i="4"/>
  <c r="G1836" i="4" s="1"/>
  <c r="D96" i="14"/>
  <c r="F332" i="4"/>
  <c r="G332" i="4" s="1"/>
  <c r="F635" i="4"/>
  <c r="G635" i="4" s="1"/>
  <c r="F1289" i="4"/>
  <c r="E1289" i="4"/>
  <c r="E1265" i="4"/>
  <c r="F1265" i="4"/>
  <c r="E1217" i="4"/>
  <c r="F1217" i="4"/>
  <c r="E1139" i="4"/>
  <c r="F1139" i="4"/>
  <c r="F1102" i="4"/>
  <c r="E1102" i="4"/>
  <c r="E1047" i="4"/>
  <c r="F1047" i="4"/>
  <c r="F1025" i="4"/>
  <c r="E1025" i="4"/>
  <c r="E946" i="4"/>
  <c r="F946" i="4"/>
  <c r="F853" i="4"/>
  <c r="E853" i="4"/>
  <c r="F849" i="4"/>
  <c r="E849" i="4"/>
  <c r="E797" i="4"/>
  <c r="F797" i="4"/>
  <c r="F659" i="4"/>
  <c r="E659" i="4"/>
  <c r="F595" i="4"/>
  <c r="E595" i="4"/>
  <c r="F591" i="4"/>
  <c r="E591" i="4"/>
  <c r="F566" i="4"/>
  <c r="E566" i="4"/>
  <c r="F562" i="4"/>
  <c r="E562" i="4"/>
  <c r="E558" i="4"/>
  <c r="F558" i="4"/>
  <c r="G48" i="4"/>
  <c r="E1317" i="4"/>
  <c r="F1317" i="4"/>
  <c r="F1332" i="4"/>
  <c r="G1332" i="4" s="1"/>
  <c r="F1797" i="4"/>
  <c r="G1797" i="4" s="1"/>
  <c r="F277" i="4"/>
  <c r="F285" i="4"/>
  <c r="F1614" i="4"/>
  <c r="G1614" i="4" s="1"/>
  <c r="F288" i="4"/>
  <c r="F479" i="4"/>
  <c r="G479" i="4" s="1"/>
  <c r="F1345" i="4"/>
  <c r="G1345" i="4" s="1"/>
  <c r="F113" i="4"/>
  <c r="G113" i="4" s="1"/>
  <c r="F1214" i="4"/>
  <c r="G1214" i="4" s="1"/>
  <c r="F81" i="4"/>
  <c r="F206" i="4"/>
  <c r="G206" i="4" s="1"/>
  <c r="F19" i="4"/>
  <c r="G19" i="4" s="1"/>
  <c r="F176" i="4"/>
  <c r="G176" i="4" s="1"/>
  <c r="F186" i="4"/>
  <c r="G186" i="4" s="1"/>
  <c r="D42" i="14"/>
  <c r="F5960" i="4" s="1"/>
  <c r="F314" i="4"/>
  <c r="G314" i="4" s="1"/>
  <c r="F420" i="4"/>
  <c r="F1578" i="4"/>
  <c r="G1578" i="4" s="1"/>
  <c r="F1822" i="4"/>
  <c r="G1822" i="4" s="1"/>
  <c r="F297" i="4"/>
  <c r="F82" i="4"/>
  <c r="F1854" i="4"/>
  <c r="G1854" i="4" s="1"/>
  <c r="F1641" i="4"/>
  <c r="G1641" i="4" s="1"/>
  <c r="F579" i="4"/>
  <c r="G579" i="4" s="1"/>
  <c r="F1361" i="4"/>
  <c r="G1361" i="4" s="1"/>
  <c r="F1670" i="4"/>
  <c r="G1670" i="4" s="1"/>
  <c r="F1310" i="4"/>
  <c r="G1310" i="4" s="1"/>
  <c r="F187" i="4"/>
  <c r="F351" i="4"/>
  <c r="F35" i="4"/>
  <c r="G35" i="4" s="1"/>
  <c r="F299" i="4"/>
  <c r="G299" i="4" s="1"/>
  <c r="F567" i="4"/>
  <c r="G567" i="4" s="1"/>
  <c r="F41" i="4"/>
  <c r="G41" i="4" s="1"/>
  <c r="F492" i="4"/>
  <c r="F1374" i="4"/>
  <c r="G1374" i="4" s="1"/>
  <c r="F284" i="4"/>
  <c r="F495" i="4"/>
  <c r="G495" i="4" s="1"/>
  <c r="F443" i="4"/>
  <c r="G443" i="4" s="1"/>
  <c r="F153" i="4"/>
  <c r="G153" i="4" s="1"/>
  <c r="F1623" i="4"/>
  <c r="G1623" i="4" s="1"/>
  <c r="F1757" i="4"/>
  <c r="G1757" i="4" s="1"/>
  <c r="F1710" i="4"/>
  <c r="G1710" i="4" s="1"/>
  <c r="F238" i="4"/>
  <c r="F270" i="4"/>
  <c r="G270" i="4" s="1"/>
  <c r="F1852" i="4"/>
  <c r="G1852" i="4" s="1"/>
  <c r="F1266" i="4"/>
  <c r="G1266" i="4" s="1"/>
  <c r="D81" i="14"/>
  <c r="F5895" i="4" s="1"/>
  <c r="G5895" i="4" s="1"/>
  <c r="F1834" i="4"/>
  <c r="G1834" i="4" s="1"/>
  <c r="E1141" i="4"/>
  <c r="G1141" i="4" s="1"/>
  <c r="E1340" i="4"/>
  <c r="G1340" i="4" s="1"/>
  <c r="E232" i="14"/>
  <c r="E6297" i="4" s="1"/>
  <c r="E1584" i="4"/>
  <c r="G1584" i="4" s="1"/>
  <c r="E1700" i="4"/>
  <c r="G1700" i="4" s="1"/>
  <c r="E1296" i="4"/>
  <c r="G1296" i="4" s="1"/>
  <c r="F67" i="4"/>
  <c r="G67" i="4" s="1"/>
  <c r="F70" i="4"/>
  <c r="F370" i="4"/>
  <c r="G370" i="4" s="1"/>
  <c r="F1235" i="4"/>
  <c r="G1235" i="4" s="1"/>
  <c r="D68" i="14"/>
  <c r="F6197" i="4" s="1"/>
  <c r="F1416" i="4"/>
  <c r="G1416" i="4" s="1"/>
  <c r="F730" i="4"/>
  <c r="G730" i="4" s="1"/>
  <c r="F1202" i="4"/>
  <c r="G1202" i="4" s="1"/>
  <c r="F1026" i="4"/>
  <c r="G1026" i="4" s="1"/>
  <c r="F483" i="4"/>
  <c r="F1709" i="4"/>
  <c r="G1709" i="4" s="1"/>
  <c r="F1574" i="4"/>
  <c r="G1574" i="4" s="1"/>
  <c r="F1515" i="4"/>
  <c r="G1515" i="4" s="1"/>
  <c r="F1056" i="4"/>
  <c r="G1056" i="4" s="1"/>
  <c r="F1823" i="4"/>
  <c r="G1823" i="4" s="1"/>
  <c r="F1698" i="4"/>
  <c r="G1698" i="4" s="1"/>
  <c r="F376" i="4"/>
  <c r="F267" i="4"/>
  <c r="G267" i="4" s="1"/>
  <c r="F346" i="4"/>
  <c r="G346" i="4" s="1"/>
  <c r="F786" i="4"/>
  <c r="G786" i="4" s="1"/>
  <c r="F66" i="4"/>
  <c r="F283" i="4"/>
  <c r="G283" i="4" s="1"/>
  <c r="F1194" i="4"/>
  <c r="G1194" i="4" s="1"/>
  <c r="D58" i="14"/>
  <c r="F6410" i="4" s="1"/>
  <c r="F1841" i="4"/>
  <c r="G1841" i="4" s="1"/>
  <c r="F387" i="4"/>
  <c r="G387" i="4" s="1"/>
  <c r="F405" i="4"/>
  <c r="G405" i="4" s="1"/>
  <c r="F742" i="4"/>
  <c r="G742" i="4" s="1"/>
  <c r="F1722" i="4"/>
  <c r="G1722" i="4" s="1"/>
  <c r="F1103" i="4"/>
  <c r="G1103" i="4" s="1"/>
  <c r="F124" i="4"/>
  <c r="F194" i="4"/>
  <c r="G194" i="4" s="1"/>
  <c r="F1190" i="4"/>
  <c r="G1190" i="4" s="1"/>
  <c r="F698" i="4"/>
  <c r="G698" i="4" s="1"/>
  <c r="F920" i="4"/>
  <c r="G920" i="4" s="1"/>
  <c r="F213" i="4"/>
  <c r="F451" i="4"/>
  <c r="G451" i="4" s="1"/>
  <c r="F300" i="4"/>
  <c r="F173" i="4"/>
  <c r="G173" i="4" s="1"/>
  <c r="F324" i="4"/>
  <c r="G324" i="4" s="1"/>
  <c r="F1484" i="4"/>
  <c r="G1484" i="4" s="1"/>
  <c r="F293" i="4"/>
  <c r="F444" i="4"/>
  <c r="G444" i="4" s="1"/>
  <c r="F1279" i="4"/>
  <c r="G1279" i="4" s="1"/>
  <c r="F1031" i="4"/>
  <c r="G1031" i="4" s="1"/>
  <c r="F1673" i="4"/>
  <c r="G1673" i="4" s="1"/>
  <c r="F899" i="4"/>
  <c r="G899" i="4" s="1"/>
  <c r="F1768" i="4"/>
  <c r="G1768" i="4" s="1"/>
  <c r="F1748" i="4"/>
  <c r="G1748" i="4" s="1"/>
  <c r="F1589" i="4"/>
  <c r="G1589" i="4" s="1"/>
  <c r="F1685" i="4"/>
  <c r="G1685" i="4" s="1"/>
  <c r="F1750" i="4"/>
  <c r="G1750" i="4" s="1"/>
  <c r="F1347" i="4"/>
  <c r="G1347" i="4" s="1"/>
  <c r="F1464" i="4"/>
  <c r="G1464" i="4" s="1"/>
  <c r="E1437" i="4"/>
  <c r="F1437" i="4"/>
  <c r="F1752" i="4"/>
  <c r="G1752" i="4" s="1"/>
  <c r="F1511" i="4"/>
  <c r="G1511" i="4" s="1"/>
  <c r="F1551" i="4"/>
  <c r="G1551" i="4" s="1"/>
  <c r="F1390" i="4"/>
  <c r="G1390" i="4" s="1"/>
  <c r="F1545" i="4"/>
  <c r="G1545" i="4" s="1"/>
  <c r="F1520" i="4"/>
  <c r="G1520" i="4" s="1"/>
  <c r="E1410" i="4"/>
  <c r="E720" i="4"/>
  <c r="G720" i="4" s="1"/>
  <c r="E634" i="4"/>
  <c r="G634" i="4" s="1"/>
  <c r="E9" i="6"/>
  <c r="F1284" i="4"/>
  <c r="G1284" i="4" s="1"/>
  <c r="F1351" i="4"/>
  <c r="G1351" i="4" s="1"/>
  <c r="E1444" i="4"/>
  <c r="F1444" i="4"/>
  <c r="E1466" i="4"/>
  <c r="F1466" i="4"/>
  <c r="F1472" i="4"/>
  <c r="E1472" i="4"/>
  <c r="E1481" i="4"/>
  <c r="F1481" i="4"/>
  <c r="E1509" i="4"/>
  <c r="B28" i="12" s="1"/>
  <c r="F1509" i="4"/>
  <c r="F1597" i="4"/>
  <c r="E1597" i="4"/>
  <c r="E1601" i="4"/>
  <c r="F1601" i="4"/>
  <c r="E1610" i="4"/>
  <c r="F1610" i="4"/>
  <c r="E1650" i="4"/>
  <c r="F1650" i="4"/>
  <c r="F1647" i="4"/>
  <c r="G1647" i="4" s="1"/>
  <c r="F140" i="4"/>
  <c r="G140" i="4" s="1"/>
  <c r="F783" i="4"/>
  <c r="G783" i="4" s="1"/>
  <c r="F1203" i="4"/>
  <c r="G1203" i="4" s="1"/>
  <c r="E1311" i="4"/>
  <c r="F1311" i="4"/>
  <c r="E1301" i="4"/>
  <c r="F1301" i="4"/>
  <c r="E1285" i="4"/>
  <c r="F1285" i="4"/>
  <c r="F1221" i="4"/>
  <c r="E1221" i="4"/>
  <c r="E1213" i="4"/>
  <c r="F1213" i="4"/>
  <c r="F1189" i="4"/>
  <c r="E1189" i="4"/>
  <c r="F1173" i="4"/>
  <c r="E1173" i="4"/>
  <c r="F1169" i="4"/>
  <c r="E1169" i="4"/>
  <c r="E1165" i="4"/>
  <c r="F1165" i="4"/>
  <c r="E1118" i="4"/>
  <c r="F1118" i="4"/>
  <c r="F1059" i="4"/>
  <c r="E1059" i="4"/>
  <c r="F982" i="4"/>
  <c r="E982" i="4"/>
  <c r="E962" i="4"/>
  <c r="F962" i="4"/>
  <c r="F901" i="4"/>
  <c r="E901" i="4"/>
  <c r="F897" i="4"/>
  <c r="E897" i="4"/>
  <c r="F885" i="4"/>
  <c r="E885" i="4"/>
  <c r="F837" i="4"/>
  <c r="E837" i="4"/>
  <c r="F833" i="4"/>
  <c r="E833" i="4"/>
  <c r="F801" i="4"/>
  <c r="E801" i="4"/>
  <c r="F728" i="4"/>
  <c r="E728" i="4"/>
  <c r="E688" i="4"/>
  <c r="F688" i="4"/>
  <c r="F684" i="4"/>
  <c r="E684" i="4"/>
  <c r="F680" i="4"/>
  <c r="E680" i="4"/>
  <c r="F655" i="4"/>
  <c r="E655" i="4"/>
  <c r="F646" i="4"/>
  <c r="E646" i="4"/>
  <c r="F642" i="4"/>
  <c r="E642" i="4"/>
  <c r="F638" i="4"/>
  <c r="E638" i="4"/>
  <c r="F614" i="4"/>
  <c r="E614" i="4"/>
  <c r="F611" i="4"/>
  <c r="E611" i="4"/>
  <c r="F603" i="4"/>
  <c r="E603" i="4"/>
  <c r="F550" i="4"/>
  <c r="E550" i="4"/>
  <c r="F538" i="4"/>
  <c r="E538" i="4"/>
  <c r="G238" i="4"/>
  <c r="G193" i="4"/>
  <c r="F1401" i="4"/>
  <c r="E1401" i="4"/>
  <c r="F1405" i="4"/>
  <c r="E1405" i="4"/>
  <c r="E1425" i="4"/>
  <c r="F1425" i="4"/>
  <c r="F951" i="4"/>
  <c r="G951" i="4" s="1"/>
  <c r="D107" i="14"/>
  <c r="F6021" i="4" s="1"/>
  <c r="F639" i="4"/>
  <c r="G639" i="4" s="1"/>
  <c r="F1556" i="4"/>
  <c r="G1556" i="4" s="1"/>
  <c r="F347" i="4"/>
  <c r="G347" i="4" s="1"/>
  <c r="F353" i="4"/>
  <c r="G353" i="4" s="1"/>
  <c r="F1027" i="4"/>
  <c r="G1027" i="4" s="1"/>
  <c r="D212" i="14"/>
  <c r="F5935" i="4" s="1"/>
  <c r="F130" i="4"/>
  <c r="G130" i="4" s="1"/>
  <c r="F426" i="4"/>
  <c r="G426" i="4" s="1"/>
  <c r="F1658" i="4"/>
  <c r="G1658" i="4" s="1"/>
  <c r="F45" i="4"/>
  <c r="F902" i="4"/>
  <c r="G902" i="4" s="1"/>
  <c r="F1522" i="4"/>
  <c r="G1522" i="4" s="1"/>
  <c r="F1508" i="4"/>
  <c r="G1508" i="4" s="1"/>
  <c r="F1270" i="4"/>
  <c r="G1270" i="4" s="1"/>
  <c r="F141" i="4"/>
  <c r="G141" i="4" s="1"/>
  <c r="F1436" i="4"/>
  <c r="E1436" i="4"/>
  <c r="F1799" i="4"/>
  <c r="G1799" i="4" s="1"/>
  <c r="F1783" i="4"/>
  <c r="G1783" i="4" s="1"/>
  <c r="F1809" i="4"/>
  <c r="G1809" i="4" s="1"/>
  <c r="F1462" i="4"/>
  <c r="G1462" i="4" s="1"/>
  <c r="F1513" i="4"/>
  <c r="G1513" i="4" s="1"/>
  <c r="F1541" i="4"/>
  <c r="G1541" i="4" s="1"/>
  <c r="F1553" i="4"/>
  <c r="G1553" i="4" s="1"/>
  <c r="F1577" i="4"/>
  <c r="G1577" i="4" s="1"/>
  <c r="F1342" i="4"/>
  <c r="G1342" i="4" s="1"/>
  <c r="F1628" i="4"/>
  <c r="G1628" i="4" s="1"/>
  <c r="F1676" i="4"/>
  <c r="G1676" i="4" s="1"/>
  <c r="F1635" i="4"/>
  <c r="G1635" i="4" s="1"/>
  <c r="F1114" i="4"/>
  <c r="G1114" i="4" s="1"/>
  <c r="E1549" i="4"/>
  <c r="E663" i="4"/>
  <c r="G663" i="4" s="1"/>
  <c r="G335" i="4"/>
  <c r="F763" i="4"/>
  <c r="G763" i="4" s="1"/>
  <c r="F798" i="4"/>
  <c r="G798" i="4" s="1"/>
  <c r="D133" i="14"/>
  <c r="F4892" i="4" s="1"/>
  <c r="G4892" i="4" s="1"/>
  <c r="F499" i="4"/>
  <c r="F1015" i="4"/>
  <c r="G1015" i="4" s="1"/>
  <c r="F521" i="4"/>
  <c r="G521" i="4" s="1"/>
  <c r="F401" i="4"/>
  <c r="G401" i="4" s="1"/>
  <c r="D151" i="14"/>
  <c r="F6825" i="4" s="1"/>
  <c r="F1212" i="4"/>
  <c r="E1212" i="4"/>
  <c r="F1093" i="4"/>
  <c r="E1093" i="4"/>
  <c r="F1063" i="4"/>
  <c r="E1063" i="4"/>
  <c r="E973" i="4"/>
  <c r="F973" i="4"/>
  <c r="E937" i="4"/>
  <c r="F937" i="4"/>
  <c r="F933" i="4"/>
  <c r="E933" i="4"/>
  <c r="F929" i="4"/>
  <c r="E929" i="4"/>
  <c r="F925" i="4"/>
  <c r="E925" i="4"/>
  <c r="E880" i="4"/>
  <c r="F880" i="4"/>
  <c r="F872" i="4"/>
  <c r="E872" i="4"/>
  <c r="F852" i="4"/>
  <c r="E852" i="4"/>
  <c r="E848" i="4"/>
  <c r="F848" i="4"/>
  <c r="F800" i="4"/>
  <c r="E800" i="4"/>
  <c r="F735" i="4"/>
  <c r="E735" i="4"/>
  <c r="E703" i="4"/>
  <c r="F703" i="4"/>
  <c r="F687" i="4"/>
  <c r="E687" i="4"/>
  <c r="F679" i="4"/>
  <c r="E679" i="4"/>
  <c r="F662" i="4"/>
  <c r="E662" i="4"/>
  <c r="F658" i="4"/>
  <c r="E658" i="4"/>
  <c r="F621" i="4"/>
  <c r="E621" i="4"/>
  <c r="G524" i="4"/>
  <c r="G39" i="4"/>
  <c r="F460" i="4"/>
  <c r="G460" i="4" s="1"/>
  <c r="F1365" i="4"/>
  <c r="G1365" i="4" s="1"/>
  <c r="F418" i="4"/>
  <c r="G418" i="4" s="1"/>
  <c r="F61" i="4"/>
  <c r="G61" i="4" s="1"/>
  <c r="F1075" i="4"/>
  <c r="G1075" i="4" s="1"/>
  <c r="D192" i="14"/>
  <c r="F5851" i="4" s="1"/>
  <c r="F339" i="4"/>
  <c r="F1397" i="4"/>
  <c r="F175" i="4"/>
  <c r="F365" i="4"/>
  <c r="G365" i="4" s="1"/>
  <c r="F1367" i="4"/>
  <c r="G1367" i="4" s="1"/>
  <c r="F1517" i="4"/>
  <c r="D26" i="14"/>
  <c r="F1765" i="4"/>
  <c r="G1765" i="4" s="1"/>
  <c r="E1737" i="4"/>
  <c r="F1737" i="4"/>
  <c r="E1781" i="4"/>
  <c r="F1781" i="4"/>
  <c r="F1648" i="4"/>
  <c r="G1648" i="4" s="1"/>
  <c r="F999" i="4"/>
  <c r="G999" i="4" s="1"/>
  <c r="E1820" i="4"/>
  <c r="F1820" i="4"/>
  <c r="E1843" i="4"/>
  <c r="F1843" i="4"/>
  <c r="F1847" i="4"/>
  <c r="E1847" i="4"/>
  <c r="E1850" i="4"/>
  <c r="F1850" i="4"/>
  <c r="E1853" i="4"/>
  <c r="F1853" i="4"/>
  <c r="E1855" i="4"/>
  <c r="F1855" i="4"/>
  <c r="E1857" i="4"/>
  <c r="F1857" i="4"/>
  <c r="E1861" i="4"/>
  <c r="F1861" i="4"/>
  <c r="E1871" i="4"/>
  <c r="F1871" i="4"/>
  <c r="C166" i="14"/>
  <c r="C142" i="14"/>
  <c r="C122" i="14"/>
  <c r="C78" i="14"/>
  <c r="C38" i="14"/>
  <c r="C2" i="14"/>
  <c r="C129" i="14"/>
  <c r="C89" i="14"/>
  <c r="C45" i="14"/>
  <c r="C9" i="14"/>
  <c r="C136" i="14"/>
  <c r="C92" i="14"/>
  <c r="C48" i="14"/>
  <c r="C8" i="14"/>
  <c r="C135" i="14"/>
  <c r="C91" i="14"/>
  <c r="C51" i="14"/>
  <c r="C15" i="14"/>
  <c r="C102" i="14"/>
  <c r="C58" i="14"/>
  <c r="C22" i="14"/>
  <c r="C153" i="14"/>
  <c r="C109" i="14"/>
  <c r="C65" i="14"/>
  <c r="C33" i="14"/>
  <c r="C156" i="14"/>
  <c r="C112" i="14"/>
  <c r="C72" i="14"/>
  <c r="C28" i="14"/>
  <c r="C155" i="14"/>
  <c r="C115" i="14"/>
  <c r="C71" i="14"/>
  <c r="C35" i="14"/>
  <c r="C27" i="14"/>
  <c r="C154" i="14"/>
  <c r="C110" i="14"/>
  <c r="C70" i="14"/>
  <c r="C34" i="14"/>
  <c r="C161" i="14"/>
  <c r="C121" i="14"/>
  <c r="C77" i="14"/>
  <c r="C5" i="14"/>
  <c r="C128" i="14"/>
  <c r="C88" i="14"/>
  <c r="C44" i="14"/>
  <c r="C171" i="14"/>
  <c r="C131" i="14"/>
  <c r="C87" i="14"/>
  <c r="C43" i="14"/>
  <c r="C11" i="14"/>
  <c r="C138" i="14"/>
  <c r="C94" i="14"/>
  <c r="C54" i="14"/>
  <c r="C18" i="14"/>
  <c r="C145" i="14"/>
  <c r="C105" i="14"/>
  <c r="C61" i="14"/>
  <c r="C168" i="14"/>
  <c r="C124" i="14"/>
  <c r="C80" i="14"/>
  <c r="C40" i="14"/>
  <c r="C167" i="14"/>
  <c r="C123" i="14"/>
  <c r="C83" i="14"/>
  <c r="C39" i="14"/>
  <c r="F32" i="4"/>
  <c r="F127" i="4"/>
  <c r="F1490" i="4"/>
  <c r="G1490" i="4" s="1"/>
  <c r="F587" i="4"/>
  <c r="G587" i="4" s="1"/>
  <c r="G394" i="4"/>
  <c r="F464" i="4"/>
  <c r="G464" i="4" s="1"/>
  <c r="F99" i="4"/>
  <c r="G99" i="4" s="1"/>
  <c r="F513" i="4"/>
  <c r="F1651" i="4"/>
  <c r="G1651" i="4" s="1"/>
  <c r="F202" i="4"/>
  <c r="F1168" i="4"/>
  <c r="G1168" i="4" s="1"/>
  <c r="F1134" i="4"/>
  <c r="G1134" i="4" s="1"/>
  <c r="F1001" i="4"/>
  <c r="G1001" i="4" s="1"/>
  <c r="E997" i="4"/>
  <c r="F997" i="4"/>
  <c r="E953" i="4"/>
  <c r="F953" i="4"/>
  <c r="F908" i="4"/>
  <c r="E908" i="4"/>
  <c r="F650" i="4"/>
  <c r="F641" i="4"/>
  <c r="E641" i="4"/>
  <c r="F637" i="4"/>
  <c r="E637" i="4"/>
  <c r="F585" i="4"/>
  <c r="E585" i="4"/>
  <c r="F557" i="4"/>
  <c r="E557" i="4"/>
  <c r="F553" i="4"/>
  <c r="E553" i="4"/>
  <c r="G441" i="4"/>
  <c r="G298" i="4"/>
  <c r="G213" i="4"/>
  <c r="D18" i="14"/>
  <c r="F5032" i="4" s="1"/>
  <c r="F44" i="4"/>
  <c r="G44" i="4" s="1"/>
  <c r="F491" i="4"/>
  <c r="G491" i="4" s="1"/>
  <c r="F33" i="4"/>
  <c r="G33" i="4" s="1"/>
  <c r="F34" i="4"/>
  <c r="F474" i="4"/>
  <c r="G474" i="4" s="1"/>
  <c r="E7" i="6"/>
  <c r="B13" i="6"/>
  <c r="F1325" i="4"/>
  <c r="E1452" i="4"/>
  <c r="F1550" i="4"/>
  <c r="E1550" i="4"/>
  <c r="F1595" i="4"/>
  <c r="E1595" i="4"/>
  <c r="F1798" i="4"/>
  <c r="G1798" i="4" s="1"/>
  <c r="F1800" i="4"/>
  <c r="G1800" i="4" s="1"/>
  <c r="F1792" i="4"/>
  <c r="G1792" i="4" s="1"/>
  <c r="E1818" i="4"/>
  <c r="F1487" i="4"/>
  <c r="G1487" i="4" s="1"/>
  <c r="B7" i="6"/>
  <c r="F1385" i="4"/>
  <c r="G1385" i="4" s="1"/>
  <c r="F1718" i="4"/>
  <c r="G1718" i="4" s="1"/>
  <c r="F1725" i="4"/>
  <c r="F1338" i="4"/>
  <c r="G1338" i="4" s="1"/>
  <c r="F1659" i="4"/>
  <c r="G1659" i="4" s="1"/>
  <c r="F1452" i="4"/>
  <c r="F1319" i="4"/>
  <c r="G1319" i="4" s="1"/>
  <c r="F1467" i="4"/>
  <c r="G1467" i="4" s="1"/>
  <c r="F1272" i="4"/>
  <c r="G1272" i="4" s="1"/>
  <c r="F119" i="4"/>
  <c r="G119" i="4" s="1"/>
  <c r="E1557" i="4"/>
  <c r="G189" i="4"/>
  <c r="E1586" i="4"/>
  <c r="G1586" i="4" s="1"/>
  <c r="F1716" i="4"/>
  <c r="G1716" i="4" s="1"/>
  <c r="F244" i="4"/>
  <c r="G244" i="4" s="1"/>
  <c r="F1424" i="4"/>
  <c r="G1424" i="4" s="1"/>
  <c r="F819" i="4"/>
  <c r="G819" i="4" s="1"/>
  <c r="F1158" i="4"/>
  <c r="G1158" i="4" s="1"/>
  <c r="F856" i="4"/>
  <c r="G856" i="4" s="1"/>
  <c r="F1327" i="4"/>
  <c r="G1327" i="4" s="1"/>
  <c r="F1252" i="4"/>
  <c r="G1252" i="4" s="1"/>
  <c r="F945" i="4"/>
  <c r="G945" i="4" s="1"/>
  <c r="E1054" i="4"/>
  <c r="E1142" i="4"/>
  <c r="G1142" i="4" s="1"/>
  <c r="E1172" i="4"/>
  <c r="G1172" i="4" s="1"/>
  <c r="E1200" i="4"/>
  <c r="G1200" i="4" s="1"/>
  <c r="F1413" i="4"/>
  <c r="G1413" i="4" s="1"/>
  <c r="E650" i="4"/>
  <c r="E1009" i="4"/>
  <c r="G1009" i="4" s="1"/>
  <c r="C59" i="14"/>
  <c r="C147" i="14"/>
  <c r="C60" i="14"/>
  <c r="C144" i="14"/>
  <c r="C81" i="14"/>
  <c r="C169" i="14"/>
  <c r="C74" i="14"/>
  <c r="C158" i="14"/>
  <c r="D235" i="14"/>
  <c r="F5590" i="4" s="1"/>
  <c r="F1204" i="4"/>
  <c r="G1204" i="4" s="1"/>
  <c r="F1016" i="4"/>
  <c r="G1016" i="4" s="1"/>
  <c r="F965" i="4"/>
  <c r="G965" i="4" s="1"/>
  <c r="F419" i="4"/>
  <c r="G419" i="4" s="1"/>
  <c r="F1869" i="4"/>
  <c r="G1869" i="4" s="1"/>
  <c r="D170" i="14"/>
  <c r="G311" i="4"/>
  <c r="F574" i="4"/>
  <c r="G574" i="4" s="1"/>
  <c r="F1707" i="4"/>
  <c r="G1707" i="4" s="1"/>
  <c r="F1426" i="4"/>
  <c r="G1426" i="4" s="1"/>
  <c r="D52" i="14"/>
  <c r="F1944" i="4" s="1"/>
  <c r="G1944" i="4" s="1"/>
  <c r="F1300" i="4"/>
  <c r="E1292" i="4"/>
  <c r="F1292" i="4"/>
  <c r="E1268" i="4"/>
  <c r="F1268" i="4"/>
  <c r="F1188" i="4"/>
  <c r="G1188" i="4" s="1"/>
  <c r="F1184" i="4"/>
  <c r="E1184" i="4"/>
  <c r="F1180" i="4"/>
  <c r="E1180" i="4"/>
  <c r="F1154" i="4"/>
  <c r="G1154" i="4" s="1"/>
  <c r="E1097" i="4"/>
  <c r="F1097" i="4"/>
  <c r="F1050" i="4"/>
  <c r="E1050" i="4"/>
  <c r="F1045" i="4"/>
  <c r="E1045" i="4"/>
  <c r="F1005" i="4"/>
  <c r="E1005" i="4"/>
  <c r="F985" i="4"/>
  <c r="E985" i="4"/>
  <c r="F977" i="4"/>
  <c r="E977" i="4"/>
  <c r="F957" i="4"/>
  <c r="E957" i="4"/>
  <c r="E904" i="4"/>
  <c r="F904" i="4"/>
  <c r="F900" i="4"/>
  <c r="E900" i="4"/>
  <c r="E832" i="4"/>
  <c r="F832" i="4"/>
  <c r="F828" i="4"/>
  <c r="E828" i="4"/>
  <c r="F824" i="4"/>
  <c r="E824" i="4"/>
  <c r="F780" i="4"/>
  <c r="E780" i="4"/>
  <c r="F753" i="4"/>
  <c r="E753" i="4"/>
  <c r="F683" i="4"/>
  <c r="E683" i="4"/>
  <c r="F569" i="4"/>
  <c r="E569" i="4"/>
  <c r="G294" i="4"/>
  <c r="G277" i="4"/>
  <c r="G253" i="4"/>
  <c r="G188" i="4"/>
  <c r="G107" i="4"/>
  <c r="G51" i="4"/>
  <c r="D85" i="14"/>
  <c r="F5790" i="4" s="1"/>
  <c r="F167" i="4"/>
  <c r="F266" i="4"/>
  <c r="F22" i="4"/>
  <c r="G22" i="4" s="1"/>
  <c r="F726" i="4"/>
  <c r="G726" i="4" s="1"/>
  <c r="F955" i="4"/>
  <c r="G955" i="4" s="1"/>
  <c r="F104" i="4"/>
  <c r="G104" i="4" s="1"/>
  <c r="F59" i="4"/>
  <c r="G59" i="4" s="1"/>
  <c r="D180" i="14"/>
  <c r="F336" i="4"/>
  <c r="G336" i="4" s="1"/>
  <c r="F910" i="4"/>
  <c r="G910" i="4" s="1"/>
  <c r="F114" i="4"/>
  <c r="G114" i="4" s="1"/>
  <c r="D203" i="14"/>
  <c r="F4179" i="4" s="1"/>
  <c r="G4179" i="4" s="1"/>
  <c r="F1486" i="4"/>
  <c r="G1486" i="4" s="1"/>
  <c r="D193" i="14"/>
  <c r="F5957" i="4" s="1"/>
  <c r="F11" i="4"/>
  <c r="G11" i="4" s="1"/>
  <c r="F15" i="4"/>
  <c r="G15" i="4" s="1"/>
  <c r="F249" i="4"/>
  <c r="G249" i="4" s="1"/>
  <c r="F1417" i="4"/>
  <c r="E1417" i="4"/>
  <c r="F5751" i="4"/>
  <c r="F485" i="4"/>
  <c r="F1435" i="4"/>
  <c r="F338" i="4"/>
  <c r="G338" i="4" s="1"/>
  <c r="F459" i="4"/>
  <c r="F1353" i="4"/>
  <c r="G1353" i="4" s="1"/>
  <c r="F1536" i="4"/>
  <c r="F1802" i="4"/>
  <c r="G1802" i="4" s="1"/>
  <c r="F117" i="4"/>
  <c r="E1434" i="4"/>
  <c r="F1434" i="4"/>
  <c r="F10" i="2"/>
  <c r="F1334" i="4"/>
  <c r="G1334" i="4" s="1"/>
  <c r="E1443" i="4"/>
  <c r="F1448" i="4"/>
  <c r="E1448" i="4"/>
  <c r="F1451" i="4"/>
  <c r="E1451" i="4"/>
  <c r="F1460" i="4"/>
  <c r="E1460" i="4"/>
  <c r="F1521" i="4"/>
  <c r="E1521" i="4"/>
  <c r="F1562" i="4"/>
  <c r="G1562" i="4" s="1"/>
  <c r="G1788" i="4"/>
  <c r="F1528" i="4"/>
  <c r="G1528" i="4" s="1"/>
  <c r="E1359" i="4"/>
  <c r="F1816" i="4"/>
  <c r="G1816" i="4" s="1"/>
  <c r="F1459" i="4"/>
  <c r="G1459" i="4" s="1"/>
  <c r="F1473" i="4"/>
  <c r="G1473" i="4" s="1"/>
  <c r="F1576" i="4"/>
  <c r="G1576" i="4" s="1"/>
  <c r="E1579" i="4"/>
  <c r="G1579" i="4" s="1"/>
  <c r="F1523" i="4"/>
  <c r="G1523" i="4" s="1"/>
  <c r="E1325" i="4"/>
  <c r="E1519" i="4"/>
  <c r="E1397" i="4"/>
  <c r="F875" i="4"/>
  <c r="F1726" i="4"/>
  <c r="G1726" i="4" s="1"/>
  <c r="F1613" i="4"/>
  <c r="G1613" i="4" s="1"/>
  <c r="F1326" i="4"/>
  <c r="F1364" i="4"/>
  <c r="G1364" i="4" s="1"/>
  <c r="F1657" i="4"/>
  <c r="G1657" i="4" s="1"/>
  <c r="F1654" i="4"/>
  <c r="G1654" i="4" s="1"/>
  <c r="E1373" i="4"/>
  <c r="F1399" i="4"/>
  <c r="G1399" i="4" s="1"/>
  <c r="E1724" i="4"/>
  <c r="F1493" i="4"/>
  <c r="G1493" i="4" s="1"/>
  <c r="F896" i="4"/>
  <c r="G896" i="4" s="1"/>
  <c r="G55" i="4"/>
  <c r="F1313" i="4"/>
  <c r="G1313" i="4" s="1"/>
  <c r="F864" i="4"/>
  <c r="G864" i="4" s="1"/>
  <c r="F927" i="4"/>
  <c r="F1164" i="4"/>
  <c r="G1164" i="4" s="1"/>
  <c r="F1236" i="4"/>
  <c r="G1236" i="4" s="1"/>
  <c r="E1517" i="4"/>
  <c r="E565" i="4"/>
  <c r="G565" i="4" s="1"/>
  <c r="E1176" i="4"/>
  <c r="G1176" i="4" s="1"/>
  <c r="E1208" i="4"/>
  <c r="G1208" i="4" s="1"/>
  <c r="E1300" i="4"/>
  <c r="E625" i="4"/>
  <c r="G625" i="4" s="1"/>
  <c r="E711" i="4"/>
  <c r="E969" i="4"/>
  <c r="G969" i="4" s="1"/>
  <c r="E1032" i="4"/>
  <c r="G1032" i="4" s="1"/>
  <c r="C67" i="14"/>
  <c r="C151" i="14"/>
  <c r="C64" i="14"/>
  <c r="C152" i="14"/>
  <c r="C97" i="14"/>
  <c r="C14" i="14"/>
  <c r="C90" i="14"/>
  <c r="C3" i="14"/>
  <c r="F1882" i="4"/>
  <c r="G1882" i="4" s="1"/>
  <c r="F734" i="4"/>
  <c r="G734" i="4" s="1"/>
  <c r="F633" i="4"/>
  <c r="G633" i="4" s="1"/>
  <c r="F1696" i="4"/>
  <c r="F1786" i="4"/>
  <c r="G1786" i="4" s="1"/>
  <c r="F1811" i="4"/>
  <c r="G1811" i="4" s="1"/>
  <c r="F2601" i="4"/>
  <c r="G528" i="4"/>
  <c r="G361" i="4"/>
  <c r="G319" i="4"/>
  <c r="E1865" i="4"/>
  <c r="F1865" i="4"/>
  <c r="F2618" i="4"/>
  <c r="G2618" i="4" s="1"/>
  <c r="F2216" i="4"/>
  <c r="G2216" i="4" s="1"/>
  <c r="E2553" i="4"/>
  <c r="C23" i="14"/>
  <c r="C7" i="14"/>
  <c r="C162" i="14"/>
  <c r="C146" i="14"/>
  <c r="C130" i="14"/>
  <c r="C114" i="14"/>
  <c r="C98" i="14"/>
  <c r="C82" i="14"/>
  <c r="C66" i="14"/>
  <c r="C50" i="14"/>
  <c r="C26" i="14"/>
  <c r="C10" i="14"/>
  <c r="C165" i="14"/>
  <c r="C149" i="14"/>
  <c r="C133" i="14"/>
  <c r="C117" i="14"/>
  <c r="C101" i="14"/>
  <c r="C85" i="14"/>
  <c r="C69" i="14"/>
  <c r="C53" i="14"/>
  <c r="C37" i="14"/>
  <c r="C29" i="14"/>
  <c r="C13" i="14"/>
  <c r="C164" i="14"/>
  <c r="C148" i="14"/>
  <c r="C132" i="14"/>
  <c r="C116" i="14"/>
  <c r="C100" i="14"/>
  <c r="C84" i="14"/>
  <c r="C68" i="14"/>
  <c r="C52" i="14"/>
  <c r="C36" i="14"/>
  <c r="C20" i="14"/>
  <c r="C4" i="14"/>
  <c r="C159" i="14"/>
  <c r="C143" i="14"/>
  <c r="C127" i="14"/>
  <c r="C111" i="14"/>
  <c r="C95" i="14"/>
  <c r="C79" i="14"/>
  <c r="C63" i="14"/>
  <c r="C47" i="14"/>
  <c r="E2225" i="4"/>
  <c r="F2225" i="4"/>
  <c r="F2530" i="4"/>
  <c r="E2530" i="4"/>
  <c r="F1787" i="4"/>
  <c r="G1787" i="4" s="1"/>
  <c r="F1753" i="4"/>
  <c r="G1753" i="4" s="1"/>
  <c r="F1763" i="4"/>
  <c r="G1763" i="4" s="1"/>
  <c r="F1755" i="4"/>
  <c r="G1755" i="4" s="1"/>
  <c r="F1470" i="4"/>
  <c r="G1470" i="4" s="1"/>
  <c r="F1569" i="4"/>
  <c r="G1569" i="4" s="1"/>
  <c r="F1712" i="4"/>
  <c r="G1712" i="4" s="1"/>
  <c r="F366" i="4"/>
  <c r="G366" i="4" s="1"/>
  <c r="C55" i="14"/>
  <c r="C75" i="14"/>
  <c r="C99" i="14"/>
  <c r="C119" i="14"/>
  <c r="C139" i="14"/>
  <c r="C163" i="14"/>
  <c r="C12" i="14"/>
  <c r="C32" i="14"/>
  <c r="C56" i="14"/>
  <c r="C76" i="14"/>
  <c r="C96" i="14"/>
  <c r="C120" i="14"/>
  <c r="C140" i="14"/>
  <c r="C160" i="14"/>
  <c r="C17" i="14"/>
  <c r="C49" i="14"/>
  <c r="C73" i="14"/>
  <c r="C93" i="14"/>
  <c r="C113" i="14"/>
  <c r="C137" i="14"/>
  <c r="C157" i="14"/>
  <c r="C6" i="14"/>
  <c r="C30" i="14"/>
  <c r="C42" i="14"/>
  <c r="C62" i="14"/>
  <c r="C86" i="14"/>
  <c r="C106" i="14"/>
  <c r="C126" i="14"/>
  <c r="C150" i="14"/>
  <c r="C170" i="14"/>
  <c r="C19" i="14"/>
  <c r="F1922" i="4"/>
  <c r="F1216" i="4"/>
  <c r="G1216" i="4" s="1"/>
  <c r="G386" i="4"/>
  <c r="G91" i="4"/>
  <c r="F2223" i="4"/>
  <c r="F602" i="4"/>
  <c r="G602" i="4" s="1"/>
  <c r="F37" i="4"/>
  <c r="G37" i="4" s="1"/>
  <c r="F95" i="4"/>
  <c r="G95" i="4" s="1"/>
  <c r="F296" i="4"/>
  <c r="F321" i="4"/>
  <c r="F442" i="4"/>
  <c r="G442" i="4" s="1"/>
  <c r="E2573" i="4"/>
  <c r="F2553" i="4"/>
  <c r="F2337" i="4"/>
  <c r="E2241" i="4"/>
  <c r="E1985" i="4"/>
  <c r="E2601" i="4"/>
  <c r="E2118" i="4"/>
  <c r="G229" i="4"/>
  <c r="F803" i="4"/>
  <c r="G803" i="4" s="1"/>
  <c r="F799" i="4"/>
  <c r="G799" i="4" s="1"/>
  <c r="F791" i="4"/>
  <c r="G791" i="4" s="1"/>
  <c r="F787" i="4"/>
  <c r="G787" i="4" s="1"/>
  <c r="F761" i="4"/>
  <c r="G761" i="4" s="1"/>
  <c r="F757" i="4"/>
  <c r="G757" i="4" s="1"/>
  <c r="F665" i="4"/>
  <c r="G665" i="4" s="1"/>
  <c r="F620" i="4"/>
  <c r="F609" i="4"/>
  <c r="F601" i="4"/>
  <c r="F597" i="4"/>
  <c r="G597" i="4" s="1"/>
  <c r="F593" i="4"/>
  <c r="F568" i="4"/>
  <c r="F540" i="4"/>
  <c r="G527" i="4"/>
  <c r="G504" i="4"/>
  <c r="G478" i="4"/>
  <c r="B24" i="12"/>
  <c r="G457" i="4"/>
  <c r="G408" i="4"/>
  <c r="G355" i="4"/>
  <c r="G343" i="4"/>
  <c r="G309" i="4"/>
  <c r="G276" i="4"/>
  <c r="G220" i="4"/>
  <c r="G102" i="4"/>
  <c r="F1985" i="4"/>
  <c r="F1080" i="4"/>
  <c r="G1080" i="4" s="1"/>
  <c r="F2198" i="4"/>
  <c r="F2769" i="4"/>
  <c r="E2037" i="4"/>
  <c r="E1971" i="4"/>
  <c r="E2190" i="4"/>
  <c r="E2867" i="4"/>
  <c r="E2900" i="4"/>
  <c r="E2550" i="4"/>
  <c r="E2849" i="4"/>
  <c r="E2565" i="4"/>
  <c r="E2265" i="4"/>
  <c r="E1932" i="4"/>
  <c r="E2749" i="4"/>
  <c r="E2658" i="4"/>
  <c r="E2597" i="4"/>
  <c r="E2273" i="4"/>
  <c r="E2126" i="4"/>
  <c r="E2861" i="4"/>
  <c r="E2283" i="4"/>
  <c r="G450" i="4"/>
  <c r="G221" i="4"/>
  <c r="G196" i="4"/>
  <c r="G144" i="4"/>
  <c r="F2658" i="4"/>
  <c r="B8" i="6"/>
  <c r="F3" i="6"/>
  <c r="F808" i="4"/>
  <c r="G808" i="4" s="1"/>
  <c r="G516" i="4"/>
  <c r="F1294" i="4"/>
  <c r="F1250" i="4"/>
  <c r="G1250" i="4" s="1"/>
  <c r="F1230" i="4"/>
  <c r="G1230" i="4" s="1"/>
  <c r="F1226" i="4"/>
  <c r="G1226" i="4" s="1"/>
  <c r="F1182" i="4"/>
  <c r="G1182" i="4" s="1"/>
  <c r="F1128" i="4"/>
  <c r="G1128" i="4" s="1"/>
  <c r="F1124" i="4"/>
  <c r="G1124" i="4" s="1"/>
  <c r="F1030" i="4"/>
  <c r="G1030" i="4" s="1"/>
  <c r="F1022" i="4"/>
  <c r="G1022" i="4" s="1"/>
  <c r="F939" i="4"/>
  <c r="G939" i="4" s="1"/>
  <c r="F931" i="4"/>
  <c r="G931" i="4" s="1"/>
  <c r="F898" i="4"/>
  <c r="G898" i="4" s="1"/>
  <c r="F894" i="4"/>
  <c r="G894" i="4" s="1"/>
  <c r="F854" i="4"/>
  <c r="G854" i="4" s="1"/>
  <c r="F756" i="4"/>
  <c r="G756" i="4" s="1"/>
  <c r="F737" i="4"/>
  <c r="G737" i="4" s="1"/>
  <c r="F717" i="4"/>
  <c r="G717" i="4" s="1"/>
  <c r="F664" i="4"/>
  <c r="F660" i="4"/>
  <c r="E2626" i="4"/>
  <c r="F14" i="2"/>
  <c r="F2867" i="4"/>
  <c r="E1974" i="4"/>
  <c r="E2822" i="4"/>
  <c r="E2769" i="4"/>
  <c r="E2789" i="4"/>
  <c r="F2597" i="4"/>
  <c r="E2669" i="4"/>
  <c r="E2729" i="4"/>
  <c r="F2541" i="4"/>
  <c r="E2834" i="4"/>
  <c r="G2834" i="4" s="1"/>
  <c r="E2622" i="4"/>
  <c r="E3095" i="4"/>
  <c r="B21" i="12" s="1"/>
  <c r="F3093" i="4"/>
  <c r="E3093" i="4"/>
  <c r="F3092" i="4"/>
  <c r="E3091" i="4"/>
  <c r="E3090" i="4"/>
  <c r="E3089" i="4"/>
  <c r="F3089" i="4"/>
  <c r="E3087" i="4"/>
  <c r="E3085" i="4"/>
  <c r="F3085" i="4"/>
  <c r="E3084" i="4"/>
  <c r="F3083" i="4"/>
  <c r="E3082" i="4"/>
  <c r="E3081" i="4"/>
  <c r="F3080" i="4"/>
  <c r="E3080" i="4"/>
  <c r="E3078" i="4"/>
  <c r="E3077" i="4"/>
  <c r="E3076" i="4"/>
  <c r="E3075" i="4"/>
  <c r="F3075" i="4"/>
  <c r="F3074" i="4"/>
  <c r="E3074" i="4"/>
  <c r="E3073" i="4"/>
  <c r="F3072" i="4"/>
  <c r="E3072" i="4"/>
  <c r="F3071" i="4"/>
  <c r="F3069" i="4"/>
  <c r="E3068" i="4"/>
  <c r="E3067" i="4"/>
  <c r="E3066" i="4"/>
  <c r="F3064" i="4"/>
  <c r="E3064" i="4"/>
  <c r="E3063" i="4"/>
  <c r="F3063" i="4"/>
  <c r="E3062" i="4"/>
  <c r="F3060" i="4"/>
  <c r="E3060" i="4"/>
  <c r="F3059" i="4"/>
  <c r="E3059" i="4"/>
  <c r="E3058" i="4"/>
  <c r="G1552" i="4"/>
  <c r="E3057" i="4"/>
  <c r="E3056" i="4"/>
  <c r="E3054" i="4"/>
  <c r="E3053" i="4"/>
  <c r="F3053" i="4"/>
  <c r="E3051" i="4"/>
  <c r="D14" i="16"/>
  <c r="G1679" i="4"/>
  <c r="F3050" i="4"/>
  <c r="E3050" i="4"/>
  <c r="E3049" i="4"/>
  <c r="G2139" i="4"/>
  <c r="D149" i="14"/>
  <c r="F6231" i="4" s="1"/>
  <c r="F259" i="4"/>
  <c r="G259" i="4" s="1"/>
  <c r="F399" i="4"/>
  <c r="G399" i="4" s="1"/>
  <c r="D222" i="14"/>
  <c r="F668" i="4"/>
  <c r="E668" i="4"/>
  <c r="B29" i="6"/>
  <c r="F64" i="4"/>
  <c r="G64" i="4" s="1"/>
  <c r="F315" i="4"/>
  <c r="G315" i="4" s="1"/>
  <c r="F618" i="4"/>
  <c r="G618" i="4" s="1"/>
  <c r="F1244" i="4"/>
  <c r="G1244" i="4" s="1"/>
  <c r="F868" i="4"/>
  <c r="G868" i="4" s="1"/>
  <c r="F1293" i="4"/>
  <c r="E1293" i="4"/>
  <c r="E1281" i="4"/>
  <c r="F1281" i="4"/>
  <c r="F1261" i="4"/>
  <c r="E1261" i="4"/>
  <c r="E1245" i="4"/>
  <c r="F1245" i="4"/>
  <c r="E1229" i="4"/>
  <c r="F1229" i="4"/>
  <c r="F1225" i="4"/>
  <c r="E1225" i="4"/>
  <c r="F1029" i="4"/>
  <c r="E1029" i="4"/>
  <c r="E1013" i="4"/>
  <c r="F1013" i="4"/>
  <c r="E974" i="4"/>
  <c r="F974" i="4"/>
  <c r="E954" i="4"/>
  <c r="F954" i="4"/>
  <c r="F930" i="4"/>
  <c r="G930" i="4" s="1"/>
  <c r="F877" i="4"/>
  <c r="F785" i="4"/>
  <c r="G785" i="4" s="1"/>
  <c r="E700" i="4"/>
  <c r="F700" i="4"/>
  <c r="B12" i="6"/>
  <c r="F1237" i="4"/>
  <c r="G1237" i="4" s="1"/>
  <c r="F1181" i="4"/>
  <c r="G1181" i="4" s="1"/>
  <c r="F1197" i="4"/>
  <c r="G1197" i="4" s="1"/>
  <c r="E692" i="4"/>
  <c r="E771" i="4"/>
  <c r="G771" i="4" s="1"/>
  <c r="E789" i="4"/>
  <c r="G789" i="4" s="1"/>
  <c r="E805" i="4"/>
  <c r="G805" i="4" s="1"/>
  <c r="E841" i="4"/>
  <c r="G841" i="4" s="1"/>
  <c r="E857" i="4"/>
  <c r="G857" i="4" s="1"/>
  <c r="E873" i="4"/>
  <c r="E889" i="4"/>
  <c r="G889" i="4" s="1"/>
  <c r="E905" i="4"/>
  <c r="G905" i="4" s="1"/>
  <c r="E938" i="4"/>
  <c r="G938" i="4" s="1"/>
  <c r="E958" i="4"/>
  <c r="G958" i="4" s="1"/>
  <c r="E1006" i="4"/>
  <c r="G1006" i="4" s="1"/>
  <c r="E1033" i="4"/>
  <c r="G1033" i="4" s="1"/>
  <c r="E660" i="4"/>
  <c r="E1069" i="4"/>
  <c r="E1090" i="4"/>
  <c r="G1090" i="4" s="1"/>
  <c r="E1155" i="4"/>
  <c r="G1155" i="4" s="1"/>
  <c r="E1233" i="4"/>
  <c r="G1233" i="4" s="1"/>
  <c r="F1147" i="4"/>
  <c r="G1147" i="4" s="1"/>
  <c r="F1082" i="4"/>
  <c r="G1082" i="4" s="1"/>
  <c r="F794" i="4"/>
  <c r="G794" i="4" s="1"/>
  <c r="F379" i="4"/>
  <c r="G379" i="4" s="1"/>
  <c r="F345" i="4"/>
  <c r="G345" i="4" s="1"/>
  <c r="D57" i="14"/>
  <c r="F6089" i="4" s="1"/>
  <c r="F415" i="4"/>
  <c r="G415" i="4" s="1"/>
  <c r="F407" i="4"/>
  <c r="G407" i="4" s="1"/>
  <c r="F522" i="4"/>
  <c r="G522" i="4" s="1"/>
  <c r="E8" i="6"/>
  <c r="B9" i="6"/>
  <c r="F685" i="4"/>
  <c r="G685" i="4" s="1"/>
  <c r="E1277" i="4"/>
  <c r="G1277" i="4" s="1"/>
  <c r="F1209" i="4"/>
  <c r="G1209" i="4" s="1"/>
  <c r="F1131" i="4"/>
  <c r="G1131" i="4" s="1"/>
  <c r="F1205" i="4"/>
  <c r="G1205" i="4" s="1"/>
  <c r="F1273" i="4"/>
  <c r="G1273" i="4" s="1"/>
  <c r="F1185" i="4"/>
  <c r="G1185" i="4" s="1"/>
  <c r="F1098" i="4"/>
  <c r="G1098" i="4" s="1"/>
  <c r="E708" i="4"/>
  <c r="G708" i="4" s="1"/>
  <c r="E793" i="4"/>
  <c r="G793" i="4" s="1"/>
  <c r="E845" i="4"/>
  <c r="G845" i="4" s="1"/>
  <c r="E861" i="4"/>
  <c r="G861" i="4" s="1"/>
  <c r="E877" i="4"/>
  <c r="E926" i="4"/>
  <c r="E942" i="4"/>
  <c r="G942" i="4" s="1"/>
  <c r="E1017" i="4"/>
  <c r="G1017" i="4" s="1"/>
  <c r="E664" i="4"/>
  <c r="E1074" i="4"/>
  <c r="F1819" i="4"/>
  <c r="G1819" i="4" s="1"/>
  <c r="D62" i="14"/>
  <c r="F5871" i="4" s="1"/>
  <c r="F1083" i="4"/>
  <c r="G1083" i="4" s="1"/>
  <c r="F1821" i="4"/>
  <c r="G1821" i="4" s="1"/>
  <c r="F547" i="4"/>
  <c r="G547" i="4" s="1"/>
  <c r="F1835" i="4"/>
  <c r="G1835" i="4" s="1"/>
  <c r="D45" i="14"/>
  <c r="F6238" i="4" s="1"/>
  <c r="F230" i="4"/>
  <c r="G230" i="4" s="1"/>
  <c r="F1178" i="4"/>
  <c r="G1178" i="4" s="1"/>
  <c r="F738" i="4"/>
  <c r="G738" i="4" s="1"/>
  <c r="F607" i="4"/>
  <c r="G607" i="4" s="1"/>
  <c r="F349" i="4"/>
  <c r="G349" i="4" s="1"/>
  <c r="G133" i="4"/>
  <c r="G96" i="4"/>
  <c r="D64" i="14"/>
  <c r="F5688" i="4" s="1"/>
  <c r="G5688" i="4" s="1"/>
  <c r="F318" i="4"/>
  <c r="G318" i="4" s="1"/>
  <c r="F1438" i="4"/>
  <c r="G1438" i="4" s="1"/>
  <c r="F1276" i="4"/>
  <c r="G1276" i="4" s="1"/>
  <c r="F1121" i="4"/>
  <c r="G1121" i="4" s="1"/>
  <c r="F570" i="4"/>
  <c r="G570" i="4" s="1"/>
  <c r="F544" i="4"/>
  <c r="G544" i="4" s="1"/>
  <c r="F431" i="4"/>
  <c r="G431" i="4" s="1"/>
  <c r="F358" i="4"/>
  <c r="G358" i="4" s="1"/>
  <c r="F1086" i="4"/>
  <c r="G1086" i="4" s="1"/>
  <c r="F177" i="4"/>
  <c r="G177" i="4" s="1"/>
  <c r="F404" i="4"/>
  <c r="G404" i="4" s="1"/>
  <c r="F1078" i="4"/>
  <c r="G1078" i="4" s="1"/>
  <c r="F765" i="4"/>
  <c r="G765" i="4" s="1"/>
  <c r="G3" i="4"/>
  <c r="F838" i="4"/>
  <c r="G838" i="4" s="1"/>
  <c r="F834" i="4"/>
  <c r="G834" i="4" s="1"/>
  <c r="F616" i="4"/>
  <c r="G616" i="4" s="1"/>
  <c r="F552" i="4"/>
  <c r="F548" i="4"/>
  <c r="G548" i="4" s="1"/>
  <c r="G514" i="4"/>
  <c r="E10" i="6"/>
  <c r="G436" i="4"/>
  <c r="G428" i="4"/>
  <c r="G9" i="6"/>
  <c r="G420" i="4"/>
  <c r="G416" i="4"/>
  <c r="G412" i="4"/>
  <c r="G396" i="4"/>
  <c r="G392" i="4"/>
  <c r="G376" i="4"/>
  <c r="G367" i="4"/>
  <c r="F2624" i="4"/>
  <c r="G2624" i="4" s="1"/>
  <c r="G359" i="4"/>
  <c r="G351" i="4"/>
  <c r="G329" i="4"/>
  <c r="G325" i="4"/>
  <c r="G317" i="4"/>
  <c r="G301" i="4"/>
  <c r="G297" i="4"/>
  <c r="G293" i="4"/>
  <c r="G288" i="4"/>
  <c r="G284" i="4"/>
  <c r="G272" i="4"/>
  <c r="G252" i="4"/>
  <c r="E817" i="4"/>
  <c r="G817" i="4" s="1"/>
  <c r="G240" i="4"/>
  <c r="G236" i="4"/>
  <c r="G212" i="4"/>
  <c r="G208" i="4"/>
  <c r="G204" i="4"/>
  <c r="G187" i="4"/>
  <c r="G179" i="4"/>
  <c r="G167" i="4"/>
  <c r="E5" i="6"/>
  <c r="G151" i="4"/>
  <c r="G4" i="6"/>
  <c r="E4" i="6"/>
  <c r="G131" i="4"/>
  <c r="F4" i="6"/>
  <c r="G94" i="4"/>
  <c r="G82" i="4"/>
  <c r="G70" i="4"/>
  <c r="G66" i="4"/>
  <c r="G3" i="6"/>
  <c r="G38" i="4"/>
  <c r="G34" i="4"/>
  <c r="G6" i="4"/>
  <c r="F822" i="4"/>
  <c r="G822" i="4" s="1"/>
  <c r="G303" i="4"/>
  <c r="G507" i="4"/>
  <c r="F1402" i="4"/>
  <c r="G1402" i="4" s="1"/>
  <c r="F1109" i="4"/>
  <c r="G1109" i="4" s="1"/>
  <c r="F1429" i="4"/>
  <c r="G1429" i="4" s="1"/>
  <c r="E804" i="4"/>
  <c r="G804" i="4" s="1"/>
  <c r="B24" i="6"/>
  <c r="B23" i="6"/>
  <c r="B18" i="6"/>
  <c r="B17" i="6"/>
  <c r="B14" i="6"/>
  <c r="B11" i="6"/>
  <c r="F1860" i="4"/>
  <c r="G1860" i="4" s="1"/>
  <c r="B28" i="6"/>
  <c r="F2793" i="4"/>
  <c r="G2793" i="4" s="1"/>
  <c r="E2712" i="4"/>
  <c r="G2712" i="4" s="1"/>
  <c r="G525" i="4"/>
  <c r="F1309" i="4"/>
  <c r="G1309" i="4" s="1"/>
  <c r="F1263" i="4"/>
  <c r="G1263" i="4" s="1"/>
  <c r="F1243" i="4"/>
  <c r="G1243" i="4" s="1"/>
  <c r="F1227" i="4"/>
  <c r="G1227" i="4" s="1"/>
  <c r="F1207" i="4"/>
  <c r="G1207" i="4" s="1"/>
  <c r="F1195" i="4"/>
  <c r="G1195" i="4" s="1"/>
  <c r="F1191" i="4"/>
  <c r="G1191" i="4" s="1"/>
  <c r="F1187" i="4"/>
  <c r="G1187" i="4" s="1"/>
  <c r="F1167" i="4"/>
  <c r="G1167" i="4" s="1"/>
  <c r="F1163" i="4"/>
  <c r="G1163" i="4" s="1"/>
  <c r="F1153" i="4"/>
  <c r="G1153" i="4" s="1"/>
  <c r="F1145" i="4"/>
  <c r="G1145" i="4" s="1"/>
  <c r="F1133" i="4"/>
  <c r="G1133" i="4" s="1"/>
  <c r="F1129" i="4"/>
  <c r="G1129" i="4" s="1"/>
  <c r="F1120" i="4"/>
  <c r="G1120" i="4" s="1"/>
  <c r="F1116" i="4"/>
  <c r="G1116" i="4" s="1"/>
  <c r="F1112" i="4"/>
  <c r="G1112" i="4" s="1"/>
  <c r="F1104" i="4"/>
  <c r="G1104" i="4" s="1"/>
  <c r="F1100" i="4"/>
  <c r="G1100" i="4" s="1"/>
  <c r="F1092" i="4"/>
  <c r="G1092" i="4" s="1"/>
  <c r="F1076" i="4"/>
  <c r="G1076" i="4" s="1"/>
  <c r="F1062" i="4"/>
  <c r="G1062" i="4" s="1"/>
  <c r="F1057" i="4"/>
  <c r="G1057" i="4" s="1"/>
  <c r="F992" i="4"/>
  <c r="G992" i="4" s="1"/>
  <c r="F964" i="4"/>
  <c r="G964" i="4" s="1"/>
  <c r="F948" i="4"/>
  <c r="G948" i="4" s="1"/>
  <c r="F940" i="4"/>
  <c r="G940" i="4" s="1"/>
  <c r="F919" i="4"/>
  <c r="G919" i="4" s="1"/>
  <c r="F887" i="4"/>
  <c r="G887" i="4" s="1"/>
  <c r="F871" i="4"/>
  <c r="G871" i="4" s="1"/>
  <c r="F867" i="4"/>
  <c r="G867" i="4" s="1"/>
  <c r="F855" i="4"/>
  <c r="G855" i="4" s="1"/>
  <c r="F847" i="4"/>
  <c r="G847" i="4" s="1"/>
  <c r="F835" i="4"/>
  <c r="G835" i="4" s="1"/>
  <c r="F827" i="4"/>
  <c r="G827" i="4" s="1"/>
  <c r="F792" i="4"/>
  <c r="G792" i="4" s="1"/>
  <c r="F788" i="4"/>
  <c r="G788" i="4" s="1"/>
  <c r="F784" i="4"/>
  <c r="G784" i="4" s="1"/>
  <c r="F776" i="4"/>
  <c r="G776" i="4" s="1"/>
  <c r="F766" i="4"/>
  <c r="G766" i="4" s="1"/>
  <c r="F758" i="4"/>
  <c r="G758" i="4" s="1"/>
  <c r="F748" i="4"/>
  <c r="G748" i="4" s="1"/>
  <c r="F739" i="4"/>
  <c r="G739" i="4" s="1"/>
  <c r="F719" i="4"/>
  <c r="G719" i="4" s="1"/>
  <c r="F676" i="4"/>
  <c r="G676" i="4" s="1"/>
  <c r="F631" i="4"/>
  <c r="G631" i="4" s="1"/>
  <c r="F615" i="4"/>
  <c r="G615" i="4" s="1"/>
  <c r="F575" i="4"/>
  <c r="G575" i="4" s="1"/>
  <c r="F551" i="4"/>
  <c r="G551" i="4" s="1"/>
  <c r="F543" i="4"/>
  <c r="G543" i="4" s="1"/>
  <c r="F539" i="4"/>
  <c r="G539" i="4" s="1"/>
  <c r="G531" i="4"/>
  <c r="G509" i="4"/>
  <c r="G499" i="4"/>
  <c r="G395" i="4"/>
  <c r="G350" i="4"/>
  <c r="G296" i="4"/>
  <c r="G292" i="4"/>
  <c r="F1731" i="4"/>
  <c r="G1731" i="4" s="1"/>
  <c r="F2270" i="4"/>
  <c r="G2270" i="4" s="1"/>
  <c r="F3045" i="4"/>
  <c r="G3045" i="4" s="1"/>
  <c r="F3011" i="4"/>
  <c r="G3011" i="4" s="1"/>
  <c r="F1828" i="4"/>
  <c r="G1828" i="4" s="1"/>
  <c r="E3048" i="4"/>
  <c r="F3047" i="4"/>
  <c r="E3047" i="4"/>
  <c r="E3044" i="4"/>
  <c r="E3043" i="4"/>
  <c r="G1640" i="4"/>
  <c r="E3042" i="4"/>
  <c r="E3041" i="4"/>
  <c r="E3039" i="4"/>
  <c r="F3039" i="4"/>
  <c r="E3035" i="4"/>
  <c r="E3037" i="4"/>
  <c r="F3034" i="4"/>
  <c r="E3038" i="4"/>
  <c r="G1447" i="4"/>
  <c r="E3036" i="4"/>
  <c r="F3033" i="4"/>
  <c r="F3031" i="4"/>
  <c r="F3028" i="4"/>
  <c r="E3030" i="4"/>
  <c r="E3028" i="4"/>
  <c r="F3029" i="4"/>
  <c r="E3026" i="4"/>
  <c r="E3025" i="4"/>
  <c r="F3027" i="4"/>
  <c r="E3027" i="4"/>
  <c r="E3024" i="4"/>
  <c r="F3023" i="4"/>
  <c r="E3023" i="4"/>
  <c r="E3016" i="4"/>
  <c r="E3022" i="4"/>
  <c r="F3020" i="4"/>
  <c r="E3017" i="4"/>
  <c r="F3021" i="4"/>
  <c r="F3015" i="4"/>
  <c r="E3020" i="4"/>
  <c r="E3021" i="4"/>
  <c r="E3018" i="4"/>
  <c r="E3015" i="4"/>
  <c r="E3014" i="4"/>
  <c r="F3012" i="4"/>
  <c r="F3009" i="4"/>
  <c r="E3012" i="4"/>
  <c r="F3013" i="4"/>
  <c r="F3010" i="4"/>
  <c r="E3010" i="4"/>
  <c r="E3009" i="4"/>
  <c r="G1383" i="4"/>
  <c r="E3008" i="4"/>
  <c r="G1428" i="4"/>
  <c r="G1719" i="4"/>
  <c r="G1774" i="4"/>
  <c r="G1642" i="4"/>
  <c r="G1687" i="4"/>
  <c r="G666" i="4"/>
  <c r="G1287" i="4"/>
  <c r="G915" i="4"/>
  <c r="G1330" i="4"/>
  <c r="G1524" i="4"/>
  <c r="G1766" i="4"/>
  <c r="G1375" i="4"/>
  <c r="G1688" i="4"/>
  <c r="G1672" i="4"/>
  <c r="G1727" i="4"/>
  <c r="E3003" i="4"/>
  <c r="D223" i="14"/>
  <c r="F421" i="4"/>
  <c r="G421" i="4" s="1"/>
  <c r="F414" i="4"/>
  <c r="G414" i="4" s="1"/>
  <c r="F914" i="4"/>
  <c r="G914" i="4" s="1"/>
  <c r="F68" i="4"/>
  <c r="G68" i="4" s="1"/>
  <c r="F1803" i="4"/>
  <c r="G1803" i="4" s="1"/>
  <c r="G6" i="6"/>
  <c r="F1468" i="4"/>
  <c r="G1468" i="4" s="1"/>
  <c r="F1502" i="4"/>
  <c r="G1502" i="4" s="1"/>
  <c r="F1599" i="4"/>
  <c r="G1599" i="4" s="1"/>
  <c r="B4" i="6"/>
  <c r="B25" i="6"/>
  <c r="F1590" i="4"/>
  <c r="G1590" i="4" s="1"/>
  <c r="E1455" i="4"/>
  <c r="G1455" i="4" s="1"/>
  <c r="F1694" i="4"/>
  <c r="G1694" i="4" s="1"/>
  <c r="F1702" i="4"/>
  <c r="G1702" i="4" s="1"/>
  <c r="B21" i="6"/>
  <c r="E599" i="4"/>
  <c r="G599" i="4" s="1"/>
  <c r="E626" i="4"/>
  <c r="G626" i="4" s="1"/>
  <c r="F1495" i="4"/>
  <c r="G1495" i="4" s="1"/>
  <c r="F1697" i="4"/>
  <c r="G1697" i="4" s="1"/>
  <c r="E875" i="4"/>
  <c r="E1411" i="4"/>
  <c r="G1411" i="4" s="1"/>
  <c r="E485" i="4"/>
  <c r="G485" i="4" s="1"/>
  <c r="G139" i="4"/>
  <c r="F1422" i="4"/>
  <c r="G1422" i="4" s="1"/>
  <c r="F424" i="4"/>
  <c r="G424" i="4" s="1"/>
  <c r="F1282" i="4"/>
  <c r="G1282" i="4" s="1"/>
  <c r="F1314" i="4"/>
  <c r="G1314" i="4" s="1"/>
  <c r="F1307" i="4"/>
  <c r="G1307" i="4" s="1"/>
  <c r="F1291" i="4"/>
  <c r="G1291" i="4" s="1"/>
  <c r="F912" i="4"/>
  <c r="G912" i="4" s="1"/>
  <c r="B27" i="6"/>
  <c r="E696" i="4"/>
  <c r="G696" i="4" s="1"/>
  <c r="E712" i="4"/>
  <c r="G712" i="4" s="1"/>
  <c r="E732" i="4"/>
  <c r="G732" i="4" s="1"/>
  <c r="E750" i="4"/>
  <c r="E689" i="4"/>
  <c r="E620" i="4"/>
  <c r="E536" i="4"/>
  <c r="G536" i="4" s="1"/>
  <c r="E552" i="4"/>
  <c r="E568" i="4"/>
  <c r="E601" i="4"/>
  <c r="F1848" i="4"/>
  <c r="G1848" i="4" s="1"/>
  <c r="B30" i="6"/>
  <c r="F1558" i="4"/>
  <c r="G1558" i="4" s="1"/>
  <c r="D234" i="14"/>
  <c r="F5860" i="4" s="1"/>
  <c r="G5860" i="4" s="1"/>
  <c r="D91" i="14"/>
  <c r="F5910" i="4" s="1"/>
  <c r="G5910" i="4" s="1"/>
  <c r="D175" i="14"/>
  <c r="F7030" i="4" s="1"/>
  <c r="D144" i="14"/>
  <c r="F5429" i="4" s="1"/>
  <c r="F1408" i="4"/>
  <c r="G1408" i="4" s="1"/>
  <c r="F1414" i="4"/>
  <c r="G1414" i="4" s="1"/>
  <c r="F1431" i="4"/>
  <c r="G1431" i="4" s="1"/>
  <c r="F981" i="4"/>
  <c r="G981" i="4" s="1"/>
  <c r="F520" i="4"/>
  <c r="G520" i="4" s="1"/>
  <c r="F1073" i="4"/>
  <c r="G1073" i="4" s="1"/>
  <c r="F923" i="4"/>
  <c r="G923" i="4" s="1"/>
  <c r="F71" i="4"/>
  <c r="G71" i="4" s="1"/>
  <c r="F410" i="4"/>
  <c r="G410" i="4" s="1"/>
  <c r="F840" i="4"/>
  <c r="G840" i="4" s="1"/>
  <c r="F215" i="4"/>
  <c r="G215" i="4" s="1"/>
  <c r="F98" i="4"/>
  <c r="G98" i="4" s="1"/>
  <c r="F273" i="4"/>
  <c r="G273" i="4" s="1"/>
  <c r="F672" i="4"/>
  <c r="G672" i="4" s="1"/>
  <c r="F723" i="4"/>
  <c r="G723" i="4" s="1"/>
  <c r="F185" i="4"/>
  <c r="G185" i="4" s="1"/>
  <c r="F535" i="4"/>
  <c r="G535" i="4" s="1"/>
  <c r="F542" i="4"/>
  <c r="G542" i="4" s="1"/>
  <c r="D233" i="14"/>
  <c r="F5781" i="4" s="1"/>
  <c r="G5781" i="4" s="1"/>
  <c r="F1143" i="4"/>
  <c r="G1143" i="4" s="1"/>
  <c r="F1880" i="4"/>
  <c r="G1880" i="4" s="1"/>
  <c r="F1024" i="4"/>
  <c r="G1024" i="4" s="1"/>
  <c r="F1108" i="4"/>
  <c r="G1108" i="4" s="1"/>
  <c r="F952" i="4"/>
  <c r="G952" i="4" s="1"/>
  <c r="F928" i="4"/>
  <c r="G928" i="4" s="1"/>
  <c r="F851" i="4"/>
  <c r="G851" i="4" s="1"/>
  <c r="F807" i="4"/>
  <c r="G807" i="4" s="1"/>
  <c r="F796" i="4"/>
  <c r="G796" i="4" s="1"/>
  <c r="F762" i="4"/>
  <c r="G762" i="4" s="1"/>
  <c r="F707" i="4"/>
  <c r="G707" i="4" s="1"/>
  <c r="F592" i="4"/>
  <c r="G592" i="4" s="1"/>
  <c r="F1824" i="4"/>
  <c r="E1824" i="4"/>
  <c r="D77" i="14"/>
  <c r="F1177" i="4"/>
  <c r="G1177" i="4" s="1"/>
  <c r="F118" i="4"/>
  <c r="G118" i="4" s="1"/>
  <c r="F337" i="4"/>
  <c r="G337" i="4" s="1"/>
  <c r="F432" i="4"/>
  <c r="G432" i="4" s="1"/>
  <c r="F471" i="4"/>
  <c r="G471" i="4" s="1"/>
  <c r="F704" i="4"/>
  <c r="G268" i="4"/>
  <c r="E95" i="14"/>
  <c r="E2915" i="4" s="1"/>
  <c r="E291" i="4"/>
  <c r="D178" i="14"/>
  <c r="F5780" i="4" s="1"/>
  <c r="G5780" i="4" s="1"/>
  <c r="F234" i="4"/>
  <c r="G234" i="4" s="1"/>
  <c r="F199" i="4"/>
  <c r="G199" i="4" s="1"/>
  <c r="F148" i="4"/>
  <c r="G148" i="4" s="1"/>
  <c r="F497" i="4"/>
  <c r="F884" i="4"/>
  <c r="G884" i="4" s="1"/>
  <c r="F192" i="4"/>
  <c r="G192" i="4" s="1"/>
  <c r="F505" i="4"/>
  <c r="G505" i="4" s="1"/>
  <c r="F767" i="4"/>
  <c r="G767" i="4" s="1"/>
  <c r="F256" i="4"/>
  <c r="G256" i="4" s="1"/>
  <c r="F512" i="4"/>
  <c r="G512" i="4" s="1"/>
  <c r="F694" i="4"/>
  <c r="G694" i="4" s="1"/>
  <c r="F1234" i="4"/>
  <c r="G1234" i="4" s="1"/>
  <c r="F57" i="4"/>
  <c r="G57" i="4" s="1"/>
  <c r="F381" i="4"/>
  <c r="G381" i="4" s="1"/>
  <c r="F892" i="4"/>
  <c r="G892" i="4" s="1"/>
  <c r="F75" i="4"/>
  <c r="G75" i="4" s="1"/>
  <c r="F523" i="4"/>
  <c r="G523" i="4" s="1"/>
  <c r="F1837" i="4"/>
  <c r="G1837" i="4" s="1"/>
  <c r="F163" i="4"/>
  <c r="F180" i="4"/>
  <c r="G180" i="4" s="1"/>
  <c r="F452" i="4"/>
  <c r="G452" i="4" s="1"/>
  <c r="F994" i="4"/>
  <c r="G994" i="4" s="1"/>
  <c r="F278" i="4"/>
  <c r="G278" i="4" s="1"/>
  <c r="F373" i="4"/>
  <c r="G373" i="4" s="1"/>
  <c r="F774" i="4"/>
  <c r="G774" i="4" s="1"/>
  <c r="F1070" i="4"/>
  <c r="G1070" i="4" s="1"/>
  <c r="F1085" i="4"/>
  <c r="G1085" i="4" s="1"/>
  <c r="F1150" i="4"/>
  <c r="G1150" i="4" s="1"/>
  <c r="F170" i="4"/>
  <c r="G170" i="4" s="1"/>
  <c r="F280" i="4"/>
  <c r="G280" i="4" s="1"/>
  <c r="F721" i="4"/>
  <c r="G721" i="4" s="1"/>
  <c r="F1196" i="4"/>
  <c r="G1196" i="4" s="1"/>
  <c r="F777" i="4"/>
  <c r="G777" i="4" s="1"/>
  <c r="F990" i="4"/>
  <c r="G990" i="4" s="1"/>
  <c r="D120" i="14"/>
  <c r="F5854" i="4" s="1"/>
  <c r="G5854" i="4" s="1"/>
  <c r="F8" i="4"/>
  <c r="F760" i="4"/>
  <c r="G760" i="4" s="1"/>
  <c r="F28" i="4"/>
  <c r="G28" i="4" s="1"/>
  <c r="F42" i="4"/>
  <c r="G42" i="4" s="1"/>
  <c r="F90" i="4"/>
  <c r="G90" i="4" s="1"/>
  <c r="F160" i="4"/>
  <c r="G160" i="4" s="1"/>
  <c r="F265" i="4"/>
  <c r="G265" i="4" s="1"/>
  <c r="F43" i="4"/>
  <c r="G43" i="4" s="1"/>
  <c r="F205" i="4"/>
  <c r="G205" i="4" s="1"/>
  <c r="F384" i="4"/>
  <c r="G384" i="4" s="1"/>
  <c r="F816" i="4"/>
  <c r="G816" i="4" s="1"/>
  <c r="F1111" i="4"/>
  <c r="G1111" i="4" s="1"/>
  <c r="F669" i="4"/>
  <c r="G669" i="4" s="1"/>
  <c r="F129" i="4"/>
  <c r="G129" i="4" s="1"/>
  <c r="F150" i="4"/>
  <c r="G150" i="4" s="1"/>
  <c r="F198" i="4"/>
  <c r="G198" i="4" s="1"/>
  <c r="F231" i="4"/>
  <c r="G231" i="4" s="1"/>
  <c r="F493" i="4"/>
  <c r="G493" i="4" s="1"/>
  <c r="F865" i="4"/>
  <c r="G865" i="4" s="1"/>
  <c r="F1037" i="4"/>
  <c r="G1037" i="4" s="1"/>
  <c r="D16" i="14"/>
  <c r="F5899" i="4" s="1"/>
  <c r="G5899" i="4" s="1"/>
  <c r="F747" i="4"/>
  <c r="G747" i="4" s="1"/>
  <c r="F4" i="4"/>
  <c r="G4" i="4" s="1"/>
  <c r="F106" i="4"/>
  <c r="G106" i="4" s="1"/>
  <c r="F344" i="4"/>
  <c r="F917" i="4"/>
  <c r="G917" i="4" s="1"/>
  <c r="F1113" i="4"/>
  <c r="G1113" i="4" s="1"/>
  <c r="F305" i="4"/>
  <c r="G305" i="4" s="1"/>
  <c r="F1081" i="4"/>
  <c r="G1081" i="4" s="1"/>
  <c r="F1089" i="4"/>
  <c r="G1089" i="4" s="1"/>
  <c r="F596" i="4"/>
  <c r="G596" i="4" s="1"/>
  <c r="F1662" i="4"/>
  <c r="G1662" i="4" s="1"/>
  <c r="F282" i="4"/>
  <c r="G282" i="4" s="1"/>
  <c r="F813" i="4"/>
  <c r="G813" i="4" s="1"/>
  <c r="F978" i="4"/>
  <c r="G978" i="4" s="1"/>
  <c r="F1079" i="4"/>
  <c r="G1079" i="4" s="1"/>
  <c r="F1220" i="4"/>
  <c r="G1220" i="4" s="1"/>
  <c r="E236" i="14"/>
  <c r="E5751" i="4" s="1"/>
  <c r="E459" i="4"/>
  <c r="F10" i="6" s="1"/>
  <c r="E3004" i="4"/>
  <c r="F1759" i="4"/>
  <c r="G1759" i="4" s="1"/>
  <c r="F1771" i="4"/>
  <c r="G1771" i="4" s="1"/>
  <c r="F1778" i="4"/>
  <c r="G1778" i="4" s="1"/>
  <c r="F1772" i="4"/>
  <c r="G1772" i="4" s="1"/>
  <c r="F1794" i="4"/>
  <c r="G1794" i="4" s="1"/>
  <c r="F1760" i="4"/>
  <c r="G1760" i="4" s="1"/>
  <c r="F8" i="6"/>
  <c r="F9" i="6"/>
  <c r="F1469" i="4"/>
  <c r="G1469" i="4" s="1"/>
  <c r="G10" i="6"/>
  <c r="F1602" i="4"/>
  <c r="G1602" i="4" s="1"/>
  <c r="B3" i="6"/>
  <c r="B19" i="6"/>
  <c r="F1561" i="4"/>
  <c r="G1561" i="4" s="1"/>
  <c r="F1461" i="4"/>
  <c r="G1461" i="4" s="1"/>
  <c r="F1377" i="4"/>
  <c r="G1377" i="4" s="1"/>
  <c r="F1404" i="4"/>
  <c r="G1404" i="4" s="1"/>
  <c r="B26" i="6"/>
  <c r="B20" i="6"/>
  <c r="E1696" i="4"/>
  <c r="F1357" i="4"/>
  <c r="G1357" i="4" s="1"/>
  <c r="E1742" i="4"/>
  <c r="G28" i="6" s="1"/>
  <c r="E1725" i="4"/>
  <c r="F1344" i="4"/>
  <c r="G1344" i="4" s="1"/>
  <c r="F1538" i="4"/>
  <c r="G1538" i="4" s="1"/>
  <c r="F1386" i="4"/>
  <c r="G1386" i="4" s="1"/>
  <c r="E1435" i="4"/>
  <c r="E117" i="4"/>
  <c r="G117" i="4" s="1"/>
  <c r="F1409" i="4"/>
  <c r="G1409" i="4" s="1"/>
  <c r="F1418" i="4"/>
  <c r="G1418" i="4" s="1"/>
  <c r="F1396" i="4"/>
  <c r="G1396" i="4" s="1"/>
  <c r="G363" i="4"/>
  <c r="F489" i="4"/>
  <c r="G489" i="4" s="1"/>
  <c r="F1419" i="4"/>
  <c r="G1419" i="4" s="1"/>
  <c r="F1283" i="4"/>
  <c r="G1283" i="4" s="1"/>
  <c r="E2" i="4"/>
  <c r="E716" i="4"/>
  <c r="E736" i="4"/>
  <c r="G736" i="4" s="1"/>
  <c r="E1240" i="4"/>
  <c r="G1240" i="4" s="1"/>
  <c r="E927" i="4"/>
  <c r="E1297" i="4"/>
  <c r="G1297" i="4" s="1"/>
  <c r="E540" i="4"/>
  <c r="E556" i="4"/>
  <c r="G556" i="4" s="1"/>
  <c r="E572" i="4"/>
  <c r="G572" i="4" s="1"/>
  <c r="E588" i="4"/>
  <c r="G588" i="4" s="1"/>
  <c r="F1664" i="4"/>
  <c r="G1664" i="4" s="1"/>
  <c r="F1849" i="4"/>
  <c r="G1849" i="4" s="1"/>
  <c r="F1832" i="4"/>
  <c r="G1832" i="4" s="1"/>
  <c r="D79" i="14"/>
  <c r="F6148" i="4" s="1"/>
  <c r="F733" i="4"/>
  <c r="G733" i="4" s="1"/>
  <c r="D185" i="14"/>
  <c r="F4601" i="4" s="1"/>
  <c r="F477" i="4"/>
  <c r="G477" i="4" s="1"/>
  <c r="F604" i="4"/>
  <c r="G604" i="4" s="1"/>
  <c r="F809" i="4"/>
  <c r="G809" i="4" s="1"/>
  <c r="F1228" i="4"/>
  <c r="G1228" i="4" s="1"/>
  <c r="F1138" i="4"/>
  <c r="G1138" i="4" s="1"/>
  <c r="F724" i="4"/>
  <c r="G724" i="4" s="1"/>
  <c r="F581" i="4"/>
  <c r="G581" i="4" s="1"/>
  <c r="F518" i="4"/>
  <c r="G518" i="4" s="1"/>
  <c r="F241" i="4"/>
  <c r="G241" i="4" s="1"/>
  <c r="F7" i="4"/>
  <c r="G7" i="4" s="1"/>
  <c r="F72" i="4"/>
  <c r="G72" i="4" s="1"/>
  <c r="D174" i="14"/>
  <c r="F223" i="4"/>
  <c r="G223" i="4" s="1"/>
  <c r="F145" i="4"/>
  <c r="G145" i="4" s="1"/>
  <c r="F754" i="4"/>
  <c r="G754" i="4" s="1"/>
  <c r="F389" i="4"/>
  <c r="G389" i="4" s="1"/>
  <c r="F1242" i="4"/>
  <c r="G1242" i="4" s="1"/>
  <c r="F971" i="4"/>
  <c r="G971" i="4" s="1"/>
  <c r="F1480" i="4"/>
  <c r="G1480" i="4" s="1"/>
  <c r="F1497" i="4"/>
  <c r="G1497" i="4" s="1"/>
  <c r="F1603" i="4"/>
  <c r="G1603" i="4" s="1"/>
  <c r="B15" i="6"/>
  <c r="B10" i="6"/>
  <c r="B22" i="6"/>
  <c r="E1326" i="4"/>
  <c r="B5" i="6"/>
  <c r="F1733" i="4"/>
  <c r="G1733" i="4" s="1"/>
  <c r="E1732" i="4"/>
  <c r="G1732" i="4" s="1"/>
  <c r="F1368" i="4"/>
  <c r="G1368" i="4" s="1"/>
  <c r="F1474" i="4"/>
  <c r="G1474" i="4" s="1"/>
  <c r="F1380" i="4"/>
  <c r="G1380" i="4" s="1"/>
  <c r="F1736" i="4"/>
  <c r="G1736" i="4" s="1"/>
  <c r="F1684" i="4"/>
  <c r="G1684" i="4" s="1"/>
  <c r="F1382" i="4"/>
  <c r="G1382" i="4" s="1"/>
  <c r="F1609" i="4"/>
  <c r="G1609" i="4" s="1"/>
  <c r="F1571" i="4"/>
  <c r="G1571" i="4" s="1"/>
  <c r="E1536" i="4"/>
  <c r="E340" i="4"/>
  <c r="G340" i="4" s="1"/>
  <c r="E1626" i="4"/>
  <c r="F1251" i="4"/>
  <c r="G1251" i="4" s="1"/>
  <c r="F434" i="4"/>
  <c r="G434" i="4" s="1"/>
  <c r="F903" i="4"/>
  <c r="G903" i="4" s="1"/>
  <c r="F1631" i="4"/>
  <c r="G1631" i="4" s="1"/>
  <c r="F1110" i="4"/>
  <c r="G1110" i="4" s="1"/>
  <c r="F1127" i="4"/>
  <c r="G1127" i="4" s="1"/>
  <c r="F1159" i="4"/>
  <c r="G1159" i="4" s="1"/>
  <c r="E704" i="4"/>
  <c r="E740" i="4"/>
  <c r="G740" i="4" s="1"/>
  <c r="E970" i="4"/>
  <c r="G970" i="4" s="1"/>
  <c r="E578" i="4"/>
  <c r="G578" i="4" s="1"/>
  <c r="E1294" i="4"/>
  <c r="E560" i="4"/>
  <c r="E576" i="4"/>
  <c r="E593" i="4"/>
  <c r="E609" i="4"/>
  <c r="E1299" i="4"/>
  <c r="G1299" i="4" s="1"/>
  <c r="F1864" i="4"/>
  <c r="G1864" i="4" s="1"/>
  <c r="F440" i="4"/>
  <c r="G440" i="4" s="1"/>
  <c r="F1878" i="4"/>
  <c r="G1878" i="4" s="1"/>
  <c r="F1637" i="4"/>
  <c r="G1637" i="4" s="1"/>
  <c r="F122" i="4"/>
  <c r="G122" i="4" s="1"/>
  <c r="E1398" i="4"/>
  <c r="G1398" i="4" s="1"/>
  <c r="F966" i="4"/>
  <c r="G966" i="4" s="1"/>
  <c r="F502" i="4"/>
  <c r="G502" i="4" s="1"/>
  <c r="F480" i="4"/>
  <c r="G480" i="4" s="1"/>
  <c r="F380" i="4"/>
  <c r="G380" i="4" s="1"/>
  <c r="F226" i="4"/>
  <c r="G226" i="4" s="1"/>
  <c r="F18" i="4"/>
  <c r="G18" i="4" s="1"/>
  <c r="F58" i="4"/>
  <c r="G58" i="4" s="1"/>
  <c r="F1738" i="4"/>
  <c r="G1738" i="4" s="1"/>
  <c r="G171" i="4"/>
  <c r="G110" i="4"/>
  <c r="G54" i="4"/>
  <c r="G26" i="4"/>
  <c r="G74" i="4"/>
  <c r="F16" i="4"/>
  <c r="G16" i="4" s="1"/>
  <c r="F25" i="4"/>
  <c r="G25" i="4" s="1"/>
  <c r="F227" i="4"/>
  <c r="G227" i="4" s="1"/>
  <c r="F1238" i="4"/>
  <c r="G1238" i="4" s="1"/>
  <c r="F1210" i="4"/>
  <c r="G1210" i="4" s="1"/>
  <c r="F1174" i="4"/>
  <c r="G1174" i="4" s="1"/>
  <c r="F1170" i="4"/>
  <c r="G1170" i="4" s="1"/>
  <c r="F1162" i="4"/>
  <c r="G1162" i="4" s="1"/>
  <c r="F1107" i="4"/>
  <c r="G1107" i="4" s="1"/>
  <c r="F858" i="4"/>
  <c r="G858" i="4" s="1"/>
  <c r="F842" i="4"/>
  <c r="G842" i="4" s="1"/>
  <c r="F814" i="4"/>
  <c r="G814" i="4" s="1"/>
  <c r="F779" i="4"/>
  <c r="G779" i="4" s="1"/>
  <c r="F769" i="4"/>
  <c r="G769" i="4" s="1"/>
  <c r="F752" i="4"/>
  <c r="G752" i="4" s="1"/>
  <c r="F695" i="4"/>
  <c r="G695" i="4" s="1"/>
  <c r="F671" i="4"/>
  <c r="G671" i="4" s="1"/>
  <c r="G513" i="4"/>
  <c r="G487" i="4"/>
  <c r="G391" i="4"/>
  <c r="D121" i="14"/>
  <c r="F4445" i="4" s="1"/>
  <c r="F27" i="4"/>
  <c r="G27" i="4" s="1"/>
  <c r="F107" i="2"/>
  <c r="B16" i="6" s="1"/>
  <c r="F1874" i="4"/>
  <c r="G1874" i="4" s="1"/>
  <c r="F1885" i="4"/>
  <c r="G1885" i="4" s="1"/>
  <c r="F136" i="4"/>
  <c r="G136" i="4" s="1"/>
  <c r="F759" i="4"/>
  <c r="G759" i="4" s="1"/>
  <c r="F1432" i="4"/>
  <c r="G1432" i="4" s="1"/>
  <c r="F1064" i="4"/>
  <c r="G1064" i="4" s="1"/>
  <c r="F1055" i="4"/>
  <c r="G1055" i="4" s="1"/>
  <c r="F993" i="4"/>
  <c r="G993" i="4" s="1"/>
  <c r="F989" i="4"/>
  <c r="G989" i="4" s="1"/>
  <c r="F820" i="4"/>
  <c r="G820" i="4" s="1"/>
  <c r="F701" i="4"/>
  <c r="G701" i="4" s="1"/>
  <c r="F693" i="4"/>
  <c r="G693" i="4" s="1"/>
  <c r="F654" i="4"/>
  <c r="G654" i="4" s="1"/>
  <c r="F511" i="4"/>
  <c r="G511" i="4" s="1"/>
  <c r="F484" i="4"/>
  <c r="G484" i="4" s="1"/>
  <c r="F382" i="4"/>
  <c r="G382" i="4" s="1"/>
  <c r="G300" i="4"/>
  <c r="G155" i="4"/>
  <c r="F86" i="4"/>
  <c r="G86" i="4" s="1"/>
  <c r="F50" i="4"/>
  <c r="G50" i="4" s="1"/>
  <c r="D123" i="14"/>
  <c r="F6884" i="4" s="1"/>
  <c r="F201" i="4"/>
  <c r="G201" i="4" s="1"/>
  <c r="D219" i="14"/>
  <c r="F6111" i="4" s="1"/>
  <c r="D11" i="14"/>
  <c r="F554" i="4"/>
  <c r="G554" i="4" s="1"/>
  <c r="F546" i="4"/>
  <c r="G546" i="4" s="1"/>
  <c r="G202" i="4"/>
  <c r="G137" i="4"/>
  <c r="G84" i="4"/>
  <c r="G32" i="4"/>
  <c r="G24" i="4"/>
  <c r="D17" i="14"/>
  <c r="F5997" i="4" s="1"/>
  <c r="F80" i="4"/>
  <c r="G80" i="4" s="1"/>
  <c r="F195" i="4"/>
  <c r="G195" i="4" s="1"/>
  <c r="F269" i="4"/>
  <c r="G269" i="4" s="1"/>
  <c r="E2152" i="4"/>
  <c r="F2152" i="4"/>
  <c r="G492" i="4"/>
  <c r="G127" i="4"/>
  <c r="D139" i="14"/>
  <c r="F4140" i="4" s="1"/>
  <c r="G4140" i="4" s="1"/>
  <c r="F162" i="4"/>
  <c r="G162" i="4" s="1"/>
  <c r="G30" i="4"/>
  <c r="G10" i="4"/>
  <c r="F1730" i="4"/>
  <c r="E1730" i="4"/>
  <c r="E1829" i="4"/>
  <c r="F1829" i="4"/>
  <c r="F1840" i="4"/>
  <c r="E1840" i="4"/>
  <c r="E2575" i="4"/>
  <c r="F2591" i="4"/>
  <c r="G2591" i="4" s="1"/>
  <c r="E2595" i="4"/>
  <c r="E2640" i="4"/>
  <c r="E2100" i="4"/>
  <c r="E2671" i="4"/>
  <c r="F2671" i="4"/>
  <c r="F2905" i="4"/>
  <c r="E2909" i="4"/>
  <c r="F2909" i="4"/>
  <c r="E2965" i="4"/>
  <c r="F2965" i="4"/>
  <c r="E3001" i="4"/>
  <c r="E3005" i="4"/>
  <c r="G62" i="4"/>
  <c r="F744" i="4"/>
  <c r="G744" i="4" s="1"/>
  <c r="F1690" i="4"/>
  <c r="G1690" i="4" s="1"/>
  <c r="G143" i="4"/>
  <c r="F686" i="4"/>
  <c r="G686" i="4" s="1"/>
  <c r="G310" i="4"/>
  <c r="G285" i="4"/>
  <c r="G261" i="4"/>
  <c r="G245" i="4"/>
  <c r="G164" i="4"/>
  <c r="G156" i="4"/>
  <c r="F1933" i="4"/>
  <c r="E1851" i="4"/>
  <c r="F1851" i="4"/>
  <c r="F2649" i="4"/>
  <c r="G2649" i="4" s="1"/>
  <c r="F2748" i="4"/>
  <c r="G2748" i="4" s="1"/>
  <c r="E2615" i="4"/>
  <c r="F2615" i="4"/>
  <c r="E2905" i="4"/>
  <c r="F2907" i="4"/>
  <c r="G2907" i="4" s="1"/>
  <c r="E3002" i="4"/>
  <c r="E1934" i="4"/>
  <c r="E2080" i="4"/>
  <c r="F1974" i="4"/>
  <c r="E2312" i="4"/>
  <c r="E2133" i="4"/>
  <c r="E2024" i="4"/>
  <c r="F2296" i="4"/>
  <c r="E2199" i="4"/>
  <c r="E2223" i="4"/>
  <c r="F2784" i="4"/>
  <c r="E2788" i="4"/>
  <c r="E2237" i="4"/>
  <c r="E2562" i="4"/>
  <c r="F2586" i="4"/>
  <c r="E1919" i="4"/>
  <c r="E2039" i="4"/>
  <c r="F2273" i="4"/>
  <c r="E1993" i="4"/>
  <c r="E2305" i="4"/>
  <c r="E2736" i="4"/>
  <c r="E2696" i="4"/>
  <c r="G2696" i="4" s="1"/>
  <c r="E2025" i="4"/>
  <c r="F3005" i="4"/>
  <c r="F681" i="4"/>
  <c r="G681" i="4" s="1"/>
  <c r="F677" i="4"/>
  <c r="G677" i="4" s="1"/>
  <c r="F656" i="4"/>
  <c r="G656" i="4" s="1"/>
  <c r="F636" i="4"/>
  <c r="G636" i="4" s="1"/>
  <c r="F617" i="4"/>
  <c r="G617" i="4" s="1"/>
  <c r="F613" i="4"/>
  <c r="G613" i="4" s="1"/>
  <c r="F610" i="4"/>
  <c r="G610" i="4" s="1"/>
  <c r="F606" i="4"/>
  <c r="G606" i="4" s="1"/>
  <c r="F598" i="4"/>
  <c r="G598" i="4" s="1"/>
  <c r="F594" i="4"/>
  <c r="G594" i="4" s="1"/>
  <c r="F573" i="4"/>
  <c r="G573" i="4" s="1"/>
  <c r="F561" i="4"/>
  <c r="G561" i="4" s="1"/>
  <c r="G45" i="4"/>
  <c r="F1407" i="4"/>
  <c r="G1407" i="4" s="1"/>
  <c r="F1704" i="4"/>
  <c r="G1704" i="4" s="1"/>
  <c r="E2147" i="4"/>
  <c r="E2033" i="4"/>
  <c r="E1986" i="4"/>
  <c r="F2086" i="4"/>
  <c r="E1943" i="4"/>
  <c r="E1969" i="4"/>
  <c r="E2035" i="4"/>
  <c r="E2612" i="4"/>
  <c r="E2329" i="4"/>
  <c r="E2603" i="4"/>
  <c r="E2580" i="4"/>
  <c r="E2592" i="4"/>
  <c r="E2292" i="4"/>
  <c r="E2711" i="4"/>
  <c r="E2594" i="4"/>
  <c r="F2548" i="4"/>
  <c r="F2736" i="4"/>
  <c r="E2663" i="4"/>
  <c r="E2571" i="4"/>
  <c r="E1954" i="4"/>
  <c r="F2025" i="4"/>
  <c r="E2064" i="4"/>
  <c r="F2179" i="4"/>
  <c r="G2179" i="4" s="1"/>
  <c r="G3106" i="4"/>
  <c r="G3086" i="4"/>
  <c r="G3133" i="4"/>
  <c r="E3000" i="4"/>
  <c r="E2999" i="4"/>
  <c r="E2997" i="4"/>
  <c r="F2998" i="4"/>
  <c r="F2996" i="4"/>
  <c r="E2998" i="4"/>
  <c r="E2996" i="4"/>
  <c r="E2994" i="4"/>
  <c r="F2993" i="4"/>
  <c r="F2995" i="4"/>
  <c r="E2993" i="4"/>
  <c r="E2995" i="4"/>
  <c r="F2992" i="4"/>
  <c r="E2992" i="4"/>
  <c r="E2991" i="4"/>
  <c r="F2990" i="4"/>
  <c r="E2990" i="4"/>
  <c r="E2989" i="4"/>
  <c r="E2988" i="4"/>
  <c r="E2987" i="4"/>
  <c r="F2987" i="4"/>
  <c r="F2986" i="4"/>
  <c r="E2986" i="4"/>
  <c r="E2985" i="4"/>
  <c r="F2985" i="4"/>
  <c r="E2984" i="4"/>
  <c r="E2983" i="4"/>
  <c r="F2982" i="4"/>
  <c r="E2982" i="4"/>
  <c r="E2981" i="4"/>
  <c r="F2980" i="4"/>
  <c r="E2980" i="4"/>
  <c r="F2979" i="4"/>
  <c r="E2979" i="4"/>
  <c r="E2978" i="4"/>
  <c r="E2977" i="4"/>
  <c r="F2977" i="4"/>
  <c r="F2976" i="4"/>
  <c r="E2976" i="4"/>
  <c r="E2975" i="4"/>
  <c r="E2974" i="4"/>
  <c r="E2973" i="4"/>
  <c r="F2972" i="4"/>
  <c r="E2972" i="4"/>
  <c r="F2971" i="4"/>
  <c r="E2971" i="4"/>
  <c r="B51" i="12" s="1"/>
  <c r="C6" i="6"/>
  <c r="F2970" i="4"/>
  <c r="E2970" i="4"/>
  <c r="E2969" i="4"/>
  <c r="F2969" i="4"/>
  <c r="E2966" i="4"/>
  <c r="E2964" i="4"/>
  <c r="F2964" i="4"/>
  <c r="E2963" i="4"/>
  <c r="E2962" i="4"/>
  <c r="E2961" i="4"/>
  <c r="F2961" i="4"/>
  <c r="E2960" i="4"/>
  <c r="E2959" i="4"/>
  <c r="E2958" i="4"/>
  <c r="E2957" i="4"/>
  <c r="F2956" i="4"/>
  <c r="G2956" i="4" s="1"/>
  <c r="F2955" i="4"/>
  <c r="E2955" i="4"/>
  <c r="E2954" i="4"/>
  <c r="E2953" i="4"/>
  <c r="E2952" i="4"/>
  <c r="E2951" i="4"/>
  <c r="F2949" i="4"/>
  <c r="E2950" i="4"/>
  <c r="E2949" i="4"/>
  <c r="E2948" i="4"/>
  <c r="E2938" i="4"/>
  <c r="E2947" i="4"/>
  <c r="E2946" i="4"/>
  <c r="F2946" i="4"/>
  <c r="E2945" i="4"/>
  <c r="E2944" i="4"/>
  <c r="F2943" i="4"/>
  <c r="E2943" i="4"/>
  <c r="F2941" i="4"/>
  <c r="F2942" i="4"/>
  <c r="E2942" i="4"/>
  <c r="E2941" i="4"/>
  <c r="E2940" i="4"/>
  <c r="E2939" i="4"/>
  <c r="E2937" i="4"/>
  <c r="F2936" i="4"/>
  <c r="E2936" i="4"/>
  <c r="F2935" i="4"/>
  <c r="E2935" i="4"/>
  <c r="E2934" i="4"/>
  <c r="E2933" i="4"/>
  <c r="E2932" i="4"/>
  <c r="F2932" i="4"/>
  <c r="E2931" i="4"/>
  <c r="F2930" i="4"/>
  <c r="E2930" i="4"/>
  <c r="E2929" i="4"/>
  <c r="E2928" i="4"/>
  <c r="E2927" i="4"/>
  <c r="E2926" i="4"/>
  <c r="F2926" i="4"/>
  <c r="E2925" i="4"/>
  <c r="E2924" i="4"/>
  <c r="E2923" i="4"/>
  <c r="E2922" i="4"/>
  <c r="F2922" i="4"/>
  <c r="F2921" i="4"/>
  <c r="E2921" i="4"/>
  <c r="F2920" i="4"/>
  <c r="E2920" i="4"/>
  <c r="F2919" i="4"/>
  <c r="E2919" i="4"/>
  <c r="E2918" i="4"/>
  <c r="F2918" i="4"/>
  <c r="F2917" i="4"/>
  <c r="E2917" i="4"/>
  <c r="E2916" i="4"/>
  <c r="E2914" i="4"/>
  <c r="F2914" i="4"/>
  <c r="F2913" i="4"/>
  <c r="E2913" i="4"/>
  <c r="E2912" i="4"/>
  <c r="F2911" i="4"/>
  <c r="E2911" i="4"/>
  <c r="E2910" i="4"/>
  <c r="E2908" i="4"/>
  <c r="E2904" i="4"/>
  <c r="E2903" i="4"/>
  <c r="F2902" i="4"/>
  <c r="E2902" i="4"/>
  <c r="E2901" i="4"/>
  <c r="F2898" i="4"/>
  <c r="E2898" i="4"/>
  <c r="E2897" i="4"/>
  <c r="E2896" i="4"/>
  <c r="F2896" i="4"/>
  <c r="E2895" i="4"/>
  <c r="F2894" i="4"/>
  <c r="E2894" i="4"/>
  <c r="F2893" i="4"/>
  <c r="E2893" i="4"/>
  <c r="E2892" i="4"/>
  <c r="F2892" i="4"/>
  <c r="E2891" i="4"/>
  <c r="C8" i="6"/>
  <c r="F2890" i="4"/>
  <c r="E2890" i="4"/>
  <c r="F2888" i="4"/>
  <c r="F2887" i="4"/>
  <c r="E2887" i="4"/>
  <c r="F2886" i="4"/>
  <c r="E2886" i="4"/>
  <c r="B50" i="12" s="1"/>
  <c r="E2885" i="4"/>
  <c r="F2885" i="4"/>
  <c r="F2884" i="4"/>
  <c r="E2884" i="4"/>
  <c r="F2883" i="4"/>
  <c r="E2883" i="4"/>
  <c r="F2882" i="4"/>
  <c r="E2882" i="4"/>
  <c r="E2881" i="4"/>
  <c r="F2881" i="4"/>
  <c r="E2880" i="4"/>
  <c r="F2879" i="4"/>
  <c r="E2879" i="4"/>
  <c r="F2878" i="4"/>
  <c r="E2878" i="4"/>
  <c r="E2877" i="4"/>
  <c r="F2877" i="4"/>
  <c r="E2876" i="4"/>
  <c r="F2875" i="4"/>
  <c r="E2875" i="4"/>
  <c r="E2874" i="4"/>
  <c r="E2873" i="4"/>
  <c r="F2873" i="4"/>
  <c r="F2872" i="4"/>
  <c r="E2872" i="4"/>
  <c r="F2871" i="4"/>
  <c r="E2871" i="4"/>
  <c r="E2870" i="4"/>
  <c r="E2869" i="4"/>
  <c r="F2869" i="4"/>
  <c r="F2868" i="4"/>
  <c r="E2868" i="4"/>
  <c r="F2866" i="4"/>
  <c r="E2866" i="4"/>
  <c r="E2865" i="4"/>
  <c r="F2863" i="4"/>
  <c r="E2863" i="4"/>
  <c r="F2861" i="4"/>
  <c r="E2859" i="4"/>
  <c r="E2858" i="4"/>
  <c r="E2857" i="4"/>
  <c r="F2856" i="4"/>
  <c r="E2856" i="4"/>
  <c r="F2855" i="4"/>
  <c r="E2855" i="4"/>
  <c r="E2854" i="4"/>
  <c r="F2853" i="4"/>
  <c r="E2853" i="4"/>
  <c r="F2851" i="4"/>
  <c r="E2851" i="4"/>
  <c r="F2850" i="4"/>
  <c r="E2850" i="4"/>
  <c r="F2847" i="4"/>
  <c r="F2848" i="4"/>
  <c r="E2848" i="4"/>
  <c r="E2847" i="4"/>
  <c r="E2846" i="4"/>
  <c r="F2845" i="4"/>
  <c r="E2845" i="4"/>
  <c r="E2844" i="4"/>
  <c r="F2843" i="4"/>
  <c r="E2843" i="4"/>
  <c r="E2842" i="4"/>
  <c r="F2841" i="4"/>
  <c r="E2841" i="4"/>
  <c r="F2839" i="4"/>
  <c r="E2840" i="4"/>
  <c r="E2839" i="4"/>
  <c r="E2838" i="4"/>
  <c r="E2837" i="4"/>
  <c r="E2836" i="4"/>
  <c r="F2836" i="4"/>
  <c r="F2835" i="4"/>
  <c r="E2835" i="4"/>
  <c r="E2833" i="4"/>
  <c r="E2832" i="4"/>
  <c r="E2831" i="4"/>
  <c r="E2830" i="4"/>
  <c r="F2829" i="4"/>
  <c r="E2829" i="4"/>
  <c r="E2828" i="4"/>
  <c r="F2828" i="4"/>
  <c r="E2827" i="4"/>
  <c r="E2826" i="4"/>
  <c r="E2825" i="4"/>
  <c r="E2824" i="4"/>
  <c r="F2823" i="4"/>
  <c r="E2823" i="4"/>
  <c r="F2822" i="4"/>
  <c r="E2821" i="4"/>
  <c r="E2820" i="4"/>
  <c r="F2820" i="4"/>
  <c r="F2819" i="4"/>
  <c r="E2819" i="4"/>
  <c r="F2818" i="4"/>
  <c r="E2818" i="4"/>
  <c r="E2817" i="4"/>
  <c r="F2815" i="4"/>
  <c r="E2816" i="4"/>
  <c r="E2815" i="4"/>
  <c r="E2814" i="4"/>
  <c r="F2813" i="4"/>
  <c r="E2813" i="4"/>
  <c r="F2811" i="4"/>
  <c r="E2811" i="4"/>
  <c r="F2810" i="4"/>
  <c r="E2810" i="4"/>
  <c r="E2809" i="4"/>
  <c r="E2808" i="4"/>
  <c r="F2807" i="4"/>
  <c r="E2807" i="4"/>
  <c r="E2806" i="4"/>
  <c r="F2805" i="4"/>
  <c r="E2805" i="4"/>
  <c r="E2804" i="4"/>
  <c r="F2803" i="4"/>
  <c r="E2802" i="4"/>
  <c r="E2801" i="4"/>
  <c r="E2800" i="4"/>
  <c r="E2799" i="4"/>
  <c r="C9" i="6"/>
  <c r="E2798" i="4"/>
  <c r="E2797" i="4"/>
  <c r="F2796" i="4"/>
  <c r="E2796" i="4"/>
  <c r="E2794" i="4"/>
  <c r="E2792" i="4"/>
  <c r="E2791" i="4"/>
  <c r="G2001" i="4"/>
  <c r="E2790" i="4"/>
  <c r="F2789" i="4"/>
  <c r="F2787" i="4"/>
  <c r="E2787" i="4"/>
  <c r="E2786" i="4"/>
  <c r="F2785" i="4"/>
  <c r="E2785" i="4"/>
  <c r="E2783" i="4"/>
  <c r="E2782" i="4"/>
  <c r="E2781" i="4"/>
  <c r="F2779" i="4"/>
  <c r="E2780" i="4"/>
  <c r="E2779" i="4"/>
  <c r="F2778" i="4"/>
  <c r="E2778" i="4"/>
  <c r="E2777" i="4"/>
  <c r="E2776" i="4"/>
  <c r="E2775" i="4"/>
  <c r="E2774" i="4"/>
  <c r="F2773" i="4"/>
  <c r="E2773" i="4"/>
  <c r="E2772" i="4"/>
  <c r="F2772" i="4"/>
  <c r="E2771" i="4"/>
  <c r="F2770" i="4"/>
  <c r="E2768" i="4"/>
  <c r="E2766" i="4"/>
  <c r="E2765" i="4"/>
  <c r="E2764" i="4"/>
  <c r="E2763" i="4"/>
  <c r="E2762" i="4"/>
  <c r="F2761" i="4"/>
  <c r="E2761" i="4"/>
  <c r="F2760" i="4"/>
  <c r="E2759" i="4"/>
  <c r="F2758" i="4"/>
  <c r="E2758" i="4"/>
  <c r="E2757" i="4"/>
  <c r="E2756" i="4"/>
  <c r="F2756" i="4"/>
  <c r="E2755" i="4"/>
  <c r="E2754" i="4"/>
  <c r="F2753" i="4"/>
  <c r="E2753" i="4"/>
  <c r="E2751" i="4"/>
  <c r="F2750" i="4"/>
  <c r="E2750" i="4"/>
  <c r="F2747" i="4"/>
  <c r="E2747" i="4"/>
  <c r="F2745" i="4"/>
  <c r="E2746" i="4"/>
  <c r="E2745" i="4"/>
  <c r="F2744" i="4"/>
  <c r="E2744" i="4"/>
  <c r="F2743" i="4"/>
  <c r="E2743" i="4"/>
  <c r="E2742" i="4"/>
  <c r="F2741" i="4"/>
  <c r="E2741" i="4"/>
  <c r="E2740" i="4"/>
  <c r="F2739" i="4"/>
  <c r="E2739" i="4"/>
  <c r="F2738" i="4"/>
  <c r="G2738" i="4" s="1"/>
  <c r="F2737" i="4"/>
  <c r="E2737" i="4"/>
  <c r="E2735" i="4"/>
  <c r="E2734" i="4"/>
  <c r="E2733" i="4"/>
  <c r="F2732" i="4"/>
  <c r="G2732" i="4" s="1"/>
  <c r="F2730" i="4"/>
  <c r="E2730" i="4"/>
  <c r="F2729" i="4"/>
  <c r="E2728" i="4"/>
  <c r="F2728" i="4"/>
  <c r="F2727" i="4"/>
  <c r="E2727" i="4"/>
  <c r="E2726" i="4"/>
  <c r="E2725" i="4"/>
  <c r="E2724" i="4"/>
  <c r="F2724" i="4"/>
  <c r="F2723" i="4"/>
  <c r="E2723" i="4"/>
  <c r="E2722" i="4"/>
  <c r="E2721" i="4"/>
  <c r="E2720" i="4"/>
  <c r="E2719" i="4"/>
  <c r="F2718" i="4"/>
  <c r="E2718" i="4"/>
  <c r="E2717" i="4"/>
  <c r="E2716" i="4"/>
  <c r="F2715" i="4"/>
  <c r="F2714" i="4"/>
  <c r="E2714" i="4"/>
  <c r="F2713" i="4"/>
  <c r="E2713" i="4"/>
  <c r="E2710" i="4"/>
  <c r="F2710" i="4"/>
  <c r="E2709" i="4"/>
  <c r="E2708" i="4"/>
  <c r="F2707" i="4"/>
  <c r="E2707" i="4"/>
  <c r="E2706" i="4"/>
  <c r="F2706" i="4"/>
  <c r="E2705" i="4"/>
  <c r="F2704" i="4"/>
  <c r="E2704" i="4"/>
  <c r="F2703" i="4"/>
  <c r="E2703" i="4"/>
  <c r="C4" i="6"/>
  <c r="E2702" i="4"/>
  <c r="F2702" i="4"/>
  <c r="E2701" i="4"/>
  <c r="E2700" i="4"/>
  <c r="F2700" i="4"/>
  <c r="E2699" i="4"/>
  <c r="E2698" i="4"/>
  <c r="F2697" i="4"/>
  <c r="E2697" i="4"/>
  <c r="F2695" i="4"/>
  <c r="E2695" i="4"/>
  <c r="E2694" i="4"/>
  <c r="E2693" i="4"/>
  <c r="F2692" i="4"/>
  <c r="G2692" i="4" s="1"/>
  <c r="E2691" i="4"/>
  <c r="E2690" i="4"/>
  <c r="F2690" i="4"/>
  <c r="E2689" i="4"/>
  <c r="F2688" i="4"/>
  <c r="E2688" i="4"/>
  <c r="G1445" i="4"/>
  <c r="G1533" i="4"/>
  <c r="F2687" i="4"/>
  <c r="E2687" i="4"/>
  <c r="E2686" i="4"/>
  <c r="E2685" i="4"/>
  <c r="F2684" i="4"/>
  <c r="E2684" i="4"/>
  <c r="F2683" i="4"/>
  <c r="E2683" i="4"/>
  <c r="E2682" i="4"/>
  <c r="F2681" i="4"/>
  <c r="E2681" i="4"/>
  <c r="E2680" i="4"/>
  <c r="F2679" i="4"/>
  <c r="E2679" i="4"/>
  <c r="E2678" i="4"/>
  <c r="F2678" i="4"/>
  <c r="E2677" i="4"/>
  <c r="E2676" i="4"/>
  <c r="F2675" i="4"/>
  <c r="E2675" i="4"/>
  <c r="E2674" i="4"/>
  <c r="C246" i="14"/>
  <c r="C230" i="14"/>
  <c r="C214" i="14"/>
  <c r="C198" i="14"/>
  <c r="C182" i="14"/>
  <c r="C245" i="14"/>
  <c r="C229" i="14"/>
  <c r="C213" i="14"/>
  <c r="C197" i="14"/>
  <c r="C181" i="14"/>
  <c r="C244" i="14"/>
  <c r="C228" i="14"/>
  <c r="C212" i="14"/>
  <c r="C196" i="14"/>
  <c r="C180" i="14"/>
  <c r="C235" i="14"/>
  <c r="C219" i="14"/>
  <c r="C203" i="14"/>
  <c r="C187" i="14"/>
  <c r="F2674" i="4"/>
  <c r="C242" i="14"/>
  <c r="C226" i="14"/>
  <c r="C210" i="14"/>
  <c r="C194" i="14"/>
  <c r="C178" i="14"/>
  <c r="C241" i="14"/>
  <c r="C225" i="14"/>
  <c r="C209" i="14"/>
  <c r="C193" i="14"/>
  <c r="C177" i="14"/>
  <c r="C240" i="14"/>
  <c r="C224" i="14"/>
  <c r="C208" i="14"/>
  <c r="C192" i="14"/>
  <c r="C176" i="14"/>
  <c r="C247" i="14"/>
  <c r="C231" i="14"/>
  <c r="C215" i="14"/>
  <c r="C199" i="14"/>
  <c r="C183" i="14"/>
  <c r="B2" i="1"/>
  <c r="C238" i="14"/>
  <c r="C222" i="14"/>
  <c r="C206" i="14"/>
  <c r="C190" i="14"/>
  <c r="C174" i="14"/>
  <c r="C237" i="14"/>
  <c r="C221" i="14"/>
  <c r="C205" i="14"/>
  <c r="C189" i="14"/>
  <c r="C173" i="14"/>
  <c r="C236" i="14"/>
  <c r="C220" i="14"/>
  <c r="C204" i="14"/>
  <c r="C188" i="14"/>
  <c r="C172" i="14"/>
  <c r="C243" i="14"/>
  <c r="C227" i="14"/>
  <c r="C211" i="14"/>
  <c r="C195" i="14"/>
  <c r="C179" i="14"/>
  <c r="C234" i="14"/>
  <c r="C218" i="14"/>
  <c r="C202" i="14"/>
  <c r="C186" i="14"/>
  <c r="C233" i="14"/>
  <c r="C217" i="14"/>
  <c r="C201" i="14"/>
  <c r="C185" i="14"/>
  <c r="C248" i="14"/>
  <c r="C232" i="14"/>
  <c r="C216" i="14"/>
  <c r="C200" i="14"/>
  <c r="C184" i="14"/>
  <c r="C239" i="14"/>
  <c r="C223" i="14"/>
  <c r="C207" i="14"/>
  <c r="C191" i="14"/>
  <c r="C175" i="14"/>
  <c r="E2673" i="4"/>
  <c r="E2672" i="4"/>
  <c r="E2670" i="4"/>
  <c r="G3398" i="4"/>
  <c r="G3571" i="4"/>
  <c r="E2668" i="4"/>
  <c r="G3551" i="4"/>
  <c r="F2668" i="4"/>
  <c r="G3976" i="4"/>
  <c r="G3800" i="4"/>
  <c r="G2889" i="4"/>
  <c r="G3866" i="4"/>
  <c r="F2667" i="4"/>
  <c r="G3895" i="4"/>
  <c r="G3852" i="4"/>
  <c r="G3713" i="4"/>
  <c r="G3467" i="4"/>
  <c r="E2667" i="4"/>
  <c r="G3275" i="4"/>
  <c r="G3238" i="4"/>
  <c r="G2860" i="4"/>
  <c r="G2852" i="4"/>
  <c r="G3766" i="4"/>
  <c r="G3625" i="4"/>
  <c r="G3396" i="4"/>
  <c r="G3280" i="4"/>
  <c r="E1923" i="4"/>
  <c r="E2666" i="4"/>
  <c r="G3721" i="4"/>
  <c r="G3904" i="4"/>
  <c r="G3812" i="4"/>
  <c r="G3266" i="4"/>
  <c r="G3952" i="4"/>
  <c r="G3949" i="4"/>
  <c r="G3813" i="4"/>
  <c r="G3384" i="4"/>
  <c r="E2665" i="4"/>
  <c r="F2664" i="4"/>
  <c r="E2664" i="4"/>
  <c r="F2663" i="4"/>
  <c r="E2662" i="4"/>
  <c r="F2662" i="4"/>
  <c r="F2661" i="4"/>
  <c r="E2661" i="4"/>
  <c r="E2660" i="4"/>
  <c r="E2659" i="4"/>
  <c r="E2657" i="4"/>
  <c r="E2498" i="4"/>
  <c r="E2656" i="4"/>
  <c r="E2655" i="4"/>
  <c r="E2654" i="4"/>
  <c r="F2654" i="4"/>
  <c r="E2651" i="4"/>
  <c r="E2650" i="4"/>
  <c r="F2650" i="4"/>
  <c r="E2648" i="4"/>
  <c r="F2648" i="4"/>
  <c r="E2647" i="4"/>
  <c r="E2646" i="4"/>
  <c r="E2645" i="4"/>
  <c r="E2644" i="4"/>
  <c r="F2045" i="4"/>
  <c r="F2138" i="4"/>
  <c r="F1986" i="4"/>
  <c r="F2122" i="4"/>
  <c r="F2295" i="4"/>
  <c r="F2425" i="4"/>
  <c r="F2351" i="4"/>
  <c r="F2180" i="4"/>
  <c r="F2545" i="4"/>
  <c r="F2301" i="4"/>
  <c r="F2250" i="4"/>
  <c r="F2644" i="4"/>
  <c r="E2643" i="4"/>
  <c r="E2642" i="4"/>
  <c r="F1913" i="4"/>
  <c r="F2460" i="4"/>
  <c r="F2360" i="4"/>
  <c r="F2009" i="4"/>
  <c r="F2243" i="4"/>
  <c r="F1991" i="4"/>
  <c r="F1921" i="4"/>
  <c r="F1934" i="4"/>
  <c r="F2565" i="4"/>
  <c r="F2368" i="4"/>
  <c r="F2494" i="4"/>
  <c r="F2354" i="4"/>
  <c r="F2475" i="4"/>
  <c r="F2113" i="4"/>
  <c r="F2316" i="4"/>
  <c r="F1929" i="4"/>
  <c r="F2060" i="4"/>
  <c r="F2161" i="4"/>
  <c r="F2430" i="4"/>
  <c r="F2358" i="4"/>
  <c r="F2356" i="4"/>
  <c r="F2309" i="4"/>
  <c r="F1972" i="4"/>
  <c r="F1908" i="4"/>
  <c r="F1930" i="4"/>
  <c r="F2549" i="4"/>
  <c r="F2319" i="4"/>
  <c r="E2641" i="4"/>
  <c r="F2639" i="4"/>
  <c r="E2639" i="4"/>
  <c r="E2638" i="4"/>
  <c r="E2637" i="4"/>
  <c r="E2633" i="4"/>
  <c r="F2632" i="4"/>
  <c r="E2632" i="4"/>
  <c r="E2631" i="4"/>
  <c r="F2631" i="4"/>
  <c r="F1912" i="4"/>
  <c r="F2146" i="4"/>
  <c r="F2630" i="4"/>
  <c r="E2634" i="4"/>
  <c r="E2630" i="4"/>
  <c r="F2455" i="4"/>
  <c r="F2047" i="4"/>
  <c r="F2413" i="4"/>
  <c r="F2399" i="4"/>
  <c r="F1931" i="4"/>
  <c r="F2314" i="4"/>
  <c r="F1964" i="4"/>
  <c r="F1989" i="4"/>
  <c r="F2102" i="4"/>
  <c r="F2540" i="4"/>
  <c r="F2634" i="4"/>
  <c r="E2635" i="4"/>
  <c r="E2636" i="4"/>
  <c r="F2484" i="4"/>
  <c r="E2629" i="4"/>
  <c r="E2628" i="4"/>
  <c r="F2081" i="4"/>
  <c r="F2235" i="4"/>
  <c r="E2627" i="4"/>
  <c r="F2625" i="4"/>
  <c r="E2625" i="4"/>
  <c r="F2623" i="4"/>
  <c r="E2623" i="4"/>
  <c r="F2378" i="4"/>
  <c r="F2622" i="4"/>
  <c r="E2621" i="4"/>
  <c r="F2280" i="4"/>
  <c r="F2171" i="4"/>
  <c r="F1973" i="4"/>
  <c r="F2620" i="4"/>
  <c r="E2620" i="4"/>
  <c r="G1546" i="4"/>
  <c r="G1066" i="4"/>
  <c r="E2619" i="4"/>
  <c r="E2011" i="4"/>
  <c r="F2417" i="4"/>
  <c r="F2401" i="4"/>
  <c r="F2419" i="4"/>
  <c r="F2520" i="4"/>
  <c r="F2238" i="4"/>
  <c r="F2101" i="4"/>
  <c r="F2261" i="4"/>
  <c r="F2522" i="4"/>
  <c r="F2397" i="4"/>
  <c r="F2394" i="4"/>
  <c r="F2513" i="4"/>
  <c r="F2005" i="4"/>
  <c r="F2011" i="4"/>
  <c r="F2168" i="4"/>
  <c r="F2557" i="4"/>
  <c r="F2504" i="4"/>
  <c r="F2349" i="4"/>
  <c r="F2350" i="4"/>
  <c r="F2120" i="4"/>
  <c r="F2249" i="4"/>
  <c r="F2003" i="4"/>
  <c r="F2059" i="4"/>
  <c r="F2537" i="4"/>
  <c r="F2550" i="4"/>
  <c r="E2617" i="4"/>
  <c r="E2616" i="4"/>
  <c r="E2092" i="4"/>
  <c r="G949" i="4"/>
  <c r="G1512" i="4"/>
  <c r="F2056" i="4"/>
  <c r="E2172" i="4"/>
  <c r="F2599" i="4"/>
  <c r="E1996" i="4"/>
  <c r="G1661" i="4"/>
  <c r="G1393" i="4"/>
  <c r="E2614" i="4"/>
  <c r="F2479" i="4"/>
  <c r="F2062" i="4"/>
  <c r="E2192" i="4"/>
  <c r="G1192" i="4"/>
  <c r="G1280" i="4"/>
  <c r="E1961" i="4"/>
  <c r="E2026" i="4"/>
  <c r="F2119" i="4"/>
  <c r="E2613" i="4"/>
  <c r="G1496" i="4"/>
  <c r="G1656" i="4"/>
  <c r="G1256" i="4"/>
  <c r="G1193" i="4"/>
  <c r="G1554" i="4"/>
  <c r="G1324" i="4"/>
  <c r="G1358" i="4"/>
  <c r="G1423" i="4"/>
  <c r="G1717" i="4"/>
  <c r="G1336" i="4"/>
  <c r="G2076" i="4"/>
  <c r="G1570" i="4"/>
  <c r="G1615" i="4"/>
  <c r="G1505" i="4"/>
  <c r="G1743" i="4"/>
  <c r="G1267" i="4"/>
  <c r="G745" i="4"/>
  <c r="G1617" i="4"/>
  <c r="G1606" i="4"/>
  <c r="E1973" i="4"/>
  <c r="G1548" i="4"/>
  <c r="F1889" i="4"/>
  <c r="G1706" i="4"/>
  <c r="G963" i="4"/>
  <c r="G1036" i="4"/>
  <c r="G1565" i="4"/>
  <c r="E1915" i="4"/>
  <c r="E2171" i="4"/>
  <c r="E2261" i="4"/>
  <c r="F2611" i="4"/>
  <c r="E2178" i="4"/>
  <c r="E2611" i="4"/>
  <c r="G1845" i="4"/>
  <c r="G1729" i="4"/>
  <c r="G1454" i="4"/>
  <c r="G619" i="4"/>
  <c r="G1415" i="4"/>
  <c r="G782" i="4"/>
  <c r="G1666" i="4"/>
  <c r="F2017" i="4"/>
  <c r="F2068" i="4"/>
  <c r="E2151" i="4"/>
  <c r="E2278" i="4"/>
  <c r="E2320" i="4"/>
  <c r="F2610" i="4"/>
  <c r="G1711" i="4"/>
  <c r="F1940" i="4"/>
  <c r="E1964" i="4"/>
  <c r="E1988" i="4"/>
  <c r="F2074" i="4"/>
  <c r="E2168" i="4"/>
  <c r="F2202" i="4"/>
  <c r="G2185" i="4"/>
  <c r="E2610" i="4"/>
  <c r="G645" i="4"/>
  <c r="G846" i="4"/>
  <c r="G1692" i="4"/>
  <c r="G1587" i="4"/>
  <c r="E1921" i="4"/>
  <c r="F1955" i="4"/>
  <c r="E1991" i="4"/>
  <c r="F2006" i="4"/>
  <c r="E2089" i="4"/>
  <c r="E2220" i="4"/>
  <c r="F2609" i="4"/>
  <c r="G2609" i="4" s="1"/>
  <c r="G1564" i="4"/>
  <c r="G1621" i="4"/>
  <c r="G1705" i="4"/>
  <c r="B34" i="12"/>
  <c r="E2281" i="4"/>
  <c r="E2449" i="4"/>
  <c r="G1681" i="4"/>
  <c r="G968" i="4"/>
  <c r="G1506" i="4"/>
  <c r="G1669" i="4"/>
  <c r="G1034" i="4"/>
  <c r="G859" i="4"/>
  <c r="G836" i="4"/>
  <c r="G1653" i="4"/>
  <c r="G1632" i="4"/>
  <c r="E1889" i="4"/>
  <c r="E2012" i="4"/>
  <c r="G1563" i="4"/>
  <c r="G1580" i="4"/>
  <c r="G1630" i="4"/>
  <c r="G1720" i="4"/>
  <c r="G1572" i="4"/>
  <c r="G1588" i="4"/>
  <c r="G1691" i="4"/>
  <c r="G1091" i="4"/>
  <c r="G1703" i="4"/>
  <c r="G1629" i="4"/>
  <c r="G1728" i="4"/>
  <c r="E1960" i="4"/>
  <c r="E2074" i="4"/>
  <c r="F2158" i="4"/>
  <c r="E2262" i="4"/>
  <c r="E2337" i="4"/>
  <c r="E2410" i="4"/>
  <c r="E2443" i="4"/>
  <c r="E1948" i="4"/>
  <c r="E2017" i="4"/>
  <c r="F2167" i="4"/>
  <c r="E2263" i="4"/>
  <c r="E2402" i="4"/>
  <c r="E1955" i="4"/>
  <c r="E2068" i="4"/>
  <c r="F2090" i="4"/>
  <c r="F2186" i="4"/>
  <c r="E2238" i="4"/>
  <c r="E2497" i="4"/>
  <c r="G1531" i="4"/>
  <c r="G1355" i="4"/>
  <c r="G1400" i="4"/>
  <c r="G1312" i="4"/>
  <c r="G1689" i="4"/>
  <c r="G1457" i="4"/>
  <c r="G1271" i="4"/>
  <c r="E2558" i="4"/>
  <c r="G1539" i="4"/>
  <c r="G1482" i="4"/>
  <c r="G1449" i="4"/>
  <c r="G1366" i="4"/>
  <c r="G1430" i="4"/>
  <c r="G1392" i="4"/>
  <c r="G1699" i="4"/>
  <c r="G1349" i="4"/>
  <c r="B32" i="12"/>
  <c r="G1612" i="4"/>
  <c r="G1547" i="4"/>
  <c r="G1379" i="4"/>
  <c r="G1395" i="4"/>
  <c r="G1371" i="4"/>
  <c r="G1693" i="4"/>
  <c r="G1734" i="4"/>
  <c r="G1135" i="4"/>
  <c r="G1555" i="4"/>
  <c r="G1253" i="4"/>
  <c r="G1636" i="4"/>
  <c r="G1008" i="4"/>
  <c r="G1095" i="4"/>
  <c r="F1891" i="4"/>
  <c r="G1909" i="4"/>
  <c r="F1960" i="4"/>
  <c r="F1962" i="4"/>
  <c r="E1965" i="4"/>
  <c r="F2002" i="4"/>
  <c r="F2031" i="4"/>
  <c r="F2041" i="4"/>
  <c r="G2041" i="4" s="1"/>
  <c r="F2154" i="4"/>
  <c r="F2205" i="4"/>
  <c r="E2231" i="4"/>
  <c r="E2266" i="4"/>
  <c r="G2307" i="4"/>
  <c r="E1916" i="4"/>
  <c r="E2240" i="4"/>
  <c r="F2516" i="4"/>
  <c r="G2516" i="4" s="1"/>
  <c r="F1917" i="4"/>
  <c r="F2456" i="4"/>
  <c r="F2170" i="4"/>
  <c r="F2498" i="4"/>
  <c r="F1916" i="4"/>
  <c r="F2155" i="4"/>
  <c r="F2231" i="4"/>
  <c r="F1915" i="4"/>
  <c r="F2034" i="4"/>
  <c r="F2093" i="4"/>
  <c r="F2275" i="4"/>
  <c r="F1965" i="4"/>
  <c r="F2278" i="4"/>
  <c r="F2533" i="4"/>
  <c r="G1735" i="4"/>
  <c r="F1894" i="4"/>
  <c r="E1911" i="4"/>
  <c r="E1953" i="4"/>
  <c r="F1967" i="4"/>
  <c r="E1982" i="4"/>
  <c r="E2003" i="4"/>
  <c r="F2010" i="4"/>
  <c r="F2012" i="4"/>
  <c r="E2034" i="4"/>
  <c r="E2046" i="4"/>
  <c r="E2077" i="4"/>
  <c r="E2093" i="4"/>
  <c r="E2101" i="4"/>
  <c r="E2140" i="4"/>
  <c r="E2155" i="4"/>
  <c r="F2208" i="4"/>
  <c r="F2262" i="4"/>
  <c r="F2267" i="4"/>
  <c r="F2303" i="4"/>
  <c r="E2342" i="4"/>
  <c r="E2504" i="4"/>
  <c r="F2383" i="4"/>
  <c r="E1918" i="4"/>
  <c r="G2439" i="4"/>
  <c r="E2608" i="4"/>
  <c r="F2016" i="4"/>
  <c r="F2568" i="4"/>
  <c r="G947" i="4"/>
  <c r="G961" i="4"/>
  <c r="G770" i="4"/>
  <c r="G1593" i="4"/>
  <c r="G1126" i="4"/>
  <c r="G1224" i="4"/>
  <c r="G778" i="4"/>
  <c r="G1290" i="4"/>
  <c r="F1904" i="4"/>
  <c r="E1912" i="4"/>
  <c r="G1968" i="4"/>
  <c r="E2005" i="4"/>
  <c r="E2009" i="4"/>
  <c r="E2016" i="4"/>
  <c r="F2022" i="4"/>
  <c r="E2061" i="4"/>
  <c r="F2085" i="4"/>
  <c r="E2195" i="4"/>
  <c r="F2219" i="4"/>
  <c r="E2249" i="4"/>
  <c r="F2263" i="4"/>
  <c r="F2269" i="4"/>
  <c r="E1890" i="4"/>
  <c r="E2316" i="4"/>
  <c r="E2397" i="4"/>
  <c r="E2557" i="4"/>
  <c r="E1904" i="4"/>
  <c r="F1910" i="4"/>
  <c r="E1950" i="4"/>
  <c r="E1967" i="4"/>
  <c r="E2031" i="4"/>
  <c r="E2062" i="4"/>
  <c r="E2085" i="4"/>
  <c r="E2141" i="4"/>
  <c r="E2145" i="4"/>
  <c r="E2212" i="4"/>
  <c r="E2221" i="4"/>
  <c r="E2239" i="4"/>
  <c r="E2269" i="4"/>
  <c r="E1994" i="4"/>
  <c r="E2311" i="4"/>
  <c r="E2422" i="4"/>
  <c r="E2022" i="4"/>
  <c r="E2211" i="4"/>
  <c r="E2491" i="4"/>
  <c r="E1939" i="4"/>
  <c r="E1952" i="4"/>
  <c r="F2252" i="4"/>
  <c r="E2577" i="4"/>
  <c r="G1591" i="4"/>
  <c r="G1665" i="4"/>
  <c r="G876" i="4"/>
  <c r="G1463" i="4"/>
  <c r="G891" i="4"/>
  <c r="E1887" i="4"/>
  <c r="E1929" i="4"/>
  <c r="E1940" i="4"/>
  <c r="E1951" i="4"/>
  <c r="E1958" i="4"/>
  <c r="E1962" i="4"/>
  <c r="E2067" i="4"/>
  <c r="E2082" i="4"/>
  <c r="E2121" i="4"/>
  <c r="E2142" i="4"/>
  <c r="E2161" i="4"/>
  <c r="E2072" i="4"/>
  <c r="E2207" i="4"/>
  <c r="E2230" i="4"/>
  <c r="E2243" i="4"/>
  <c r="E2257" i="4"/>
  <c r="E2272" i="4"/>
  <c r="E1905" i="4"/>
  <c r="G1856" i="4"/>
  <c r="E2524" i="4"/>
  <c r="E2479" i="4"/>
  <c r="E2512" i="4"/>
  <c r="G1667" i="4"/>
  <c r="G1708" i="4"/>
  <c r="E1891" i="4"/>
  <c r="E1894" i="4"/>
  <c r="E1946" i="4"/>
  <c r="E1895" i="4"/>
  <c r="E2002" i="4"/>
  <c r="E2006" i="4"/>
  <c r="E2084" i="4"/>
  <c r="E2094" i="4"/>
  <c r="E2123" i="4"/>
  <c r="E2143" i="4"/>
  <c r="E2153" i="4"/>
  <c r="E2162" i="4"/>
  <c r="E2183" i="4"/>
  <c r="E2202" i="4"/>
  <c r="E2208" i="4"/>
  <c r="E2219" i="4"/>
  <c r="E2246" i="4"/>
  <c r="E2267" i="4"/>
  <c r="E2289" i="4"/>
  <c r="E2302" i="4"/>
  <c r="E2483" i="4"/>
  <c r="E2381" i="4"/>
  <c r="E2515" i="4"/>
  <c r="E2378" i="4"/>
  <c r="G1002" i="4"/>
  <c r="G1441" i="4"/>
  <c r="G1453" i="4"/>
  <c r="G1335" i="4"/>
  <c r="G1475" i="4"/>
  <c r="G1616" i="4"/>
  <c r="G1660" i="4"/>
  <c r="G1321" i="4"/>
  <c r="G1388" i="4"/>
  <c r="G775" i="4"/>
  <c r="G1634" i="4"/>
  <c r="G1458" i="4"/>
  <c r="E1942" i="4"/>
  <c r="E2015" i="4"/>
  <c r="F2027" i="4"/>
  <c r="E2047" i="4"/>
  <c r="E2115" i="4"/>
  <c r="E2122" i="4"/>
  <c r="F2151" i="4"/>
  <c r="E2157" i="4"/>
  <c r="E2167" i="4"/>
  <c r="E2310" i="4"/>
  <c r="F2607" i="4"/>
  <c r="G649" i="4"/>
  <c r="E2021" i="4"/>
  <c r="E2073" i="4"/>
  <c r="E2090" i="4"/>
  <c r="E2097" i="4"/>
  <c r="E2102" i="4"/>
  <c r="F2141" i="4"/>
  <c r="E2514" i="4"/>
  <c r="F2543" i="4"/>
  <c r="E2587" i="4"/>
  <c r="E2607" i="4"/>
  <c r="G1600" i="4"/>
  <c r="F2083" i="4"/>
  <c r="E2105" i="4"/>
  <c r="F2132" i="4"/>
  <c r="E2148" i="4"/>
  <c r="E1947" i="4"/>
  <c r="F2166" i="4"/>
  <c r="G1936" i="4"/>
  <c r="E2606" i="4"/>
  <c r="F2087" i="4"/>
  <c r="F2089" i="4"/>
  <c r="F2348" i="4"/>
  <c r="F2242" i="4"/>
  <c r="F2156" i="4"/>
  <c r="E2107" i="4"/>
  <c r="E2181" i="4"/>
  <c r="E2406" i="4"/>
  <c r="E2525" i="4"/>
  <c r="E2332" i="4"/>
  <c r="E2271" i="4"/>
  <c r="E2236" i="4"/>
  <c r="E2213" i="4"/>
  <c r="E2201" i="4"/>
  <c r="E2149" i="4"/>
  <c r="E1949" i="4"/>
  <c r="E1906" i="4"/>
  <c r="E2471" i="4"/>
  <c r="E2075" i="4"/>
  <c r="E1902" i="4"/>
  <c r="E2544" i="4"/>
  <c r="E1935" i="4"/>
  <c r="E2343" i="4"/>
  <c r="E2290" i="4"/>
  <c r="E2125" i="4"/>
  <c r="E2053" i="4"/>
  <c r="E2387" i="4"/>
  <c r="E2091" i="4"/>
  <c r="E2546" i="4"/>
  <c r="E2390" i="4"/>
  <c r="E2000" i="4"/>
  <c r="F2436" i="4"/>
  <c r="F1911" i="4"/>
  <c r="F2302" i="4"/>
  <c r="F1999" i="4"/>
  <c r="F1948" i="4"/>
  <c r="F2217" i="4"/>
  <c r="E2108" i="4"/>
  <c r="E2448" i="4"/>
  <c r="E2581" i="4"/>
  <c r="E2459" i="4"/>
  <c r="E2317" i="4"/>
  <c r="E2106" i="4"/>
  <c r="E1983" i="4"/>
  <c r="E1927" i="4"/>
  <c r="E2472" i="4"/>
  <c r="E2330" i="4"/>
  <c r="E2124" i="4"/>
  <c r="E1901" i="4"/>
  <c r="E2482" i="4"/>
  <c r="E2129" i="4"/>
  <c r="E2116" i="4"/>
  <c r="E1999" i="4"/>
  <c r="E2081" i="4"/>
  <c r="E2174" i="4"/>
  <c r="E2551" i="4"/>
  <c r="E2264" i="4"/>
  <c r="F2342" i="4"/>
  <c r="F2265" i="4"/>
  <c r="F1953" i="4"/>
  <c r="F1966" i="4"/>
  <c r="F2464" i="4"/>
  <c r="F2467" i="4"/>
  <c r="F2304" i="4"/>
  <c r="F1920" i="4"/>
  <c r="E2191" i="4"/>
  <c r="E2095" i="4"/>
  <c r="E1924" i="4"/>
  <c r="E2173" i="4"/>
  <c r="E2036" i="4"/>
  <c r="E1976" i="4"/>
  <c r="E2293" i="4"/>
  <c r="E2175" i="4"/>
  <c r="E2274" i="4"/>
  <c r="E2232" i="4"/>
  <c r="E2222" i="4"/>
  <c r="E2040" i="4"/>
  <c r="E2368" i="4"/>
  <c r="E2113" i="4"/>
  <c r="E2250" i="4"/>
  <c r="E2027" i="4"/>
  <c r="E2119" i="4"/>
  <c r="E2078" i="4"/>
  <c r="F2477" i="4"/>
  <c r="F2118" i="4"/>
  <c r="F2227" i="4"/>
  <c r="F2134" i="4"/>
  <c r="E2532" i="4"/>
  <c r="E2136" i="4"/>
  <c r="E2339" i="4"/>
  <c r="E1913" i="4"/>
  <c r="F2491" i="4"/>
  <c r="F2239" i="4"/>
  <c r="F1945" i="4"/>
  <c r="F1946" i="4"/>
  <c r="F2174" i="4"/>
  <c r="G1567" i="4"/>
  <c r="E1899" i="4"/>
  <c r="E2214" i="4"/>
  <c r="E2279" i="4"/>
  <c r="F2291" i="4"/>
  <c r="E2427" i="4"/>
  <c r="E2362" i="4"/>
  <c r="E2194" i="4"/>
  <c r="E1979" i="4"/>
  <c r="F2447" i="4"/>
  <c r="F2191" i="4"/>
  <c r="F2095" i="4"/>
  <c r="E2593" i="4"/>
  <c r="E2481" i="4"/>
  <c r="E2531" i="4"/>
  <c r="E2527" i="4"/>
  <c r="E1970" i="4"/>
  <c r="F2311" i="4"/>
  <c r="G1478" i="4"/>
  <c r="G1604" i="4"/>
  <c r="G1514" i="4"/>
  <c r="G1492" i="4"/>
  <c r="G1668" i="4"/>
  <c r="G1643" i="4"/>
  <c r="G1500" i="4"/>
  <c r="E2042" i="4"/>
  <c r="E2103" i="4"/>
  <c r="E2132" i="4"/>
  <c r="E2182" i="4"/>
  <c r="F2256" i="4"/>
  <c r="E2447" i="4"/>
  <c r="G1498" i="4"/>
  <c r="G1674" i="4"/>
  <c r="G1306" i="4"/>
  <c r="G1378" i="4"/>
  <c r="G1898" i="4"/>
  <c r="G1872" i="4"/>
  <c r="G2492" i="4"/>
  <c r="G906" i="4"/>
  <c r="G715" i="4"/>
  <c r="G1598" i="4"/>
  <c r="G1592" i="4"/>
  <c r="G713" i="4"/>
  <c r="G2177" i="4"/>
  <c r="G1686" i="4"/>
  <c r="G2377" i="4"/>
  <c r="G1535" i="4"/>
  <c r="G1677" i="4"/>
  <c r="G812" i="4"/>
  <c r="G670" i="4"/>
  <c r="G1534" i="4"/>
  <c r="B39" i="12"/>
  <c r="F2363" i="4"/>
  <c r="F1902" i="4"/>
  <c r="F1998" i="4"/>
  <c r="E2052" i="4"/>
  <c r="E2110" i="4"/>
  <c r="F2078" i="4"/>
  <c r="E2462" i="4"/>
  <c r="F2392" i="4"/>
  <c r="E2421" i="4"/>
  <c r="G1501" i="4"/>
  <c r="G1625" i="4"/>
  <c r="E1922" i="4"/>
  <c r="F1899" i="4"/>
  <c r="E2013" i="4"/>
  <c r="E2023" i="4"/>
  <c r="E2066" i="4"/>
  <c r="G33" i="6" s="1"/>
  <c r="E2069" i="4"/>
  <c r="F2075" i="4"/>
  <c r="G2112" i="4"/>
  <c r="F2136" i="4"/>
  <c r="E1956" i="4"/>
  <c r="F2282" i="4"/>
  <c r="G589" i="4"/>
  <c r="E1910" i="4"/>
  <c r="E1963" i="4"/>
  <c r="E2065" i="4"/>
  <c r="E2086" i="4"/>
  <c r="E2131" i="4"/>
  <c r="F2135" i="4"/>
  <c r="G2032" i="4"/>
  <c r="E2186" i="4"/>
  <c r="E2235" i="4"/>
  <c r="E2260" i="4"/>
  <c r="G1863" i="4"/>
  <c r="G1844" i="4"/>
  <c r="E2506" i="4"/>
  <c r="F2605" i="4"/>
  <c r="G1140" i="4"/>
  <c r="F2328" i="4"/>
  <c r="E2432" i="4"/>
  <c r="G1260" i="4"/>
  <c r="G802" i="4"/>
  <c r="G559" i="4"/>
  <c r="F1907" i="4"/>
  <c r="E1914" i="4"/>
  <c r="F1926" i="4"/>
  <c r="E1930" i="4"/>
  <c r="F2018" i="4"/>
  <c r="E2043" i="4"/>
  <c r="E2050" i="4"/>
  <c r="E2054" i="4"/>
  <c r="E2059" i="4"/>
  <c r="E2138" i="4"/>
  <c r="E2156" i="4"/>
  <c r="E2165" i="4"/>
  <c r="E2200" i="4"/>
  <c r="E2233" i="4"/>
  <c r="E2275" i="4"/>
  <c r="E2224" i="4"/>
  <c r="E2306" i="4"/>
  <c r="E2313" i="4"/>
  <c r="E2338" i="4"/>
  <c r="E2468" i="4"/>
  <c r="E2407" i="4"/>
  <c r="E2466" i="4"/>
  <c r="E2359" i="4"/>
  <c r="E2487" i="4"/>
  <c r="E2434" i="4"/>
  <c r="E2464" i="4"/>
  <c r="E2356" i="4"/>
  <c r="E2561" i="4"/>
  <c r="E2579" i="4"/>
  <c r="E2588" i="4"/>
  <c r="E2605" i="4"/>
  <c r="G1540" i="4"/>
  <c r="G1663" i="4"/>
  <c r="G1680" i="4"/>
  <c r="G1695" i="4"/>
  <c r="G1740" i="4"/>
  <c r="G1644" i="4"/>
  <c r="G795" i="4"/>
  <c r="G1068" i="4"/>
  <c r="G1101" i="4"/>
  <c r="E1931" i="4"/>
  <c r="E1972" i="4"/>
  <c r="E2019" i="4"/>
  <c r="E2028" i="4"/>
  <c r="F2035" i="4"/>
  <c r="E2045" i="4"/>
  <c r="E2051" i="4"/>
  <c r="E2055" i="4"/>
  <c r="E2060" i="4"/>
  <c r="F2123" i="4"/>
  <c r="E2127" i="4"/>
  <c r="E2154" i="4"/>
  <c r="E2160" i="4"/>
  <c r="F2189" i="4"/>
  <c r="E2205" i="4"/>
  <c r="F2234" i="4"/>
  <c r="E2245" i="4"/>
  <c r="E2280" i="4"/>
  <c r="E2284" i="4"/>
  <c r="E2291" i="4"/>
  <c r="F2294" i="4"/>
  <c r="G2294" i="4" s="1"/>
  <c r="E2309" i="4"/>
  <c r="E2315" i="4"/>
  <c r="E2321" i="4"/>
  <c r="E2335" i="4"/>
  <c r="E2345" i="4"/>
  <c r="E2486" i="4"/>
  <c r="E2529" i="4"/>
  <c r="E2423" i="4"/>
  <c r="E2400" i="4"/>
  <c r="F2473" i="4"/>
  <c r="E2395" i="4"/>
  <c r="E2010" i="4"/>
  <c r="E1941" i="4"/>
  <c r="F2416" i="4"/>
  <c r="G2416" i="4" s="1"/>
  <c r="E2348" i="4"/>
  <c r="E2374" i="4"/>
  <c r="E2373" i="4"/>
  <c r="E2570" i="4"/>
  <c r="F2583" i="4"/>
  <c r="G1499" i="4"/>
  <c r="G702" i="4"/>
  <c r="E1980" i="4"/>
  <c r="E1989" i="4"/>
  <c r="E2057" i="4"/>
  <c r="E2114" i="4"/>
  <c r="E2128" i="4"/>
  <c r="E2180" i="4"/>
  <c r="E2242" i="4"/>
  <c r="E2256" i="4"/>
  <c r="E2285" i="4"/>
  <c r="F2211" i="4"/>
  <c r="F2292" i="4"/>
  <c r="E2336" i="4"/>
  <c r="E2340" i="4"/>
  <c r="E2346" i="4"/>
  <c r="E2493" i="4"/>
  <c r="E2458" i="4"/>
  <c r="E2499" i="4"/>
  <c r="E2420" i="4"/>
  <c r="F2398" i="4"/>
  <c r="E2386" i="4"/>
  <c r="F2528" i="4"/>
  <c r="G2528" i="4" s="1"/>
  <c r="F2403" i="4"/>
  <c r="G2403" i="4" s="1"/>
  <c r="E2460" i="4"/>
  <c r="F2584" i="4"/>
  <c r="G1782" i="4"/>
  <c r="G1315" i="4"/>
  <c r="G1000" i="4"/>
  <c r="G1035" i="4"/>
  <c r="E2415" i="4"/>
  <c r="E2484" i="4"/>
  <c r="E2349" i="4"/>
  <c r="E2419" i="4"/>
  <c r="F2598" i="4"/>
  <c r="E2456" i="4"/>
  <c r="E2170" i="4"/>
  <c r="E2394" i="4"/>
  <c r="E2365" i="4"/>
  <c r="F2441" i="4"/>
  <c r="E2517" i="4"/>
  <c r="E2363" i="4"/>
  <c r="F2505" i="4"/>
  <c r="E2599" i="4"/>
  <c r="G1333" i="4"/>
  <c r="G1645" i="4"/>
  <c r="G1683" i="4"/>
  <c r="G1723" i="4"/>
  <c r="G1211" i="4"/>
  <c r="G751" i="4"/>
  <c r="G1477" i="4"/>
  <c r="E2522" i="4"/>
  <c r="E2401" i="4"/>
  <c r="F2376" i="4"/>
  <c r="F2369" i="4"/>
  <c r="E2568" i="4"/>
  <c r="G1814" i="4"/>
  <c r="G1762" i="4"/>
  <c r="G1817" i="4"/>
  <c r="G1747" i="4"/>
  <c r="G1537" i="4"/>
  <c r="G1675" i="4"/>
  <c r="G886" i="4"/>
  <c r="G1678" i="4"/>
  <c r="G1510" i="4"/>
  <c r="G1745" i="4"/>
  <c r="G1793" i="4"/>
  <c r="G1769" i="4"/>
  <c r="G1796" i="4"/>
  <c r="G1815" i="4"/>
  <c r="G1776" i="4"/>
  <c r="G1812" i="4"/>
  <c r="G1232" i="4"/>
  <c r="G1106" i="4"/>
  <c r="G1714" i="4"/>
  <c r="F2466" i="4"/>
  <c r="E2388" i="4"/>
  <c r="G1777" i="4"/>
  <c r="G1789" i="4"/>
  <c r="G1749" i="4"/>
  <c r="G1322" i="4"/>
  <c r="G1655" i="4"/>
  <c r="G1671" i="4"/>
  <c r="G1298" i="4"/>
  <c r="F2306" i="4"/>
  <c r="F2346" i="4"/>
  <c r="F2359" i="4"/>
  <c r="E2501" i="4"/>
  <c r="E2604" i="4"/>
  <c r="G1764" i="4"/>
  <c r="F1992" i="4"/>
  <c r="F2071" i="4"/>
  <c r="G1790" i="4"/>
  <c r="G1420" i="4"/>
  <c r="G1741" i="4"/>
  <c r="G1784" i="4"/>
  <c r="G1754" i="4"/>
  <c r="G1807" i="4"/>
  <c r="G1805" i="4"/>
  <c r="G1756" i="4"/>
  <c r="G1525" i="4"/>
  <c r="G1014" i="4"/>
  <c r="G916" i="4"/>
  <c r="G1387" i="4"/>
  <c r="G612" i="4"/>
  <c r="G731" i="4"/>
  <c r="G1020" i="4"/>
  <c r="G1870" i="4"/>
  <c r="F2434" i="4"/>
  <c r="F1918" i="4"/>
  <c r="G1827" i="4"/>
  <c r="E2542" i="4"/>
  <c r="G1363" i="4"/>
  <c r="G943" i="4"/>
  <c r="G1288" i="4"/>
  <c r="G1638" i="4"/>
  <c r="G1494" i="4"/>
  <c r="G1346" i="4"/>
  <c r="G1780" i="4"/>
  <c r="G1721" i="4"/>
  <c r="G1682" i="4"/>
  <c r="G1105" i="4"/>
  <c r="G582" i="4"/>
  <c r="G806" i="4"/>
  <c r="G1028" i="4"/>
  <c r="E2295" i="4"/>
  <c r="E2303" i="4"/>
  <c r="F2344" i="4"/>
  <c r="F2375" i="4"/>
  <c r="E2268" i="4"/>
  <c r="E1945" i="4"/>
  <c r="E2358" i="4"/>
  <c r="E2519" i="4"/>
  <c r="G1485" i="4"/>
  <c r="G1099" i="4"/>
  <c r="G1608" i="4"/>
  <c r="G1633" i="4"/>
  <c r="G1479" i="4"/>
  <c r="E2598" i="4"/>
  <c r="E2441" i="4"/>
  <c r="F1939" i="4"/>
  <c r="F2212" i="4"/>
  <c r="F1950" i="4"/>
  <c r="E1896" i="4"/>
  <c r="E2304" i="4"/>
  <c r="G1620" i="4"/>
  <c r="G1339" i="4"/>
  <c r="G1394" i="4"/>
  <c r="G1532" i="4"/>
  <c r="G1611" i="4"/>
  <c r="G1713" i="4"/>
  <c r="G1646" i="4"/>
  <c r="G1489" i="4"/>
  <c r="E2150" i="4"/>
  <c r="E2189" i="4"/>
  <c r="F2246" i="4"/>
  <c r="F2449" i="4"/>
  <c r="E2440" i="4"/>
  <c r="E2534" i="4"/>
  <c r="E2578" i="4"/>
  <c r="E2435" i="4"/>
  <c r="E2480" i="4"/>
  <c r="E2298" i="4"/>
  <c r="G1488" i="4"/>
  <c r="G1582" i="4"/>
  <c r="G1518" i="4"/>
  <c r="E1920" i="4"/>
  <c r="E1975" i="4"/>
  <c r="E2008" i="4"/>
  <c r="F2272" i="4"/>
  <c r="F2064" i="4"/>
  <c r="E2328" i="4"/>
  <c r="F2433" i="4"/>
  <c r="E2044" i="4"/>
  <c r="E2409" i="4"/>
  <c r="E2288" i="4"/>
  <c r="E2218" i="4"/>
  <c r="E2109" i="4"/>
  <c r="E2382" i="4"/>
  <c r="E2396" i="4"/>
  <c r="E1966" i="4"/>
  <c r="E2323" i="4"/>
  <c r="E2210" i="4"/>
  <c r="E2215" i="4"/>
  <c r="E1995" i="4"/>
  <c r="E2079" i="4"/>
  <c r="E2070" i="4"/>
  <c r="E2020" i="4"/>
  <c r="E2004" i="4"/>
  <c r="F1895" i="4"/>
  <c r="F2604" i="4"/>
  <c r="E2596" i="4"/>
  <c r="G2596" i="4" s="1"/>
  <c r="E2375" i="4"/>
  <c r="E2383" i="4"/>
  <c r="E2556" i="4"/>
  <c r="E2602" i="4"/>
  <c r="E2585" i="4"/>
  <c r="E2297" i="4"/>
  <c r="E2463" i="4"/>
  <c r="E2331" i="4"/>
  <c r="E2318" i="4"/>
  <c r="E2384" i="4"/>
  <c r="E2465" i="4"/>
  <c r="E2322" i="4"/>
  <c r="E1888" i="4"/>
  <c r="E2248" i="4"/>
  <c r="E2203" i="4"/>
  <c r="E2408" i="4"/>
  <c r="E2259" i="4"/>
  <c r="E2254" i="4"/>
  <c r="E2204" i="4"/>
  <c r="E2063" i="4"/>
  <c r="E1893" i="4"/>
  <c r="E1959" i="4"/>
  <c r="E2404" i="4"/>
  <c r="E2158" i="4"/>
  <c r="E2405" i="4"/>
  <c r="E2135" i="4"/>
  <c r="F2341" i="4"/>
  <c r="F2187" i="4"/>
  <c r="F2030" i="4"/>
  <c r="G2255" i="4"/>
  <c r="E2428" i="4"/>
  <c r="E2431" i="4"/>
  <c r="E2354" i="4"/>
  <c r="E2538" i="4"/>
  <c r="E2300" i="4"/>
  <c r="G1938" i="4"/>
  <c r="E2166" i="4"/>
  <c r="G2508" i="4"/>
  <c r="G2470" i="4"/>
  <c r="G2361" i="4"/>
  <c r="G1746" i="4"/>
  <c r="G1808" i="4"/>
  <c r="G1806" i="4"/>
  <c r="G1795" i="4"/>
  <c r="G1767" i="4"/>
  <c r="G1568" i="4"/>
  <c r="G1381" i="4"/>
  <c r="G1440" i="4"/>
  <c r="G1649" i="4"/>
  <c r="G643" i="4"/>
  <c r="G1624" i="4"/>
  <c r="B4" i="12"/>
  <c r="E2543" i="4"/>
  <c r="E2163" i="4"/>
  <c r="E2391" i="4"/>
  <c r="E2193" i="4"/>
  <c r="E2582" i="4"/>
  <c r="E2130" i="4"/>
  <c r="E2104" i="4"/>
  <c r="E2560" i="4"/>
  <c r="E2120" i="4"/>
  <c r="E2513" i="4"/>
  <c r="E2520" i="4"/>
  <c r="E2253" i="4"/>
  <c r="E2371" i="4"/>
  <c r="E2341" i="4"/>
  <c r="E2227" i="4"/>
  <c r="E1997" i="4"/>
  <c r="E2187" i="4"/>
  <c r="E2134" i="4"/>
  <c r="F2569" i="4"/>
  <c r="F2224" i="4"/>
  <c r="F2415" i="4"/>
  <c r="F2493" i="4"/>
  <c r="F2026" i="4"/>
  <c r="E2477" i="4"/>
  <c r="E2586" i="4"/>
  <c r="E2376" i="4"/>
  <c r="E2353" i="4"/>
  <c r="E1897" i="4"/>
  <c r="E2176" i="4"/>
  <c r="E2555" i="4"/>
  <c r="E2244" i="4"/>
  <c r="E2442" i="4"/>
  <c r="E2535" i="4"/>
  <c r="E2476" i="4"/>
  <c r="E2206" i="4"/>
  <c r="E2344" i="4"/>
  <c r="E2485" i="4"/>
  <c r="E2541" i="4"/>
  <c r="E2392" i="4"/>
  <c r="E2282" i="4"/>
  <c r="E2056" i="4"/>
  <c r="E2083" i="4"/>
  <c r="F2207" i="4"/>
  <c r="F2499" i="4"/>
  <c r="F2289" i="4"/>
  <c r="F2281" i="4"/>
  <c r="F2221" i="4"/>
  <c r="F2370" i="4"/>
  <c r="F2335" i="4"/>
  <c r="F2142" i="4"/>
  <c r="F1958" i="4"/>
  <c r="E1926" i="4"/>
  <c r="E2030" i="4"/>
  <c r="E2146" i="4"/>
  <c r="E2164" i="4"/>
  <c r="G2096" i="4"/>
  <c r="E2308" i="4"/>
  <c r="E2366" i="4"/>
  <c r="F2210" i="4"/>
  <c r="F2323" i="4"/>
  <c r="F2389" i="4"/>
  <c r="F1987" i="4"/>
  <c r="F1984" i="4"/>
  <c r="E2552" i="4"/>
  <c r="E2505" i="4"/>
  <c r="E2252" i="4"/>
  <c r="F2551" i="4"/>
  <c r="F2264" i="4"/>
  <c r="F2184" i="4"/>
  <c r="E2367" i="4"/>
  <c r="E2418" i="4"/>
  <c r="E2510" i="4"/>
  <c r="F2382" i="4"/>
  <c r="F2396" i="4"/>
  <c r="F2046" i="4"/>
  <c r="F2534" i="4"/>
  <c r="F2578" i="4"/>
  <c r="F2121" i="4"/>
  <c r="F2298" i="4"/>
  <c r="F2435" i="4"/>
  <c r="F2257" i="4"/>
  <c r="F1969" i="4"/>
  <c r="E2454" i="4"/>
  <c r="E1937" i="4"/>
  <c r="E1990" i="4"/>
  <c r="E2347" i="4"/>
  <c r="E2453" i="4"/>
  <c r="E2048" i="4"/>
  <c r="E2247" i="4"/>
  <c r="F1896" i="4"/>
  <c r="F1975" i="4"/>
  <c r="E2364" i="4"/>
  <c r="E2234" i="4"/>
  <c r="E2489" i="4"/>
  <c r="E2583" i="4"/>
  <c r="E2554" i="4"/>
  <c r="F2365" i="4"/>
  <c r="F2305" i="4"/>
  <c r="E2584" i="4"/>
  <c r="E2548" i="4"/>
  <c r="E2398" i="4"/>
  <c r="E2473" i="4"/>
  <c r="E2417" i="4"/>
  <c r="E2590" i="4"/>
  <c r="E2533" i="4"/>
  <c r="E1917" i="4"/>
  <c r="F2024" i="4"/>
  <c r="F2538" i="4"/>
  <c r="F2428" i="4"/>
  <c r="F2432" i="4"/>
  <c r="E2547" i="4"/>
  <c r="E2600" i="4"/>
  <c r="E2576" i="4"/>
  <c r="E2567" i="4"/>
  <c r="E2372" i="4"/>
  <c r="E2446" i="4"/>
  <c r="E2502" i="4"/>
  <c r="E2566" i="4"/>
  <c r="E2393" i="4"/>
  <c r="E2469" i="4"/>
  <c r="E2509" i="4"/>
  <c r="E2563" i="4"/>
  <c r="E2426" i="4"/>
  <c r="E2474" i="4"/>
  <c r="E2511" i="4"/>
  <c r="E2228" i="4"/>
  <c r="G2352" i="4"/>
  <c r="E2537" i="4"/>
  <c r="E2569" i="4"/>
  <c r="F29" i="6"/>
  <c r="G1758" i="4"/>
  <c r="G1791" i="4"/>
  <c r="G1801" i="4"/>
  <c r="G1761" i="4"/>
  <c r="G1770" i="4"/>
  <c r="G1744" i="4"/>
  <c r="G1619" i="4"/>
  <c r="G2196" i="4"/>
  <c r="E2296" i="4"/>
  <c r="E2301" i="4"/>
  <c r="F2321" i="4"/>
  <c r="E2324" i="4"/>
  <c r="E2333" i="4"/>
  <c r="F2340" i="4"/>
  <c r="F2570" i="4"/>
  <c r="E2137" i="4"/>
  <c r="F2468" i="4"/>
  <c r="F2407" i="4"/>
  <c r="F2476" i="4"/>
  <c r="F2386" i="4"/>
  <c r="F2364" i="4"/>
  <c r="F2385" i="4"/>
  <c r="E2490" i="4"/>
  <c r="E2380" i="4"/>
  <c r="E2488" i="4"/>
  <c r="E2399" i="4"/>
  <c r="E1908" i="4"/>
  <c r="F2147" i="4"/>
  <c r="E2430" i="4"/>
  <c r="F2444" i="4"/>
  <c r="E2545" i="4"/>
  <c r="E1903" i="4"/>
  <c r="E2184" i="4"/>
  <c r="E2198" i="4"/>
  <c r="E2286" i="4"/>
  <c r="F1887" i="4"/>
  <c r="F2320" i="4"/>
  <c r="E2325" i="4"/>
  <c r="F2529" i="4"/>
  <c r="F2423" i="4"/>
  <c r="F2400" i="4"/>
  <c r="F2471" i="4"/>
  <c r="F2524" i="4"/>
  <c r="F2381" i="4"/>
  <c r="E2457" i="4"/>
  <c r="E2144" i="4"/>
  <c r="E2445" i="4"/>
  <c r="E2360" i="4"/>
  <c r="E2379" i="4"/>
  <c r="E2414" i="4"/>
  <c r="E2413" i="4"/>
  <c r="E2494" i="4"/>
  <c r="E2425" i="4"/>
  <c r="E2539" i="4"/>
  <c r="F2542" i="4"/>
  <c r="E2549" i="4"/>
  <c r="E2540" i="4"/>
  <c r="E2589" i="4"/>
  <c r="E2564" i="4"/>
  <c r="F2554" i="4"/>
  <c r="F2594" i="4"/>
  <c r="F2535" i="4"/>
  <c r="F2577" i="4"/>
  <c r="E1892" i="4"/>
  <c r="E2314" i="4"/>
  <c r="E2319" i="4"/>
  <c r="F2336" i="4"/>
  <c r="F2345" i="4"/>
  <c r="G1876" i="4"/>
  <c r="F2483" i="4"/>
  <c r="F2410" i="4"/>
  <c r="F2485" i="4"/>
  <c r="F2206" i="4"/>
  <c r="F2395" i="4"/>
  <c r="E2496" i="4"/>
  <c r="E2475" i="4"/>
  <c r="E2351" i="4"/>
  <c r="E2029" i="4"/>
  <c r="E2455" i="4"/>
  <c r="E1933" i="4"/>
  <c r="E1977" i="4"/>
  <c r="E2299" i="4"/>
  <c r="F2339" i="4"/>
  <c r="G1779" i="4"/>
  <c r="E3" i="6"/>
  <c r="C3" i="6"/>
  <c r="H104" i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K209" i="1"/>
  <c r="F295" i="4"/>
  <c r="G295" i="4" s="1"/>
  <c r="F534" i="4"/>
  <c r="G534" i="4" s="1"/>
  <c r="F1491" i="4"/>
  <c r="G1491" i="4" s="1"/>
  <c r="F93" i="4"/>
  <c r="G93" i="4" s="1"/>
  <c r="F1130" i="4"/>
  <c r="G1130" i="4" s="1"/>
  <c r="D231" i="14"/>
  <c r="F6100" i="4" s="1"/>
  <c r="F869" i="4"/>
  <c r="G869" i="4" s="1"/>
  <c r="D141" i="14"/>
  <c r="F4792" i="4" s="1"/>
  <c r="F741" i="4"/>
  <c r="G741" i="4" s="1"/>
  <c r="F829" i="4"/>
  <c r="G829" i="4" s="1"/>
  <c r="F586" i="4"/>
  <c r="G586" i="4" s="1"/>
  <c r="G321" i="4"/>
  <c r="E168" i="4"/>
  <c r="F168" i="4"/>
  <c r="G8" i="4"/>
  <c r="D217" i="14"/>
  <c r="F6073" i="4" s="1"/>
  <c r="F109" i="4"/>
  <c r="G109" i="4" s="1"/>
  <c r="E1886" i="4"/>
  <c r="F1886" i="4"/>
  <c r="E2536" i="4"/>
  <c r="E2503" i="4"/>
  <c r="E2523" i="4"/>
  <c r="E2276" i="4"/>
  <c r="D146" i="14"/>
  <c r="F6873" i="4" s="1"/>
  <c r="D186" i="14"/>
  <c r="F6136" i="4" s="1"/>
  <c r="F727" i="4"/>
  <c r="G727" i="4" s="1"/>
  <c r="F369" i="4"/>
  <c r="G369" i="4" s="1"/>
  <c r="F328" i="4"/>
  <c r="G328" i="4" s="1"/>
  <c r="D30" i="14"/>
  <c r="F3926" i="4" s="1"/>
  <c r="G3926" i="4" s="1"/>
  <c r="F750" i="4"/>
  <c r="F1742" i="4"/>
  <c r="D95" i="14"/>
  <c r="F2915" i="4" s="1"/>
  <c r="F429" i="4"/>
  <c r="G429" i="4" s="1"/>
  <c r="D83" i="14"/>
  <c r="F5724" i="4" s="1"/>
  <c r="G5724" i="4" s="1"/>
  <c r="F56" i="4"/>
  <c r="G56" i="4" s="1"/>
  <c r="F1040" i="4"/>
  <c r="G1040" i="4" s="1"/>
  <c r="F166" i="4"/>
  <c r="G166" i="4" s="1"/>
  <c r="F705" i="4"/>
  <c r="G705" i="4" s="1"/>
  <c r="F844" i="4"/>
  <c r="G844" i="4" s="1"/>
  <c r="D209" i="14"/>
  <c r="F5356" i="4" s="1"/>
  <c r="F254" i="4"/>
  <c r="G254" i="4" s="1"/>
  <c r="F307" i="4"/>
  <c r="G307" i="4" s="1"/>
  <c r="F922" i="4"/>
  <c r="G922" i="4" s="1"/>
  <c r="F454" i="4"/>
  <c r="G454" i="4" s="1"/>
  <c r="D44" i="14"/>
  <c r="F281" i="4"/>
  <c r="G281" i="4" s="1"/>
  <c r="F481" i="4"/>
  <c r="G481" i="4" s="1"/>
  <c r="F308" i="4"/>
  <c r="G308" i="4" s="1"/>
  <c r="F1058" i="4"/>
  <c r="G1058" i="4" s="1"/>
  <c r="F632" i="4"/>
  <c r="G632" i="4" s="1"/>
  <c r="F577" i="4"/>
  <c r="G577" i="4" s="1"/>
  <c r="D204" i="14"/>
  <c r="F6202" i="4" s="1"/>
  <c r="F79" i="4"/>
  <c r="G79" i="4" s="1"/>
  <c r="E1862" i="4"/>
  <c r="F1862" i="4"/>
  <c r="G1866" i="4"/>
  <c r="E1868" i="4"/>
  <c r="F1868" i="4"/>
  <c r="F77" i="4"/>
  <c r="G77" i="4" s="1"/>
  <c r="D207" i="14"/>
  <c r="F5950" i="4" s="1"/>
  <c r="F488" i="4"/>
  <c r="G488" i="4" s="1"/>
  <c r="F360" i="4"/>
  <c r="G360" i="4" s="1"/>
  <c r="D181" i="14"/>
  <c r="F5497" i="4" s="1"/>
  <c r="G5497" i="4" s="1"/>
  <c r="D47" i="14"/>
  <c r="F4843" i="4" s="1"/>
  <c r="F375" i="4"/>
  <c r="G375" i="4" s="1"/>
  <c r="F374" i="4"/>
  <c r="G374" i="4" s="1"/>
  <c r="F490" i="4"/>
  <c r="G490" i="4" s="1"/>
  <c r="F941" i="4"/>
  <c r="G941" i="4" s="1"/>
  <c r="D136" i="14"/>
  <c r="F5702" i="4" s="1"/>
  <c r="G5702" i="4" s="1"/>
  <c r="F537" i="4"/>
  <c r="G537" i="4" s="1"/>
  <c r="F209" i="4"/>
  <c r="G209" i="4" s="1"/>
  <c r="F529" i="4"/>
  <c r="G529" i="4" s="1"/>
  <c r="F1077" i="4"/>
  <c r="G1077" i="4" s="1"/>
  <c r="D84" i="14"/>
  <c r="F5921" i="4" s="1"/>
  <c r="G5921" i="4" s="1"/>
  <c r="F364" i="4"/>
  <c r="G364" i="4" s="1"/>
  <c r="F40" i="4"/>
  <c r="G40" i="4" s="1"/>
  <c r="F121" i="4"/>
  <c r="G121" i="4" s="1"/>
  <c r="F232" i="4"/>
  <c r="G232" i="4" s="1"/>
  <c r="F235" i="4"/>
  <c r="G235" i="4" s="1"/>
  <c r="F73" i="4"/>
  <c r="G73" i="4" s="1"/>
  <c r="F165" i="4"/>
  <c r="G165" i="4" s="1"/>
  <c r="F356" i="4"/>
  <c r="G356" i="4" s="1"/>
  <c r="F515" i="4"/>
  <c r="G515" i="4" s="1"/>
  <c r="F1157" i="4"/>
  <c r="G1157" i="4" s="1"/>
  <c r="D92" i="14"/>
  <c r="F5843" i="4" s="1"/>
  <c r="G5843" i="4" s="1"/>
  <c r="F950" i="4"/>
  <c r="G950" i="4" s="1"/>
  <c r="F47" i="4"/>
  <c r="G47" i="4" s="1"/>
  <c r="F207" i="4"/>
  <c r="G207" i="4" s="1"/>
  <c r="F211" i="4"/>
  <c r="G211" i="4" s="1"/>
  <c r="F260" i="4"/>
  <c r="G260" i="4" s="1"/>
  <c r="F322" i="4"/>
  <c r="G322" i="4" s="1"/>
  <c r="F413" i="4"/>
  <c r="G413" i="4" s="1"/>
  <c r="F123" i="4"/>
  <c r="G123" i="4" s="1"/>
  <c r="F275" i="4"/>
  <c r="G275" i="4" s="1"/>
  <c r="F341" i="4"/>
  <c r="G341" i="4" s="1"/>
  <c r="F438" i="4"/>
  <c r="G438" i="4" s="1"/>
  <c r="F463" i="4"/>
  <c r="G463" i="4" s="1"/>
  <c r="F709" i="4"/>
  <c r="G709" i="4" s="1"/>
  <c r="F863" i="4"/>
  <c r="G863" i="4" s="1"/>
  <c r="F1051" i="4"/>
  <c r="G1051" i="4" s="1"/>
  <c r="F1072" i="4"/>
  <c r="G1072" i="4" s="1"/>
  <c r="F1117" i="4"/>
  <c r="G1117" i="4" s="1"/>
  <c r="D9" i="14"/>
  <c r="F5980" i="4" s="1"/>
  <c r="F1873" i="4"/>
  <c r="G1873" i="4" s="1"/>
  <c r="F1831" i="4"/>
  <c r="G1831" i="4" s="1"/>
  <c r="F555" i="4"/>
  <c r="G555" i="4" s="1"/>
  <c r="F154" i="4"/>
  <c r="G154" i="4" s="1"/>
  <c r="F455" i="4"/>
  <c r="G455" i="4" s="1"/>
  <c r="F888" i="4"/>
  <c r="G888" i="4" s="1"/>
  <c r="F893" i="4"/>
  <c r="G893" i="4" s="1"/>
  <c r="F1222" i="4"/>
  <c r="G1222" i="4" s="1"/>
  <c r="F1206" i="4"/>
  <c r="G1206" i="4" s="1"/>
  <c r="F1048" i="4"/>
  <c r="G1048" i="4" s="1"/>
  <c r="F1007" i="4"/>
  <c r="G1007" i="4" s="1"/>
  <c r="F1003" i="4"/>
  <c r="G1003" i="4" s="1"/>
  <c r="F850" i="4"/>
  <c r="G850" i="4" s="1"/>
  <c r="F699" i="4"/>
  <c r="G699" i="4" s="1"/>
  <c r="F691" i="4"/>
  <c r="G691" i="4" s="1"/>
  <c r="F605" i="4"/>
  <c r="G605" i="4" s="1"/>
  <c r="F580" i="4"/>
  <c r="G580" i="4" s="1"/>
  <c r="F5859" i="4"/>
  <c r="G5859" i="4" s="1"/>
  <c r="F31" i="4"/>
  <c r="G31" i="4" s="1"/>
  <c r="F92" i="4"/>
  <c r="G92" i="4" s="1"/>
  <c r="F368" i="4"/>
  <c r="G368" i="4" s="1"/>
  <c r="F372" i="4"/>
  <c r="G372" i="4" s="1"/>
  <c r="F472" i="4"/>
  <c r="G472" i="4" s="1"/>
  <c r="F108" i="4"/>
  <c r="G108" i="4" s="1"/>
  <c r="F1403" i="4"/>
  <c r="E1403" i="4"/>
  <c r="F1846" i="4"/>
  <c r="G1846" i="4" s="1"/>
  <c r="D41" i="14"/>
  <c r="F6607" i="4" s="1"/>
  <c r="D82" i="14"/>
  <c r="F6774" i="4" s="1"/>
  <c r="F2414" i="4"/>
  <c r="F811" i="4"/>
  <c r="G811" i="4" s="1"/>
  <c r="F674" i="4"/>
  <c r="G674" i="4" s="1"/>
  <c r="F647" i="4"/>
  <c r="G647" i="4" s="1"/>
  <c r="F627" i="4"/>
  <c r="G627" i="4" s="1"/>
  <c r="F584" i="4"/>
  <c r="G584" i="4" s="1"/>
  <c r="F541" i="4"/>
  <c r="G541" i="4" s="1"/>
  <c r="F400" i="4"/>
  <c r="G400" i="4" s="1"/>
  <c r="F334" i="4"/>
  <c r="G334" i="4" s="1"/>
  <c r="F289" i="4"/>
  <c r="G289" i="4" s="1"/>
  <c r="F233" i="4"/>
  <c r="G233" i="4" s="1"/>
  <c r="F224" i="4"/>
  <c r="G224" i="4" s="1"/>
  <c r="F52" i="4"/>
  <c r="G52" i="4" s="1"/>
  <c r="F313" i="4"/>
  <c r="G313" i="4" s="1"/>
  <c r="D206" i="14"/>
  <c r="F5547" i="4" s="1"/>
  <c r="G5547" i="4" s="1"/>
  <c r="F327" i="4"/>
  <c r="G327" i="4" s="1"/>
  <c r="D27" i="14"/>
  <c r="F6172" i="4" s="1"/>
  <c r="F250" i="4"/>
  <c r="G250" i="4" s="1"/>
  <c r="F406" i="4"/>
  <c r="G406" i="4" s="1"/>
  <c r="F290" i="4"/>
  <c r="G290" i="4" s="1"/>
  <c r="F142" i="4"/>
  <c r="G142" i="4" s="1"/>
  <c r="D200" i="14"/>
  <c r="F5787" i="4" s="1"/>
  <c r="G5787" i="4" s="1"/>
  <c r="F46" i="4"/>
  <c r="G46" i="4" s="1"/>
  <c r="F2163" i="4"/>
  <c r="F2391" i="4"/>
  <c r="F5" i="4"/>
  <c r="G5" i="4" s="1"/>
  <c r="F482" i="4"/>
  <c r="F1858" i="4"/>
  <c r="G1858" i="4" s="1"/>
  <c r="F549" i="4"/>
  <c r="G549" i="4" s="1"/>
  <c r="D198" i="14"/>
  <c r="F4861" i="4" s="1"/>
  <c r="G4861" i="4" s="1"/>
  <c r="F439" i="4"/>
  <c r="G439" i="4" s="1"/>
  <c r="F475" i="4"/>
  <c r="G475" i="4" s="1"/>
  <c r="F2312" i="4"/>
  <c r="F2519" i="4"/>
  <c r="G482" i="4"/>
  <c r="G344" i="4"/>
  <c r="G339" i="4"/>
  <c r="G266" i="4"/>
  <c r="E2574" i="4"/>
  <c r="E2461" i="4"/>
  <c r="E2049" i="4"/>
  <c r="G81" i="4"/>
  <c r="G29" i="4"/>
  <c r="F17" i="4"/>
  <c r="G17" i="4" s="1"/>
  <c r="F63" i="4"/>
  <c r="G63" i="4" s="1"/>
  <c r="F138" i="4"/>
  <c r="G138" i="4" s="1"/>
  <c r="F417" i="4"/>
  <c r="G417" i="4" s="1"/>
  <c r="F87" i="4"/>
  <c r="G87" i="4" s="1"/>
  <c r="F135" i="4"/>
  <c r="G135" i="4" s="1"/>
  <c r="F377" i="4"/>
  <c r="G377" i="4" s="1"/>
  <c r="F533" i="4"/>
  <c r="G533" i="4" s="1"/>
  <c r="F874" i="4"/>
  <c r="G874" i="4" s="1"/>
  <c r="F988" i="4"/>
  <c r="G988" i="4" s="1"/>
  <c r="F1021" i="4"/>
  <c r="G1021" i="4" s="1"/>
  <c r="F1094" i="4"/>
  <c r="G1094" i="4" s="1"/>
  <c r="F13" i="4"/>
  <c r="G13" i="4" s="1"/>
  <c r="F393" i="4"/>
  <c r="G393" i="4" s="1"/>
  <c r="F398" i="4"/>
  <c r="G398" i="4" s="1"/>
  <c r="F781" i="4"/>
  <c r="G781" i="4" s="1"/>
  <c r="F1053" i="4"/>
  <c r="G1053" i="4" s="1"/>
  <c r="F1146" i="4"/>
  <c r="G1146" i="4" s="1"/>
  <c r="F682" i="4"/>
  <c r="G682" i="4" s="1"/>
  <c r="F14" i="4"/>
  <c r="G14" i="4" s="1"/>
  <c r="F20" i="4"/>
  <c r="G20" i="4" s="1"/>
  <c r="F97" i="4"/>
  <c r="G97" i="4" s="1"/>
  <c r="F100" i="4"/>
  <c r="G100" i="4" s="1"/>
  <c r="F158" i="4"/>
  <c r="G158" i="4" s="1"/>
  <c r="F172" i="4"/>
  <c r="G172" i="4" s="1"/>
  <c r="F197" i="4"/>
  <c r="G197" i="4" s="1"/>
  <c r="F228" i="4"/>
  <c r="G228" i="4" s="1"/>
  <c r="F242" i="4"/>
  <c r="G242" i="4" s="1"/>
  <c r="F271" i="4"/>
  <c r="G271" i="4" s="1"/>
  <c r="F357" i="4"/>
  <c r="G357" i="4" s="1"/>
  <c r="F397" i="4"/>
  <c r="G397" i="4" s="1"/>
  <c r="F433" i="4"/>
  <c r="G433" i="4" s="1"/>
  <c r="F448" i="4"/>
  <c r="G448" i="4" s="1"/>
  <c r="D205" i="14"/>
  <c r="F5815" i="4" s="1"/>
  <c r="G191" i="4"/>
  <c r="G183" i="4"/>
  <c r="G175" i="4"/>
  <c r="G163" i="4"/>
  <c r="G159" i="4"/>
  <c r="G124" i="4"/>
  <c r="E1406" i="4"/>
  <c r="E200" i="4"/>
  <c r="F78" i="4"/>
  <c r="G78" i="4" s="1"/>
  <c r="F304" i="4"/>
  <c r="G304" i="4" s="1"/>
  <c r="F181" i="4"/>
  <c r="G181" i="4" s="1"/>
  <c r="F222" i="4"/>
  <c r="G222" i="4" s="1"/>
  <c r="F169" i="4"/>
  <c r="G169" i="4" s="1"/>
  <c r="F306" i="4"/>
  <c r="G306" i="4" s="1"/>
  <c r="F390" i="4"/>
  <c r="G390" i="4" s="1"/>
  <c r="F251" i="4"/>
  <c r="G251" i="4" s="1"/>
  <c r="D93" i="14"/>
  <c r="F83" i="4"/>
  <c r="G83" i="4" s="1"/>
  <c r="F88" i="4"/>
  <c r="G88" i="4" s="1"/>
  <c r="F149" i="4"/>
  <c r="G149" i="4" s="1"/>
  <c r="G501" i="4"/>
  <c r="G497" i="4"/>
  <c r="G483" i="4"/>
  <c r="G459" i="4"/>
  <c r="G331" i="4"/>
  <c r="G255" i="4"/>
  <c r="D179" i="14"/>
  <c r="F6138" i="4" s="1"/>
  <c r="F466" i="4"/>
  <c r="G466" i="4" s="1"/>
  <c r="F1867" i="4"/>
  <c r="E1867" i="4"/>
  <c r="E2559" i="4"/>
  <c r="E1992" i="4"/>
  <c r="E2251" i="4"/>
  <c r="F2169" i="4"/>
  <c r="G2169" i="4" s="1"/>
  <c r="E2229" i="4"/>
  <c r="F8069" i="4" l="1"/>
  <c r="F8067" i="4"/>
  <c r="F8063" i="4"/>
  <c r="F8061" i="4"/>
  <c r="F8059" i="4"/>
  <c r="F8057" i="4"/>
  <c r="F8054" i="4"/>
  <c r="F8055" i="4"/>
  <c r="F8053" i="4"/>
  <c r="F8050" i="4"/>
  <c r="F8049" i="4"/>
  <c r="F8047" i="4"/>
  <c r="F8048" i="4"/>
  <c r="F8046" i="4"/>
  <c r="F8044" i="4"/>
  <c r="F8041" i="4"/>
  <c r="E8036" i="4"/>
  <c r="F8032" i="4"/>
  <c r="G8032" i="4" s="1"/>
  <c r="F8029" i="4"/>
  <c r="F8020" i="4"/>
  <c r="F8021" i="4"/>
  <c r="F8026" i="4"/>
  <c r="E8028" i="4"/>
  <c r="F8027" i="4"/>
  <c r="F8025" i="4"/>
  <c r="F8014" i="4"/>
  <c r="G8014" i="4" s="1"/>
  <c r="F8018" i="4"/>
  <c r="F8015" i="4"/>
  <c r="F8008" i="4"/>
  <c r="F8006" i="4"/>
  <c r="G8006" i="4" s="1"/>
  <c r="C123" i="6"/>
  <c r="F8002" i="4"/>
  <c r="F7599" i="4"/>
  <c r="F7998" i="4"/>
  <c r="F7994" i="4"/>
  <c r="F8000" i="4"/>
  <c r="F7992" i="4"/>
  <c r="F7876" i="4"/>
  <c r="F7894" i="4"/>
  <c r="F7959" i="4"/>
  <c r="G7959" i="4" s="1"/>
  <c r="F7831" i="4"/>
  <c r="G7831" i="4" s="1"/>
  <c r="F7546" i="4"/>
  <c r="E7983" i="4"/>
  <c r="G7983" i="4" s="1"/>
  <c r="F7978" i="4"/>
  <c r="E7980" i="4"/>
  <c r="C2" i="6" s="1"/>
  <c r="F7982" i="4"/>
  <c r="G7982" i="4" s="1"/>
  <c r="F7985" i="4"/>
  <c r="G7985" i="4" s="1"/>
  <c r="F7977" i="4"/>
  <c r="G7977" i="4" s="1"/>
  <c r="F7974" i="4"/>
  <c r="F7971" i="4"/>
  <c r="G7971" i="4" s="1"/>
  <c r="F7962" i="4"/>
  <c r="F7968" i="4"/>
  <c r="F7960" i="4"/>
  <c r="F7966" i="4"/>
  <c r="F7965" i="4"/>
  <c r="G7965" i="4" s="1"/>
  <c r="F7963" i="4"/>
  <c r="G7963" i="4" s="1"/>
  <c r="F7956" i="4"/>
  <c r="F7955" i="4"/>
  <c r="G7955" i="4" s="1"/>
  <c r="F7926" i="4"/>
  <c r="F7773" i="4"/>
  <c r="G7773" i="4" s="1"/>
  <c r="F7693" i="4"/>
  <c r="G7693" i="4" s="1"/>
  <c r="E7937" i="4"/>
  <c r="G7937" i="4" s="1"/>
  <c r="F7950" i="4"/>
  <c r="F7942" i="4"/>
  <c r="F7949" i="4"/>
  <c r="G7949" i="4" s="1"/>
  <c r="F7941" i="4"/>
  <c r="G7941" i="4" s="1"/>
  <c r="F7940" i="4"/>
  <c r="F7946" i="4"/>
  <c r="F7938" i="4"/>
  <c r="F7944" i="4"/>
  <c r="F7943" i="4"/>
  <c r="G7943" i="4" s="1"/>
  <c r="F7918" i="4"/>
  <c r="F7929" i="4"/>
  <c r="G7929" i="4" s="1"/>
  <c r="F7921" i="4"/>
  <c r="G7921" i="4" s="1"/>
  <c r="F7932" i="4"/>
  <c r="F7927" i="4"/>
  <c r="G7927" i="4" s="1"/>
  <c r="F7919" i="4"/>
  <c r="G7919" i="4" s="1"/>
  <c r="F7925" i="4"/>
  <c r="G7925" i="4" s="1"/>
  <c r="F7931" i="4"/>
  <c r="G7931" i="4" s="1"/>
  <c r="F7912" i="4"/>
  <c r="F7917" i="4"/>
  <c r="G7917" i="4" s="1"/>
  <c r="F7913" i="4"/>
  <c r="G7913" i="4" s="1"/>
  <c r="F7907" i="4"/>
  <c r="G7907" i="4" s="1"/>
  <c r="F7906" i="4"/>
  <c r="F7902" i="4"/>
  <c r="F7892" i="4"/>
  <c r="G7892" i="4" s="1"/>
  <c r="F7899" i="4"/>
  <c r="G7899" i="4" s="1"/>
  <c r="F7898" i="4"/>
  <c r="F7905" i="4"/>
  <c r="G7905" i="4" s="1"/>
  <c r="F7896" i="4"/>
  <c r="F7895" i="4"/>
  <c r="G7895" i="4" s="1"/>
  <c r="F7883" i="4"/>
  <c r="G7883" i="4" s="1"/>
  <c r="F7882" i="4"/>
  <c r="F7877" i="4"/>
  <c r="G7877" i="4" s="1"/>
  <c r="F7619" i="4"/>
  <c r="G7619" i="4" s="1"/>
  <c r="F7874" i="4"/>
  <c r="F7870" i="4"/>
  <c r="E7867" i="4"/>
  <c r="G7867" i="4" s="1"/>
  <c r="E7864" i="4"/>
  <c r="F7850" i="4"/>
  <c r="G7850" i="4" s="1"/>
  <c r="F7863" i="4"/>
  <c r="G7863" i="4" s="1"/>
  <c r="F7855" i="4"/>
  <c r="G7855" i="4" s="1"/>
  <c r="F7861" i="4"/>
  <c r="G7861" i="4" s="1"/>
  <c r="F7862" i="4"/>
  <c r="F7852" i="4"/>
  <c r="F7857" i="4"/>
  <c r="G7857" i="4" s="1"/>
  <c r="F7849" i="4"/>
  <c r="G7849" i="4" s="1"/>
  <c r="F7846" i="4"/>
  <c r="G7846" i="4" s="1"/>
  <c r="F7847" i="4"/>
  <c r="G7847" i="4" s="1"/>
  <c r="F7842" i="4"/>
  <c r="G7842" i="4" s="1"/>
  <c r="F7843" i="4"/>
  <c r="G7843" i="4" s="1"/>
  <c r="F7841" i="4"/>
  <c r="G7841" i="4" s="1"/>
  <c r="F7837" i="4"/>
  <c r="G7837" i="4" s="1"/>
  <c r="F7835" i="4"/>
  <c r="G7835" i="4" s="1"/>
  <c r="F7832" i="4"/>
  <c r="G7832" i="4" s="1"/>
  <c r="E7829" i="4"/>
  <c r="C120" i="6" s="1"/>
  <c r="F7830" i="4"/>
  <c r="F7826" i="4"/>
  <c r="F7825" i="4"/>
  <c r="G7825" i="4" s="1"/>
  <c r="F7828" i="4"/>
  <c r="F7824" i="4"/>
  <c r="F7822" i="4"/>
  <c r="G7822" i="4" s="1"/>
  <c r="F7821" i="4"/>
  <c r="G7821" i="4" s="1"/>
  <c r="F7816" i="4"/>
  <c r="G7816" i="4" s="1"/>
  <c r="F7818" i="4"/>
  <c r="F7815" i="4"/>
  <c r="G7815" i="4" s="1"/>
  <c r="F7275" i="4"/>
  <c r="F7567" i="4"/>
  <c r="F7467" i="4"/>
  <c r="F7800" i="4"/>
  <c r="F7613" i="4"/>
  <c r="G7613" i="4" s="1"/>
  <c r="F7441" i="4"/>
  <c r="G7441" i="4" s="1"/>
  <c r="F7420" i="4"/>
  <c r="F7410" i="4"/>
  <c r="F7806" i="4"/>
  <c r="F7790" i="4"/>
  <c r="G7790" i="4" s="1"/>
  <c r="F7774" i="4"/>
  <c r="F7805" i="4"/>
  <c r="G7805" i="4" s="1"/>
  <c r="F7797" i="4"/>
  <c r="G7797" i="4" s="1"/>
  <c r="F7804" i="4"/>
  <c r="F7788" i="4"/>
  <c r="F7803" i="4"/>
  <c r="G7803" i="4" s="1"/>
  <c r="F7787" i="4"/>
  <c r="G7787" i="4" s="1"/>
  <c r="F7779" i="4"/>
  <c r="G7779" i="4" s="1"/>
  <c r="F7802" i="4"/>
  <c r="F7794" i="4"/>
  <c r="F7778" i="4"/>
  <c r="G7778" i="4" s="1"/>
  <c r="F7801" i="4"/>
  <c r="G7801" i="4" s="1"/>
  <c r="F7793" i="4"/>
  <c r="G7793" i="4" s="1"/>
  <c r="F7784" i="4"/>
  <c r="G7784" i="4" s="1"/>
  <c r="F7776" i="4"/>
  <c r="G7776" i="4" s="1"/>
  <c r="F7799" i="4"/>
  <c r="G7799" i="4" s="1"/>
  <c r="F7783" i="4"/>
  <c r="G7783" i="4" s="1"/>
  <c r="F7775" i="4"/>
  <c r="G7775" i="4" s="1"/>
  <c r="F7767" i="4"/>
  <c r="G7767" i="4" s="1"/>
  <c r="F7765" i="4"/>
  <c r="G7765" i="4" s="1"/>
  <c r="F7758" i="4"/>
  <c r="F7761" i="4"/>
  <c r="G7761" i="4" s="1"/>
  <c r="F7753" i="4"/>
  <c r="G7753" i="4" s="1"/>
  <c r="F7764" i="4"/>
  <c r="F7759" i="4"/>
  <c r="G7759" i="4" s="1"/>
  <c r="F7526" i="4"/>
  <c r="G7526" i="4" s="1"/>
  <c r="F7752" i="4"/>
  <c r="G7752" i="4" s="1"/>
  <c r="F7749" i="4"/>
  <c r="G7749" i="4" s="1"/>
  <c r="F7747" i="4"/>
  <c r="G7747" i="4" s="1"/>
  <c r="F7746" i="4"/>
  <c r="G7746" i="4" s="1"/>
  <c r="F7745" i="4"/>
  <c r="G7745" i="4" s="1"/>
  <c r="F7743" i="4"/>
  <c r="G7743" i="4" s="1"/>
  <c r="F7739" i="4"/>
  <c r="G7739" i="4" s="1"/>
  <c r="F7744" i="4"/>
  <c r="F7643" i="4"/>
  <c r="F7595" i="4"/>
  <c r="F7636" i="4"/>
  <c r="F7738" i="4"/>
  <c r="F7706" i="4"/>
  <c r="G7706" i="4" s="1"/>
  <c r="F7337" i="4"/>
  <c r="F7454" i="4"/>
  <c r="F7330" i="4"/>
  <c r="G7330" i="4" s="1"/>
  <c r="F7734" i="4"/>
  <c r="F7732" i="4"/>
  <c r="F7733" i="4"/>
  <c r="G7733" i="4" s="1"/>
  <c r="G4588" i="4"/>
  <c r="F7606" i="4"/>
  <c r="G7606" i="4" s="1"/>
  <c r="F7731" i="4"/>
  <c r="G7731" i="4" s="1"/>
  <c r="F7728" i="4"/>
  <c r="F7726" i="4"/>
  <c r="G7726" i="4" s="1"/>
  <c r="F7724" i="4"/>
  <c r="G7724" i="4" s="1"/>
  <c r="F7729" i="4"/>
  <c r="G7729" i="4" s="1"/>
  <c r="F7730" i="4"/>
  <c r="F7722" i="4"/>
  <c r="G7722" i="4" s="1"/>
  <c r="F7720" i="4"/>
  <c r="G7720" i="4" s="1"/>
  <c r="F7718" i="4"/>
  <c r="F7716" i="4"/>
  <c r="F7717" i="4"/>
  <c r="G7717" i="4" s="1"/>
  <c r="F7710" i="4"/>
  <c r="G7710" i="4" s="1"/>
  <c r="F7702" i="4"/>
  <c r="F7703" i="4"/>
  <c r="G7703" i="4" s="1"/>
  <c r="C119" i="6"/>
  <c r="F7707" i="4"/>
  <c r="G7707" i="4" s="1"/>
  <c r="F7712" i="4"/>
  <c r="F7696" i="4"/>
  <c r="F7694" i="4"/>
  <c r="F7406" i="4"/>
  <c r="G7406" i="4" s="1"/>
  <c r="F7231" i="4"/>
  <c r="F7124" i="4"/>
  <c r="F7450" i="4"/>
  <c r="G7450" i="4" s="1"/>
  <c r="F7422" i="4"/>
  <c r="G7422" i="4" s="1"/>
  <c r="F7145" i="4"/>
  <c r="F7689" i="4"/>
  <c r="G7689" i="4" s="1"/>
  <c r="F7686" i="4"/>
  <c r="G7686" i="4" s="1"/>
  <c r="F7682" i="4"/>
  <c r="G7682" i="4" s="1"/>
  <c r="F7680" i="4"/>
  <c r="F7675" i="4"/>
  <c r="G7675" i="4" s="1"/>
  <c r="F7667" i="4"/>
  <c r="G7667" i="4" s="1"/>
  <c r="F7668" i="4"/>
  <c r="G7668" i="4" s="1"/>
  <c r="F7665" i="4"/>
  <c r="G7665" i="4" s="1"/>
  <c r="F7671" i="4"/>
  <c r="G7671" i="4" s="1"/>
  <c r="F7669" i="4"/>
  <c r="G7669" i="4" s="1"/>
  <c r="F7662" i="4"/>
  <c r="G7662" i="4" s="1"/>
  <c r="F7663" i="4"/>
  <c r="G7663" i="4" s="1"/>
  <c r="F7661" i="4"/>
  <c r="G7661" i="4" s="1"/>
  <c r="F7664" i="4"/>
  <c r="G7664" i="4" s="1"/>
  <c r="F7659" i="4"/>
  <c r="G7659" i="4" s="1"/>
  <c r="F7658" i="4"/>
  <c r="F7657" i="4"/>
  <c r="G7657" i="4" s="1"/>
  <c r="F7654" i="4"/>
  <c r="E7656" i="4"/>
  <c r="G7656" i="4" s="1"/>
  <c r="F7652" i="4"/>
  <c r="F7650" i="4"/>
  <c r="F7648" i="4"/>
  <c r="F7647" i="4"/>
  <c r="G7647" i="4" s="1"/>
  <c r="E7649" i="4"/>
  <c r="F7644" i="4"/>
  <c r="F7641" i="4"/>
  <c r="G7641" i="4" s="1"/>
  <c r="F7637" i="4"/>
  <c r="G7637" i="4" s="1"/>
  <c r="F7632" i="4"/>
  <c r="F7633" i="4"/>
  <c r="F7628" i="4"/>
  <c r="F7629" i="4"/>
  <c r="G7629" i="4" s="1"/>
  <c r="F7626" i="4"/>
  <c r="G7961" i="4"/>
  <c r="G7953" i="4"/>
  <c r="G7945" i="4"/>
  <c r="G7897" i="4"/>
  <c r="G7889" i="4"/>
  <c r="G7881" i="4"/>
  <c r="G7873" i="4"/>
  <c r="G7865" i="4"/>
  <c r="G7833" i="4"/>
  <c r="G7817" i="4"/>
  <c r="G7809" i="4"/>
  <c r="G7785" i="4"/>
  <c r="G7777" i="4"/>
  <c r="G7769" i="4"/>
  <c r="G7737" i="4"/>
  <c r="G7721" i="4"/>
  <c r="G7713" i="4"/>
  <c r="G7705" i="4"/>
  <c r="G7697" i="4"/>
  <c r="G7681" i="4"/>
  <c r="G7673" i="4"/>
  <c r="F7624" i="4"/>
  <c r="G8285" i="4"/>
  <c r="G8253" i="4"/>
  <c r="G8245" i="4"/>
  <c r="G8237" i="4"/>
  <c r="G8229" i="4"/>
  <c r="G8221" i="4"/>
  <c r="G8213" i="4"/>
  <c r="G8205" i="4"/>
  <c r="G8197" i="4"/>
  <c r="G8189" i="4"/>
  <c r="G8181" i="4"/>
  <c r="G8173" i="4"/>
  <c r="G8165" i="4"/>
  <c r="G8157" i="4"/>
  <c r="G8149" i="4"/>
  <c r="G8141" i="4"/>
  <c r="G8133" i="4"/>
  <c r="G8125" i="4"/>
  <c r="G8117" i="4"/>
  <c r="G8109" i="4"/>
  <c r="G8101" i="4"/>
  <c r="G8093" i="4"/>
  <c r="G8085" i="4"/>
  <c r="G8077" i="4"/>
  <c r="G8069" i="4"/>
  <c r="G8061" i="4"/>
  <c r="G8053" i="4"/>
  <c r="G8045" i="4"/>
  <c r="G8037" i="4"/>
  <c r="G8029" i="4"/>
  <c r="G8021" i="4"/>
  <c r="G8013" i="4"/>
  <c r="G8005" i="4"/>
  <c r="G7997" i="4"/>
  <c r="G7989" i="4"/>
  <c r="G7981" i="4"/>
  <c r="G7973" i="4"/>
  <c r="G7957" i="4"/>
  <c r="G7933" i="4"/>
  <c r="G7909" i="4"/>
  <c r="G7901" i="4"/>
  <c r="G7893" i="4"/>
  <c r="G7885" i="4"/>
  <c r="G7869" i="4"/>
  <c r="G7853" i="4"/>
  <c r="G7845" i="4"/>
  <c r="G7813" i="4"/>
  <c r="G7789" i="4"/>
  <c r="G7781" i="4"/>
  <c r="G7757" i="4"/>
  <c r="G7741" i="4"/>
  <c r="G7725" i="4"/>
  <c r="G7709" i="4"/>
  <c r="G7701" i="4"/>
  <c r="G7685" i="4"/>
  <c r="G7677" i="4"/>
  <c r="G7653" i="4"/>
  <c r="G7645" i="4"/>
  <c r="G8279" i="4"/>
  <c r="G8265" i="4"/>
  <c r="G8249" i="4"/>
  <c r="G8241" i="4"/>
  <c r="G8233" i="4"/>
  <c r="G8225" i="4"/>
  <c r="G8217" i="4"/>
  <c r="G8209" i="4"/>
  <c r="G8201" i="4"/>
  <c r="G8193" i="4"/>
  <c r="G8185" i="4"/>
  <c r="G8177" i="4"/>
  <c r="G8169" i="4"/>
  <c r="G8161" i="4"/>
  <c r="G8153" i="4"/>
  <c r="G8145" i="4"/>
  <c r="G8137" i="4"/>
  <c r="G8129" i="4"/>
  <c r="G8121" i="4"/>
  <c r="G8113" i="4"/>
  <c r="G8105" i="4"/>
  <c r="G8097" i="4"/>
  <c r="G8089" i="4"/>
  <c r="G8081" i="4"/>
  <c r="G8073" i="4"/>
  <c r="G8065" i="4"/>
  <c r="G8057" i="4"/>
  <c r="G8049" i="4"/>
  <c r="G8041" i="4"/>
  <c r="G8033" i="4"/>
  <c r="G8025" i="4"/>
  <c r="G8017" i="4"/>
  <c r="G8009" i="4"/>
  <c r="G8001" i="4"/>
  <c r="G7993" i="4"/>
  <c r="G7969" i="4"/>
  <c r="G8247" i="4"/>
  <c r="G8239" i="4"/>
  <c r="G8231" i="4"/>
  <c r="G8223" i="4"/>
  <c r="G8215" i="4"/>
  <c r="G8207" i="4"/>
  <c r="G8199" i="4"/>
  <c r="G8191" i="4"/>
  <c r="G8183" i="4"/>
  <c r="G8175" i="4"/>
  <c r="G8167" i="4"/>
  <c r="G8159" i="4"/>
  <c r="G8151" i="4"/>
  <c r="G8143" i="4"/>
  <c r="G8135" i="4"/>
  <c r="G8127" i="4"/>
  <c r="G8119" i="4"/>
  <c r="G8111" i="4"/>
  <c r="G8103" i="4"/>
  <c r="G8095" i="4"/>
  <c r="G8087" i="4"/>
  <c r="G8079" i="4"/>
  <c r="G8071" i="4"/>
  <c r="G8063" i="4"/>
  <c r="G8055" i="4"/>
  <c r="G8047" i="4"/>
  <c r="G8039" i="4"/>
  <c r="G8031" i="4"/>
  <c r="G8023" i="4"/>
  <c r="G8015" i="4"/>
  <c r="G8007" i="4"/>
  <c r="G7999" i="4"/>
  <c r="G7991" i="4"/>
  <c r="G7975" i="4"/>
  <c r="G7967" i="4"/>
  <c r="G7951" i="4"/>
  <c r="G7935" i="4"/>
  <c r="G7911" i="4"/>
  <c r="G7903" i="4"/>
  <c r="G7887" i="4"/>
  <c r="G7879" i="4"/>
  <c r="G7871" i="4"/>
  <c r="G7839" i="4"/>
  <c r="G7823" i="4"/>
  <c r="G7807" i="4"/>
  <c r="G7791" i="4"/>
  <c r="G7751" i="4"/>
  <c r="G7735" i="4"/>
  <c r="G7727" i="4"/>
  <c r="G7719" i="4"/>
  <c r="G7711" i="4"/>
  <c r="G7695" i="4"/>
  <c r="G7687" i="4"/>
  <c r="G7679" i="4"/>
  <c r="G7655" i="4"/>
  <c r="G8275" i="4"/>
  <c r="G8251" i="4"/>
  <c r="G8243" i="4"/>
  <c r="G8235" i="4"/>
  <c r="G8227" i="4"/>
  <c r="G8219" i="4"/>
  <c r="G8211" i="4"/>
  <c r="G8203" i="4"/>
  <c r="G8195" i="4"/>
  <c r="G8187" i="4"/>
  <c r="G8179" i="4"/>
  <c r="G8171" i="4"/>
  <c r="G8163" i="4"/>
  <c r="G8155" i="4"/>
  <c r="G8147" i="4"/>
  <c r="G8139" i="4"/>
  <c r="G8131" i="4"/>
  <c r="G8123" i="4"/>
  <c r="G8115" i="4"/>
  <c r="G8107" i="4"/>
  <c r="G8099" i="4"/>
  <c r="G8091" i="4"/>
  <c r="G8083" i="4"/>
  <c r="G8075" i="4"/>
  <c r="G8067" i="4"/>
  <c r="G8059" i="4"/>
  <c r="G8051" i="4"/>
  <c r="G8043" i="4"/>
  <c r="G8035" i="4"/>
  <c r="G8027" i="4"/>
  <c r="G8019" i="4"/>
  <c r="G8011" i="4"/>
  <c r="G8003" i="4"/>
  <c r="G7995" i="4"/>
  <c r="G7987" i="4"/>
  <c r="G7979" i="4"/>
  <c r="G7947" i="4"/>
  <c r="G7939" i="4"/>
  <c r="G7923" i="4"/>
  <c r="G7915" i="4"/>
  <c r="G7891" i="4"/>
  <c r="G7875" i="4"/>
  <c r="G7859" i="4"/>
  <c r="G7851" i="4"/>
  <c r="G7827" i="4"/>
  <c r="G7819" i="4"/>
  <c r="G7811" i="4"/>
  <c r="G7795" i="4"/>
  <c r="G7771" i="4"/>
  <c r="G7763" i="4"/>
  <c r="G7755" i="4"/>
  <c r="G7723" i="4"/>
  <c r="G7715" i="4"/>
  <c r="G7699" i="4"/>
  <c r="G7691" i="4"/>
  <c r="G7683" i="4"/>
  <c r="G7651" i="4"/>
  <c r="F7622" i="4"/>
  <c r="F7620" i="4"/>
  <c r="F7612" i="4"/>
  <c r="G7612" i="4" s="1"/>
  <c r="F7611" i="4"/>
  <c r="G7611" i="4" s="1"/>
  <c r="F7615" i="4"/>
  <c r="F7616" i="4"/>
  <c r="F7601" i="4"/>
  <c r="F7604" i="4"/>
  <c r="G7604" i="4" s="1"/>
  <c r="F7597" i="4"/>
  <c r="F7594" i="4"/>
  <c r="G7594" i="4" s="1"/>
  <c r="F7592" i="4"/>
  <c r="F7591" i="4"/>
  <c r="G7591" i="4" s="1"/>
  <c r="F7584" i="4"/>
  <c r="F7589" i="4"/>
  <c r="F7590" i="4"/>
  <c r="G7590" i="4" s="1"/>
  <c r="F7587" i="4"/>
  <c r="G7587" i="4" s="1"/>
  <c r="E7585" i="4"/>
  <c r="C117" i="6" s="1"/>
  <c r="F7588" i="4"/>
  <c r="F7577" i="4"/>
  <c r="G7577" i="4" s="1"/>
  <c r="F7580" i="4"/>
  <c r="G7580" i="4" s="1"/>
  <c r="F7579" i="4"/>
  <c r="F7573" i="4"/>
  <c r="G7573" i="4" s="1"/>
  <c r="F7574" i="4"/>
  <c r="F7571" i="4"/>
  <c r="G7571" i="4" s="1"/>
  <c r="F7566" i="4"/>
  <c r="F7569" i="4"/>
  <c r="F7564" i="4"/>
  <c r="F7557" i="4"/>
  <c r="G7557" i="4" s="1"/>
  <c r="F7560" i="4"/>
  <c r="G7560" i="4" s="1"/>
  <c r="F7554" i="4"/>
  <c r="F7552" i="4"/>
  <c r="F7551" i="4"/>
  <c r="G7551" i="4" s="1"/>
  <c r="F7549" i="4"/>
  <c r="G7549" i="4" s="1"/>
  <c r="F7540" i="4"/>
  <c r="F7547" i="4"/>
  <c r="F7541" i="4"/>
  <c r="G7541" i="4" s="1"/>
  <c r="E7542" i="4"/>
  <c r="F7545" i="4"/>
  <c r="F7544" i="4"/>
  <c r="G7544" i="4" s="1"/>
  <c r="F7537" i="4"/>
  <c r="G7537" i="4" s="1"/>
  <c r="F7529" i="4"/>
  <c r="E7533" i="4"/>
  <c r="F7538" i="4"/>
  <c r="F7530" i="4"/>
  <c r="G7530" i="4" s="1"/>
  <c r="F7535" i="4"/>
  <c r="G7535" i="4" s="1"/>
  <c r="F7536" i="4"/>
  <c r="F7534" i="4"/>
  <c r="F7531" i="4"/>
  <c r="G7531" i="4" s="1"/>
  <c r="F7532" i="4"/>
  <c r="F7525" i="4"/>
  <c r="F7522" i="4"/>
  <c r="G7522" i="4" s="1"/>
  <c r="F7519" i="4"/>
  <c r="G7519" i="4" s="1"/>
  <c r="F7518" i="4"/>
  <c r="F7517" i="4"/>
  <c r="G7517" i="4" s="1"/>
  <c r="F7515" i="4"/>
  <c r="F7514" i="4"/>
  <c r="G7514" i="4" s="1"/>
  <c r="F7511" i="4"/>
  <c r="F7509" i="4"/>
  <c r="F7508" i="4"/>
  <c r="F7505" i="4"/>
  <c r="G7505" i="4" s="1"/>
  <c r="F7501" i="4"/>
  <c r="E7500" i="4"/>
  <c r="E7498" i="4"/>
  <c r="E7497" i="4"/>
  <c r="F7491" i="4"/>
  <c r="F7483" i="4"/>
  <c r="G7483" i="4" s="1"/>
  <c r="F7489" i="4"/>
  <c r="F7490" i="4"/>
  <c r="G7490" i="4" s="1"/>
  <c r="F7482" i="4"/>
  <c r="F7488" i="4"/>
  <c r="E7492" i="4"/>
  <c r="F7479" i="4"/>
  <c r="G7479" i="4" s="1"/>
  <c r="F7478" i="4"/>
  <c r="F7477" i="4"/>
  <c r="F7476" i="4"/>
  <c r="F7475" i="4"/>
  <c r="G7475" i="4" s="1"/>
  <c r="F7474" i="4"/>
  <c r="G7474" i="4" s="1"/>
  <c r="F7473" i="4"/>
  <c r="G7473" i="4" s="1"/>
  <c r="F7471" i="4"/>
  <c r="F7472" i="4"/>
  <c r="G7472" i="4" s="1"/>
  <c r="E7468" i="4"/>
  <c r="F7464" i="4"/>
  <c r="F7457" i="4"/>
  <c r="F7456" i="4"/>
  <c r="G7456" i="4" s="1"/>
  <c r="E7459" i="4"/>
  <c r="F7451" i="4"/>
  <c r="F7449" i="4"/>
  <c r="G7449" i="4" s="1"/>
  <c r="F7445" i="4"/>
  <c r="G7445" i="4" s="1"/>
  <c r="F7442" i="4"/>
  <c r="G7442" i="4" s="1"/>
  <c r="F7447" i="4"/>
  <c r="F7446" i="4"/>
  <c r="F7438" i="4"/>
  <c r="G7438" i="4" s="1"/>
  <c r="F7436" i="4"/>
  <c r="F7433" i="4"/>
  <c r="F7431" i="4"/>
  <c r="F7426" i="4"/>
  <c r="G7426" i="4" s="1"/>
  <c r="E7429" i="4"/>
  <c r="F7425" i="4"/>
  <c r="G7425" i="4" s="1"/>
  <c r="F7424" i="4"/>
  <c r="F7423" i="4"/>
  <c r="G7423" i="4" s="1"/>
  <c r="F7421" i="4"/>
  <c r="G7421" i="4" s="1"/>
  <c r="F7411" i="4"/>
  <c r="G7411" i="4" s="1"/>
  <c r="F7412" i="4"/>
  <c r="F7402" i="4"/>
  <c r="G7402" i="4" s="1"/>
  <c r="C115" i="6"/>
  <c r="F7400" i="4"/>
  <c r="G7400" i="4" s="1"/>
  <c r="F7397" i="4"/>
  <c r="F7392" i="4"/>
  <c r="G7392" i="4" s="1"/>
  <c r="F7396" i="4"/>
  <c r="G7396" i="4" s="1"/>
  <c r="F7389" i="4"/>
  <c r="G7389" i="4" s="1"/>
  <c r="F7390" i="4"/>
  <c r="F7387" i="4"/>
  <c r="G7387" i="4" s="1"/>
  <c r="F7382" i="4"/>
  <c r="G7382" i="4" s="1"/>
  <c r="E7380" i="4"/>
  <c r="F7324" i="4"/>
  <c r="G7324" i="4" s="1"/>
  <c r="F7376" i="4"/>
  <c r="G7376" i="4" s="1"/>
  <c r="F7373" i="4"/>
  <c r="F7374" i="4"/>
  <c r="G7374" i="4" s="1"/>
  <c r="F7368" i="4"/>
  <c r="G7368" i="4" s="1"/>
  <c r="F7372" i="4"/>
  <c r="F7365" i="4"/>
  <c r="G7365" i="4" s="1"/>
  <c r="F7366" i="4"/>
  <c r="G7366" i="4" s="1"/>
  <c r="F7364" i="4"/>
  <c r="G7364" i="4" s="1"/>
  <c r="F7315" i="4"/>
  <c r="F7360" i="4"/>
  <c r="G7360" i="4" s="1"/>
  <c r="F7331" i="4"/>
  <c r="G7331" i="4" s="1"/>
  <c r="F7358" i="4"/>
  <c r="G7358" i="4" s="1"/>
  <c r="F7357" i="4"/>
  <c r="G7357" i="4" s="1"/>
  <c r="F7353" i="4"/>
  <c r="G7353" i="4" s="1"/>
  <c r="F7354" i="4"/>
  <c r="G7354" i="4" s="1"/>
  <c r="E7352" i="4"/>
  <c r="G7352" i="4" s="1"/>
  <c r="F7351" i="4"/>
  <c r="F7346" i="4"/>
  <c r="G7346" i="4" s="1"/>
  <c r="F7345" i="4"/>
  <c r="G7345" i="4" s="1"/>
  <c r="F7343" i="4"/>
  <c r="G7343" i="4" s="1"/>
  <c r="F7342" i="4"/>
  <c r="G7342" i="4" s="1"/>
  <c r="F7339" i="4"/>
  <c r="G7339" i="4" s="1"/>
  <c r="F7338" i="4"/>
  <c r="G7338" i="4" s="1"/>
  <c r="F7334" i="4"/>
  <c r="G7334" i="4" s="1"/>
  <c r="F7333" i="4"/>
  <c r="G7333" i="4" s="1"/>
  <c r="F7332" i="4"/>
  <c r="G7332" i="4" s="1"/>
  <c r="F7327" i="4"/>
  <c r="G7327" i="4" s="1"/>
  <c r="F7326" i="4"/>
  <c r="G7326" i="4" s="1"/>
  <c r="F7321" i="4"/>
  <c r="F7314" i="4"/>
  <c r="G7314" i="4" s="1"/>
  <c r="F7313" i="4"/>
  <c r="G7313" i="4" s="1"/>
  <c r="F7309" i="4"/>
  <c r="G7309" i="4" s="1"/>
  <c r="F7308" i="4"/>
  <c r="G7308" i="4" s="1"/>
  <c r="F7304" i="4"/>
  <c r="G7304" i="4" s="1"/>
  <c r="F7302" i="4"/>
  <c r="G7302" i="4" s="1"/>
  <c r="F7301" i="4"/>
  <c r="G7301" i="4" s="1"/>
  <c r="C93" i="6"/>
  <c r="F7297" i="4"/>
  <c r="G7297" i="4" s="1"/>
  <c r="F7295" i="4"/>
  <c r="G7295" i="4" s="1"/>
  <c r="C91" i="6"/>
  <c r="C83" i="6"/>
  <c r="C86" i="6"/>
  <c r="C92" i="6"/>
  <c r="C110" i="6"/>
  <c r="C104" i="6"/>
  <c r="C103" i="6"/>
  <c r="C102" i="6"/>
  <c r="C96" i="6"/>
  <c r="C90" i="6"/>
  <c r="C108" i="6"/>
  <c r="C106" i="6"/>
  <c r="C101" i="6"/>
  <c r="C100" i="6"/>
  <c r="C98" i="6"/>
  <c r="C82" i="6"/>
  <c r="C87" i="6"/>
  <c r="C89" i="6"/>
  <c r="C97" i="6"/>
  <c r="C94" i="6"/>
  <c r="F7292" i="4"/>
  <c r="G7292" i="4" s="1"/>
  <c r="F7289" i="4"/>
  <c r="G7289" i="4" s="1"/>
  <c r="F7286" i="4"/>
  <c r="G7286" i="4" s="1"/>
  <c r="F7285" i="4"/>
  <c r="G7285" i="4" s="1"/>
  <c r="F7284" i="4"/>
  <c r="G7284" i="4" s="1"/>
  <c r="F7283" i="4"/>
  <c r="G7283" i="4" s="1"/>
  <c r="F7282" i="4"/>
  <c r="G7282" i="4" s="1"/>
  <c r="F7279" i="4"/>
  <c r="G7279" i="4" s="1"/>
  <c r="F7277" i="4"/>
  <c r="G7277" i="4" s="1"/>
  <c r="F7276" i="4"/>
  <c r="G7276" i="4" s="1"/>
  <c r="F7163" i="4"/>
  <c r="G7163" i="4" s="1"/>
  <c r="F7273" i="4"/>
  <c r="G7273" i="4" s="1"/>
  <c r="F7274" i="4"/>
  <c r="G7274" i="4" s="1"/>
  <c r="F7271" i="4"/>
  <c r="G7271" i="4" s="1"/>
  <c r="F7269" i="4"/>
  <c r="G7269" i="4" s="1"/>
  <c r="F7267" i="4"/>
  <c r="G7267" i="4" s="1"/>
  <c r="F7266" i="4"/>
  <c r="G7266" i="4" s="1"/>
  <c r="F7186" i="4"/>
  <c r="G7186" i="4" s="1"/>
  <c r="F7262" i="4"/>
  <c r="G7262" i="4" s="1"/>
  <c r="F7255" i="4"/>
  <c r="G7255" i="4" s="1"/>
  <c r="F7261" i="4"/>
  <c r="G7261" i="4" s="1"/>
  <c r="F7259" i="4"/>
  <c r="G7259" i="4" s="1"/>
  <c r="F7258" i="4"/>
  <c r="G7258" i="4" s="1"/>
  <c r="F7256" i="4"/>
  <c r="G7256" i="4" s="1"/>
  <c r="F7136" i="4"/>
  <c r="G7136" i="4" s="1"/>
  <c r="F7248" i="4"/>
  <c r="G7248" i="4" s="1"/>
  <c r="F7252" i="4"/>
  <c r="G7252" i="4" s="1"/>
  <c r="F7249" i="4"/>
  <c r="G7249" i="4" s="1"/>
  <c r="F7245" i="4"/>
  <c r="G7245" i="4" s="1"/>
  <c r="F7242" i="4"/>
  <c r="G7242" i="4" s="1"/>
  <c r="F7243" i="4"/>
  <c r="G7243" i="4" s="1"/>
  <c r="F7240" i="4"/>
  <c r="G7240" i="4" s="1"/>
  <c r="F7244" i="4"/>
  <c r="G7244" i="4" s="1"/>
  <c r="F7211" i="4"/>
  <c r="G7211" i="4" s="1"/>
  <c r="F7199" i="4"/>
  <c r="G7199" i="4" s="1"/>
  <c r="F7023" i="4"/>
  <c r="G7023" i="4" s="1"/>
  <c r="F6828" i="4"/>
  <c r="G6828" i="4" s="1"/>
  <c r="F7238" i="4"/>
  <c r="G7238" i="4" s="1"/>
  <c r="F7236" i="4"/>
  <c r="G7236" i="4" s="1"/>
  <c r="F7235" i="4"/>
  <c r="G7235" i="4" s="1"/>
  <c r="F7234" i="4"/>
  <c r="G7234" i="4" s="1"/>
  <c r="F7233" i="4"/>
  <c r="G7233" i="4" s="1"/>
  <c r="F7229" i="4"/>
  <c r="G7229" i="4" s="1"/>
  <c r="F7228" i="4"/>
  <c r="G7228" i="4" s="1"/>
  <c r="F7227" i="4"/>
  <c r="G7227" i="4" s="1"/>
  <c r="F7223" i="4"/>
  <c r="G7223" i="4" s="1"/>
  <c r="E7221" i="4"/>
  <c r="C113" i="6" s="1"/>
  <c r="F7220" i="4"/>
  <c r="G7220" i="4" s="1"/>
  <c r="F7214" i="4"/>
  <c r="G7214" i="4" s="1"/>
  <c r="F7207" i="4"/>
  <c r="G7207" i="4" s="1"/>
  <c r="F7210" i="4"/>
  <c r="G7210" i="4" s="1"/>
  <c r="F7209" i="4"/>
  <c r="G7209" i="4" s="1"/>
  <c r="F7206" i="4"/>
  <c r="G7206" i="4" s="1"/>
  <c r="F7195" i="4"/>
  <c r="G7195" i="4" s="1"/>
  <c r="F7200" i="4"/>
  <c r="G7200" i="4" s="1"/>
  <c r="F7198" i="4"/>
  <c r="G7198" i="4" s="1"/>
  <c r="F7204" i="4"/>
  <c r="G7204" i="4" s="1"/>
  <c r="F7202" i="4"/>
  <c r="G7202" i="4" s="1"/>
  <c r="F7193" i="4"/>
  <c r="G7193" i="4" s="1"/>
  <c r="F7177" i="4"/>
  <c r="G7177" i="4" s="1"/>
  <c r="F7191" i="4"/>
  <c r="G7191" i="4" s="1"/>
  <c r="F7183" i="4"/>
  <c r="G7183" i="4" s="1"/>
  <c r="E7185" i="4"/>
  <c r="C112" i="6" s="1"/>
  <c r="F7184" i="4"/>
  <c r="G7184" i="4" s="1"/>
  <c r="F7181" i="4"/>
  <c r="G7181" i="4" s="1"/>
  <c r="F7188" i="4"/>
  <c r="G7188" i="4" s="1"/>
  <c r="F7180" i="4"/>
  <c r="G7180" i="4" s="1"/>
  <c r="F7173" i="4"/>
  <c r="G7173" i="4" s="1"/>
  <c r="F7174" i="4"/>
  <c r="G7174" i="4" s="1"/>
  <c r="F7172" i="4"/>
  <c r="G7172" i="4" s="1"/>
  <c r="F7171" i="4"/>
  <c r="G7171" i="4" s="1"/>
  <c r="F7169" i="4"/>
  <c r="G7169" i="4" s="1"/>
  <c r="F7166" i="4"/>
  <c r="G7166" i="4" s="1"/>
  <c r="F7160" i="4"/>
  <c r="G7160" i="4" s="1"/>
  <c r="F7159" i="4"/>
  <c r="G7159" i="4" s="1"/>
  <c r="F7158" i="4"/>
  <c r="G7158" i="4" s="1"/>
  <c r="F7155" i="4"/>
  <c r="G7155" i="4" s="1"/>
  <c r="F7156" i="4"/>
  <c r="G7156" i="4" s="1"/>
  <c r="F7153" i="4"/>
  <c r="G7153" i="4" s="1"/>
  <c r="F7151" i="4"/>
  <c r="G7151" i="4" s="1"/>
  <c r="F7150" i="4"/>
  <c r="G7150" i="4" s="1"/>
  <c r="F7147" i="4"/>
  <c r="G7147" i="4" s="1"/>
  <c r="F7140" i="4"/>
  <c r="G7140" i="4" s="1"/>
  <c r="F7137" i="4"/>
  <c r="G7137" i="4" s="1"/>
  <c r="F7135" i="4"/>
  <c r="G7135" i="4" s="1"/>
  <c r="F7130" i="4"/>
  <c r="G7130" i="4" s="1"/>
  <c r="F7127" i="4"/>
  <c r="G7127" i="4" s="1"/>
  <c r="F7126" i="4"/>
  <c r="G7126" i="4" s="1"/>
  <c r="F7122" i="4"/>
  <c r="G7122" i="4" s="1"/>
  <c r="F7121" i="4"/>
  <c r="G7121" i="4" s="1"/>
  <c r="F7120" i="4"/>
  <c r="G7120" i="4" s="1"/>
  <c r="F7118" i="4"/>
  <c r="G7118" i="4" s="1"/>
  <c r="F7117" i="4"/>
  <c r="G7117" i="4" s="1"/>
  <c r="F7115" i="4"/>
  <c r="G7115" i="4" s="1"/>
  <c r="F7112" i="4"/>
  <c r="G7112" i="4" s="1"/>
  <c r="F7109" i="4"/>
  <c r="G7109" i="4" s="1"/>
  <c r="F7108" i="4"/>
  <c r="G7108" i="4" s="1"/>
  <c r="F7106" i="4"/>
  <c r="G7106" i="4" s="1"/>
  <c r="F7104" i="4"/>
  <c r="G7104" i="4" s="1"/>
  <c r="F7101" i="4"/>
  <c r="G7101" i="4" s="1"/>
  <c r="F7099" i="4"/>
  <c r="G7099" i="4" s="1"/>
  <c r="F7097" i="4"/>
  <c r="G7097" i="4" s="1"/>
  <c r="E7096" i="4"/>
  <c r="G7096" i="4" s="1"/>
  <c r="F7094" i="4"/>
  <c r="G7094" i="4" s="1"/>
  <c r="F7091" i="4"/>
  <c r="G7091" i="4" s="1"/>
  <c r="F7090" i="4"/>
  <c r="G7090" i="4" s="1"/>
  <c r="F7087" i="4"/>
  <c r="G7087" i="4" s="1"/>
  <c r="F7086" i="4"/>
  <c r="G7086" i="4" s="1"/>
  <c r="F7084" i="4"/>
  <c r="G7084" i="4" s="1"/>
  <c r="F7083" i="4"/>
  <c r="G7083" i="4" s="1"/>
  <c r="F7081" i="4"/>
  <c r="G7081" i="4" s="1"/>
  <c r="F7080" i="4"/>
  <c r="G7080" i="4" s="1"/>
  <c r="F7067" i="4"/>
  <c r="G7067" i="4" s="1"/>
  <c r="F7078" i="4"/>
  <c r="G7078" i="4" s="1"/>
  <c r="F7075" i="4"/>
  <c r="G7075" i="4" s="1"/>
  <c r="F7076" i="4"/>
  <c r="G7076" i="4" s="1"/>
  <c r="F7073" i="4"/>
  <c r="G7073" i="4" s="1"/>
  <c r="F7061" i="4"/>
  <c r="G7061" i="4" s="1"/>
  <c r="F7059" i="4"/>
  <c r="G7059" i="4" s="1"/>
  <c r="F7066" i="4"/>
  <c r="G7066" i="4" s="1"/>
  <c r="F7064" i="4"/>
  <c r="G7064" i="4" s="1"/>
  <c r="F7055" i="4"/>
  <c r="G7055" i="4" s="1"/>
  <c r="F7056" i="4"/>
  <c r="G7056" i="4" s="1"/>
  <c r="F7054" i="4"/>
  <c r="E7054" i="4"/>
  <c r="F6926" i="4"/>
  <c r="G6926" i="4" s="1"/>
  <c r="F7034" i="4"/>
  <c r="G7034" i="4" s="1"/>
  <c r="F7043" i="4"/>
  <c r="G7043" i="4" s="1"/>
  <c r="F7038" i="4"/>
  <c r="G7038" i="4" s="1"/>
  <c r="F7041" i="4"/>
  <c r="G7041" i="4" s="1"/>
  <c r="F7039" i="4"/>
  <c r="G7039" i="4" s="1"/>
  <c r="E7048" i="4"/>
  <c r="G7048" i="4" s="1"/>
  <c r="F7037" i="4"/>
  <c r="G7037" i="4" s="1"/>
  <c r="E7033" i="4"/>
  <c r="G7033" i="4" s="1"/>
  <c r="F7020" i="4"/>
  <c r="G7020" i="4" s="1"/>
  <c r="F7021" i="4"/>
  <c r="G7021" i="4" s="1"/>
  <c r="F7013" i="4"/>
  <c r="G7013" i="4" s="1"/>
  <c r="F7026" i="4"/>
  <c r="G7026" i="4" s="1"/>
  <c r="F7027" i="4"/>
  <c r="G7027" i="4" s="1"/>
  <c r="F7011" i="4"/>
  <c r="G7011" i="4" s="1"/>
  <c r="F7032" i="4"/>
  <c r="G7032" i="4" s="1"/>
  <c r="F7014" i="4"/>
  <c r="G7014" i="4" s="1"/>
  <c r="F7009" i="4"/>
  <c r="G7009" i="4" s="1"/>
  <c r="F6946" i="4"/>
  <c r="G6946" i="4" s="1"/>
  <c r="F7010" i="4"/>
  <c r="G7010" i="4" s="1"/>
  <c r="F7005" i="4"/>
  <c r="G7005" i="4" s="1"/>
  <c r="F6998" i="4"/>
  <c r="G6998" i="4" s="1"/>
  <c r="F7003" i="4"/>
  <c r="G7003" i="4" s="1"/>
  <c r="F6995" i="4"/>
  <c r="G6995" i="4" s="1"/>
  <c r="F7004" i="4"/>
  <c r="G7004" i="4" s="1"/>
  <c r="F6996" i="4"/>
  <c r="G6996" i="4" s="1"/>
  <c r="F7002" i="4"/>
  <c r="G7002" i="4" s="1"/>
  <c r="F6994" i="4"/>
  <c r="G6994" i="4" s="1"/>
  <c r="F6999" i="4"/>
  <c r="G6999" i="4" s="1"/>
  <c r="F7000" i="4"/>
  <c r="G7000" i="4" s="1"/>
  <c r="F6985" i="4"/>
  <c r="G6985" i="4" s="1"/>
  <c r="F6983" i="4"/>
  <c r="G6983" i="4" s="1"/>
  <c r="F6980" i="4"/>
  <c r="G6980" i="4" s="1"/>
  <c r="F6986" i="4"/>
  <c r="G6986" i="4" s="1"/>
  <c r="F6978" i="4"/>
  <c r="G6978" i="4" s="1"/>
  <c r="F6961" i="4"/>
  <c r="G6961" i="4" s="1"/>
  <c r="F6976" i="4"/>
  <c r="G6976" i="4" s="1"/>
  <c r="F6960" i="4"/>
  <c r="G6960" i="4" s="1"/>
  <c r="F6975" i="4"/>
  <c r="G6975" i="4" s="1"/>
  <c r="F6965" i="4"/>
  <c r="G6965" i="4" s="1"/>
  <c r="F6957" i="4"/>
  <c r="G6957" i="4" s="1"/>
  <c r="F6972" i="4"/>
  <c r="G6972" i="4" s="1"/>
  <c r="F6964" i="4"/>
  <c r="G6964" i="4" s="1"/>
  <c r="F6963" i="4"/>
  <c r="G6963" i="4" s="1"/>
  <c r="F6955" i="4"/>
  <c r="G6955" i="4" s="1"/>
  <c r="F6900" i="4"/>
  <c r="G6900" i="4" s="1"/>
  <c r="F6872" i="4"/>
  <c r="G6872" i="4" s="1"/>
  <c r="F6740" i="4"/>
  <c r="G6740" i="4" s="1"/>
  <c r="F6847" i="4"/>
  <c r="G6847" i="4" s="1"/>
  <c r="E6947" i="4"/>
  <c r="G6947" i="4" s="1"/>
  <c r="F6948" i="4"/>
  <c r="G6948" i="4" s="1"/>
  <c r="F6945" i="4"/>
  <c r="G6945" i="4" s="1"/>
  <c r="F6942" i="4"/>
  <c r="G6942" i="4" s="1"/>
  <c r="F6941" i="4"/>
  <c r="G6941" i="4" s="1"/>
  <c r="F6940" i="4"/>
  <c r="G6940" i="4" s="1"/>
  <c r="F6939" i="4"/>
  <c r="G6939" i="4" s="1"/>
  <c r="F6937" i="4"/>
  <c r="G6937" i="4" s="1"/>
  <c r="F6934" i="4"/>
  <c r="G6934" i="4" s="1"/>
  <c r="F6930" i="4"/>
  <c r="G6930" i="4" s="1"/>
  <c r="F6923" i="4"/>
  <c r="G6923" i="4" s="1"/>
  <c r="F6932" i="4"/>
  <c r="G6932" i="4" s="1"/>
  <c r="F6921" i="4"/>
  <c r="G6921" i="4" s="1"/>
  <c r="F6920" i="4"/>
  <c r="G6920" i="4" s="1"/>
  <c r="F6918" i="4"/>
  <c r="G6918" i="4" s="1"/>
  <c r="F6916" i="4"/>
  <c r="G6916" i="4" s="1"/>
  <c r="F6908" i="4"/>
  <c r="G6908" i="4" s="1"/>
  <c r="F6911" i="4"/>
  <c r="G6911" i="4" s="1"/>
  <c r="F6891" i="4"/>
  <c r="G6891" i="4" s="1"/>
  <c r="F6907" i="4"/>
  <c r="G6907" i="4" s="1"/>
  <c r="F6906" i="4"/>
  <c r="G6906" i="4" s="1"/>
  <c r="F6897" i="4"/>
  <c r="G6897" i="4" s="1"/>
  <c r="F6903" i="4"/>
  <c r="G6903" i="4" s="1"/>
  <c r="F6901" i="4"/>
  <c r="G6901" i="4" s="1"/>
  <c r="F6894" i="4"/>
  <c r="G6894" i="4" s="1"/>
  <c r="F6856" i="4"/>
  <c r="G6856" i="4" s="1"/>
  <c r="F6858" i="4"/>
  <c r="G6858" i="4" s="1"/>
  <c r="F6888" i="4"/>
  <c r="G6888" i="4" s="1"/>
  <c r="F6886" i="4"/>
  <c r="G6886" i="4" s="1"/>
  <c r="F6887" i="4"/>
  <c r="G6887" i="4" s="1"/>
  <c r="F6883" i="4"/>
  <c r="G6883" i="4" s="1"/>
  <c r="F6876" i="4"/>
  <c r="G6876" i="4" s="1"/>
  <c r="F6875" i="4"/>
  <c r="G6875" i="4" s="1"/>
  <c r="F6882" i="4"/>
  <c r="G6882" i="4" s="1"/>
  <c r="G7260" i="4"/>
  <c r="F6881" i="4"/>
  <c r="G6881" i="4" s="1"/>
  <c r="F6871" i="4"/>
  <c r="G6871" i="4" s="1"/>
  <c r="G7280" i="4"/>
  <c r="F6870" i="4"/>
  <c r="G6870" i="4" s="1"/>
  <c r="F6867" i="4"/>
  <c r="G6867" i="4" s="1"/>
  <c r="F6857" i="4"/>
  <c r="G6857" i="4" s="1"/>
  <c r="F6853" i="4"/>
  <c r="G6853" i="4" s="1"/>
  <c r="F6862" i="4"/>
  <c r="G6862" i="4" s="1"/>
  <c r="F6849" i="4"/>
  <c r="G6849" i="4" s="1"/>
  <c r="F6844" i="4"/>
  <c r="G6844" i="4" s="1"/>
  <c r="F6843" i="4"/>
  <c r="G6843" i="4" s="1"/>
  <c r="F6841" i="4"/>
  <c r="G6841" i="4" s="1"/>
  <c r="F6840" i="4"/>
  <c r="G6840" i="4" s="1"/>
  <c r="F6837" i="4"/>
  <c r="G6837" i="4" s="1"/>
  <c r="F6823" i="4"/>
  <c r="G6823" i="4" s="1"/>
  <c r="F6834" i="4"/>
  <c r="G6834" i="4" s="1"/>
  <c r="F6826" i="4"/>
  <c r="G6826" i="4" s="1"/>
  <c r="F6833" i="4"/>
  <c r="G6833" i="4" s="1"/>
  <c r="F6832" i="4"/>
  <c r="G6832" i="4" s="1"/>
  <c r="F6821" i="4"/>
  <c r="G6821" i="4" s="1"/>
  <c r="F6817" i="4"/>
  <c r="G6817" i="4" s="1"/>
  <c r="F6809" i="4"/>
  <c r="G6809" i="4" s="1"/>
  <c r="F6818" i="4"/>
  <c r="G6818" i="4" s="1"/>
  <c r="F6810" i="4"/>
  <c r="G6810" i="4" s="1"/>
  <c r="F6815" i="4"/>
  <c r="G6815" i="4" s="1"/>
  <c r="F6807" i="4"/>
  <c r="G6807" i="4" s="1"/>
  <c r="F6816" i="4"/>
  <c r="G6816" i="4" s="1"/>
  <c r="F6808" i="4"/>
  <c r="G6808" i="4" s="1"/>
  <c r="F6649" i="4"/>
  <c r="G6649" i="4" s="1"/>
  <c r="F6618" i="4"/>
  <c r="G6618" i="4" s="1"/>
  <c r="F6800" i="4"/>
  <c r="G6800" i="4" s="1"/>
  <c r="F6805" i="4"/>
  <c r="G6805" i="4" s="1"/>
  <c r="F6803" i="4"/>
  <c r="G6803" i="4" s="1"/>
  <c r="F6804" i="4"/>
  <c r="G6804" i="4" s="1"/>
  <c r="F6801" i="4"/>
  <c r="G6801" i="4" s="1"/>
  <c r="F6799" i="4"/>
  <c r="G6799" i="4" s="1"/>
  <c r="F6796" i="4"/>
  <c r="G6796" i="4" s="1"/>
  <c r="F6797" i="4"/>
  <c r="G6797" i="4" s="1"/>
  <c r="F6798" i="4"/>
  <c r="G6798" i="4" s="1"/>
  <c r="F6795" i="4"/>
  <c r="G6795" i="4" s="1"/>
  <c r="F6794" i="4"/>
  <c r="G6794" i="4" s="1"/>
  <c r="F6777" i="4"/>
  <c r="G6777" i="4" s="1"/>
  <c r="F6786" i="4"/>
  <c r="G6786" i="4" s="1"/>
  <c r="F6778" i="4"/>
  <c r="G6778" i="4" s="1"/>
  <c r="F6791" i="4"/>
  <c r="G6791" i="4" s="1"/>
  <c r="F6783" i="4"/>
  <c r="G6783" i="4" s="1"/>
  <c r="F6781" i="4"/>
  <c r="G6781" i="4" s="1"/>
  <c r="F6790" i="4"/>
  <c r="G6790" i="4" s="1"/>
  <c r="F6787" i="4"/>
  <c r="G6787" i="4" s="1"/>
  <c r="F6788" i="4"/>
  <c r="G6788" i="4" s="1"/>
  <c r="F6775" i="4"/>
  <c r="G6775" i="4" s="1"/>
  <c r="F6773" i="4"/>
  <c r="G6773" i="4" s="1"/>
  <c r="F6776" i="4"/>
  <c r="G6776" i="4" s="1"/>
  <c r="F6737" i="4"/>
  <c r="G6737" i="4" s="1"/>
  <c r="F6763" i="4"/>
  <c r="G6763" i="4" s="1"/>
  <c r="F6750" i="4"/>
  <c r="G6750" i="4" s="1"/>
  <c r="F6742" i="4"/>
  <c r="G6742" i="4" s="1"/>
  <c r="F6769" i="4"/>
  <c r="G6769" i="4" s="1"/>
  <c r="F6753" i="4"/>
  <c r="G6753" i="4" s="1"/>
  <c r="F6772" i="4"/>
  <c r="G6772" i="4" s="1"/>
  <c r="F6764" i="4"/>
  <c r="G6764" i="4" s="1"/>
  <c r="F6748" i="4"/>
  <c r="G6748" i="4" s="1"/>
  <c r="F6732" i="4"/>
  <c r="G6732" i="4" s="1"/>
  <c r="F6754" i="4"/>
  <c r="G6754" i="4" s="1"/>
  <c r="F6746" i="4"/>
  <c r="G6746" i="4" s="1"/>
  <c r="F6730" i="4"/>
  <c r="G6730" i="4" s="1"/>
  <c r="E6756" i="4"/>
  <c r="G6756" i="4" s="1"/>
  <c r="F6765" i="4"/>
  <c r="G6765" i="4" s="1"/>
  <c r="F6757" i="4"/>
  <c r="G6757" i="4" s="1"/>
  <c r="F6741" i="4"/>
  <c r="G6741" i="4" s="1"/>
  <c r="F6768" i="4"/>
  <c r="G6768" i="4" s="1"/>
  <c r="F6744" i="4"/>
  <c r="G6744" i="4" s="1"/>
  <c r="F6722" i="4"/>
  <c r="G6722" i="4" s="1"/>
  <c r="F6725" i="4"/>
  <c r="G6725" i="4" s="1"/>
  <c r="F6717" i="4"/>
  <c r="G6717" i="4" s="1"/>
  <c r="F6728" i="4"/>
  <c r="G6728" i="4" s="1"/>
  <c r="F6720" i="4"/>
  <c r="G6720" i="4" s="1"/>
  <c r="F6723" i="4"/>
  <c r="G6723" i="4" s="1"/>
  <c r="F6726" i="4"/>
  <c r="G6726" i="4" s="1"/>
  <c r="F6718" i="4"/>
  <c r="G6718" i="4" s="1"/>
  <c r="F6729" i="4"/>
  <c r="G6729" i="4" s="1"/>
  <c r="F6716" i="4"/>
  <c r="G6716" i="4" s="1"/>
  <c r="F6704" i="4"/>
  <c r="G6704" i="4" s="1"/>
  <c r="F6696" i="4"/>
  <c r="G6696" i="4" s="1"/>
  <c r="F6695" i="4"/>
  <c r="G6695" i="4" s="1"/>
  <c r="F6702" i="4"/>
  <c r="G6702" i="4" s="1"/>
  <c r="F6701" i="4"/>
  <c r="G6701" i="4" s="1"/>
  <c r="F6706" i="4"/>
  <c r="G6706" i="4" s="1"/>
  <c r="F6698" i="4"/>
  <c r="G6698" i="4" s="1"/>
  <c r="F6693" i="4"/>
  <c r="G6693" i="4" s="1"/>
  <c r="F6694" i="4"/>
  <c r="G6694" i="4" s="1"/>
  <c r="F6691" i="4"/>
  <c r="G6691" i="4" s="1"/>
  <c r="F6675" i="4"/>
  <c r="G6675" i="4" s="1"/>
  <c r="F6676" i="4"/>
  <c r="G6676" i="4" s="1"/>
  <c r="F6689" i="4"/>
  <c r="G6689" i="4" s="1"/>
  <c r="F6690" i="4"/>
  <c r="G6690" i="4" s="1"/>
  <c r="F6687" i="4"/>
  <c r="G6687" i="4" s="1"/>
  <c r="F6688" i="4"/>
  <c r="G6688" i="4" s="1"/>
  <c r="F6680" i="4"/>
  <c r="G6680" i="4" s="1"/>
  <c r="F6686" i="4"/>
  <c r="G6686" i="4" s="1"/>
  <c r="F6674" i="4"/>
  <c r="G6674" i="4" s="1"/>
  <c r="F6663" i="4"/>
  <c r="G6663" i="4" s="1"/>
  <c r="F6669" i="4"/>
  <c r="G6669" i="4" s="1"/>
  <c r="F6667" i="4"/>
  <c r="G6667" i="4" s="1"/>
  <c r="F6666" i="4"/>
  <c r="G6666" i="4" s="1"/>
  <c r="F6658" i="4"/>
  <c r="G6658" i="4" s="1"/>
  <c r="F6656" i="4"/>
  <c r="G6656" i="4" s="1"/>
  <c r="F6643" i="4"/>
  <c r="G6643" i="4" s="1"/>
  <c r="F6646" i="4"/>
  <c r="G6646" i="4" s="1"/>
  <c r="F6641" i="4"/>
  <c r="G6641" i="4" s="1"/>
  <c r="F6652" i="4"/>
  <c r="G6652" i="4" s="1"/>
  <c r="G4290" i="4"/>
  <c r="F6634" i="4"/>
  <c r="G6634" i="4" s="1"/>
  <c r="F6632" i="4"/>
  <c r="G6632" i="4" s="1"/>
  <c r="F6631" i="4"/>
  <c r="G6631" i="4" s="1"/>
  <c r="F6630" i="4"/>
  <c r="G6630" i="4" s="1"/>
  <c r="E6624" i="4"/>
  <c r="G6624" i="4" s="1"/>
  <c r="F6639" i="4"/>
  <c r="G6639" i="4" s="1"/>
  <c r="F6627" i="4"/>
  <c r="G6627" i="4" s="1"/>
  <c r="F6626" i="4"/>
  <c r="G6626" i="4" s="1"/>
  <c r="F6625" i="4"/>
  <c r="G6625" i="4" s="1"/>
  <c r="F6637" i="4"/>
  <c r="G6637" i="4" s="1"/>
  <c r="F6623" i="4"/>
  <c r="G6623" i="4" s="1"/>
  <c r="F6636" i="4"/>
  <c r="G6636" i="4" s="1"/>
  <c r="E6633" i="4"/>
  <c r="G6633" i="4" s="1"/>
  <c r="F6615" i="4"/>
  <c r="G6615" i="4" s="1"/>
  <c r="F6355" i="4"/>
  <c r="G6355" i="4" s="1"/>
  <c r="F6604" i="4"/>
  <c r="G6604" i="4" s="1"/>
  <c r="F6608" i="4"/>
  <c r="G6608" i="4" s="1"/>
  <c r="E6606" i="4"/>
  <c r="G6606" i="4" s="1"/>
  <c r="F6621" i="4"/>
  <c r="G6621" i="4" s="1"/>
  <c r="F6603" i="4"/>
  <c r="G6603" i="4" s="1"/>
  <c r="E6611" i="4"/>
  <c r="G6611" i="4" s="1"/>
  <c r="F6617" i="4"/>
  <c r="G6617" i="4" s="1"/>
  <c r="F6609" i="4"/>
  <c r="G6609" i="4" s="1"/>
  <c r="F6619" i="4"/>
  <c r="G6619" i="4" s="1"/>
  <c r="F6613" i="4"/>
  <c r="G6613" i="4" s="1"/>
  <c r="F6598" i="4"/>
  <c r="G6598" i="4" s="1"/>
  <c r="F6599" i="4"/>
  <c r="G6599" i="4" s="1"/>
  <c r="F6600" i="4"/>
  <c r="G6600" i="4" s="1"/>
  <c r="F6584" i="4"/>
  <c r="G6584" i="4" s="1"/>
  <c r="F6595" i="4"/>
  <c r="G6595" i="4" s="1"/>
  <c r="F6587" i="4"/>
  <c r="G6587" i="4" s="1"/>
  <c r="F6583" i="4"/>
  <c r="G6583" i="4" s="1"/>
  <c r="F6588" i="4"/>
  <c r="G6588" i="4" s="1"/>
  <c r="F6586" i="4"/>
  <c r="G6586" i="4" s="1"/>
  <c r="F6597" i="4"/>
  <c r="G6597" i="4" s="1"/>
  <c r="F6576" i="4"/>
  <c r="G6576" i="4" s="1"/>
  <c r="F6579" i="4"/>
  <c r="G6579" i="4" s="1"/>
  <c r="F6571" i="4"/>
  <c r="G6571" i="4" s="1"/>
  <c r="F6566" i="4"/>
  <c r="G6566" i="4" s="1"/>
  <c r="F6569" i="4"/>
  <c r="G6569" i="4" s="1"/>
  <c r="F6580" i="4"/>
  <c r="G6580" i="4" s="1"/>
  <c r="F6575" i="4"/>
  <c r="G6575" i="4" s="1"/>
  <c r="F6582" i="4"/>
  <c r="G6582" i="4" s="1"/>
  <c r="F6434" i="4"/>
  <c r="G6434" i="4" s="1"/>
  <c r="F6373" i="4"/>
  <c r="G6373" i="4" s="1"/>
  <c r="F6512" i="4"/>
  <c r="G6512" i="4" s="1"/>
  <c r="F6454" i="4"/>
  <c r="G6454" i="4" s="1"/>
  <c r="F6341" i="4"/>
  <c r="G6341" i="4" s="1"/>
  <c r="F6463" i="4"/>
  <c r="G6463" i="4" s="1"/>
  <c r="F6562" i="4"/>
  <c r="G6562" i="4" s="1"/>
  <c r="F6563" i="4"/>
  <c r="G6563" i="4" s="1"/>
  <c r="F6552" i="4"/>
  <c r="G6552" i="4" s="1"/>
  <c r="F6554" i="4"/>
  <c r="G6554" i="4" s="1"/>
  <c r="F6551" i="4"/>
  <c r="G6551" i="4" s="1"/>
  <c r="F6536" i="4"/>
  <c r="G6536" i="4" s="1"/>
  <c r="F6528" i="4"/>
  <c r="G6528" i="4" s="1"/>
  <c r="F6533" i="4"/>
  <c r="G6533" i="4" s="1"/>
  <c r="F6546" i="4"/>
  <c r="G6546" i="4" s="1"/>
  <c r="F6534" i="4"/>
  <c r="G6534" i="4" s="1"/>
  <c r="F6526" i="4"/>
  <c r="G6526" i="4" s="1"/>
  <c r="F6547" i="4"/>
  <c r="G6547" i="4" s="1"/>
  <c r="F6539" i="4"/>
  <c r="G6539" i="4" s="1"/>
  <c r="F6531" i="4"/>
  <c r="G6531" i="4" s="1"/>
  <c r="F6545" i="4"/>
  <c r="G6545" i="4" s="1"/>
  <c r="F6537" i="4"/>
  <c r="G6537" i="4" s="1"/>
  <c r="F6530" i="4"/>
  <c r="G6530" i="4" s="1"/>
  <c r="F6543" i="4"/>
  <c r="G6543" i="4" s="1"/>
  <c r="F6516" i="4"/>
  <c r="G6516" i="4" s="1"/>
  <c r="F6508" i="4"/>
  <c r="G6508" i="4" s="1"/>
  <c r="F6522" i="4"/>
  <c r="G6522" i="4" s="1"/>
  <c r="F6510" i="4"/>
  <c r="G6510" i="4" s="1"/>
  <c r="F6523" i="4"/>
  <c r="G6523" i="4" s="1"/>
  <c r="F6515" i="4"/>
  <c r="G6515" i="4" s="1"/>
  <c r="F6507" i="4"/>
  <c r="G6507" i="4" s="1"/>
  <c r="F6505" i="4"/>
  <c r="G6505" i="4" s="1"/>
  <c r="F6496" i="4"/>
  <c r="G6496" i="4" s="1"/>
  <c r="F6495" i="4"/>
  <c r="G6495" i="4" s="1"/>
  <c r="F6487" i="4"/>
  <c r="G6487" i="4" s="1"/>
  <c r="F6502" i="4"/>
  <c r="G6502" i="4" s="1"/>
  <c r="F6486" i="4"/>
  <c r="G6486" i="4" s="1"/>
  <c r="F6500" i="4"/>
  <c r="G6500" i="4" s="1"/>
  <c r="F6492" i="4"/>
  <c r="G6492" i="4" s="1"/>
  <c r="F6482" i="4"/>
  <c r="G6482" i="4" s="1"/>
  <c r="F6483" i="4"/>
  <c r="G6483" i="4" s="1"/>
  <c r="F6481" i="4"/>
  <c r="G6481" i="4" s="1"/>
  <c r="F6477" i="4"/>
  <c r="G6477" i="4" s="1"/>
  <c r="F6237" i="4"/>
  <c r="G6237" i="4" s="1"/>
  <c r="F6368" i="4"/>
  <c r="G6368" i="4" s="1"/>
  <c r="F6465" i="4"/>
  <c r="G6465" i="4" s="1"/>
  <c r="F6471" i="4"/>
  <c r="G6471" i="4" s="1"/>
  <c r="F6461" i="4"/>
  <c r="G6461" i="4" s="1"/>
  <c r="F6458" i="4"/>
  <c r="G6458" i="4" s="1"/>
  <c r="F6457" i="4"/>
  <c r="G6457" i="4" s="1"/>
  <c r="F6459" i="4"/>
  <c r="G6459" i="4" s="1"/>
  <c r="F6467" i="4"/>
  <c r="G6467" i="4" s="1"/>
  <c r="F6468" i="4"/>
  <c r="G6468" i="4" s="1"/>
  <c r="F6473" i="4"/>
  <c r="G6473" i="4" s="1"/>
  <c r="F6451" i="4"/>
  <c r="G6451" i="4" s="1"/>
  <c r="F6445" i="4"/>
  <c r="G6445" i="4" s="1"/>
  <c r="F6441" i="4"/>
  <c r="G6441" i="4" s="1"/>
  <c r="F6448" i="4"/>
  <c r="G6448" i="4" s="1"/>
  <c r="F6443" i="4"/>
  <c r="G6443" i="4" s="1"/>
  <c r="E6456" i="4"/>
  <c r="G6456" i="4" s="1"/>
  <c r="F6455" i="4"/>
  <c r="G6455" i="4" s="1"/>
  <c r="F6446" i="4"/>
  <c r="G6446" i="4" s="1"/>
  <c r="F6439" i="4"/>
  <c r="G6439" i="4" s="1"/>
  <c r="F6422" i="4"/>
  <c r="G6422" i="4" s="1"/>
  <c r="F6362" i="4"/>
  <c r="G6362" i="4" s="1"/>
  <c r="F6388" i="4"/>
  <c r="G6388" i="4" s="1"/>
  <c r="F6435" i="4"/>
  <c r="G6435" i="4" s="1"/>
  <c r="F6433" i="4"/>
  <c r="G6433" i="4" s="1"/>
  <c r="F6427" i="4"/>
  <c r="G6427" i="4" s="1"/>
  <c r="F6426" i="4"/>
  <c r="G6426" i="4" s="1"/>
  <c r="F6428" i="4"/>
  <c r="G6428" i="4" s="1"/>
  <c r="E6420" i="4"/>
  <c r="G6420" i="4" s="1"/>
  <c r="F6413" i="4"/>
  <c r="G6413" i="4" s="1"/>
  <c r="F6416" i="4"/>
  <c r="G6416" i="4" s="1"/>
  <c r="F6241" i="4"/>
  <c r="G6241" i="4" s="1"/>
  <c r="F6406" i="4"/>
  <c r="G6406" i="4" s="1"/>
  <c r="F6402" i="4"/>
  <c r="G6402" i="4" s="1"/>
  <c r="F6400" i="4"/>
  <c r="G6400" i="4" s="1"/>
  <c r="F6269" i="4"/>
  <c r="G6269" i="4" s="1"/>
  <c r="E3755" i="4"/>
  <c r="G3755" i="4" s="1"/>
  <c r="F6079" i="4"/>
  <c r="G6079" i="4" s="1"/>
  <c r="F6379" i="4"/>
  <c r="G6379" i="4" s="1"/>
  <c r="F5919" i="4"/>
  <c r="G5919" i="4" s="1"/>
  <c r="F6378" i="4"/>
  <c r="G6378" i="4" s="1"/>
  <c r="F6393" i="4"/>
  <c r="G6393" i="4" s="1"/>
  <c r="F6392" i="4"/>
  <c r="G6392" i="4" s="1"/>
  <c r="F6391" i="4"/>
  <c r="G6391" i="4" s="1"/>
  <c r="F6397" i="4"/>
  <c r="G6397" i="4" s="1"/>
  <c r="F6389" i="4"/>
  <c r="G6389" i="4" s="1"/>
  <c r="F6395" i="4"/>
  <c r="G6395" i="4" s="1"/>
  <c r="F6383" i="4"/>
  <c r="G6383" i="4" s="1"/>
  <c r="F6385" i="4"/>
  <c r="G6385" i="4" s="1"/>
  <c r="F6386" i="4"/>
  <c r="G6386" i="4" s="1"/>
  <c r="F6381" i="4"/>
  <c r="G6381" i="4" s="1"/>
  <c r="F6384" i="4"/>
  <c r="G6384" i="4" s="1"/>
  <c r="F6387" i="4"/>
  <c r="G6387" i="4" s="1"/>
  <c r="F6382" i="4"/>
  <c r="G6382" i="4" s="1"/>
  <c r="F6194" i="4"/>
  <c r="G6194" i="4" s="1"/>
  <c r="F6371" i="4"/>
  <c r="G6371" i="4" s="1"/>
  <c r="F6369" i="4"/>
  <c r="G6369" i="4" s="1"/>
  <c r="F6375" i="4"/>
  <c r="G6375" i="4" s="1"/>
  <c r="F6361" i="4"/>
  <c r="G6361" i="4" s="1"/>
  <c r="F6360" i="4"/>
  <c r="G6360" i="4" s="1"/>
  <c r="F6367" i="4"/>
  <c r="G6367" i="4" s="1"/>
  <c r="F6365" i="4"/>
  <c r="G6365" i="4" s="1"/>
  <c r="F6366" i="4"/>
  <c r="G6366" i="4" s="1"/>
  <c r="F6357" i="4"/>
  <c r="G6357" i="4" s="1"/>
  <c r="F6350" i="4"/>
  <c r="G6350" i="4" s="1"/>
  <c r="F6356" i="4"/>
  <c r="G6356" i="4" s="1"/>
  <c r="F6359" i="4"/>
  <c r="G6359" i="4" s="1"/>
  <c r="F6352" i="4"/>
  <c r="G6352" i="4" s="1"/>
  <c r="F6345" i="4"/>
  <c r="G6345" i="4" s="1"/>
  <c r="F6349" i="4"/>
  <c r="G6349" i="4" s="1"/>
  <c r="F6342" i="4"/>
  <c r="G6342" i="4" s="1"/>
  <c r="F6338" i="4"/>
  <c r="G6338" i="4" s="1"/>
  <c r="F6339" i="4"/>
  <c r="G6339" i="4" s="1"/>
  <c r="F6337" i="4"/>
  <c r="G6337" i="4" s="1"/>
  <c r="F6336" i="4"/>
  <c r="G6336" i="4" s="1"/>
  <c r="F6320" i="4"/>
  <c r="G6320" i="4" s="1"/>
  <c r="F6334" i="4"/>
  <c r="G6334" i="4" s="1"/>
  <c r="F6327" i="4"/>
  <c r="G6327" i="4" s="1"/>
  <c r="F6321" i="4"/>
  <c r="G6321" i="4" s="1"/>
  <c r="F6324" i="4"/>
  <c r="G6324" i="4" s="1"/>
  <c r="F6330" i="4"/>
  <c r="G6330" i="4" s="1"/>
  <c r="F6255" i="4"/>
  <c r="G6255" i="4" s="1"/>
  <c r="F6303" i="4"/>
  <c r="G6303" i="4" s="1"/>
  <c r="F6301" i="4"/>
  <c r="G6301" i="4" s="1"/>
  <c r="F6315" i="4"/>
  <c r="G6315" i="4" s="1"/>
  <c r="F6307" i="4"/>
  <c r="G6307" i="4" s="1"/>
  <c r="F6310" i="4"/>
  <c r="G6310" i="4" s="1"/>
  <c r="F6316" i="4"/>
  <c r="G6316" i="4" s="1"/>
  <c r="F6314" i="4"/>
  <c r="G6314" i="4" s="1"/>
  <c r="F6306" i="4"/>
  <c r="G6306" i="4" s="1"/>
  <c r="F6300" i="4"/>
  <c r="G6300" i="4" s="1"/>
  <c r="F6298" i="4"/>
  <c r="G6298" i="4" s="1"/>
  <c r="F6287" i="4"/>
  <c r="G6287" i="4" s="1"/>
  <c r="F6285" i="4"/>
  <c r="G6285" i="4" s="1"/>
  <c r="F6286" i="4"/>
  <c r="G6286" i="4" s="1"/>
  <c r="F6280" i="4"/>
  <c r="G6280" i="4" s="1"/>
  <c r="F6274" i="4"/>
  <c r="G6274" i="4" s="1"/>
  <c r="F6271" i="4"/>
  <c r="G6271" i="4" s="1"/>
  <c r="F6272" i="4"/>
  <c r="G6272" i="4" s="1"/>
  <c r="F6276" i="4"/>
  <c r="G6276" i="4" s="1"/>
  <c r="F6268" i="4"/>
  <c r="G6268" i="4" s="1"/>
  <c r="F6263" i="4"/>
  <c r="G6263" i="4" s="1"/>
  <c r="F6266" i="4"/>
  <c r="G6266" i="4" s="1"/>
  <c r="F6267" i="4"/>
  <c r="G6267" i="4" s="1"/>
  <c r="F6262" i="4"/>
  <c r="G6262" i="4" s="1"/>
  <c r="F6249" i="4"/>
  <c r="G6249" i="4" s="1"/>
  <c r="F6254" i="4"/>
  <c r="G6254" i="4" s="1"/>
  <c r="F6252" i="4"/>
  <c r="G6252" i="4" s="1"/>
  <c r="F6259" i="4"/>
  <c r="G6259" i="4" s="1"/>
  <c r="F6250" i="4"/>
  <c r="G6250" i="4" s="1"/>
  <c r="F6247" i="4"/>
  <c r="G6247" i="4" s="1"/>
  <c r="F6245" i="4"/>
  <c r="G6245" i="4" s="1"/>
  <c r="F6235" i="4"/>
  <c r="G6235" i="4" s="1"/>
  <c r="F6234" i="4"/>
  <c r="G6234" i="4" s="1"/>
  <c r="F6226" i="4"/>
  <c r="G6226" i="4" s="1"/>
  <c r="F6227" i="4"/>
  <c r="G6227" i="4" s="1"/>
  <c r="F6221" i="4"/>
  <c r="G6221" i="4" s="1"/>
  <c r="F6222" i="4"/>
  <c r="G6222" i="4" s="1"/>
  <c r="F6220" i="4"/>
  <c r="G6220" i="4" s="1"/>
  <c r="G710" i="4"/>
  <c r="F6217" i="4"/>
  <c r="G6217" i="4" s="1"/>
  <c r="F6218" i="4"/>
  <c r="G6218" i="4" s="1"/>
  <c r="F6210" i="4"/>
  <c r="G6210" i="4" s="1"/>
  <c r="F6211" i="4"/>
  <c r="G6211" i="4" s="1"/>
  <c r="F6209" i="4"/>
  <c r="G6209" i="4" s="1"/>
  <c r="F6216" i="4"/>
  <c r="G6216" i="4" s="1"/>
  <c r="F6208" i="4"/>
  <c r="G6208" i="4" s="1"/>
  <c r="F6215" i="4"/>
  <c r="G6215" i="4" s="1"/>
  <c r="F6214" i="4"/>
  <c r="G6214" i="4" s="1"/>
  <c r="F5377" i="4"/>
  <c r="G5377" i="4" s="1"/>
  <c r="F6206" i="4"/>
  <c r="G6206" i="4" s="1"/>
  <c r="E6205" i="4"/>
  <c r="G6205" i="4" s="1"/>
  <c r="F6207" i="4"/>
  <c r="G6207" i="4" s="1"/>
  <c r="F6203" i="4"/>
  <c r="G6203" i="4" s="1"/>
  <c r="F6183" i="4"/>
  <c r="G6183" i="4" s="1"/>
  <c r="F6185" i="4"/>
  <c r="G6185" i="4" s="1"/>
  <c r="F6192" i="4"/>
  <c r="G6192" i="4" s="1"/>
  <c r="F6181" i="4"/>
  <c r="G6181" i="4" s="1"/>
  <c r="F6190" i="4"/>
  <c r="G6190" i="4" s="1"/>
  <c r="F6191" i="4"/>
  <c r="G6191" i="4" s="1"/>
  <c r="F6193" i="4"/>
  <c r="G6193" i="4" s="1"/>
  <c r="F6186" i="4"/>
  <c r="G6186" i="4" s="1"/>
  <c r="G975" i="4"/>
  <c r="F6174" i="4"/>
  <c r="G6174" i="4" s="1"/>
  <c r="F6166" i="4"/>
  <c r="G6166" i="4" s="1"/>
  <c r="F6170" i="4"/>
  <c r="G6170" i="4" s="1"/>
  <c r="F6178" i="4"/>
  <c r="G6178" i="4" s="1"/>
  <c r="F6162" i="4"/>
  <c r="G6162" i="4" s="1"/>
  <c r="F6165" i="4"/>
  <c r="G6165" i="4" s="1"/>
  <c r="F6160" i="4"/>
  <c r="G6160" i="4" s="1"/>
  <c r="F6164" i="4"/>
  <c r="G6164" i="4" s="1"/>
  <c r="G1018" i="4"/>
  <c r="F6158" i="4"/>
  <c r="G6158" i="4" s="1"/>
  <c r="F6157" i="4"/>
  <c r="G6157" i="4" s="1"/>
  <c r="F6156" i="4"/>
  <c r="G6156" i="4" s="1"/>
  <c r="F6155" i="4"/>
  <c r="G6155" i="4" s="1"/>
  <c r="F6152" i="4"/>
  <c r="G6152" i="4" s="1"/>
  <c r="F6150" i="4"/>
  <c r="G6150" i="4" s="1"/>
  <c r="F6149" i="4"/>
  <c r="G6149" i="4" s="1"/>
  <c r="F6147" i="4"/>
  <c r="G6147" i="4" s="1"/>
  <c r="F6145" i="4"/>
  <c r="G6145" i="4" s="1"/>
  <c r="F6142" i="4"/>
  <c r="G6142" i="4" s="1"/>
  <c r="F6141" i="4"/>
  <c r="G6141" i="4" s="1"/>
  <c r="F6137" i="4"/>
  <c r="G6137" i="4" s="1"/>
  <c r="F6131" i="4"/>
  <c r="G6131" i="4" s="1"/>
  <c r="F6129" i="4"/>
  <c r="G6129" i="4" s="1"/>
  <c r="F6126" i="4"/>
  <c r="G6126" i="4" s="1"/>
  <c r="F6127" i="4"/>
  <c r="G6127" i="4" s="1"/>
  <c r="F6122" i="4"/>
  <c r="G6122" i="4" s="1"/>
  <c r="F6115" i="4"/>
  <c r="G6115" i="4" s="1"/>
  <c r="F6113" i="4"/>
  <c r="G6113" i="4" s="1"/>
  <c r="F6114" i="4"/>
  <c r="G6114" i="4" s="1"/>
  <c r="F6109" i="4"/>
  <c r="G6109" i="4" s="1"/>
  <c r="F6107" i="4"/>
  <c r="G6107" i="4" s="1"/>
  <c r="F6103" i="4"/>
  <c r="G6103" i="4" s="1"/>
  <c r="F6101" i="4"/>
  <c r="G6101" i="4" s="1"/>
  <c r="F6099" i="4"/>
  <c r="G6099" i="4" s="1"/>
  <c r="F6097" i="4"/>
  <c r="G6097" i="4" s="1"/>
  <c r="F6098" i="4"/>
  <c r="G6098" i="4" s="1"/>
  <c r="F6094" i="4"/>
  <c r="G6094" i="4" s="1"/>
  <c r="F6085" i="4"/>
  <c r="G6085" i="4" s="1"/>
  <c r="F6077" i="4"/>
  <c r="G6077" i="4" s="1"/>
  <c r="F6088" i="4"/>
  <c r="G6088" i="4" s="1"/>
  <c r="F5934" i="4"/>
  <c r="G5934" i="4" s="1"/>
  <c r="F6086" i="4"/>
  <c r="G6086" i="4" s="1"/>
  <c r="F6084" i="4"/>
  <c r="G6084" i="4" s="1"/>
  <c r="F6083" i="4"/>
  <c r="G6083" i="4" s="1"/>
  <c r="F6081" i="4"/>
  <c r="G6081" i="4" s="1"/>
  <c r="F6078" i="4"/>
  <c r="G6078" i="4" s="1"/>
  <c r="F6074" i="4"/>
  <c r="G6074" i="4" s="1"/>
  <c r="F6071" i="4"/>
  <c r="G6071" i="4" s="1"/>
  <c r="F6072" i="4"/>
  <c r="G6072" i="4" s="1"/>
  <c r="F6069" i="4"/>
  <c r="G6069" i="4" s="1"/>
  <c r="F6066" i="4"/>
  <c r="G6066" i="4" s="1"/>
  <c r="F6063" i="4"/>
  <c r="G6063" i="4" s="1"/>
  <c r="F6065" i="4"/>
  <c r="G6065" i="4" s="1"/>
  <c r="F6064" i="4"/>
  <c r="G6064" i="4" s="1"/>
  <c r="F6067" i="4"/>
  <c r="G6067" i="4" s="1"/>
  <c r="F6068" i="4"/>
  <c r="G6068" i="4" s="1"/>
  <c r="F6061" i="4"/>
  <c r="G6061" i="4" s="1"/>
  <c r="F6060" i="4"/>
  <c r="G6060" i="4" s="1"/>
  <c r="G5397" i="4"/>
  <c r="F6050" i="4"/>
  <c r="G6050" i="4" s="1"/>
  <c r="G6177" i="4"/>
  <c r="F6051" i="4"/>
  <c r="G6051" i="4" s="1"/>
  <c r="G5698" i="4"/>
  <c r="G5510" i="4"/>
  <c r="G5959" i="4"/>
  <c r="F6054" i="4"/>
  <c r="G6054" i="4" s="1"/>
  <c r="F6046" i="4"/>
  <c r="G6046" i="4" s="1"/>
  <c r="F6045" i="4"/>
  <c r="G6045" i="4" s="1"/>
  <c r="F6041" i="4"/>
  <c r="G6041" i="4" s="1"/>
  <c r="F6042" i="4"/>
  <c r="G6042" i="4" s="1"/>
  <c r="F6038" i="4"/>
  <c r="G6038" i="4" s="1"/>
  <c r="F6044" i="4"/>
  <c r="G6044" i="4" s="1"/>
  <c r="F6036" i="4"/>
  <c r="G6036" i="4" s="1"/>
  <c r="F6035" i="4"/>
  <c r="G6035" i="4" s="1"/>
  <c r="F6033" i="4"/>
  <c r="G6033" i="4" s="1"/>
  <c r="F6030" i="4"/>
  <c r="G6030" i="4" s="1"/>
  <c r="F6032" i="4"/>
  <c r="G6032" i="4" s="1"/>
  <c r="F6031" i="4"/>
  <c r="G6031" i="4" s="1"/>
  <c r="F6027" i="4"/>
  <c r="G6027" i="4" s="1"/>
  <c r="F6025" i="4"/>
  <c r="G6025" i="4" s="1"/>
  <c r="F6016" i="4"/>
  <c r="G6016" i="4" s="1"/>
  <c r="F6017" i="4"/>
  <c r="G6017" i="4" s="1"/>
  <c r="F6019" i="4"/>
  <c r="G6019" i="4" s="1"/>
  <c r="F6013" i="4"/>
  <c r="G6013" i="4" s="1"/>
  <c r="F6011" i="4"/>
  <c r="G6011" i="4" s="1"/>
  <c r="F6007" i="4"/>
  <c r="G6007" i="4" s="1"/>
  <c r="F6002" i="4"/>
  <c r="G6002" i="4" s="1"/>
  <c r="F6003" i="4"/>
  <c r="G6003" i="4" s="1"/>
  <c r="F6000" i="4"/>
  <c r="G6000" i="4" s="1"/>
  <c r="F5994" i="4"/>
  <c r="G5994" i="4" s="1"/>
  <c r="F5995" i="4"/>
  <c r="G5995" i="4" s="1"/>
  <c r="F5992" i="4"/>
  <c r="G5992" i="4" s="1"/>
  <c r="G1859" i="4"/>
  <c r="G746" i="4"/>
  <c r="G991" i="4"/>
  <c r="E5986" i="4"/>
  <c r="G5986" i="4" s="1"/>
  <c r="F5989" i="4"/>
  <c r="G5989" i="4" s="1"/>
  <c r="F5982" i="4"/>
  <c r="G5982" i="4" s="1"/>
  <c r="F5983" i="4"/>
  <c r="G5983" i="4" s="1"/>
  <c r="G815" i="4"/>
  <c r="F5974" i="4"/>
  <c r="G5974" i="4" s="1"/>
  <c r="F5978" i="4"/>
  <c r="G5978" i="4" s="1"/>
  <c r="F5979" i="4"/>
  <c r="G5979" i="4" s="1"/>
  <c r="F5976" i="4"/>
  <c r="G5976" i="4" s="1"/>
  <c r="G6039" i="4"/>
  <c r="G6023" i="4"/>
  <c r="F5971" i="4"/>
  <c r="G5971" i="4" s="1"/>
  <c r="G6005" i="4"/>
  <c r="G5973" i="4"/>
  <c r="F5968" i="4"/>
  <c r="G5968" i="4" s="1"/>
  <c r="F5967" i="4"/>
  <c r="G5967" i="4" s="1"/>
  <c r="F5964" i="4"/>
  <c r="G5964" i="4" s="1"/>
  <c r="G690" i="4"/>
  <c r="G14" i="6"/>
  <c r="G1044" i="4"/>
  <c r="G1830" i="4"/>
  <c r="G1183" i="4"/>
  <c r="G1239" i="4"/>
  <c r="G1231" i="4"/>
  <c r="G831" i="4"/>
  <c r="G5941" i="4"/>
  <c r="F5958" i="4"/>
  <c r="G5958" i="4" s="1"/>
  <c r="F5954" i="4"/>
  <c r="G5954" i="4" s="1"/>
  <c r="F5952" i="4"/>
  <c r="G5952" i="4" s="1"/>
  <c r="F5951" i="4"/>
  <c r="G5951" i="4" s="1"/>
  <c r="G5017" i="4"/>
  <c r="F5933" i="4"/>
  <c r="G5933" i="4" s="1"/>
  <c r="G5935" i="4"/>
  <c r="F5936" i="4"/>
  <c r="G5936" i="4" s="1"/>
  <c r="F5939" i="4"/>
  <c r="G5939" i="4" s="1"/>
  <c r="F5931" i="4"/>
  <c r="G5931" i="4" s="1"/>
  <c r="F5937" i="4"/>
  <c r="G5937" i="4" s="1"/>
  <c r="F5932" i="4"/>
  <c r="G5932" i="4" s="1"/>
  <c r="F5929" i="4"/>
  <c r="G5929" i="4" s="1"/>
  <c r="G6001" i="4"/>
  <c r="G5985" i="4"/>
  <c r="G5953" i="4"/>
  <c r="F5928" i="4"/>
  <c r="G5928" i="4" s="1"/>
  <c r="F5926" i="4"/>
  <c r="G5926" i="4" s="1"/>
  <c r="G2444" i="4"/>
  <c r="E3631" i="4"/>
  <c r="G3631" i="4" s="1"/>
  <c r="G4427" i="4"/>
  <c r="G3516" i="4"/>
  <c r="G333" i="15"/>
  <c r="G317" i="15"/>
  <c r="G338" i="15"/>
  <c r="G349" i="15"/>
  <c r="G331" i="15"/>
  <c r="G315" i="15"/>
  <c r="E3569" i="4"/>
  <c r="G3569" i="4" s="1"/>
  <c r="G327" i="15"/>
  <c r="G325" i="15"/>
  <c r="G350" i="15"/>
  <c r="G326" i="15"/>
  <c r="G341" i="15"/>
  <c r="G3451" i="4"/>
  <c r="G2552" i="4"/>
  <c r="G2560" i="4"/>
  <c r="G4784" i="4"/>
  <c r="G5003" i="4"/>
  <c r="G2033" i="4"/>
  <c r="G3334" i="4"/>
  <c r="G2385" i="4"/>
  <c r="G5800" i="4"/>
  <c r="G3807" i="4"/>
  <c r="G3152" i="4"/>
  <c r="G8283" i="4"/>
  <c r="G7281" i="4"/>
  <c r="G7226" i="4"/>
  <c r="G7218" i="4"/>
  <c r="G7194" i="4"/>
  <c r="G7178" i="4"/>
  <c r="G7170" i="4"/>
  <c r="G7162" i="4"/>
  <c r="G7154" i="4"/>
  <c r="G7146" i="4"/>
  <c r="G7138" i="4"/>
  <c r="G7114" i="4"/>
  <c r="G7098" i="4"/>
  <c r="G7082" i="4"/>
  <c r="G7074" i="4"/>
  <c r="G7058" i="4"/>
  <c r="G7050" i="4"/>
  <c r="G7042" i="4"/>
  <c r="G7018" i="4"/>
  <c r="G6970" i="4"/>
  <c r="G6962" i="4"/>
  <c r="G6954" i="4"/>
  <c r="G5955" i="4"/>
  <c r="G2480" i="4"/>
  <c r="G2404" i="4"/>
  <c r="G2436" i="4"/>
  <c r="G3923" i="4"/>
  <c r="G6029" i="4"/>
  <c r="G2784" i="4"/>
  <c r="G8277" i="4"/>
  <c r="G2240" i="4"/>
  <c r="B30" i="12"/>
  <c r="G8291" i="4"/>
  <c r="G8259" i="4"/>
  <c r="G7268" i="4"/>
  <c r="G7250" i="4"/>
  <c r="G6037" i="4"/>
  <c r="G5957" i="4"/>
  <c r="G5925" i="4"/>
  <c r="G5674" i="4"/>
  <c r="G7263" i="4"/>
  <c r="G6021" i="4"/>
  <c r="G5981" i="4"/>
  <c r="G5949" i="4"/>
  <c r="G5489" i="4"/>
  <c r="G9618" i="4"/>
  <c r="G9610" i="4"/>
  <c r="G9602" i="4"/>
  <c r="G9594" i="4"/>
  <c r="G9586" i="4"/>
  <c r="G9578" i="4"/>
  <c r="G9570" i="4"/>
  <c r="G9562" i="4"/>
  <c r="G9554" i="4"/>
  <c r="G9546" i="4"/>
  <c r="G9538" i="4"/>
  <c r="G9530" i="4"/>
  <c r="G9522" i="4"/>
  <c r="G9514" i="4"/>
  <c r="G9506" i="4"/>
  <c r="G9498" i="4"/>
  <c r="G9490" i="4"/>
  <c r="G9482" i="4"/>
  <c r="G9474" i="4"/>
  <c r="G9466" i="4"/>
  <c r="G9458" i="4"/>
  <c r="G9450" i="4"/>
  <c r="G9442" i="4"/>
  <c r="G9434" i="4"/>
  <c r="G9426" i="4"/>
  <c r="G9418" i="4"/>
  <c r="G9410" i="4"/>
  <c r="G9402" i="4"/>
  <c r="G9394" i="4"/>
  <c r="G9386" i="4"/>
  <c r="G9378" i="4"/>
  <c r="G9370" i="4"/>
  <c r="G9362" i="4"/>
  <c r="G9354" i="4"/>
  <c r="G9346" i="4"/>
  <c r="G9338" i="4"/>
  <c r="G9330" i="4"/>
  <c r="G9322" i="4"/>
  <c r="G9314" i="4"/>
  <c r="G9306" i="4"/>
  <c r="G9298" i="4"/>
  <c r="G9290" i="4"/>
  <c r="G9282" i="4"/>
  <c r="G9274" i="4"/>
  <c r="G9266" i="4"/>
  <c r="G9258" i="4"/>
  <c r="G9250" i="4"/>
  <c r="G9242" i="4"/>
  <c r="G9234" i="4"/>
  <c r="G9226" i="4"/>
  <c r="G9218" i="4"/>
  <c r="G9210" i="4"/>
  <c r="G9202" i="4"/>
  <c r="G9194" i="4"/>
  <c r="G9186" i="4"/>
  <c r="G9178" i="4"/>
  <c r="G9170" i="4"/>
  <c r="G9162" i="4"/>
  <c r="G9154" i="4"/>
  <c r="G9146" i="4"/>
  <c r="G9138" i="4"/>
  <c r="G9130" i="4"/>
  <c r="G9122" i="4"/>
  <c r="G9114" i="4"/>
  <c r="G9106" i="4"/>
  <c r="G9098" i="4"/>
  <c r="G9090" i="4"/>
  <c r="G9082" i="4"/>
  <c r="G9074" i="4"/>
  <c r="G9066" i="4"/>
  <c r="G9058" i="4"/>
  <c r="G9050" i="4"/>
  <c r="G9042" i="4"/>
  <c r="G9034" i="4"/>
  <c r="G9026" i="4"/>
  <c r="G9018" i="4"/>
  <c r="G9010" i="4"/>
  <c r="G9002" i="4"/>
  <c r="G8994" i="4"/>
  <c r="G8986" i="4"/>
  <c r="G8978" i="4"/>
  <c r="G8271" i="4"/>
  <c r="G7288" i="4"/>
  <c r="G7264" i="4"/>
  <c r="G5718" i="4"/>
  <c r="G5977" i="4"/>
  <c r="G5945" i="4"/>
  <c r="G8263" i="4"/>
  <c r="G7232" i="4"/>
  <c r="G7224" i="4"/>
  <c r="G7216" i="4"/>
  <c r="G7208" i="4"/>
  <c r="G7192" i="4"/>
  <c r="G7176" i="4"/>
  <c r="G7168" i="4"/>
  <c r="G7152" i="4"/>
  <c r="G7144" i="4"/>
  <c r="G7128" i="4"/>
  <c r="G7088" i="4"/>
  <c r="G7072" i="4"/>
  <c r="G7040" i="4"/>
  <c r="G7024" i="4"/>
  <c r="G7016" i="4"/>
  <c r="G7008" i="4"/>
  <c r="G6992" i="4"/>
  <c r="G6984" i="4"/>
  <c r="G6968" i="4"/>
  <c r="G6952" i="4"/>
  <c r="G5969" i="4"/>
  <c r="G9613" i="4"/>
  <c r="G9605" i="4"/>
  <c r="G9597" i="4"/>
  <c r="G9589" i="4"/>
  <c r="G9581" i="4"/>
  <c r="G9573" i="4"/>
  <c r="G9565" i="4"/>
  <c r="G9557" i="4"/>
  <c r="G9549" i="4"/>
  <c r="G9541" i="4"/>
  <c r="G9533" i="4"/>
  <c r="G9525" i="4"/>
  <c r="G9517" i="4"/>
  <c r="G9509" i="4"/>
  <c r="G9501" i="4"/>
  <c r="G9493" i="4"/>
  <c r="G9485" i="4"/>
  <c r="G9477" i="4"/>
  <c r="G9469" i="4"/>
  <c r="G9461" i="4"/>
  <c r="G9453" i="4"/>
  <c r="G9445" i="4"/>
  <c r="G9437" i="4"/>
  <c r="G9429" i="4"/>
  <c r="G9421" i="4"/>
  <c r="G9413" i="4"/>
  <c r="G9405" i="4"/>
  <c r="G9397" i="4"/>
  <c r="G9389" i="4"/>
  <c r="G9381" i="4"/>
  <c r="G9373" i="4"/>
  <c r="G9365" i="4"/>
  <c r="G9357" i="4"/>
  <c r="G9349" i="4"/>
  <c r="G9341" i="4"/>
  <c r="G9333" i="4"/>
  <c r="G9325" i="4"/>
  <c r="G9317" i="4"/>
  <c r="G9309" i="4"/>
  <c r="G9301" i="4"/>
  <c r="G9293" i="4"/>
  <c r="G9285" i="4"/>
  <c r="G9277" i="4"/>
  <c r="G9269" i="4"/>
  <c r="G9261" i="4"/>
  <c r="G9253" i="4"/>
  <c r="G9245" i="4"/>
  <c r="G9237" i="4"/>
  <c r="G9229" i="4"/>
  <c r="G9221" i="4"/>
  <c r="G9213" i="4"/>
  <c r="G9205" i="4"/>
  <c r="G9197" i="4"/>
  <c r="G9189" i="4"/>
  <c r="G9181" i="4"/>
  <c r="G9173" i="4"/>
  <c r="G9165" i="4"/>
  <c r="G8302" i="4"/>
  <c r="G8294" i="4"/>
  <c r="G8286" i="4"/>
  <c r="G8278" i="4"/>
  <c r="G8270" i="4"/>
  <c r="G8262" i="4"/>
  <c r="G8254" i="4"/>
  <c r="G8246" i="4"/>
  <c r="G8238" i="4"/>
  <c r="G8230" i="4"/>
  <c r="G8222" i="4"/>
  <c r="G8214" i="4"/>
  <c r="G8206" i="4"/>
  <c r="G8198" i="4"/>
  <c r="G8190" i="4"/>
  <c r="G8182" i="4"/>
  <c r="G8174" i="4"/>
  <c r="G8166" i="4"/>
  <c r="G8158" i="4"/>
  <c r="G8150" i="4"/>
  <c r="G8142" i="4"/>
  <c r="G8134" i="4"/>
  <c r="G8126" i="4"/>
  <c r="G8118" i="4"/>
  <c r="G8110" i="4"/>
  <c r="G8102" i="4"/>
  <c r="G8094" i="4"/>
  <c r="G8086" i="4"/>
  <c r="G8078" i="4"/>
  <c r="G8070" i="4"/>
  <c r="G8062" i="4"/>
  <c r="G8054" i="4"/>
  <c r="G8046" i="4"/>
  <c r="G8038" i="4"/>
  <c r="G8030" i="4"/>
  <c r="G8022" i="4"/>
  <c r="G7998" i="4"/>
  <c r="G7990" i="4"/>
  <c r="G7974" i="4"/>
  <c r="G7966" i="4"/>
  <c r="G7958" i="4"/>
  <c r="G7950" i="4"/>
  <c r="G7942" i="4"/>
  <c r="G7934" i="4"/>
  <c r="G7926" i="4"/>
  <c r="G7918" i="4"/>
  <c r="G7910" i="4"/>
  <c r="G7902" i="4"/>
  <c r="G7894" i="4"/>
  <c r="G9157" i="4"/>
  <c r="G9149" i="4"/>
  <c r="G9141" i="4"/>
  <c r="G9133" i="4"/>
  <c r="G9125" i="4"/>
  <c r="G9117" i="4"/>
  <c r="G9109" i="4"/>
  <c r="G9101" i="4"/>
  <c r="G9093" i="4"/>
  <c r="G9085" i="4"/>
  <c r="G9077" i="4"/>
  <c r="G9069" i="4"/>
  <c r="G9061" i="4"/>
  <c r="G9053" i="4"/>
  <c r="G9045" i="4"/>
  <c r="G9037" i="4"/>
  <c r="G9029" i="4"/>
  <c r="G9021" i="4"/>
  <c r="G9013" i="4"/>
  <c r="G9005" i="4"/>
  <c r="G8997" i="4"/>
  <c r="G8989" i="4"/>
  <c r="G8981" i="4"/>
  <c r="G8287" i="4"/>
  <c r="G8255" i="4"/>
  <c r="G8269" i="4"/>
  <c r="G8267" i="4"/>
  <c r="G8306" i="4"/>
  <c r="G8298" i="4"/>
  <c r="G8290" i="4"/>
  <c r="G8282" i="4"/>
  <c r="G8274" i="4"/>
  <c r="G8266" i="4"/>
  <c r="G8258" i="4"/>
  <c r="G8250" i="4"/>
  <c r="G8242" i="4"/>
  <c r="G8234" i="4"/>
  <c r="G8226" i="4"/>
  <c r="G8218" i="4"/>
  <c r="G8210" i="4"/>
  <c r="G8202" i="4"/>
  <c r="G8194" i="4"/>
  <c r="G8186" i="4"/>
  <c r="G8178" i="4"/>
  <c r="G8170" i="4"/>
  <c r="G8162" i="4"/>
  <c r="G8154" i="4"/>
  <c r="G8146" i="4"/>
  <c r="G8138" i="4"/>
  <c r="G8130" i="4"/>
  <c r="G8122" i="4"/>
  <c r="G8114" i="4"/>
  <c r="G8106" i="4"/>
  <c r="G8098" i="4"/>
  <c r="G8090" i="4"/>
  <c r="G8082" i="4"/>
  <c r="G8074" i="4"/>
  <c r="G8066" i="4"/>
  <c r="G8058" i="4"/>
  <c r="G8050" i="4"/>
  <c r="G8042" i="4"/>
  <c r="G8034" i="4"/>
  <c r="G8026" i="4"/>
  <c r="G8018" i="4"/>
  <c r="G8010" i="4"/>
  <c r="G8002" i="4"/>
  <c r="G7994" i="4"/>
  <c r="G7986" i="4"/>
  <c r="G7978" i="4"/>
  <c r="G7970" i="4"/>
  <c r="G7962" i="4"/>
  <c r="G7954" i="4"/>
  <c r="G7946" i="4"/>
  <c r="G7938" i="4"/>
  <c r="G7930" i="4"/>
  <c r="G7922" i="4"/>
  <c r="G7914" i="4"/>
  <c r="G7906" i="4"/>
  <c r="G7898" i="4"/>
  <c r="G7890" i="4"/>
  <c r="G7882" i="4"/>
  <c r="G7874" i="4"/>
  <c r="G7866" i="4"/>
  <c r="G7858" i="4"/>
  <c r="G7834" i="4"/>
  <c r="G7826" i="4"/>
  <c r="G7818" i="4"/>
  <c r="G7810" i="4"/>
  <c r="G7802" i="4"/>
  <c r="G7794" i="4"/>
  <c r="G7786" i="4"/>
  <c r="G7770" i="4"/>
  <c r="G7762" i="4"/>
  <c r="G7754" i="4"/>
  <c r="G7738" i="4"/>
  <c r="G7730" i="4"/>
  <c r="G7714" i="4"/>
  <c r="G7698" i="4"/>
  <c r="G7690" i="4"/>
  <c r="G7674" i="4"/>
  <c r="G7666" i="4"/>
  <c r="G7658" i="4"/>
  <c r="G7650" i="4"/>
  <c r="G7886" i="4"/>
  <c r="G7878" i="4"/>
  <c r="G7870" i="4"/>
  <c r="G7862" i="4"/>
  <c r="G7854" i="4"/>
  <c r="G7838" i="4"/>
  <c r="G7830" i="4"/>
  <c r="G7814" i="4"/>
  <c r="G7806" i="4"/>
  <c r="G7798" i="4"/>
  <c r="G7782" i="4"/>
  <c r="G7774" i="4"/>
  <c r="G7766" i="4"/>
  <c r="G7758" i="4"/>
  <c r="G7750" i="4"/>
  <c r="G7742" i="4"/>
  <c r="G7734" i="4"/>
  <c r="G7718" i="4"/>
  <c r="G7702" i="4"/>
  <c r="G7694" i="4"/>
  <c r="G7678" i="4"/>
  <c r="G7670" i="4"/>
  <c r="G7654" i="4"/>
  <c r="G7646" i="4"/>
  <c r="G7601" i="4"/>
  <c r="G7593" i="4"/>
  <c r="G7585" i="4"/>
  <c r="G7569" i="4"/>
  <c r="G7561" i="4"/>
  <c r="G7553" i="4"/>
  <c r="G7545" i="4"/>
  <c r="G7529" i="4"/>
  <c r="G7521" i="4"/>
  <c r="G7513" i="4"/>
  <c r="G7497" i="4"/>
  <c r="G7489" i="4"/>
  <c r="G7481" i="4"/>
  <c r="G7465" i="4"/>
  <c r="G7457" i="4"/>
  <c r="G7433" i="4"/>
  <c r="G7417" i="4"/>
  <c r="G7409" i="4"/>
  <c r="G7401" i="4"/>
  <c r="G7393" i="4"/>
  <c r="G7385" i="4"/>
  <c r="G7377" i="4"/>
  <c r="G7369" i="4"/>
  <c r="G7361" i="4"/>
  <c r="G7337" i="4"/>
  <c r="G7329" i="4"/>
  <c r="G7321" i="4"/>
  <c r="G7305" i="4"/>
  <c r="G7638" i="4"/>
  <c r="G7630" i="4"/>
  <c r="G7622" i="4"/>
  <c r="G7614" i="4"/>
  <c r="G7598" i="4"/>
  <c r="G7582" i="4"/>
  <c r="G7574" i="4"/>
  <c r="G7566" i="4"/>
  <c r="G7558" i="4"/>
  <c r="G7550" i="4"/>
  <c r="G7542" i="4"/>
  <c r="G7534" i="4"/>
  <c r="G7518" i="4"/>
  <c r="G7510" i="4"/>
  <c r="G7502" i="4"/>
  <c r="G7494" i="4"/>
  <c r="G7486" i="4"/>
  <c r="G7478" i="4"/>
  <c r="G7470" i="4"/>
  <c r="G7462" i="4"/>
  <c r="G7454" i="4"/>
  <c r="G7446" i="4"/>
  <c r="G7430" i="4"/>
  <c r="G7414" i="4"/>
  <c r="G7398" i="4"/>
  <c r="G7390" i="4"/>
  <c r="G7350" i="4"/>
  <c r="G7318" i="4"/>
  <c r="G7310" i="4"/>
  <c r="G7294" i="4"/>
  <c r="G6899" i="4"/>
  <c r="G6851" i="4"/>
  <c r="G6835" i="4"/>
  <c r="G6827" i="4"/>
  <c r="G6819" i="4"/>
  <c r="G6811" i="4"/>
  <c r="G6779" i="4"/>
  <c r="G6771" i="4"/>
  <c r="G6755" i="4"/>
  <c r="G6747" i="4"/>
  <c r="G6739" i="4"/>
  <c r="G6731" i="4"/>
  <c r="G6715" i="4"/>
  <c r="G6707" i="4"/>
  <c r="G6699" i="4"/>
  <c r="G6683" i="4"/>
  <c r="G6659" i="4"/>
  <c r="G6651" i="4"/>
  <c r="G6635" i="4"/>
  <c r="G6607" i="4"/>
  <c r="G6591" i="4"/>
  <c r="G6567" i="4"/>
  <c r="G6559" i="4"/>
  <c r="G6535" i="4"/>
  <c r="G6527" i="4"/>
  <c r="G6519" i="4"/>
  <c r="G6511" i="4"/>
  <c r="G6503" i="4"/>
  <c r="G6479" i="4"/>
  <c r="G6417" i="4"/>
  <c r="G6401" i="4"/>
  <c r="G6353" i="4"/>
  <c r="G7597" i="4"/>
  <c r="G7589" i="4"/>
  <c r="G7581" i="4"/>
  <c r="G7565" i="4"/>
  <c r="G7533" i="4"/>
  <c r="G7525" i="4"/>
  <c r="G7509" i="4"/>
  <c r="G7501" i="4"/>
  <c r="G7493" i="4"/>
  <c r="G7485" i="4"/>
  <c r="G7477" i="4"/>
  <c r="G7469" i="4"/>
  <c r="G7461" i="4"/>
  <c r="G7453" i="4"/>
  <c r="G7437" i="4"/>
  <c r="G7429" i="4"/>
  <c r="G7413" i="4"/>
  <c r="G7405" i="4"/>
  <c r="G7397" i="4"/>
  <c r="G7381" i="4"/>
  <c r="G7373" i="4"/>
  <c r="G7349" i="4"/>
  <c r="G7341" i="4"/>
  <c r="G7325" i="4"/>
  <c r="G7317" i="4"/>
  <c r="G7293" i="4"/>
  <c r="G7272" i="4"/>
  <c r="G7634" i="4"/>
  <c r="G7626" i="4"/>
  <c r="G7618" i="4"/>
  <c r="G7610" i="4"/>
  <c r="G7602" i="4"/>
  <c r="G7586" i="4"/>
  <c r="G7578" i="4"/>
  <c r="G7570" i="4"/>
  <c r="G7562" i="4"/>
  <c r="G7554" i="4"/>
  <c r="G7546" i="4"/>
  <c r="G7538" i="4"/>
  <c r="G7506" i="4"/>
  <c r="G7498" i="4"/>
  <c r="G7482" i="4"/>
  <c r="G7466" i="4"/>
  <c r="G7458" i="4"/>
  <c r="G7434" i="4"/>
  <c r="G7418" i="4"/>
  <c r="G7410" i="4"/>
  <c r="G7394" i="4"/>
  <c r="G7386" i="4"/>
  <c r="G7378" i="4"/>
  <c r="G7370" i="4"/>
  <c r="G7362" i="4"/>
  <c r="G7322" i="4"/>
  <c r="G7306" i="4"/>
  <c r="G7298" i="4"/>
  <c r="G7246" i="4"/>
  <c r="G7230" i="4"/>
  <c r="G7222" i="4"/>
  <c r="G7190" i="4"/>
  <c r="G7182" i="4"/>
  <c r="G7142" i="4"/>
  <c r="G7134" i="4"/>
  <c r="G7110" i="4"/>
  <c r="G7102" i="4"/>
  <c r="G7070" i="4"/>
  <c r="G7062" i="4"/>
  <c r="G7046" i="4"/>
  <c r="G7030" i="4"/>
  <c r="G6305" i="4"/>
  <c r="G6289" i="4"/>
  <c r="G6273" i="4"/>
  <c r="G6257" i="4"/>
  <c r="G6225" i="4"/>
  <c r="G6167" i="4"/>
  <c r="G6440" i="4"/>
  <c r="G6432" i="4"/>
  <c r="G6424" i="4"/>
  <c r="G6408" i="4"/>
  <c r="G6376" i="4"/>
  <c r="G6344" i="4"/>
  <c r="G6328" i="4"/>
  <c r="G6312" i="4"/>
  <c r="G6304" i="4"/>
  <c r="G6296" i="4"/>
  <c r="G6288" i="4"/>
  <c r="G6264" i="4"/>
  <c r="G6256" i="4"/>
  <c r="G6248" i="4"/>
  <c r="G6240" i="4"/>
  <c r="G6232" i="4"/>
  <c r="G6224" i="4"/>
  <c r="G6200" i="4"/>
  <c r="G6184" i="4"/>
  <c r="G6175" i="4"/>
  <c r="G6153" i="4"/>
  <c r="G6121" i="4"/>
  <c r="G6105" i="4"/>
  <c r="G6089" i="4"/>
  <c r="G6073" i="4"/>
  <c r="G6057" i="4"/>
  <c r="G6168" i="4"/>
  <c r="G6144" i="4"/>
  <c r="G6136" i="4"/>
  <c r="G6128" i="4"/>
  <c r="G6120" i="4"/>
  <c r="G6112" i="4"/>
  <c r="G6104" i="4"/>
  <c r="G6096" i="4"/>
  <c r="G6080" i="4"/>
  <c r="G6056" i="4"/>
  <c r="G6048" i="4"/>
  <c r="G6022" i="4"/>
  <c r="G6014" i="4"/>
  <c r="G6006" i="4"/>
  <c r="G5998" i="4"/>
  <c r="G5990" i="4"/>
  <c r="G5966" i="4"/>
  <c r="G5950" i="4"/>
  <c r="G5942" i="4"/>
  <c r="G5703" i="4"/>
  <c r="G5242" i="4"/>
  <c r="G7022" i="4"/>
  <c r="G7006" i="4"/>
  <c r="G6990" i="4"/>
  <c r="G6982" i="4"/>
  <c r="G6974" i="4"/>
  <c r="G6966" i="4"/>
  <c r="G6958" i="4"/>
  <c r="G6950" i="4"/>
  <c r="G6895" i="4"/>
  <c r="G6863" i="4"/>
  <c r="G6855" i="4"/>
  <c r="G6839" i="4"/>
  <c r="G6831" i="4"/>
  <c r="G6767" i="4"/>
  <c r="G6759" i="4"/>
  <c r="G6544" i="4"/>
  <c r="G6555" i="4"/>
  <c r="G6499" i="4"/>
  <c r="G6491" i="4"/>
  <c r="G6475" i="4"/>
  <c r="G5997" i="4"/>
  <c r="G6173" i="4"/>
  <c r="G6009" i="4"/>
  <c r="G5965" i="4"/>
  <c r="G5557" i="4"/>
  <c r="G6172" i="4"/>
  <c r="G6148" i="4"/>
  <c r="G6140" i="4"/>
  <c r="G6132" i="4"/>
  <c r="G6124" i="4"/>
  <c r="G6116" i="4"/>
  <c r="G6108" i="4"/>
  <c r="G6100" i="4"/>
  <c r="G6092" i="4"/>
  <c r="G6076" i="4"/>
  <c r="G6052" i="4"/>
  <c r="G5993" i="4"/>
  <c r="G5961" i="4"/>
  <c r="G5410" i="4"/>
  <c r="G5970" i="4"/>
  <c r="G5962" i="4"/>
  <c r="G5946" i="4"/>
  <c r="G5938" i="4"/>
  <c r="G5930" i="4"/>
  <c r="G5782" i="4"/>
  <c r="G5572" i="4"/>
  <c r="G9612" i="4"/>
  <c r="G9604" i="4"/>
  <c r="G9596" i="4"/>
  <c r="G9588" i="4"/>
  <c r="G9580" i="4"/>
  <c r="G9572" i="4"/>
  <c r="G9564" i="4"/>
  <c r="G9556" i="4"/>
  <c r="G9548" i="4"/>
  <c r="G9540" i="4"/>
  <c r="G9532" i="4"/>
  <c r="G9524" i="4"/>
  <c r="G9516" i="4"/>
  <c r="G9508" i="4"/>
  <c r="G9500" i="4"/>
  <c r="G9492" i="4"/>
  <c r="G9484" i="4"/>
  <c r="G9476" i="4"/>
  <c r="G9468" i="4"/>
  <c r="G9460" i="4"/>
  <c r="G9452" i="4"/>
  <c r="G9444" i="4"/>
  <c r="G9436" i="4"/>
  <c r="G9428" i="4"/>
  <c r="G9420" i="4"/>
  <c r="G9412" i="4"/>
  <c r="G9404" i="4"/>
  <c r="G9396" i="4"/>
  <c r="G9388" i="4"/>
  <c r="G9380" i="4"/>
  <c r="G9372" i="4"/>
  <c r="G9364" i="4"/>
  <c r="G9356" i="4"/>
  <c r="G9348" i="4"/>
  <c r="G9340" i="4"/>
  <c r="G9332" i="4"/>
  <c r="G9324" i="4"/>
  <c r="G9316" i="4"/>
  <c r="G9308" i="4"/>
  <c r="G9300" i="4"/>
  <c r="G9292" i="4"/>
  <c r="G9284" i="4"/>
  <c r="G9276" i="4"/>
  <c r="G9268" i="4"/>
  <c r="G9260" i="4"/>
  <c r="G9252" i="4"/>
  <c r="G9244" i="4"/>
  <c r="G9236" i="4"/>
  <c r="G9228" i="4"/>
  <c r="G9220" i="4"/>
  <c r="G9212" i="4"/>
  <c r="G9204" i="4"/>
  <c r="G9196" i="4"/>
  <c r="G9188" i="4"/>
  <c r="G9180" i="4"/>
  <c r="G9172" i="4"/>
  <c r="G9164" i="4"/>
  <c r="G9156" i="4"/>
  <c r="G9148" i="4"/>
  <c r="G9140" i="4"/>
  <c r="G9132" i="4"/>
  <c r="G9124" i="4"/>
  <c r="G9116" i="4"/>
  <c r="G9108" i="4"/>
  <c r="G9100" i="4"/>
  <c r="G9092" i="4"/>
  <c r="G9084" i="4"/>
  <c r="G9076" i="4"/>
  <c r="G9068" i="4"/>
  <c r="G9060" i="4"/>
  <c r="G9052" i="4"/>
  <c r="G9044" i="4"/>
  <c r="G9036" i="4"/>
  <c r="G9028" i="4"/>
  <c r="G9020" i="4"/>
  <c r="G9012" i="4"/>
  <c r="G9004" i="4"/>
  <c r="G3628" i="4"/>
  <c r="G4908" i="4"/>
  <c r="G9616" i="4"/>
  <c r="G9608" i="4"/>
  <c r="G9600" i="4"/>
  <c r="G9592" i="4"/>
  <c r="G9584" i="4"/>
  <c r="G9576" i="4"/>
  <c r="G9568" i="4"/>
  <c r="G9560" i="4"/>
  <c r="G9552" i="4"/>
  <c r="G9544" i="4"/>
  <c r="G9536" i="4"/>
  <c r="G9528" i="4"/>
  <c r="G9520" i="4"/>
  <c r="G9512" i="4"/>
  <c r="G9504" i="4"/>
  <c r="G9496" i="4"/>
  <c r="G9488" i="4"/>
  <c r="G9480" i="4"/>
  <c r="G9472" i="4"/>
  <c r="G9464" i="4"/>
  <c r="G9456" i="4"/>
  <c r="G9448" i="4"/>
  <c r="G9440" i="4"/>
  <c r="G9432" i="4"/>
  <c r="G9424" i="4"/>
  <c r="G9416" i="4"/>
  <c r="G9408" i="4"/>
  <c r="G9400" i="4"/>
  <c r="G9392" i="4"/>
  <c r="G9384" i="4"/>
  <c r="G9376" i="4"/>
  <c r="G9368" i="4"/>
  <c r="G9360" i="4"/>
  <c r="G9352" i="4"/>
  <c r="G9344" i="4"/>
  <c r="G9336" i="4"/>
  <c r="G9328" i="4"/>
  <c r="G9320" i="4"/>
  <c r="G9312" i="4"/>
  <c r="G9304" i="4"/>
  <c r="G9296" i="4"/>
  <c r="G9288" i="4"/>
  <c r="G9280" i="4"/>
  <c r="G9272" i="4"/>
  <c r="G9264" i="4"/>
  <c r="G9256" i="4"/>
  <c r="G9248" i="4"/>
  <c r="G9240" i="4"/>
  <c r="G9232" i="4"/>
  <c r="G9224" i="4"/>
  <c r="G9216" i="4"/>
  <c r="G9208" i="4"/>
  <c r="G9200" i="4"/>
  <c r="G9192" i="4"/>
  <c r="G9184" i="4"/>
  <c r="G9176" i="4"/>
  <c r="G9168" i="4"/>
  <c r="G9160" i="4"/>
  <c r="G9152" i="4"/>
  <c r="G9144" i="4"/>
  <c r="G9136" i="4"/>
  <c r="G9128" i="4"/>
  <c r="G9120" i="4"/>
  <c r="G9112" i="4"/>
  <c r="G9104" i="4"/>
  <c r="G9096" i="4"/>
  <c r="G9088" i="4"/>
  <c r="G9080" i="4"/>
  <c r="G9072" i="4"/>
  <c r="G9064" i="4"/>
  <c r="G9056" i="4"/>
  <c r="G9048" i="4"/>
  <c r="G9040" i="4"/>
  <c r="G9032" i="4"/>
  <c r="G9024" i="4"/>
  <c r="G9016" i="4"/>
  <c r="G9008" i="4"/>
  <c r="G9000" i="4"/>
  <c r="G8992" i="4"/>
  <c r="G8984" i="4"/>
  <c r="G8976" i="4"/>
  <c r="G9615" i="4"/>
  <c r="G9607" i="4"/>
  <c r="G7089" i="4"/>
  <c r="G7065" i="4"/>
  <c r="G7057" i="4"/>
  <c r="G7049" i="4"/>
  <c r="G7025" i="4"/>
  <c r="G7017" i="4"/>
  <c r="G7001" i="4"/>
  <c r="G6993" i="4"/>
  <c r="G6977" i="4"/>
  <c r="G6969" i="4"/>
  <c r="G6953" i="4"/>
  <c r="G6879" i="4"/>
  <c r="G8996" i="4"/>
  <c r="G8988" i="4"/>
  <c r="G8980" i="4"/>
  <c r="G8261" i="4"/>
  <c r="G8289" i="4"/>
  <c r="G8257" i="4"/>
  <c r="G7257" i="4"/>
  <c r="G7290" i="4"/>
  <c r="G7212" i="4"/>
  <c r="G7196" i="4"/>
  <c r="G7164" i="4"/>
  <c r="G7148" i="4"/>
  <c r="G7132" i="4"/>
  <c r="G7124" i="4"/>
  <c r="G7116" i="4"/>
  <c r="G7100" i="4"/>
  <c r="G7092" i="4"/>
  <c r="G7068" i="4"/>
  <c r="G7060" i="4"/>
  <c r="G7052" i="4"/>
  <c r="G7044" i="4"/>
  <c r="G7036" i="4"/>
  <c r="G7028" i="4"/>
  <c r="G7012" i="4"/>
  <c r="G6988" i="4"/>
  <c r="G6956" i="4"/>
  <c r="G8281" i="4"/>
  <c r="G9599" i="4"/>
  <c r="G9591" i="4"/>
  <c r="G9583" i="4"/>
  <c r="G9575" i="4"/>
  <c r="G9567" i="4"/>
  <c r="G9559" i="4"/>
  <c r="G9551" i="4"/>
  <c r="G9543" i="4"/>
  <c r="G9535" i="4"/>
  <c r="G9527" i="4"/>
  <c r="G9519" i="4"/>
  <c r="G9511" i="4"/>
  <c r="G9503" i="4"/>
  <c r="G9495" i="4"/>
  <c r="G9487" i="4"/>
  <c r="G9479" i="4"/>
  <c r="G9471" i="4"/>
  <c r="G9463" i="4"/>
  <c r="G9455" i="4"/>
  <c r="G9447" i="4"/>
  <c r="G9439" i="4"/>
  <c r="G9431" i="4"/>
  <c r="G9423" i="4"/>
  <c r="G9415" i="4"/>
  <c r="G9407" i="4"/>
  <c r="G9399" i="4"/>
  <c r="G9391" i="4"/>
  <c r="G9383" i="4"/>
  <c r="G9375" i="4"/>
  <c r="G9367" i="4"/>
  <c r="G9359" i="4"/>
  <c r="G9351" i="4"/>
  <c r="G9343" i="4"/>
  <c r="G9335" i="4"/>
  <c r="G9327" i="4"/>
  <c r="G9319" i="4"/>
  <c r="G9311" i="4"/>
  <c r="G9303" i="4"/>
  <c r="G9295" i="4"/>
  <c r="G9287" i="4"/>
  <c r="G9279" i="4"/>
  <c r="G9271" i="4"/>
  <c r="G9263" i="4"/>
  <c r="G9255" i="4"/>
  <c r="G9247" i="4"/>
  <c r="G9239" i="4"/>
  <c r="G9231" i="4"/>
  <c r="G9223" i="4"/>
  <c r="G9215" i="4"/>
  <c r="G9207" i="4"/>
  <c r="G9199" i="4"/>
  <c r="G9191" i="4"/>
  <c r="G9183" i="4"/>
  <c r="G9175" i="4"/>
  <c r="G9167" i="4"/>
  <c r="G9159" i="4"/>
  <c r="G9151" i="4"/>
  <c r="G9143" i="4"/>
  <c r="G9135" i="4"/>
  <c r="G9127" i="4"/>
  <c r="G9119" i="4"/>
  <c r="G9111" i="4"/>
  <c r="G9103" i="4"/>
  <c r="G9095" i="4"/>
  <c r="G9087" i="4"/>
  <c r="G9079" i="4"/>
  <c r="G9071" i="4"/>
  <c r="G9063" i="4"/>
  <c r="G9055" i="4"/>
  <c r="G9047" i="4"/>
  <c r="G9039" i="4"/>
  <c r="G9031" i="4"/>
  <c r="G9023" i="4"/>
  <c r="G9015" i="4"/>
  <c r="G9007" i="4"/>
  <c r="G8999" i="4"/>
  <c r="G8991" i="4"/>
  <c r="G8983" i="4"/>
  <c r="G8975" i="4"/>
  <c r="G8309" i="4"/>
  <c r="G8273" i="4"/>
  <c r="G7278" i="4"/>
  <c r="G7265" i="4"/>
  <c r="G7270" i="4"/>
  <c r="G7254" i="4"/>
  <c r="G6751" i="4"/>
  <c r="G6743" i="4"/>
  <c r="G6735" i="4"/>
  <c r="G6727" i="4"/>
  <c r="G6719" i="4"/>
  <c r="G6711" i="4"/>
  <c r="G6703" i="4"/>
  <c r="G6679" i="4"/>
  <c r="G6671" i="4"/>
  <c r="G6655" i="4"/>
  <c r="G6647" i="4"/>
  <c r="G6592" i="4"/>
  <c r="G6568" i="4"/>
  <c r="G6560" i="4"/>
  <c r="G5975" i="4"/>
  <c r="G6453" i="4"/>
  <c r="G6437" i="4"/>
  <c r="G6421" i="4"/>
  <c r="G6405" i="4"/>
  <c r="G6325" i="4"/>
  <c r="G6309" i="4"/>
  <c r="G6293" i="4"/>
  <c r="G6277" i="4"/>
  <c r="G6261" i="4"/>
  <c r="G6229" i="4"/>
  <c r="G6213" i="4"/>
  <c r="G6197" i="4"/>
  <c r="G6412" i="4"/>
  <c r="G6404" i="4"/>
  <c r="G6396" i="4"/>
  <c r="G6380" i="4"/>
  <c r="G6372" i="4"/>
  <c r="G6364" i="4"/>
  <c r="G6348" i="4"/>
  <c r="G6340" i="4"/>
  <c r="G6332" i="4"/>
  <c r="G6308" i="4"/>
  <c r="G6292" i="4"/>
  <c r="G6284" i="4"/>
  <c r="G6260" i="4"/>
  <c r="G6244" i="4"/>
  <c r="G6236" i="4"/>
  <c r="G6228" i="4"/>
  <c r="G6212" i="4"/>
  <c r="G6204" i="4"/>
  <c r="G6196" i="4"/>
  <c r="G6188" i="4"/>
  <c r="G6180" i="4"/>
  <c r="G6125" i="4"/>
  <c r="G6093" i="4"/>
  <c r="G6015" i="4"/>
  <c r="G5999" i="4"/>
  <c r="G5272" i="4"/>
  <c r="G6034" i="4"/>
  <c r="G6018" i="4"/>
  <c r="G5991" i="4"/>
  <c r="G5943" i="4"/>
  <c r="G5927" i="4"/>
  <c r="E5019" i="4"/>
  <c r="F5019" i="4"/>
  <c r="G9614" i="4"/>
  <c r="G9606" i="4"/>
  <c r="G9598" i="4"/>
  <c r="G9590" i="4"/>
  <c r="G9582" i="4"/>
  <c r="G9574" i="4"/>
  <c r="G9566" i="4"/>
  <c r="G9558" i="4"/>
  <c r="G9550" i="4"/>
  <c r="G9542" i="4"/>
  <c r="G9534" i="4"/>
  <c r="G9526" i="4"/>
  <c r="G9518" i="4"/>
  <c r="G9510" i="4"/>
  <c r="G9502" i="4"/>
  <c r="G9494" i="4"/>
  <c r="G9486" i="4"/>
  <c r="G9478" i="4"/>
  <c r="G9470" i="4"/>
  <c r="G9462" i="4"/>
  <c r="G9454" i="4"/>
  <c r="G9446" i="4"/>
  <c r="G9438" i="4"/>
  <c r="G9430" i="4"/>
  <c r="G9422" i="4"/>
  <c r="G9414" i="4"/>
  <c r="G9406" i="4"/>
  <c r="G9398" i="4"/>
  <c r="G9390" i="4"/>
  <c r="G9382" i="4"/>
  <c r="G9374" i="4"/>
  <c r="G9366" i="4"/>
  <c r="G9358" i="4"/>
  <c r="G9350" i="4"/>
  <c r="G9342" i="4"/>
  <c r="G9334" i="4"/>
  <c r="G9326" i="4"/>
  <c r="G9318" i="4"/>
  <c r="G9310" i="4"/>
  <c r="G9302" i="4"/>
  <c r="G9294" i="4"/>
  <c r="G9286" i="4"/>
  <c r="G9278" i="4"/>
  <c r="G9270" i="4"/>
  <c r="G9262" i="4"/>
  <c r="G9254" i="4"/>
  <c r="G9246" i="4"/>
  <c r="G9238" i="4"/>
  <c r="G9230" i="4"/>
  <c r="G9222" i="4"/>
  <c r="G9214" i="4"/>
  <c r="G9206" i="4"/>
  <c r="G9198" i="4"/>
  <c r="G9190" i="4"/>
  <c r="G9182" i="4"/>
  <c r="G9174" i="4"/>
  <c r="G9166" i="4"/>
  <c r="G9158" i="4"/>
  <c r="G9150" i="4"/>
  <c r="G9142" i="4"/>
  <c r="G9134" i="4"/>
  <c r="G9126" i="4"/>
  <c r="G9118" i="4"/>
  <c r="G9110" i="4"/>
  <c r="G9102" i="4"/>
  <c r="G9094" i="4"/>
  <c r="G9086" i="4"/>
  <c r="G9078" i="4"/>
  <c r="G9070" i="4"/>
  <c r="G9062" i="4"/>
  <c r="G9054" i="4"/>
  <c r="G9046" i="4"/>
  <c r="G9038" i="4"/>
  <c r="G9030" i="4"/>
  <c r="G9022" i="4"/>
  <c r="G9014" i="4"/>
  <c r="G9006" i="4"/>
  <c r="G8998" i="4"/>
  <c r="G8990" i="4"/>
  <c r="G8982" i="4"/>
  <c r="G8974" i="4"/>
  <c r="G8972" i="4"/>
  <c r="E5076" i="4"/>
  <c r="C80" i="6" s="1"/>
  <c r="F5076" i="4"/>
  <c r="G4756" i="4"/>
  <c r="E4927" i="4"/>
  <c r="F4927" i="4"/>
  <c r="G9611" i="4"/>
  <c r="G9603" i="4"/>
  <c r="G9595" i="4"/>
  <c r="G9587" i="4"/>
  <c r="G9579" i="4"/>
  <c r="G9571" i="4"/>
  <c r="G9563" i="4"/>
  <c r="G9555" i="4"/>
  <c r="G9547" i="4"/>
  <c r="G9539" i="4"/>
  <c r="G9531" i="4"/>
  <c r="G9523" i="4"/>
  <c r="G9515" i="4"/>
  <c r="G9507" i="4"/>
  <c r="G9499" i="4"/>
  <c r="G9491" i="4"/>
  <c r="G9483" i="4"/>
  <c r="G9475" i="4"/>
  <c r="G9467" i="4"/>
  <c r="G9459" i="4"/>
  <c r="G9451" i="4"/>
  <c r="G9443" i="4"/>
  <c r="G9435" i="4"/>
  <c r="G9427" i="4"/>
  <c r="G9419" i="4"/>
  <c r="E4879" i="4"/>
  <c r="C76" i="6" s="1"/>
  <c r="F4879" i="4"/>
  <c r="F5157" i="4"/>
  <c r="E5157" i="4"/>
  <c r="G4080" i="4"/>
  <c r="G4939" i="4"/>
  <c r="E4920" i="4"/>
  <c r="F4920" i="4"/>
  <c r="G9617" i="4"/>
  <c r="G9609" i="4"/>
  <c r="G9601" i="4"/>
  <c r="G9593" i="4"/>
  <c r="G9585" i="4"/>
  <c r="G9577" i="4"/>
  <c r="G9569" i="4"/>
  <c r="G9561" i="4"/>
  <c r="G9553" i="4"/>
  <c r="G9545" i="4"/>
  <c r="G9537" i="4"/>
  <c r="G9529" i="4"/>
  <c r="G9521" i="4"/>
  <c r="G9513" i="4"/>
  <c r="G9505" i="4"/>
  <c r="G9497" i="4"/>
  <c r="G9489" i="4"/>
  <c r="G9481" i="4"/>
  <c r="G9473" i="4"/>
  <c r="G9465" i="4"/>
  <c r="G9457" i="4"/>
  <c r="G9449" i="4"/>
  <c r="G9441" i="4"/>
  <c r="G9433" i="4"/>
  <c r="G9425" i="4"/>
  <c r="G9417" i="4"/>
  <c r="G9409" i="4"/>
  <c r="G9401" i="4"/>
  <c r="G9393" i="4"/>
  <c r="G9385" i="4"/>
  <c r="G9377" i="4"/>
  <c r="G9369" i="4"/>
  <c r="G9361" i="4"/>
  <c r="G9353" i="4"/>
  <c r="G9345" i="4"/>
  <c r="G9337" i="4"/>
  <c r="G9329" i="4"/>
  <c r="G9321" i="4"/>
  <c r="G9313" i="4"/>
  <c r="G9305" i="4"/>
  <c r="G9297" i="4"/>
  <c r="G9289" i="4"/>
  <c r="G9281" i="4"/>
  <c r="G9273" i="4"/>
  <c r="G9265" i="4"/>
  <c r="G9257" i="4"/>
  <c r="G9249" i="4"/>
  <c r="G9241" i="4"/>
  <c r="G9233" i="4"/>
  <c r="G9225" i="4"/>
  <c r="G9217" i="4"/>
  <c r="G9209" i="4"/>
  <c r="G9201" i="4"/>
  <c r="G9193" i="4"/>
  <c r="G9185" i="4"/>
  <c r="G9177" i="4"/>
  <c r="G9169" i="4"/>
  <c r="G9161" i="4"/>
  <c r="G9153" i="4"/>
  <c r="G9145" i="4"/>
  <c r="G9137" i="4"/>
  <c r="G9129" i="4"/>
  <c r="G9121" i="4"/>
  <c r="G9113" i="4"/>
  <c r="G9105" i="4"/>
  <c r="G9097" i="4"/>
  <c r="G9089" i="4"/>
  <c r="G9081" i="4"/>
  <c r="G9073" i="4"/>
  <c r="G9065" i="4"/>
  <c r="G9057" i="4"/>
  <c r="G9049" i="4"/>
  <c r="G9041" i="4"/>
  <c r="G9033" i="4"/>
  <c r="G9025" i="4"/>
  <c r="G9017" i="4"/>
  <c r="G9009" i="4"/>
  <c r="G9001" i="4"/>
  <c r="G8993" i="4"/>
  <c r="G8985" i="4"/>
  <c r="G8977" i="4"/>
  <c r="F5040" i="4"/>
  <c r="E5040" i="4"/>
  <c r="C79" i="6" s="1"/>
  <c r="F4417" i="4"/>
  <c r="E4417" i="4"/>
  <c r="B62" i="12" s="1"/>
  <c r="E4765" i="4"/>
  <c r="F4765" i="4"/>
  <c r="G8967" i="4"/>
  <c r="G8959" i="4"/>
  <c r="G8951" i="4"/>
  <c r="G8943" i="4"/>
  <c r="G8935" i="4"/>
  <c r="G8927" i="4"/>
  <c r="G8919" i="4"/>
  <c r="G8911" i="4"/>
  <c r="G8903" i="4"/>
  <c r="G8895" i="4"/>
  <c r="G8887" i="4"/>
  <c r="G8879" i="4"/>
  <c r="G8871" i="4"/>
  <c r="G8863" i="4"/>
  <c r="G8855" i="4"/>
  <c r="G8847" i="4"/>
  <c r="G8839" i="4"/>
  <c r="G8831" i="4"/>
  <c r="G8823" i="4"/>
  <c r="G8815" i="4"/>
  <c r="G8807" i="4"/>
  <c r="G8799" i="4"/>
  <c r="G8791" i="4"/>
  <c r="G8783" i="4"/>
  <c r="G8775" i="4"/>
  <c r="G8767" i="4"/>
  <c r="G8759" i="4"/>
  <c r="G8751" i="4"/>
  <c r="G8743" i="4"/>
  <c r="G8735" i="4"/>
  <c r="G8727" i="4"/>
  <c r="G8719" i="4"/>
  <c r="G8711" i="4"/>
  <c r="G8703" i="4"/>
  <c r="G8695" i="4"/>
  <c r="G8687" i="4"/>
  <c r="G8679" i="4"/>
  <c r="G8671" i="4"/>
  <c r="G8663" i="4"/>
  <c r="G8655" i="4"/>
  <c r="G8647" i="4"/>
  <c r="G8639" i="4"/>
  <c r="G8631" i="4"/>
  <c r="G8623" i="4"/>
  <c r="G8615" i="4"/>
  <c r="G8607" i="4"/>
  <c r="G8599" i="4"/>
  <c r="G8591" i="4"/>
  <c r="G8583" i="4"/>
  <c r="G8575" i="4"/>
  <c r="G8567" i="4"/>
  <c r="G8559" i="4"/>
  <c r="G8551" i="4"/>
  <c r="G8543" i="4"/>
  <c r="G8535" i="4"/>
  <c r="G8527" i="4"/>
  <c r="G8519" i="4"/>
  <c r="G8511" i="4"/>
  <c r="G8503" i="4"/>
  <c r="G8495" i="4"/>
  <c r="G8487" i="4"/>
  <c r="G8479" i="4"/>
  <c r="G8471" i="4"/>
  <c r="G8463" i="4"/>
  <c r="G8455" i="4"/>
  <c r="G8447" i="4"/>
  <c r="G8439" i="4"/>
  <c r="G8431" i="4"/>
  <c r="G8423" i="4"/>
  <c r="G8415" i="4"/>
  <c r="G8407" i="4"/>
  <c r="G8399" i="4"/>
  <c r="G8391" i="4"/>
  <c r="G8383" i="4"/>
  <c r="G8375" i="4"/>
  <c r="G8367" i="4"/>
  <c r="G8359" i="4"/>
  <c r="G8351" i="4"/>
  <c r="G8343" i="4"/>
  <c r="G8335" i="4"/>
  <c r="G8327" i="4"/>
  <c r="G8319" i="4"/>
  <c r="G8311" i="4"/>
  <c r="G8297" i="4"/>
  <c r="G8966" i="4"/>
  <c r="G8958" i="4"/>
  <c r="G8950" i="4"/>
  <c r="G8942" i="4"/>
  <c r="G8934" i="4"/>
  <c r="G8926" i="4"/>
  <c r="G8918" i="4"/>
  <c r="G8910" i="4"/>
  <c r="G8902" i="4"/>
  <c r="G8894" i="4"/>
  <c r="G8886" i="4"/>
  <c r="G8878" i="4"/>
  <c r="G8870" i="4"/>
  <c r="G8862" i="4"/>
  <c r="G8854" i="4"/>
  <c r="G8846" i="4"/>
  <c r="G8838" i="4"/>
  <c r="G8830" i="4"/>
  <c r="G8822" i="4"/>
  <c r="G8814" i="4"/>
  <c r="G8806" i="4"/>
  <c r="G8798" i="4"/>
  <c r="G8790" i="4"/>
  <c r="G8782" i="4"/>
  <c r="G8774" i="4"/>
  <c r="G8766" i="4"/>
  <c r="G8758" i="4"/>
  <c r="G8750" i="4"/>
  <c r="G8742" i="4"/>
  <c r="G8734" i="4"/>
  <c r="G8726" i="4"/>
  <c r="G8718" i="4"/>
  <c r="G8710" i="4"/>
  <c r="G8702" i="4"/>
  <c r="G8694" i="4"/>
  <c r="G8686" i="4"/>
  <c r="G8678" i="4"/>
  <c r="G8670" i="4"/>
  <c r="G8662" i="4"/>
  <c r="G8654" i="4"/>
  <c r="G8646" i="4"/>
  <c r="G8638" i="4"/>
  <c r="G8630" i="4"/>
  <c r="G8622" i="4"/>
  <c r="G8614" i="4"/>
  <c r="G8606" i="4"/>
  <c r="G8598" i="4"/>
  <c r="G8590" i="4"/>
  <c r="G8582" i="4"/>
  <c r="G8574" i="4"/>
  <c r="G8566" i="4"/>
  <c r="G8558" i="4"/>
  <c r="G8550" i="4"/>
  <c r="G8542" i="4"/>
  <c r="G8534" i="4"/>
  <c r="G8526" i="4"/>
  <c r="G8518" i="4"/>
  <c r="G8510" i="4"/>
  <c r="G8502" i="4"/>
  <c r="G8494" i="4"/>
  <c r="G8486" i="4"/>
  <c r="G8478" i="4"/>
  <c r="G8470" i="4"/>
  <c r="G8462" i="4"/>
  <c r="G8454" i="4"/>
  <c r="G8446" i="4"/>
  <c r="G8438" i="4"/>
  <c r="G8430" i="4"/>
  <c r="G8422" i="4"/>
  <c r="G8414" i="4"/>
  <c r="G8406" i="4"/>
  <c r="G8398" i="4"/>
  <c r="G8390" i="4"/>
  <c r="G8382" i="4"/>
  <c r="G8374" i="4"/>
  <c r="G8366" i="4"/>
  <c r="G8358" i="4"/>
  <c r="G8350" i="4"/>
  <c r="G8342" i="4"/>
  <c r="G8334" i="4"/>
  <c r="G8326" i="4"/>
  <c r="G8318" i="4"/>
  <c r="G8295" i="4"/>
  <c r="G7639" i="4"/>
  <c r="G7621" i="4"/>
  <c r="G7605" i="4"/>
  <c r="G7642" i="4"/>
  <c r="G7241" i="4"/>
  <c r="G7225" i="4"/>
  <c r="G7217" i="4"/>
  <c r="G7201" i="4"/>
  <c r="G7161" i="4"/>
  <c r="G7145" i="4"/>
  <c r="G7129" i="4"/>
  <c r="G7113" i="4"/>
  <c r="G7105" i="4"/>
  <c r="G6943" i="4"/>
  <c r="G6935" i="4"/>
  <c r="G6927" i="4"/>
  <c r="G6919" i="4"/>
  <c r="G6944" i="4"/>
  <c r="G6936" i="4"/>
  <c r="G6928" i="4"/>
  <c r="G6912" i="4"/>
  <c r="G6904" i="4"/>
  <c r="G6896" i="4"/>
  <c r="G6880" i="4"/>
  <c r="G6864" i="4"/>
  <c r="G6848" i="4"/>
  <c r="G6824" i="4"/>
  <c r="G6792" i="4"/>
  <c r="G6784" i="4"/>
  <c r="G6760" i="4"/>
  <c r="G6752" i="4"/>
  <c r="G6736" i="4"/>
  <c r="G6712" i="4"/>
  <c r="G6672" i="4"/>
  <c r="G6664" i="4"/>
  <c r="G6648" i="4"/>
  <c r="G6640" i="4"/>
  <c r="G6616" i="4"/>
  <c r="G6520" i="4"/>
  <c r="G6504" i="4"/>
  <c r="G6488" i="4"/>
  <c r="G6480" i="4"/>
  <c r="G6472" i="4"/>
  <c r="G6429" i="4"/>
  <c r="G6333" i="4"/>
  <c r="G6317" i="4"/>
  <c r="G6253" i="4"/>
  <c r="G6189" i="4"/>
  <c r="G6171" i="4"/>
  <c r="G6460" i="4"/>
  <c r="G6452" i="4"/>
  <c r="G6444" i="4"/>
  <c r="G6436" i="4"/>
  <c r="G6133" i="4"/>
  <c r="G6117" i="4"/>
  <c r="G6053" i="4"/>
  <c r="G6026" i="4"/>
  <c r="G6010" i="4"/>
  <c r="G9411" i="4"/>
  <c r="G9403" i="4"/>
  <c r="G9395" i="4"/>
  <c r="G9387" i="4"/>
  <c r="G9379" i="4"/>
  <c r="G9371" i="4"/>
  <c r="G9363" i="4"/>
  <c r="G9355" i="4"/>
  <c r="G9347" i="4"/>
  <c r="G9339" i="4"/>
  <c r="G9331" i="4"/>
  <c r="G9323" i="4"/>
  <c r="G9315" i="4"/>
  <c r="G9307" i="4"/>
  <c r="G9299" i="4"/>
  <c r="G9291" i="4"/>
  <c r="G9283" i="4"/>
  <c r="G9275" i="4"/>
  <c r="G9267" i="4"/>
  <c r="G9259" i="4"/>
  <c r="G9251" i="4"/>
  <c r="G9243" i="4"/>
  <c r="G9235" i="4"/>
  <c r="G9227" i="4"/>
  <c r="G9219" i="4"/>
  <c r="G9211" i="4"/>
  <c r="G9203" i="4"/>
  <c r="G9195" i="4"/>
  <c r="G9187" i="4"/>
  <c r="G9179" i="4"/>
  <c r="G9171" i="4"/>
  <c r="G9163" i="4"/>
  <c r="G9155" i="4"/>
  <c r="G9147" i="4"/>
  <c r="G9139" i="4"/>
  <c r="G9131" i="4"/>
  <c r="G9123" i="4"/>
  <c r="G9115" i="4"/>
  <c r="G9107" i="4"/>
  <c r="G9099" i="4"/>
  <c r="G9091" i="4"/>
  <c r="G9083" i="4"/>
  <c r="G9075" i="4"/>
  <c r="G9067" i="4"/>
  <c r="G9059" i="4"/>
  <c r="G9051" i="4"/>
  <c r="G9043" i="4"/>
  <c r="G9035" i="4"/>
  <c r="G9027" i="4"/>
  <c r="G9019" i="4"/>
  <c r="G9011" i="4"/>
  <c r="G9003" i="4"/>
  <c r="G8995" i="4"/>
  <c r="G8987" i="4"/>
  <c r="G8979" i="4"/>
  <c r="G8973" i="4"/>
  <c r="G8965" i="4"/>
  <c r="G8957" i="4"/>
  <c r="G8949" i="4"/>
  <c r="G8941" i="4"/>
  <c r="G8933" i="4"/>
  <c r="G8925" i="4"/>
  <c r="G8917" i="4"/>
  <c r="G8909" i="4"/>
  <c r="G8901" i="4"/>
  <c r="G8893" i="4"/>
  <c r="G8885" i="4"/>
  <c r="G8877" i="4"/>
  <c r="G8869" i="4"/>
  <c r="G8861" i="4"/>
  <c r="G8853" i="4"/>
  <c r="G8845" i="4"/>
  <c r="G8837" i="4"/>
  <c r="G8829" i="4"/>
  <c r="G8821" i="4"/>
  <c r="G8813" i="4"/>
  <c r="G8805" i="4"/>
  <c r="G8797" i="4"/>
  <c r="G8789" i="4"/>
  <c r="G8781" i="4"/>
  <c r="G8773" i="4"/>
  <c r="G8765" i="4"/>
  <c r="G8757" i="4"/>
  <c r="G8749" i="4"/>
  <c r="G8741" i="4"/>
  <c r="G8733" i="4"/>
  <c r="G8725" i="4"/>
  <c r="G8717" i="4"/>
  <c r="G8709" i="4"/>
  <c r="G8701" i="4"/>
  <c r="G8693" i="4"/>
  <c r="G8685" i="4"/>
  <c r="G8677" i="4"/>
  <c r="G8669" i="4"/>
  <c r="G8661" i="4"/>
  <c r="G8653" i="4"/>
  <c r="G8645" i="4"/>
  <c r="G8637" i="4"/>
  <c r="G8629" i="4"/>
  <c r="G8621" i="4"/>
  <c r="G8613" i="4"/>
  <c r="G8605" i="4"/>
  <c r="G8597" i="4"/>
  <c r="G8589" i="4"/>
  <c r="G8581" i="4"/>
  <c r="G8573" i="4"/>
  <c r="G8565" i="4"/>
  <c r="G8557" i="4"/>
  <c r="G8549" i="4"/>
  <c r="G8541" i="4"/>
  <c r="G8533" i="4"/>
  <c r="G8525" i="4"/>
  <c r="G8517" i="4"/>
  <c r="G8509" i="4"/>
  <c r="G8501" i="4"/>
  <c r="G8493" i="4"/>
  <c r="G8485" i="4"/>
  <c r="G8477" i="4"/>
  <c r="G8469" i="4"/>
  <c r="G8461" i="4"/>
  <c r="G8453" i="4"/>
  <c r="G8445" i="4"/>
  <c r="G8437" i="4"/>
  <c r="G8429" i="4"/>
  <c r="G8421" i="4"/>
  <c r="G8413" i="4"/>
  <c r="G8405" i="4"/>
  <c r="G8397" i="4"/>
  <c r="G8389" i="4"/>
  <c r="G8381" i="4"/>
  <c r="G8373" i="4"/>
  <c r="G8365" i="4"/>
  <c r="G8357" i="4"/>
  <c r="G8349" i="4"/>
  <c r="G8341" i="4"/>
  <c r="G8333" i="4"/>
  <c r="G8325" i="4"/>
  <c r="G8317" i="4"/>
  <c r="G8293" i="4"/>
  <c r="G8964" i="4"/>
  <c r="G8956" i="4"/>
  <c r="G8948" i="4"/>
  <c r="G8940" i="4"/>
  <c r="G8932" i="4"/>
  <c r="G8924" i="4"/>
  <c r="G8916" i="4"/>
  <c r="G8908" i="4"/>
  <c r="G8900" i="4"/>
  <c r="G8892" i="4"/>
  <c r="G8884" i="4"/>
  <c r="G8876" i="4"/>
  <c r="G8868" i="4"/>
  <c r="G8860" i="4"/>
  <c r="G8852" i="4"/>
  <c r="G8844" i="4"/>
  <c r="G8836" i="4"/>
  <c r="G8828" i="4"/>
  <c r="G8820" i="4"/>
  <c r="G8812" i="4"/>
  <c r="G8804" i="4"/>
  <c r="G8796" i="4"/>
  <c r="G8788" i="4"/>
  <c r="G8780" i="4"/>
  <c r="G8772" i="4"/>
  <c r="G8764" i="4"/>
  <c r="G8756" i="4"/>
  <c r="G8748" i="4"/>
  <c r="G8740" i="4"/>
  <c r="G8732" i="4"/>
  <c r="G8724" i="4"/>
  <c r="G8716" i="4"/>
  <c r="G8708" i="4"/>
  <c r="G8700" i="4"/>
  <c r="G8692" i="4"/>
  <c r="G8684" i="4"/>
  <c r="G8676" i="4"/>
  <c r="G8668" i="4"/>
  <c r="G8660" i="4"/>
  <c r="G8652" i="4"/>
  <c r="G8644" i="4"/>
  <c r="G8636" i="4"/>
  <c r="G8628" i="4"/>
  <c r="G8620" i="4"/>
  <c r="G8612" i="4"/>
  <c r="G8604" i="4"/>
  <c r="G8596" i="4"/>
  <c r="G8588" i="4"/>
  <c r="G8580" i="4"/>
  <c r="G8572" i="4"/>
  <c r="G8564" i="4"/>
  <c r="G8556" i="4"/>
  <c r="G8548" i="4"/>
  <c r="G8540" i="4"/>
  <c r="G8532" i="4"/>
  <c r="G8524" i="4"/>
  <c r="G8516" i="4"/>
  <c r="G8508" i="4"/>
  <c r="G8500" i="4"/>
  <c r="G8492" i="4"/>
  <c r="G8484" i="4"/>
  <c r="G8476" i="4"/>
  <c r="G8468" i="4"/>
  <c r="G8460" i="4"/>
  <c r="G8452" i="4"/>
  <c r="G8444" i="4"/>
  <c r="G8436" i="4"/>
  <c r="G8428" i="4"/>
  <c r="G8420" i="4"/>
  <c r="G8412" i="4"/>
  <c r="G8404" i="4"/>
  <c r="G8396" i="4"/>
  <c r="G8388" i="4"/>
  <c r="G8380" i="4"/>
  <c r="G8372" i="4"/>
  <c r="G8364" i="4"/>
  <c r="G8356" i="4"/>
  <c r="G8348" i="4"/>
  <c r="G8340" i="4"/>
  <c r="G8332" i="4"/>
  <c r="G8324" i="4"/>
  <c r="G8316" i="4"/>
  <c r="G8307" i="4"/>
  <c r="G7635" i="4"/>
  <c r="G8304" i="4"/>
  <c r="G8296" i="4"/>
  <c r="G8288" i="4"/>
  <c r="G8280" i="4"/>
  <c r="G8272" i="4"/>
  <c r="G8264" i="4"/>
  <c r="G8256" i="4"/>
  <c r="G8248" i="4"/>
  <c r="G8240" i="4"/>
  <c r="G8232" i="4"/>
  <c r="G8224" i="4"/>
  <c r="G8216" i="4"/>
  <c r="G8208" i="4"/>
  <c r="G8200" i="4"/>
  <c r="G8192" i="4"/>
  <c r="G8184" i="4"/>
  <c r="G8176" i="4"/>
  <c r="G8168" i="4"/>
  <c r="G8160" i="4"/>
  <c r="G8152" i="4"/>
  <c r="G8144" i="4"/>
  <c r="G8136" i="4"/>
  <c r="G8128" i="4"/>
  <c r="G8120" i="4"/>
  <c r="G8112" i="4"/>
  <c r="G8104" i="4"/>
  <c r="G8096" i="4"/>
  <c r="G8088" i="4"/>
  <c r="G8080" i="4"/>
  <c r="G8072" i="4"/>
  <c r="G8064" i="4"/>
  <c r="G8056" i="4"/>
  <c r="G8048" i="4"/>
  <c r="G8040" i="4"/>
  <c r="G8024" i="4"/>
  <c r="G8016" i="4"/>
  <c r="G8008" i="4"/>
  <c r="G8000" i="4"/>
  <c r="G7992" i="4"/>
  <c r="G7984" i="4"/>
  <c r="G7976" i="4"/>
  <c r="G7968" i="4"/>
  <c r="G7960" i="4"/>
  <c r="G7952" i="4"/>
  <c r="G7944" i="4"/>
  <c r="G7936" i="4"/>
  <c r="G7928" i="4"/>
  <c r="G7920" i="4"/>
  <c r="G7912" i="4"/>
  <c r="G7904" i="4"/>
  <c r="G7896" i="4"/>
  <c r="G7888" i="4"/>
  <c r="G7880" i="4"/>
  <c r="G7872" i="4"/>
  <c r="G7856" i="4"/>
  <c r="G7848" i="4"/>
  <c r="G7840" i="4"/>
  <c r="G7824" i="4"/>
  <c r="G7808" i="4"/>
  <c r="G7800" i="4"/>
  <c r="G7792" i="4"/>
  <c r="G7768" i="4"/>
  <c r="G7760" i="4"/>
  <c r="G7744" i="4"/>
  <c r="G7736" i="4"/>
  <c r="G7728" i="4"/>
  <c r="G7712" i="4"/>
  <c r="G7704" i="4"/>
  <c r="G7696" i="4"/>
  <c r="G7688" i="4"/>
  <c r="G7680" i="4"/>
  <c r="G7672" i="4"/>
  <c r="G7648" i="4"/>
  <c r="G7627" i="4"/>
  <c r="G7603" i="4"/>
  <c r="G7595" i="4"/>
  <c r="G7579" i="4"/>
  <c r="G7563" i="4"/>
  <c r="G7555" i="4"/>
  <c r="G7547" i="4"/>
  <c r="G7539" i="4"/>
  <c r="G7523" i="4"/>
  <c r="G7515" i="4"/>
  <c r="G7507" i="4"/>
  <c r="G7499" i="4"/>
  <c r="G7491" i="4"/>
  <c r="G7467" i="4"/>
  <c r="G7459" i="4"/>
  <c r="G7451" i="4"/>
  <c r="G7443" i="4"/>
  <c r="G7435" i="4"/>
  <c r="G7427" i="4"/>
  <c r="G7419" i="4"/>
  <c r="G7403" i="4"/>
  <c r="G7395" i="4"/>
  <c r="G7379" i="4"/>
  <c r="G7371" i="4"/>
  <c r="G7363" i="4"/>
  <c r="G7355" i="4"/>
  <c r="G7347" i="4"/>
  <c r="G7323" i="4"/>
  <c r="G7315" i="4"/>
  <c r="G7307" i="4"/>
  <c r="G7299" i="4"/>
  <c r="G7291" i="4"/>
  <c r="G7640" i="4"/>
  <c r="G7632" i="4"/>
  <c r="G7624" i="4"/>
  <c r="G7616" i="4"/>
  <c r="G7608" i="4"/>
  <c r="G7600" i="4"/>
  <c r="G7592" i="4"/>
  <c r="G7584" i="4"/>
  <c r="G7576" i="4"/>
  <c r="G7568" i="4"/>
  <c r="G7552" i="4"/>
  <c r="G7536" i="4"/>
  <c r="G7528" i="4"/>
  <c r="G7520" i="4"/>
  <c r="G7512" i="4"/>
  <c r="G7504" i="4"/>
  <c r="G7496" i="4"/>
  <c r="G7488" i="4"/>
  <c r="G7480" i="4"/>
  <c r="G7464" i="4"/>
  <c r="G7448" i="4"/>
  <c r="G7440" i="4"/>
  <c r="G7432" i="4"/>
  <c r="G7424" i="4"/>
  <c r="G7416" i="4"/>
  <c r="G7408" i="4"/>
  <c r="G7384" i="4"/>
  <c r="G7344" i="4"/>
  <c r="G7336" i="4"/>
  <c r="G7328" i="4"/>
  <c r="G7320" i="4"/>
  <c r="G7312" i="4"/>
  <c r="G7296" i="4"/>
  <c r="G7287" i="4"/>
  <c r="G7247" i="4"/>
  <c r="G7239" i="4"/>
  <c r="G7231" i="4"/>
  <c r="G7215" i="4"/>
  <c r="G7175" i="4"/>
  <c r="G7167" i="4"/>
  <c r="G7143" i="4"/>
  <c r="G7119" i="4"/>
  <c r="G7111" i="4"/>
  <c r="G7103" i="4"/>
  <c r="G7095" i="4"/>
  <c r="G7079" i="4"/>
  <c r="G7071" i="4"/>
  <c r="G7063" i="4"/>
  <c r="G7047" i="4"/>
  <c r="G7031" i="4"/>
  <c r="G7015" i="4"/>
  <c r="G7007" i="4"/>
  <c r="G6991" i="4"/>
  <c r="G6967" i="4"/>
  <c r="G6959" i="4"/>
  <c r="G6951" i="4"/>
  <c r="G6933" i="4"/>
  <c r="G6925" i="4"/>
  <c r="G6917" i="4"/>
  <c r="G6909" i="4"/>
  <c r="G6893" i="4"/>
  <c r="G6885" i="4"/>
  <c r="G6877" i="4"/>
  <c r="G6869" i="4"/>
  <c r="G6861" i="4"/>
  <c r="G6845" i="4"/>
  <c r="G6829" i="4"/>
  <c r="G6813" i="4"/>
  <c r="G6789" i="4"/>
  <c r="G6749" i="4"/>
  <c r="G6733" i="4"/>
  <c r="G6709" i="4"/>
  <c r="G6685" i="4"/>
  <c r="G6677" i="4"/>
  <c r="G6661" i="4"/>
  <c r="G6653" i="4"/>
  <c r="G6645" i="4"/>
  <c r="G6910" i="4"/>
  <c r="G6902" i="4"/>
  <c r="G6878" i="4"/>
  <c r="G6854" i="4"/>
  <c r="G6846" i="4"/>
  <c r="G6838" i="4"/>
  <c r="G6830" i="4"/>
  <c r="G6822" i="4"/>
  <c r="G6814" i="4"/>
  <c r="G6806" i="4"/>
  <c r="G6782" i="4"/>
  <c r="G6774" i="4"/>
  <c r="G6766" i="4"/>
  <c r="G6758" i="4"/>
  <c r="G6734" i="4"/>
  <c r="G6710" i="4"/>
  <c r="G6678" i="4"/>
  <c r="G6670" i="4"/>
  <c r="G6662" i="4"/>
  <c r="G6654" i="4"/>
  <c r="G6638" i="4"/>
  <c r="G6622" i="4"/>
  <c r="G6614" i="4"/>
  <c r="G6590" i="4"/>
  <c r="G6574" i="4"/>
  <c r="G6558" i="4"/>
  <c r="G6550" i="4"/>
  <c r="G6542" i="4"/>
  <c r="G6518" i="4"/>
  <c r="G6494" i="4"/>
  <c r="G6478" i="4"/>
  <c r="G6470" i="4"/>
  <c r="G6601" i="4"/>
  <c r="G6593" i="4"/>
  <c r="G6585" i="4"/>
  <c r="G6577" i="4"/>
  <c r="G6561" i="4"/>
  <c r="G6553" i="4"/>
  <c r="G6529" i="4"/>
  <c r="G6521" i="4"/>
  <c r="G6513" i="4"/>
  <c r="G6497" i="4"/>
  <c r="G6489" i="4"/>
  <c r="G6419" i="4"/>
  <c r="G6411" i="4"/>
  <c r="G6403" i="4"/>
  <c r="G6363" i="4"/>
  <c r="G6347" i="4"/>
  <c r="G6331" i="4"/>
  <c r="G6323" i="4"/>
  <c r="G6299" i="4"/>
  <c r="G6291" i="4"/>
  <c r="G6283" i="4"/>
  <c r="G6275" i="4"/>
  <c r="G6251" i="4"/>
  <c r="G6243" i="4"/>
  <c r="G6219" i="4"/>
  <c r="G6195" i="4"/>
  <c r="G6187" i="4"/>
  <c r="G6179" i="4"/>
  <c r="G6466" i="4"/>
  <c r="G6450" i="4"/>
  <c r="G6442" i="4"/>
  <c r="G6418" i="4"/>
  <c r="G6410" i="4"/>
  <c r="G6394" i="4"/>
  <c r="G6370" i="4"/>
  <c r="G6354" i="4"/>
  <c r="G6346" i="4"/>
  <c r="G6322" i="4"/>
  <c r="G6290" i="4"/>
  <c r="G6282" i="4"/>
  <c r="G6258" i="4"/>
  <c r="G6242" i="4"/>
  <c r="G6202" i="4"/>
  <c r="G6139" i="4"/>
  <c r="G6123" i="4"/>
  <c r="G6091" i="4"/>
  <c r="G6075" i="4"/>
  <c r="G6059" i="4"/>
  <c r="G5468" i="4"/>
  <c r="G6043" i="4"/>
  <c r="G5963" i="4"/>
  <c r="G6154" i="4"/>
  <c r="G6146" i="4"/>
  <c r="G6138" i="4"/>
  <c r="G6130" i="4"/>
  <c r="G6106" i="4"/>
  <c r="G6090" i="4"/>
  <c r="G6082" i="4"/>
  <c r="G6058" i="4"/>
  <c r="G6040" i="4"/>
  <c r="G6024" i="4"/>
  <c r="G6008" i="4"/>
  <c r="G5984" i="4"/>
  <c r="G5960" i="4"/>
  <c r="G5944" i="4"/>
  <c r="G5770" i="4"/>
  <c r="G5433" i="4"/>
  <c r="E4953" i="4"/>
  <c r="F4953" i="4"/>
  <c r="G8971" i="4"/>
  <c r="G8963" i="4"/>
  <c r="G8955" i="4"/>
  <c r="G8947" i="4"/>
  <c r="G8939" i="4"/>
  <c r="G8931" i="4"/>
  <c r="G8923" i="4"/>
  <c r="G8915" i="4"/>
  <c r="G8907" i="4"/>
  <c r="G8899" i="4"/>
  <c r="G8891" i="4"/>
  <c r="G8883" i="4"/>
  <c r="G8875" i="4"/>
  <c r="G8867" i="4"/>
  <c r="G8859" i="4"/>
  <c r="G8851" i="4"/>
  <c r="G8843" i="4"/>
  <c r="G8835" i="4"/>
  <c r="G8827" i="4"/>
  <c r="G8819" i="4"/>
  <c r="G8811" i="4"/>
  <c r="G8803" i="4"/>
  <c r="G8795" i="4"/>
  <c r="G8787" i="4"/>
  <c r="G8779" i="4"/>
  <c r="G8771" i="4"/>
  <c r="G8763" i="4"/>
  <c r="G8755" i="4"/>
  <c r="G8747" i="4"/>
  <c r="G8739" i="4"/>
  <c r="G8731" i="4"/>
  <c r="G8723" i="4"/>
  <c r="G8715" i="4"/>
  <c r="G8707" i="4"/>
  <c r="G8699" i="4"/>
  <c r="G8691" i="4"/>
  <c r="G8683" i="4"/>
  <c r="G8675" i="4"/>
  <c r="G8667" i="4"/>
  <c r="G8659" i="4"/>
  <c r="G8651" i="4"/>
  <c r="G8643" i="4"/>
  <c r="G8635" i="4"/>
  <c r="G8627" i="4"/>
  <c r="G8619" i="4"/>
  <c r="G8611" i="4"/>
  <c r="G8603" i="4"/>
  <c r="G8595" i="4"/>
  <c r="G8587" i="4"/>
  <c r="G8579" i="4"/>
  <c r="G8571" i="4"/>
  <c r="G8563" i="4"/>
  <c r="G8555" i="4"/>
  <c r="G8547" i="4"/>
  <c r="G8539" i="4"/>
  <c r="G8531" i="4"/>
  <c r="G8523" i="4"/>
  <c r="G8515" i="4"/>
  <c r="G8507" i="4"/>
  <c r="G8499" i="4"/>
  <c r="G8491" i="4"/>
  <c r="G8483" i="4"/>
  <c r="G8475" i="4"/>
  <c r="G8467" i="4"/>
  <c r="G8459" i="4"/>
  <c r="G8451" i="4"/>
  <c r="G8443" i="4"/>
  <c r="G8435" i="4"/>
  <c r="G8427" i="4"/>
  <c r="G8419" i="4"/>
  <c r="G8411" i="4"/>
  <c r="G8403" i="4"/>
  <c r="G8395" i="4"/>
  <c r="G8387" i="4"/>
  <c r="G8379" i="4"/>
  <c r="G8371" i="4"/>
  <c r="G8363" i="4"/>
  <c r="G8355" i="4"/>
  <c r="G8347" i="4"/>
  <c r="G8339" i="4"/>
  <c r="G8331" i="4"/>
  <c r="G8323" i="4"/>
  <c r="G8315" i="4"/>
  <c r="G8305" i="4"/>
  <c r="G8970" i="4"/>
  <c r="G8962" i="4"/>
  <c r="G8954" i="4"/>
  <c r="G8946" i="4"/>
  <c r="G8938" i="4"/>
  <c r="G8930" i="4"/>
  <c r="G8922" i="4"/>
  <c r="G8914" i="4"/>
  <c r="G8906" i="4"/>
  <c r="G8898" i="4"/>
  <c r="G8890" i="4"/>
  <c r="G8882" i="4"/>
  <c r="G8874" i="4"/>
  <c r="G8866" i="4"/>
  <c r="G8858" i="4"/>
  <c r="G8850" i="4"/>
  <c r="G8842" i="4"/>
  <c r="G8834" i="4"/>
  <c r="G8826" i="4"/>
  <c r="G8818" i="4"/>
  <c r="G8810" i="4"/>
  <c r="G8802" i="4"/>
  <c r="G8794" i="4"/>
  <c r="G8786" i="4"/>
  <c r="G8778" i="4"/>
  <c r="G8770" i="4"/>
  <c r="G8762" i="4"/>
  <c r="G8754" i="4"/>
  <c r="G8746" i="4"/>
  <c r="G8738" i="4"/>
  <c r="G8730" i="4"/>
  <c r="G8722" i="4"/>
  <c r="G8714" i="4"/>
  <c r="G8706" i="4"/>
  <c r="G8698" i="4"/>
  <c r="G8690" i="4"/>
  <c r="G8682" i="4"/>
  <c r="G8674" i="4"/>
  <c r="G8666" i="4"/>
  <c r="G8658" i="4"/>
  <c r="G8650" i="4"/>
  <c r="G8642" i="4"/>
  <c r="G8634" i="4"/>
  <c r="G8626" i="4"/>
  <c r="G8618" i="4"/>
  <c r="G8610" i="4"/>
  <c r="G8602" i="4"/>
  <c r="G8594" i="4"/>
  <c r="G8586" i="4"/>
  <c r="G8578" i="4"/>
  <c r="G8570" i="4"/>
  <c r="G8562" i="4"/>
  <c r="G8554" i="4"/>
  <c r="G8546" i="4"/>
  <c r="G8538" i="4"/>
  <c r="G8530" i="4"/>
  <c r="G8522" i="4"/>
  <c r="G8514" i="4"/>
  <c r="G8506" i="4"/>
  <c r="G8498" i="4"/>
  <c r="G8490" i="4"/>
  <c r="G8482" i="4"/>
  <c r="G8474" i="4"/>
  <c r="G8466" i="4"/>
  <c r="G8458" i="4"/>
  <c r="G8450" i="4"/>
  <c r="G8442" i="4"/>
  <c r="G8434" i="4"/>
  <c r="G8426" i="4"/>
  <c r="G8418" i="4"/>
  <c r="G8410" i="4"/>
  <c r="G8402" i="4"/>
  <c r="G8394" i="4"/>
  <c r="G8386" i="4"/>
  <c r="G8378" i="4"/>
  <c r="G8370" i="4"/>
  <c r="G8362" i="4"/>
  <c r="G8354" i="4"/>
  <c r="G8346" i="4"/>
  <c r="G8338" i="4"/>
  <c r="G8330" i="4"/>
  <c r="G8322" i="4"/>
  <c r="G8314" i="4"/>
  <c r="G8303" i="4"/>
  <c r="G7631" i="4"/>
  <c r="G8310" i="4"/>
  <c r="G7633" i="4"/>
  <c r="G7625" i="4"/>
  <c r="G7617" i="4"/>
  <c r="G7609" i="4"/>
  <c r="G7253" i="4"/>
  <c r="G7237" i="4"/>
  <c r="G7213" i="4"/>
  <c r="G7205" i="4"/>
  <c r="G7197" i="4"/>
  <c r="G7189" i="4"/>
  <c r="G7165" i="4"/>
  <c r="G7157" i="4"/>
  <c r="G7149" i="4"/>
  <c r="G7141" i="4"/>
  <c r="G7133" i="4"/>
  <c r="G7125" i="4"/>
  <c r="G7093" i="4"/>
  <c r="G7085" i="4"/>
  <c r="G7077" i="4"/>
  <c r="G7069" i="4"/>
  <c r="G7053" i="4"/>
  <c r="G7045" i="4"/>
  <c r="G7029" i="4"/>
  <c r="G6997" i="4"/>
  <c r="G6989" i="4"/>
  <c r="G6981" i="4"/>
  <c r="G6973" i="4"/>
  <c r="G6949" i="4"/>
  <c r="G6931" i="4"/>
  <c r="G6915" i="4"/>
  <c r="G6859" i="4"/>
  <c r="G6924" i="4"/>
  <c r="G6892" i="4"/>
  <c r="G6884" i="4"/>
  <c r="G6868" i="4"/>
  <c r="G6860" i="4"/>
  <c r="G6852" i="4"/>
  <c r="G6836" i="4"/>
  <c r="G6820" i="4"/>
  <c r="G6812" i="4"/>
  <c r="G6780" i="4"/>
  <c r="G6724" i="4"/>
  <c r="G6708" i="4"/>
  <c r="G6700" i="4"/>
  <c r="G6692" i="4"/>
  <c r="G6684" i="4"/>
  <c r="G6668" i="4"/>
  <c r="G6660" i="4"/>
  <c r="G6644" i="4"/>
  <c r="G6628" i="4"/>
  <c r="G6620" i="4"/>
  <c r="G6612" i="4"/>
  <c r="G6596" i="4"/>
  <c r="G6572" i="4"/>
  <c r="G6564" i="4"/>
  <c r="G6556" i="4"/>
  <c r="G6548" i="4"/>
  <c r="G6540" i="4"/>
  <c r="G6532" i="4"/>
  <c r="G6524" i="4"/>
  <c r="G6484" i="4"/>
  <c r="G6476" i="4"/>
  <c r="G6449" i="4"/>
  <c r="G6425" i="4"/>
  <c r="G6409" i="4"/>
  <c r="G6377" i="4"/>
  <c r="G6329" i="4"/>
  <c r="G6313" i="4"/>
  <c r="G6297" i="4"/>
  <c r="G6281" i="4"/>
  <c r="G6265" i="4"/>
  <c r="G6233" i="4"/>
  <c r="G6201" i="4"/>
  <c r="G6464" i="4"/>
  <c r="G6161" i="4"/>
  <c r="G6049" i="4"/>
  <c r="G5987" i="4"/>
  <c r="G6176" i="4"/>
  <c r="G5432" i="4"/>
  <c r="E5392" i="4"/>
  <c r="F5392" i="4"/>
  <c r="G8969" i="4"/>
  <c r="G8961" i="4"/>
  <c r="G8953" i="4"/>
  <c r="G8945" i="4"/>
  <c r="G8937" i="4"/>
  <c r="G8929" i="4"/>
  <c r="G8921" i="4"/>
  <c r="G8913" i="4"/>
  <c r="G8905" i="4"/>
  <c r="G8897" i="4"/>
  <c r="G8889" i="4"/>
  <c r="G8881" i="4"/>
  <c r="G8873" i="4"/>
  <c r="G8865" i="4"/>
  <c r="G8857" i="4"/>
  <c r="G8849" i="4"/>
  <c r="G8841" i="4"/>
  <c r="G8833" i="4"/>
  <c r="G8825" i="4"/>
  <c r="G8817" i="4"/>
  <c r="G8809" i="4"/>
  <c r="G8801" i="4"/>
  <c r="G8793" i="4"/>
  <c r="G8785" i="4"/>
  <c r="G8777" i="4"/>
  <c r="G8769" i="4"/>
  <c r="G8761" i="4"/>
  <c r="G8753" i="4"/>
  <c r="G8745" i="4"/>
  <c r="G8737" i="4"/>
  <c r="G8729" i="4"/>
  <c r="G8721" i="4"/>
  <c r="G8713" i="4"/>
  <c r="G8705" i="4"/>
  <c r="G8697" i="4"/>
  <c r="G8689" i="4"/>
  <c r="G8681" i="4"/>
  <c r="G8673" i="4"/>
  <c r="G8665" i="4"/>
  <c r="G8657" i="4"/>
  <c r="G8649" i="4"/>
  <c r="G8641" i="4"/>
  <c r="G8633" i="4"/>
  <c r="G8625" i="4"/>
  <c r="G8617" i="4"/>
  <c r="G8609" i="4"/>
  <c r="G8601" i="4"/>
  <c r="G8593" i="4"/>
  <c r="G8585" i="4"/>
  <c r="G8577" i="4"/>
  <c r="G8569" i="4"/>
  <c r="G8561" i="4"/>
  <c r="G8553" i="4"/>
  <c r="G8545" i="4"/>
  <c r="G8537" i="4"/>
  <c r="G8529" i="4"/>
  <c r="G8521" i="4"/>
  <c r="G8513" i="4"/>
  <c r="G8505" i="4"/>
  <c r="G8497" i="4"/>
  <c r="G8489" i="4"/>
  <c r="G8481" i="4"/>
  <c r="G8473" i="4"/>
  <c r="G8465" i="4"/>
  <c r="G8457" i="4"/>
  <c r="G8449" i="4"/>
  <c r="G8441" i="4"/>
  <c r="G8433" i="4"/>
  <c r="G8425" i="4"/>
  <c r="G8417" i="4"/>
  <c r="G8409" i="4"/>
  <c r="G8401" i="4"/>
  <c r="G8393" i="4"/>
  <c r="G8385" i="4"/>
  <c r="G8377" i="4"/>
  <c r="G8369" i="4"/>
  <c r="G8361" i="4"/>
  <c r="G8353" i="4"/>
  <c r="G8345" i="4"/>
  <c r="G8337" i="4"/>
  <c r="G8329" i="4"/>
  <c r="G8321" i="4"/>
  <c r="G8313" i="4"/>
  <c r="G8301" i="4"/>
  <c r="G8968" i="4"/>
  <c r="G8960" i="4"/>
  <c r="G8952" i="4"/>
  <c r="G8944" i="4"/>
  <c r="G8936" i="4"/>
  <c r="G8928" i="4"/>
  <c r="G8920" i="4"/>
  <c r="G8912" i="4"/>
  <c r="G8904" i="4"/>
  <c r="G8896" i="4"/>
  <c r="G8888" i="4"/>
  <c r="G8880" i="4"/>
  <c r="G8872" i="4"/>
  <c r="G8864" i="4"/>
  <c r="G8856" i="4"/>
  <c r="G8848" i="4"/>
  <c r="G8840" i="4"/>
  <c r="G8832" i="4"/>
  <c r="G8824" i="4"/>
  <c r="G8816" i="4"/>
  <c r="G8808" i="4"/>
  <c r="G8800" i="4"/>
  <c r="G8792" i="4"/>
  <c r="G8784" i="4"/>
  <c r="G8776" i="4"/>
  <c r="G8768" i="4"/>
  <c r="G8760" i="4"/>
  <c r="G8752" i="4"/>
  <c r="G8744" i="4"/>
  <c r="G8736" i="4"/>
  <c r="G8728" i="4"/>
  <c r="G8720" i="4"/>
  <c r="G8712" i="4"/>
  <c r="G8704" i="4"/>
  <c r="G8696" i="4"/>
  <c r="G8688" i="4"/>
  <c r="G8680" i="4"/>
  <c r="G8672" i="4"/>
  <c r="G8664" i="4"/>
  <c r="G8656" i="4"/>
  <c r="G8648" i="4"/>
  <c r="G8640" i="4"/>
  <c r="G8632" i="4"/>
  <c r="G8624" i="4"/>
  <c r="G8616" i="4"/>
  <c r="G8608" i="4"/>
  <c r="G8600" i="4"/>
  <c r="G8592" i="4"/>
  <c r="G8584" i="4"/>
  <c r="G8576" i="4"/>
  <c r="G8568" i="4"/>
  <c r="G8560" i="4"/>
  <c r="G8552" i="4"/>
  <c r="G8544" i="4"/>
  <c r="G8536" i="4"/>
  <c r="G8528" i="4"/>
  <c r="G8520" i="4"/>
  <c r="G8512" i="4"/>
  <c r="G8504" i="4"/>
  <c r="G8496" i="4"/>
  <c r="G8488" i="4"/>
  <c r="G8480" i="4"/>
  <c r="G8472" i="4"/>
  <c r="G8464" i="4"/>
  <c r="G8456" i="4"/>
  <c r="G8448" i="4"/>
  <c r="G8440" i="4"/>
  <c r="G8432" i="4"/>
  <c r="G8424" i="4"/>
  <c r="G8416" i="4"/>
  <c r="G8408" i="4"/>
  <c r="G8400" i="4"/>
  <c r="G8392" i="4"/>
  <c r="G8384" i="4"/>
  <c r="G8376" i="4"/>
  <c r="G8368" i="4"/>
  <c r="G8360" i="4"/>
  <c r="G8352" i="4"/>
  <c r="G8344" i="4"/>
  <c r="G8336" i="4"/>
  <c r="G8328" i="4"/>
  <c r="G8320" i="4"/>
  <c r="G8312" i="4"/>
  <c r="G8299" i="4"/>
  <c r="G8308" i="4"/>
  <c r="G8300" i="4"/>
  <c r="G8292" i="4"/>
  <c r="G8284" i="4"/>
  <c r="G8276" i="4"/>
  <c r="G8268" i="4"/>
  <c r="G8260" i="4"/>
  <c r="G8252" i="4"/>
  <c r="G8244" i="4"/>
  <c r="G8236" i="4"/>
  <c r="G8228" i="4"/>
  <c r="G8220" i="4"/>
  <c r="G8212" i="4"/>
  <c r="G8204" i="4"/>
  <c r="G8196" i="4"/>
  <c r="G8188" i="4"/>
  <c r="G8180" i="4"/>
  <c r="G8172" i="4"/>
  <c r="G8164" i="4"/>
  <c r="G8156" i="4"/>
  <c r="G8148" i="4"/>
  <c r="G8140" i="4"/>
  <c r="G8132" i="4"/>
  <c r="G8124" i="4"/>
  <c r="G8116" i="4"/>
  <c r="G8108" i="4"/>
  <c r="G8100" i="4"/>
  <c r="G8092" i="4"/>
  <c r="G8084" i="4"/>
  <c r="G8076" i="4"/>
  <c r="G8068" i="4"/>
  <c r="G8060" i="4"/>
  <c r="G8052" i="4"/>
  <c r="G8044" i="4"/>
  <c r="G8036" i="4"/>
  <c r="G8028" i="4"/>
  <c r="G8020" i="4"/>
  <c r="G8012" i="4"/>
  <c r="G8004" i="4"/>
  <c r="G7996" i="4"/>
  <c r="G7988" i="4"/>
  <c r="G7980" i="4"/>
  <c r="G7972" i="4"/>
  <c r="G7964" i="4"/>
  <c r="G7956" i="4"/>
  <c r="G7948" i="4"/>
  <c r="G7940" i="4"/>
  <c r="G7932" i="4"/>
  <c r="G7924" i="4"/>
  <c r="G7916" i="4"/>
  <c r="G7908" i="4"/>
  <c r="G7900" i="4"/>
  <c r="G7884" i="4"/>
  <c r="G7876" i="4"/>
  <c r="G7868" i="4"/>
  <c r="G7860" i="4"/>
  <c r="G7852" i="4"/>
  <c r="G7844" i="4"/>
  <c r="G7836" i="4"/>
  <c r="G7828" i="4"/>
  <c r="G7820" i="4"/>
  <c r="G7812" i="4"/>
  <c r="G7804" i="4"/>
  <c r="G7796" i="4"/>
  <c r="G7788" i="4"/>
  <c r="G7780" i="4"/>
  <c r="G7772" i="4"/>
  <c r="G7764" i="4"/>
  <c r="G7756" i="4"/>
  <c r="G7748" i="4"/>
  <c r="G7740" i="4"/>
  <c r="G7732" i="4"/>
  <c r="G7716" i="4"/>
  <c r="G7708" i="4"/>
  <c r="G7700" i="4"/>
  <c r="G7692" i="4"/>
  <c r="G7684" i="4"/>
  <c r="G7676" i="4"/>
  <c r="G7660" i="4"/>
  <c r="G7652" i="4"/>
  <c r="G7643" i="4"/>
  <c r="G7623" i="4"/>
  <c r="G7615" i="4"/>
  <c r="G7607" i="4"/>
  <c r="G7599" i="4"/>
  <c r="G7583" i="4"/>
  <c r="G7575" i="4"/>
  <c r="G7567" i="4"/>
  <c r="G7559" i="4"/>
  <c r="G7543" i="4"/>
  <c r="G7527" i="4"/>
  <c r="G7511" i="4"/>
  <c r="G7503" i="4"/>
  <c r="G7495" i="4"/>
  <c r="G7487" i="4"/>
  <c r="G7471" i="4"/>
  <c r="G7463" i="4"/>
  <c r="G7455" i="4"/>
  <c r="G7447" i="4"/>
  <c r="G7439" i="4"/>
  <c r="G7431" i="4"/>
  <c r="G7415" i="4"/>
  <c r="G7407" i="4"/>
  <c r="G7399" i="4"/>
  <c r="G7391" i="4"/>
  <c r="G7383" i="4"/>
  <c r="G7375" i="4"/>
  <c r="G7367" i="4"/>
  <c r="G7359" i="4"/>
  <c r="G7351" i="4"/>
  <c r="G7335" i="4"/>
  <c r="G7319" i="4"/>
  <c r="G7311" i="4"/>
  <c r="G7303" i="4"/>
  <c r="G7275" i="4"/>
  <c r="G7644" i="4"/>
  <c r="G7636" i="4"/>
  <c r="G7628" i="4"/>
  <c r="G7620" i="4"/>
  <c r="G7596" i="4"/>
  <c r="G7588" i="4"/>
  <c r="G7572" i="4"/>
  <c r="G7564" i="4"/>
  <c r="G7556" i="4"/>
  <c r="G7548" i="4"/>
  <c r="G7540" i="4"/>
  <c r="G7532" i="4"/>
  <c r="G7524" i="4"/>
  <c r="G7516" i="4"/>
  <c r="G7508" i="4"/>
  <c r="G7500" i="4"/>
  <c r="G7492" i="4"/>
  <c r="G7484" i="4"/>
  <c r="G7476" i="4"/>
  <c r="G7468" i="4"/>
  <c r="G7460" i="4"/>
  <c r="G7452" i="4"/>
  <c r="G7444" i="4"/>
  <c r="G7436" i="4"/>
  <c r="G7428" i="4"/>
  <c r="G7420" i="4"/>
  <c r="G7412" i="4"/>
  <c r="G7404" i="4"/>
  <c r="G7388" i="4"/>
  <c r="G7380" i="4"/>
  <c r="G7372" i="4"/>
  <c r="G7356" i="4"/>
  <c r="G7348" i="4"/>
  <c r="G7340" i="4"/>
  <c r="G7316" i="4"/>
  <c r="G7300" i="4"/>
  <c r="G7251" i="4"/>
  <c r="G7219" i="4"/>
  <c r="G7203" i="4"/>
  <c r="G7187" i="4"/>
  <c r="G7179" i="4"/>
  <c r="G7139" i="4"/>
  <c r="G7131" i="4"/>
  <c r="G7123" i="4"/>
  <c r="G7107" i="4"/>
  <c r="G7051" i="4"/>
  <c r="G7035" i="4"/>
  <c r="G7019" i="4"/>
  <c r="G6987" i="4"/>
  <c r="G6979" i="4"/>
  <c r="G6971" i="4"/>
  <c r="G6929" i="4"/>
  <c r="G6913" i="4"/>
  <c r="G6905" i="4"/>
  <c r="G6889" i="4"/>
  <c r="G6873" i="4"/>
  <c r="G6865" i="4"/>
  <c r="G6825" i="4"/>
  <c r="G6793" i="4"/>
  <c r="G6785" i="4"/>
  <c r="G6761" i="4"/>
  <c r="G6745" i="4"/>
  <c r="G6721" i="4"/>
  <c r="G6713" i="4"/>
  <c r="G6705" i="4"/>
  <c r="G6697" i="4"/>
  <c r="G6681" i="4"/>
  <c r="G6673" i="4"/>
  <c r="G6665" i="4"/>
  <c r="G6657" i="4"/>
  <c r="G6938" i="4"/>
  <c r="G6922" i="4"/>
  <c r="G6914" i="4"/>
  <c r="G6898" i="4"/>
  <c r="G6890" i="4"/>
  <c r="G6874" i="4"/>
  <c r="G6866" i="4"/>
  <c r="G6850" i="4"/>
  <c r="G6842" i="4"/>
  <c r="G6802" i="4"/>
  <c r="G6770" i="4"/>
  <c r="G6762" i="4"/>
  <c r="G6738" i="4"/>
  <c r="G6714" i="4"/>
  <c r="G6682" i="4"/>
  <c r="G6650" i="4"/>
  <c r="G6642" i="4"/>
  <c r="G6610" i="4"/>
  <c r="G6602" i="4"/>
  <c r="G6594" i="4"/>
  <c r="G6578" i="4"/>
  <c r="G6570" i="4"/>
  <c r="G6538" i="4"/>
  <c r="G6514" i="4"/>
  <c r="G6506" i="4"/>
  <c r="G6498" i="4"/>
  <c r="G6490" i="4"/>
  <c r="G6474" i="4"/>
  <c r="G6169" i="4"/>
  <c r="G6629" i="4"/>
  <c r="G6605" i="4"/>
  <c r="G6589" i="4"/>
  <c r="G6581" i="4"/>
  <c r="G6573" i="4"/>
  <c r="G6565" i="4"/>
  <c r="G6557" i="4"/>
  <c r="G6549" i="4"/>
  <c r="G6541" i="4"/>
  <c r="G6525" i="4"/>
  <c r="G6517" i="4"/>
  <c r="G6509" i="4"/>
  <c r="G6501" i="4"/>
  <c r="G6493" i="4"/>
  <c r="G6485" i="4"/>
  <c r="G6469" i="4"/>
  <c r="G6447" i="4"/>
  <c r="G6431" i="4"/>
  <c r="G6423" i="4"/>
  <c r="G6415" i="4"/>
  <c r="G6407" i="4"/>
  <c r="G6399" i="4"/>
  <c r="G6351" i="4"/>
  <c r="G6343" i="4"/>
  <c r="G6335" i="4"/>
  <c r="G6319" i="4"/>
  <c r="G6311" i="4"/>
  <c r="G6295" i="4"/>
  <c r="G6279" i="4"/>
  <c r="G6239" i="4"/>
  <c r="G6231" i="4"/>
  <c r="G6223" i="4"/>
  <c r="G6199" i="4"/>
  <c r="G6163" i="4"/>
  <c r="G6462" i="4"/>
  <c r="G6438" i="4"/>
  <c r="G6430" i="4"/>
  <c r="G6414" i="4"/>
  <c r="G6398" i="4"/>
  <c r="G6390" i="4"/>
  <c r="G6374" i="4"/>
  <c r="G6358" i="4"/>
  <c r="G6326" i="4"/>
  <c r="G6318" i="4"/>
  <c r="G6302" i="4"/>
  <c r="G6294" i="4"/>
  <c r="G6278" i="4"/>
  <c r="G6270" i="4"/>
  <c r="G6246" i="4"/>
  <c r="G6238" i="4"/>
  <c r="G6230" i="4"/>
  <c r="G6198" i="4"/>
  <c r="G6182" i="4"/>
  <c r="G6159" i="4"/>
  <c r="G6151" i="4"/>
  <c r="G6143" i="4"/>
  <c r="G6135" i="4"/>
  <c r="G6119" i="4"/>
  <c r="G6111" i="4"/>
  <c r="G6095" i="4"/>
  <c r="G6087" i="4"/>
  <c r="G6055" i="4"/>
  <c r="G6047" i="4"/>
  <c r="G5649" i="4"/>
  <c r="G5947" i="4"/>
  <c r="G6134" i="4"/>
  <c r="G6118" i="4"/>
  <c r="G6110" i="4"/>
  <c r="G6102" i="4"/>
  <c r="G6070" i="4"/>
  <c r="G6062" i="4"/>
  <c r="G5422" i="4"/>
  <c r="G6028" i="4"/>
  <c r="G6020" i="4"/>
  <c r="G6012" i="4"/>
  <c r="G6004" i="4"/>
  <c r="G5996" i="4"/>
  <c r="G5988" i="4"/>
  <c r="G5980" i="4"/>
  <c r="G5972" i="4"/>
  <c r="G5956" i="4"/>
  <c r="G5948" i="4"/>
  <c r="G5940" i="4"/>
  <c r="G5830" i="4"/>
  <c r="G5679" i="4"/>
  <c r="G5104" i="4"/>
  <c r="E5409" i="4"/>
  <c r="F5409" i="4"/>
  <c r="G4632" i="4"/>
  <c r="G2420" i="4"/>
  <c r="G2065" i="4"/>
  <c r="G2478" i="4"/>
  <c r="B41" i="12"/>
  <c r="G5877" i="4"/>
  <c r="G5913" i="4"/>
  <c r="G5924" i="4"/>
  <c r="G5842" i="4"/>
  <c r="G5900" i="4"/>
  <c r="G5905" i="4"/>
  <c r="G5756" i="4"/>
  <c r="G5873" i="4"/>
  <c r="G5890" i="4"/>
  <c r="G5907" i="4"/>
  <c r="G5922" i="4"/>
  <c r="G5908" i="4"/>
  <c r="F5916" i="4"/>
  <c r="G5916" i="4" s="1"/>
  <c r="F5923" i="4"/>
  <c r="G5923" i="4" s="1"/>
  <c r="G5920" i="4"/>
  <c r="F5893" i="4"/>
  <c r="G5893" i="4" s="1"/>
  <c r="F5914" i="4"/>
  <c r="G5914" i="4" s="1"/>
  <c r="G5901" i="4"/>
  <c r="F5852" i="4"/>
  <c r="G5852" i="4" s="1"/>
  <c r="F5906" i="4"/>
  <c r="G5906" i="4" s="1"/>
  <c r="G5911" i="4"/>
  <c r="F5521" i="4"/>
  <c r="G5521" i="4" s="1"/>
  <c r="F5909" i="4"/>
  <c r="G5909" i="4" s="1"/>
  <c r="G5912" i="4"/>
  <c r="G5896" i="4"/>
  <c r="F4969" i="4"/>
  <c r="G4969" i="4" s="1"/>
  <c r="F5897" i="4"/>
  <c r="G5897" i="4" s="1"/>
  <c r="F5894" i="4"/>
  <c r="G5894" i="4" s="1"/>
  <c r="F5902" i="4"/>
  <c r="G5902" i="4" s="1"/>
  <c r="F5891" i="4"/>
  <c r="G5891" i="4" s="1"/>
  <c r="F5892" i="4"/>
  <c r="G5892" i="4" s="1"/>
  <c r="G5863" i="4"/>
  <c r="G5864" i="4"/>
  <c r="G5884" i="4"/>
  <c r="G5887" i="4"/>
  <c r="F5885" i="4"/>
  <c r="G5885" i="4" s="1"/>
  <c r="F5889" i="4"/>
  <c r="G5889" i="4" s="1"/>
  <c r="G5807" i="4"/>
  <c r="G5824" i="4"/>
  <c r="G5496" i="4"/>
  <c r="G5202" i="4"/>
  <c r="F5673" i="4"/>
  <c r="G5673" i="4" s="1"/>
  <c r="F5872" i="4"/>
  <c r="G5872" i="4" s="1"/>
  <c r="G5876" i="4"/>
  <c r="F5875" i="4"/>
  <c r="G5875" i="4" s="1"/>
  <c r="F5874" i="4"/>
  <c r="G5874" i="4" s="1"/>
  <c r="G5850" i="4"/>
  <c r="G5871" i="4"/>
  <c r="F5741" i="4"/>
  <c r="G5741" i="4" s="1"/>
  <c r="F5880" i="4"/>
  <c r="G5880" i="4" s="1"/>
  <c r="F5861" i="4"/>
  <c r="G5861" i="4" s="1"/>
  <c r="F5879" i="4"/>
  <c r="G5879" i="4" s="1"/>
  <c r="F5878" i="4"/>
  <c r="G5878" i="4" s="1"/>
  <c r="G5882" i="4"/>
  <c r="G5810" i="4"/>
  <c r="G5869" i="4"/>
  <c r="F5602" i="4"/>
  <c r="G5602" i="4" s="1"/>
  <c r="F5862" i="4"/>
  <c r="G5862" i="4" s="1"/>
  <c r="G5868" i="4"/>
  <c r="F5832" i="4"/>
  <c r="G5832" i="4" s="1"/>
  <c r="F5870" i="4"/>
  <c r="G5870" i="4" s="1"/>
  <c r="G5867" i="4"/>
  <c r="F5621" i="4"/>
  <c r="G5621" i="4" s="1"/>
  <c r="F5866" i="4"/>
  <c r="G5866" i="4" s="1"/>
  <c r="G5865" i="4"/>
  <c r="G5844" i="4"/>
  <c r="G5771" i="4"/>
  <c r="G5846" i="4"/>
  <c r="G5851" i="4"/>
  <c r="F5838" i="4"/>
  <c r="G5838" i="4" s="1"/>
  <c r="F5849" i="4"/>
  <c r="G5849" i="4" s="1"/>
  <c r="G5853" i="4"/>
  <c r="G5858" i="4"/>
  <c r="F5769" i="4"/>
  <c r="G5769" i="4" s="1"/>
  <c r="F5857" i="4"/>
  <c r="G5857" i="4" s="1"/>
  <c r="F5814" i="4"/>
  <c r="G5814" i="4" s="1"/>
  <c r="F5848" i="4"/>
  <c r="G5848" i="4" s="1"/>
  <c r="F5837" i="4"/>
  <c r="G5837" i="4" s="1"/>
  <c r="F5856" i="4"/>
  <c r="G5856" i="4" s="1"/>
  <c r="F5524" i="4"/>
  <c r="G5524" i="4" s="1"/>
  <c r="F5847" i="4"/>
  <c r="G5847" i="4" s="1"/>
  <c r="F5841" i="4"/>
  <c r="G5841" i="4" s="1"/>
  <c r="F5845" i="4"/>
  <c r="G5845" i="4" s="1"/>
  <c r="F5840" i="4"/>
  <c r="G5840" i="4" s="1"/>
  <c r="G5831" i="4"/>
  <c r="F2652" i="4"/>
  <c r="G5803" i="4"/>
  <c r="G5615" i="4"/>
  <c r="G5484" i="4"/>
  <c r="G5829" i="4"/>
  <c r="G5828" i="4"/>
  <c r="G5833" i="4"/>
  <c r="G5818" i="4"/>
  <c r="G5735" i="4"/>
  <c r="F5147" i="4"/>
  <c r="G5147" i="4" s="1"/>
  <c r="F5835" i="4"/>
  <c r="G5835" i="4" s="1"/>
  <c r="F5725" i="4"/>
  <c r="G5725" i="4" s="1"/>
  <c r="F5821" i="4"/>
  <c r="G5821" i="4" s="1"/>
  <c r="F5768" i="4"/>
  <c r="G5768" i="4" s="1"/>
  <c r="F5820" i="4"/>
  <c r="G5820" i="4" s="1"/>
  <c r="G5796" i="4"/>
  <c r="F5819" i="4"/>
  <c r="G5819" i="4" s="1"/>
  <c r="F5823" i="4"/>
  <c r="G5823" i="4" s="1"/>
  <c r="G5826" i="4"/>
  <c r="F5825" i="4"/>
  <c r="G5825" i="4" s="1"/>
  <c r="F5822" i="4"/>
  <c r="G5822" i="4" s="1"/>
  <c r="G5231" i="4"/>
  <c r="G5811" i="4"/>
  <c r="G4110" i="4"/>
  <c r="G5817" i="4"/>
  <c r="F5797" i="4"/>
  <c r="G5797" i="4" s="1"/>
  <c r="F5805" i="4"/>
  <c r="G5805" i="4" s="1"/>
  <c r="G5815" i="4"/>
  <c r="F5689" i="4"/>
  <c r="G5689" i="4" s="1"/>
  <c r="F5812" i="4"/>
  <c r="G5812" i="4" s="1"/>
  <c r="G5798" i="4"/>
  <c r="F5802" i="4"/>
  <c r="G5802" i="4" s="1"/>
  <c r="F5808" i="4"/>
  <c r="G5808" i="4" s="1"/>
  <c r="F5761" i="4"/>
  <c r="G5761" i="4" s="1"/>
  <c r="F5813" i="4"/>
  <c r="G5813" i="4" s="1"/>
  <c r="F5634" i="4"/>
  <c r="G5634" i="4" s="1"/>
  <c r="F5806" i="4"/>
  <c r="G5806" i="4" s="1"/>
  <c r="G5779" i="4"/>
  <c r="G5748" i="4"/>
  <c r="G5506" i="4"/>
  <c r="G5711" i="4"/>
  <c r="F5667" i="4"/>
  <c r="G5667" i="4" s="1"/>
  <c r="F5801" i="4"/>
  <c r="G5801" i="4" s="1"/>
  <c r="F5565" i="4"/>
  <c r="G5565" i="4" s="1"/>
  <c r="F5799" i="4"/>
  <c r="G5799" i="4" s="1"/>
  <c r="F5661" i="4"/>
  <c r="G5661" i="4" s="1"/>
  <c r="F5788" i="4"/>
  <c r="G5788" i="4" s="1"/>
  <c r="F5746" i="4"/>
  <c r="G5746" i="4" s="1"/>
  <c r="F5789" i="4"/>
  <c r="G5789" i="4" s="1"/>
  <c r="G5790" i="4"/>
  <c r="G5792" i="4"/>
  <c r="F5737" i="4"/>
  <c r="G5737" i="4" s="1"/>
  <c r="F5793" i="4"/>
  <c r="G5793" i="4" s="1"/>
  <c r="F5762" i="4"/>
  <c r="G5762" i="4" s="1"/>
  <c r="F5795" i="4"/>
  <c r="G5795" i="4" s="1"/>
  <c r="F5263" i="4"/>
  <c r="G5263" i="4" s="1"/>
  <c r="F5791" i="4"/>
  <c r="G5791" i="4" s="1"/>
  <c r="G5794" i="4"/>
  <c r="G5784" i="4"/>
  <c r="G5786" i="4"/>
  <c r="F5722" i="4"/>
  <c r="G5722" i="4" s="1"/>
  <c r="F5785" i="4"/>
  <c r="G5785" i="4" s="1"/>
  <c r="G5758" i="4"/>
  <c r="G5751" i="4"/>
  <c r="G5738" i="4"/>
  <c r="G5766" i="4"/>
  <c r="G5778" i="4"/>
  <c r="F5764" i="4"/>
  <c r="G5764" i="4" s="1"/>
  <c r="F5775" i="4"/>
  <c r="G5775" i="4" s="1"/>
  <c r="F5765" i="4"/>
  <c r="G5765" i="4" s="1"/>
  <c r="F5773" i="4"/>
  <c r="G5773" i="4" s="1"/>
  <c r="F5728" i="4"/>
  <c r="G5728" i="4" s="1"/>
  <c r="F5776" i="4"/>
  <c r="G5776" i="4" s="1"/>
  <c r="G5772" i="4"/>
  <c r="F5754" i="4"/>
  <c r="G5754" i="4" s="1"/>
  <c r="F5767" i="4"/>
  <c r="G5767" i="4" s="1"/>
  <c r="G5752" i="4"/>
  <c r="G5745" i="4"/>
  <c r="F5637" i="4"/>
  <c r="G5637" i="4" s="1"/>
  <c r="F5759" i="4"/>
  <c r="G5759" i="4" s="1"/>
  <c r="G5760" i="4"/>
  <c r="F5713" i="4"/>
  <c r="G5713" i="4" s="1"/>
  <c r="F5755" i="4"/>
  <c r="G5755" i="4" s="1"/>
  <c r="G5608" i="4"/>
  <c r="G3464" i="4"/>
  <c r="G5614" i="4"/>
  <c r="G5487" i="4"/>
  <c r="G5734" i="4"/>
  <c r="F5726" i="4"/>
  <c r="G5726" i="4" s="1"/>
  <c r="F5740" i="4"/>
  <c r="G5740" i="4" s="1"/>
  <c r="F5739" i="4"/>
  <c r="G5739" i="4" s="1"/>
  <c r="F5749" i="4"/>
  <c r="G5749" i="4" s="1"/>
  <c r="G5736" i="4"/>
  <c r="G5727" i="4"/>
  <c r="F5743" i="4"/>
  <c r="G5743" i="4" s="1"/>
  <c r="F5747" i="4"/>
  <c r="G5747" i="4" s="1"/>
  <c r="F5295" i="4"/>
  <c r="G5295" i="4" s="1"/>
  <c r="F5750" i="4"/>
  <c r="G5750" i="4" s="1"/>
  <c r="F5699" i="4"/>
  <c r="G5699" i="4" s="1"/>
  <c r="F5733" i="4"/>
  <c r="G5733" i="4" s="1"/>
  <c r="G5742" i="4"/>
  <c r="F5696" i="4"/>
  <c r="G5696" i="4" s="1"/>
  <c r="F5732" i="4"/>
  <c r="G5732" i="4" s="1"/>
  <c r="G826" i="4"/>
  <c r="G1136" i="4"/>
  <c r="G5143" i="4"/>
  <c r="G5535" i="4"/>
  <c r="G5604" i="4"/>
  <c r="G5677" i="4"/>
  <c r="F5715" i="4"/>
  <c r="G5715" i="4" s="1"/>
  <c r="F5730" i="4"/>
  <c r="G5730" i="4" s="1"/>
  <c r="G3191" i="4"/>
  <c r="G5054" i="4"/>
  <c r="F4961" i="4"/>
  <c r="G4961" i="4" s="1"/>
  <c r="F5723" i="4"/>
  <c r="G5723" i="4" s="1"/>
  <c r="F5704" i="4"/>
  <c r="G5704" i="4" s="1"/>
  <c r="F5720" i="4"/>
  <c r="G5720" i="4" s="1"/>
  <c r="F5694" i="4"/>
  <c r="G5694" i="4" s="1"/>
  <c r="F5721" i="4"/>
  <c r="G5721" i="4" s="1"/>
  <c r="F5706" i="4"/>
  <c r="G5706" i="4" s="1"/>
  <c r="F5717" i="4"/>
  <c r="G5717" i="4" s="1"/>
  <c r="F5612" i="4"/>
  <c r="G5612" i="4" s="1"/>
  <c r="F5716" i="4"/>
  <c r="G5716" i="4" s="1"/>
  <c r="G1115" i="4"/>
  <c r="G1166" i="4"/>
  <c r="G652" i="4"/>
  <c r="G818" i="4"/>
  <c r="G890" i="4"/>
  <c r="G1042" i="4"/>
  <c r="G1274" i="4"/>
  <c r="F5641" i="4"/>
  <c r="G5641" i="4" s="1"/>
  <c r="F5714" i="4"/>
  <c r="G5714" i="4" s="1"/>
  <c r="G3447" i="4"/>
  <c r="G657" i="4"/>
  <c r="G936" i="4"/>
  <c r="G3083" i="4"/>
  <c r="G1954" i="4"/>
  <c r="G3214" i="4"/>
  <c r="G2440" i="4"/>
  <c r="G2517" i="4"/>
  <c r="G5652" i="4"/>
  <c r="G5697" i="4"/>
  <c r="G5712" i="4"/>
  <c r="F5156" i="4"/>
  <c r="G5156" i="4" s="1"/>
  <c r="F5709" i="4"/>
  <c r="G5709" i="4" s="1"/>
  <c r="G5701" i="4"/>
  <c r="G5710" i="4"/>
  <c r="F5625" i="4"/>
  <c r="G5625" i="4" s="1"/>
  <c r="F5705" i="4"/>
  <c r="G5705" i="4" s="1"/>
  <c r="F5700" i="4"/>
  <c r="G5700" i="4" s="1"/>
  <c r="F5707" i="4"/>
  <c r="G5707" i="4" s="1"/>
  <c r="G5491" i="4"/>
  <c r="G5695" i="4"/>
  <c r="G5219" i="4"/>
  <c r="G5678" i="4"/>
  <c r="F5516" i="4"/>
  <c r="G5516" i="4" s="1"/>
  <c r="F5685" i="4"/>
  <c r="G5685" i="4" s="1"/>
  <c r="F5540" i="4"/>
  <c r="G5540" i="4" s="1"/>
  <c r="F5690" i="4"/>
  <c r="G5690" i="4" s="1"/>
  <c r="F5603" i="4"/>
  <c r="G5603" i="4" s="1"/>
  <c r="F5693" i="4"/>
  <c r="G5693" i="4" s="1"/>
  <c r="F5654" i="4"/>
  <c r="G5654" i="4" s="1"/>
  <c r="F5687" i="4"/>
  <c r="G5687" i="4" s="1"/>
  <c r="G5692" i="4"/>
  <c r="F5676" i="4"/>
  <c r="G5676" i="4" s="1"/>
  <c r="F5683" i="4"/>
  <c r="G5683" i="4" s="1"/>
  <c r="F5691" i="4"/>
  <c r="G5691" i="4" s="1"/>
  <c r="F5684" i="4"/>
  <c r="G5684" i="4" s="1"/>
  <c r="F5283" i="4"/>
  <c r="G5283" i="4" s="1"/>
  <c r="F5681" i="4"/>
  <c r="G5681" i="4" s="1"/>
  <c r="G5680" i="4"/>
  <c r="G5682" i="4"/>
  <c r="G5659" i="4"/>
  <c r="G5577" i="4"/>
  <c r="F5619" i="4"/>
  <c r="G5619" i="4" s="1"/>
  <c r="F5675" i="4"/>
  <c r="G5675" i="4" s="1"/>
  <c r="G5622" i="4"/>
  <c r="G5668" i="4"/>
  <c r="G5670" i="4"/>
  <c r="G5616" i="4"/>
  <c r="F5655" i="4"/>
  <c r="G5655" i="4" s="1"/>
  <c r="F5669" i="4"/>
  <c r="G5669" i="4" s="1"/>
  <c r="F5672" i="4"/>
  <c r="G5672" i="4" s="1"/>
  <c r="G5671" i="4"/>
  <c r="G5656" i="4"/>
  <c r="F5658" i="4"/>
  <c r="G5658" i="4" s="1"/>
  <c r="F5665" i="4"/>
  <c r="G5665" i="4" s="1"/>
  <c r="G5657" i="4"/>
  <c r="F5650" i="4"/>
  <c r="G5650" i="4" s="1"/>
  <c r="F5666" i="4"/>
  <c r="G5666" i="4" s="1"/>
  <c r="G5664" i="4"/>
  <c r="F5663" i="4"/>
  <c r="G5663" i="4" s="1"/>
  <c r="F5660" i="4"/>
  <c r="G5660" i="4" s="1"/>
  <c r="G5576" i="4"/>
  <c r="G5632" i="4"/>
  <c r="G5376" i="4"/>
  <c r="G5651" i="4"/>
  <c r="G5646" i="4"/>
  <c r="F5647" i="4"/>
  <c r="G5647" i="4" s="1"/>
  <c r="F5642" i="4"/>
  <c r="G5642" i="4" s="1"/>
  <c r="F5639" i="4"/>
  <c r="G5639" i="4" s="1"/>
  <c r="F5643" i="4"/>
  <c r="G5643" i="4" s="1"/>
  <c r="F5645" i="4"/>
  <c r="G5645" i="4" s="1"/>
  <c r="F5648" i="4"/>
  <c r="G5648" i="4" s="1"/>
  <c r="G5644" i="4"/>
  <c r="G5640" i="4"/>
  <c r="G4751" i="4"/>
  <c r="G5509" i="4"/>
  <c r="G5201" i="4"/>
  <c r="G5611" i="4"/>
  <c r="G2573" i="4"/>
  <c r="G5617" i="4"/>
  <c r="F5589" i="4"/>
  <c r="G5589" i="4" s="1"/>
  <c r="F5624" i="4"/>
  <c r="G5624" i="4" s="1"/>
  <c r="G5620" i="4"/>
  <c r="E5345" i="4"/>
  <c r="C84" i="6" s="1"/>
  <c r="E5631" i="4"/>
  <c r="C88" i="6" s="1"/>
  <c r="F5345" i="4"/>
  <c r="F5631" i="4"/>
  <c r="F5605" i="4"/>
  <c r="G5605" i="4" s="1"/>
  <c r="F5623" i="4"/>
  <c r="G5623" i="4" s="1"/>
  <c r="F5629" i="4"/>
  <c r="G5629" i="4" s="1"/>
  <c r="G5633" i="4"/>
  <c r="F5627" i="4"/>
  <c r="G5627" i="4" s="1"/>
  <c r="F5628" i="4"/>
  <c r="G5628" i="4" s="1"/>
  <c r="G5581" i="4"/>
  <c r="G5635" i="4"/>
  <c r="G5610" i="4"/>
  <c r="G5609" i="4"/>
  <c r="G5626" i="4"/>
  <c r="G5586" i="4"/>
  <c r="B66" i="12"/>
  <c r="G3339" i="4"/>
  <c r="F5347" i="4"/>
  <c r="G5347" i="4" s="1"/>
  <c r="F5618" i="4"/>
  <c r="G5618" i="4" s="1"/>
  <c r="G5606" i="4"/>
  <c r="G5607" i="4"/>
  <c r="G5600" i="4"/>
  <c r="F5507" i="4"/>
  <c r="G5507" i="4" s="1"/>
  <c r="F5613" i="4"/>
  <c r="G5613" i="4" s="1"/>
  <c r="F5599" i="4"/>
  <c r="G5599" i="4" s="1"/>
  <c r="F5601" i="4"/>
  <c r="G5601" i="4" s="1"/>
  <c r="G5573" i="4"/>
  <c r="G5587" i="4"/>
  <c r="G5414" i="4"/>
  <c r="G5594" i="4"/>
  <c r="G5595" i="4"/>
  <c r="F5363" i="4"/>
  <c r="G5363" i="4" s="1"/>
  <c r="F5596" i="4"/>
  <c r="G5596" i="4" s="1"/>
  <c r="F5501" i="4"/>
  <c r="G5501" i="4" s="1"/>
  <c r="F5591" i="4"/>
  <c r="G5591" i="4" s="1"/>
  <c r="F5559" i="4"/>
  <c r="G5559" i="4" s="1"/>
  <c r="F5598" i="4"/>
  <c r="G5598" i="4" s="1"/>
  <c r="G5592" i="4"/>
  <c r="G5590" i="4"/>
  <c r="G5588" i="4"/>
  <c r="G5583" i="4"/>
  <c r="F5109" i="4"/>
  <c r="G5109" i="4" s="1"/>
  <c r="F5585" i="4"/>
  <c r="F5568" i="4"/>
  <c r="G5568" i="4" s="1"/>
  <c r="F5580" i="4"/>
  <c r="G5580" i="4" s="1"/>
  <c r="F5582" i="4"/>
  <c r="G5582" i="4" s="1"/>
  <c r="G5585" i="4"/>
  <c r="G5579" i="4"/>
  <c r="G5578" i="4"/>
  <c r="G5192" i="4"/>
  <c r="F5561" i="4"/>
  <c r="G5561" i="4" s="1"/>
  <c r="F5575" i="4"/>
  <c r="G5575" i="4" s="1"/>
  <c r="F5566" i="4"/>
  <c r="G5566" i="4" s="1"/>
  <c r="F5574" i="4"/>
  <c r="G5574" i="4" s="1"/>
  <c r="F5498" i="4"/>
  <c r="G5498" i="4" s="1"/>
  <c r="F5570" i="4"/>
  <c r="G5570" i="4" s="1"/>
  <c r="G5493" i="4"/>
  <c r="G5425" i="4"/>
  <c r="G5556" i="4"/>
  <c r="G5542" i="4"/>
  <c r="G5529" i="4"/>
  <c r="G5552" i="4"/>
  <c r="F5551" i="4"/>
  <c r="G5551" i="4" s="1"/>
  <c r="F5562" i="4"/>
  <c r="G5562" i="4" s="1"/>
  <c r="G5558" i="4"/>
  <c r="F4612" i="4"/>
  <c r="G4612" i="4" s="1"/>
  <c r="F5560" i="4"/>
  <c r="G5560" i="4" s="1"/>
  <c r="G5567" i="4"/>
  <c r="F5550" i="4"/>
  <c r="G5550" i="4" s="1"/>
  <c r="F5553" i="4"/>
  <c r="G5553" i="4" s="1"/>
  <c r="F5554" i="4"/>
  <c r="G5554" i="4" s="1"/>
  <c r="G5508" i="4"/>
  <c r="G5276" i="4"/>
  <c r="F5255" i="4"/>
  <c r="G5255" i="4" s="1"/>
  <c r="F5533" i="4"/>
  <c r="G5533" i="4" s="1"/>
  <c r="F5381" i="4"/>
  <c r="G5381" i="4" s="1"/>
  <c r="F5532" i="4"/>
  <c r="G5532" i="4" s="1"/>
  <c r="F5159" i="4"/>
  <c r="G5159" i="4" s="1"/>
  <c r="F5543" i="4"/>
  <c r="G5543" i="4" s="1"/>
  <c r="F4339" i="4"/>
  <c r="G4339" i="4" s="1"/>
  <c r="F5544" i="4"/>
  <c r="G5544" i="4" s="1"/>
  <c r="F5545" i="4"/>
  <c r="G5545" i="4" s="1"/>
  <c r="F5534" i="4"/>
  <c r="G5534" i="4" s="1"/>
  <c r="G5537" i="4"/>
  <c r="F5478" i="4"/>
  <c r="G5478" i="4" s="1"/>
  <c r="F5549" i="4"/>
  <c r="G5549" i="4" s="1"/>
  <c r="F5546" i="4"/>
  <c r="G5546" i="4" s="1"/>
  <c r="G5536" i="4"/>
  <c r="F5462" i="4"/>
  <c r="G5462" i="4" s="1"/>
  <c r="F5548" i="4"/>
  <c r="G5548" i="4" s="1"/>
  <c r="F5523" i="4"/>
  <c r="G5523" i="4" s="1"/>
  <c r="F5538" i="4"/>
  <c r="G5538" i="4" s="1"/>
  <c r="G5371" i="4"/>
  <c r="G5477" i="4"/>
  <c r="G5494" i="4"/>
  <c r="G5528" i="4"/>
  <c r="F5435" i="4"/>
  <c r="G5435" i="4" s="1"/>
  <c r="F5514" i="4"/>
  <c r="G5514" i="4" s="1"/>
  <c r="G5525" i="4"/>
  <c r="G5513" i="4"/>
  <c r="F5499" i="4"/>
  <c r="G5499" i="4" s="1"/>
  <c r="F5515" i="4"/>
  <c r="G5515" i="4" s="1"/>
  <c r="F5417" i="4"/>
  <c r="G5417" i="4" s="1"/>
  <c r="F5517" i="4"/>
  <c r="G5517" i="4" s="1"/>
  <c r="F5518" i="4"/>
  <c r="G5518" i="4" s="1"/>
  <c r="F5476" i="4"/>
  <c r="G5476" i="4" s="1"/>
  <c r="F5527" i="4"/>
  <c r="G5527" i="4" s="1"/>
  <c r="F5511" i="4"/>
  <c r="G5511" i="4" s="1"/>
  <c r="F5512" i="4"/>
  <c r="G5512" i="4" s="1"/>
  <c r="G5503" i="4"/>
  <c r="G5526" i="4"/>
  <c r="G5519" i="4"/>
  <c r="G5368" i="4"/>
  <c r="G5086" i="4"/>
  <c r="G5500" i="4"/>
  <c r="G5461" i="4"/>
  <c r="G5502" i="4"/>
  <c r="G5495" i="4"/>
  <c r="G5361" i="4"/>
  <c r="F5378" i="4"/>
  <c r="G5378" i="4" s="1"/>
  <c r="F5490" i="4"/>
  <c r="G5490" i="4" s="1"/>
  <c r="F5483" i="4"/>
  <c r="G5483" i="4" s="1"/>
  <c r="F5492" i="4"/>
  <c r="G5492" i="4" s="1"/>
  <c r="G5357" i="4"/>
  <c r="F5225" i="4"/>
  <c r="G5225" i="4" s="1"/>
  <c r="F5482" i="4"/>
  <c r="G5482" i="4" s="1"/>
  <c r="F5485" i="4"/>
  <c r="G5485" i="4" s="1"/>
  <c r="F5474" i="4"/>
  <c r="G5474" i="4" s="1"/>
  <c r="G5481" i="4"/>
  <c r="F5389" i="4"/>
  <c r="G5389" i="4" s="1"/>
  <c r="F5475" i="4"/>
  <c r="G5475" i="4" s="1"/>
  <c r="F5344" i="4"/>
  <c r="G5344" i="4" s="1"/>
  <c r="F5479" i="4"/>
  <c r="G5479" i="4" s="1"/>
  <c r="F4114" i="4"/>
  <c r="G4114" i="4" s="1"/>
  <c r="F5488" i="4"/>
  <c r="G5488" i="4" s="1"/>
  <c r="G4913" i="4"/>
  <c r="G5041" i="4"/>
  <c r="G5430" i="4"/>
  <c r="G5383" i="4"/>
  <c r="G5436" i="4"/>
  <c r="G5458" i="4"/>
  <c r="F5382" i="4"/>
  <c r="G5382" i="4" s="1"/>
  <c r="F5460" i="4"/>
  <c r="G5460" i="4" s="1"/>
  <c r="F5471" i="4"/>
  <c r="G5471" i="4" s="1"/>
  <c r="F5473" i="4"/>
  <c r="F5139" i="4"/>
  <c r="G5139" i="4" s="1"/>
  <c r="F5469" i="4"/>
  <c r="G5469" i="4" s="1"/>
  <c r="G5472" i="4"/>
  <c r="F5418" i="4"/>
  <c r="G5418" i="4" s="1"/>
  <c r="F5454" i="4"/>
  <c r="G5454" i="4" s="1"/>
  <c r="F5470" i="4"/>
  <c r="G5470" i="4" s="1"/>
  <c r="F5467" i="4"/>
  <c r="G5467" i="4" s="1"/>
  <c r="G5473" i="4"/>
  <c r="F5266" i="4"/>
  <c r="G5266" i="4" s="1"/>
  <c r="F5465" i="4"/>
  <c r="G5465" i="4" s="1"/>
  <c r="G5450" i="4"/>
  <c r="F5449" i="4"/>
  <c r="G5449" i="4" s="1"/>
  <c r="F5456" i="4"/>
  <c r="G5456" i="4" s="1"/>
  <c r="G5457" i="4"/>
  <c r="G5459" i="4"/>
  <c r="G5466" i="4"/>
  <c r="G5455" i="4"/>
  <c r="G5452" i="4"/>
  <c r="G5349" i="4"/>
  <c r="G5354" i="4"/>
  <c r="G5427" i="4"/>
  <c r="G5441" i="4"/>
  <c r="G5453" i="4"/>
  <c r="G5443" i="4"/>
  <c r="G5451" i="4"/>
  <c r="G5444" i="4"/>
  <c r="G5446" i="4"/>
  <c r="G5415" i="4"/>
  <c r="G5401" i="4"/>
  <c r="G5439" i="4"/>
  <c r="F5320" i="4"/>
  <c r="G5320" i="4" s="1"/>
  <c r="F5440" i="4"/>
  <c r="G5440" i="4" s="1"/>
  <c r="F5431" i="4"/>
  <c r="G5431" i="4" s="1"/>
  <c r="F5434" i="4"/>
  <c r="G5434" i="4" s="1"/>
  <c r="G5437" i="4"/>
  <c r="F5413" i="4"/>
  <c r="G5413" i="4" s="1"/>
  <c r="F5428" i="4"/>
  <c r="G5428" i="4" s="1"/>
  <c r="F5390" i="4"/>
  <c r="G5390" i="4" s="1"/>
  <c r="F5423" i="4"/>
  <c r="G5423" i="4" s="1"/>
  <c r="F5394" i="4"/>
  <c r="G5394" i="4" s="1"/>
  <c r="F5426" i="4"/>
  <c r="G5426" i="4" s="1"/>
  <c r="G5429" i="4"/>
  <c r="F5412" i="4"/>
  <c r="G5412" i="4" s="1"/>
  <c r="F5421" i="4"/>
  <c r="G5421" i="4" s="1"/>
  <c r="G5398" i="4"/>
  <c r="G5406" i="4"/>
  <c r="F4732" i="4"/>
  <c r="G4732" i="4" s="1"/>
  <c r="F5420" i="4"/>
  <c r="G5420" i="4" s="1"/>
  <c r="F5411" i="4"/>
  <c r="G5411" i="4" s="1"/>
  <c r="F5416" i="4"/>
  <c r="G5416" i="4" s="1"/>
  <c r="F5405" i="4"/>
  <c r="G5405" i="4" s="1"/>
  <c r="F5407" i="4"/>
  <c r="G5407" i="4" s="1"/>
  <c r="F5144" i="4"/>
  <c r="G5144" i="4" s="1"/>
  <c r="F5408" i="4"/>
  <c r="G5408" i="4" s="1"/>
  <c r="F5374" i="4"/>
  <c r="G5374" i="4" s="1"/>
  <c r="F5402" i="4"/>
  <c r="G5402" i="4" s="1"/>
  <c r="F5404" i="4"/>
  <c r="G5404" i="4" s="1"/>
  <c r="G5403" i="4"/>
  <c r="G5393" i="4"/>
  <c r="G5373" i="4"/>
  <c r="G5351" i="4"/>
  <c r="G5172" i="4"/>
  <c r="G5384" i="4"/>
  <c r="G5395" i="4"/>
  <c r="F5258" i="4"/>
  <c r="G5258" i="4" s="1"/>
  <c r="F5391" i="4"/>
  <c r="G5391" i="4" s="1"/>
  <c r="G5396" i="4"/>
  <c r="F5342" i="4"/>
  <c r="G5342" i="4" s="1"/>
  <c r="F5386" i="4"/>
  <c r="G5386" i="4" s="1"/>
  <c r="G4566" i="4"/>
  <c r="G5260" i="4"/>
  <c r="F5346" i="4"/>
  <c r="G5346" i="4" s="1"/>
  <c r="F5380" i="4"/>
  <c r="G5380" i="4" s="1"/>
  <c r="G5348" i="4"/>
  <c r="G5365" i="4"/>
  <c r="F5315" i="4"/>
  <c r="G5315" i="4" s="1"/>
  <c r="F5364" i="4"/>
  <c r="G5364" i="4" s="1"/>
  <c r="F5369" i="4"/>
  <c r="G5369" i="4" s="1"/>
  <c r="G5370" i="4"/>
  <c r="F3916" i="4"/>
  <c r="G3916" i="4" s="1"/>
  <c r="F5366" i="4"/>
  <c r="G5366" i="4" s="1"/>
  <c r="F5359" i="4"/>
  <c r="G5359" i="4" s="1"/>
  <c r="F5372" i="4"/>
  <c r="G5372" i="4" s="1"/>
  <c r="F5362" i="4"/>
  <c r="G5362" i="4" s="1"/>
  <c r="F5367" i="4"/>
  <c r="G5367" i="4" s="1"/>
  <c r="F5375" i="4"/>
  <c r="G5375" i="4" s="1"/>
  <c r="G5257" i="4"/>
  <c r="G5356" i="4"/>
  <c r="F5338" i="4"/>
  <c r="G5338" i="4" s="1"/>
  <c r="F5358" i="4"/>
  <c r="G5358" i="4" s="1"/>
  <c r="F5343" i="4"/>
  <c r="G5343" i="4" s="1"/>
  <c r="F5350" i="4"/>
  <c r="G5350" i="4" s="1"/>
  <c r="G5353" i="4"/>
  <c r="G5355" i="4"/>
  <c r="F5341" i="4"/>
  <c r="G5341" i="4" s="1"/>
  <c r="F5352" i="4"/>
  <c r="G5352" i="4" s="1"/>
  <c r="G4129" i="4"/>
  <c r="F5335" i="4"/>
  <c r="G5335" i="4" s="1"/>
  <c r="F5340" i="4"/>
  <c r="G5340" i="4" s="1"/>
  <c r="F5334" i="4"/>
  <c r="G5334" i="4" s="1"/>
  <c r="F5339" i="4"/>
  <c r="G5339" i="4" s="1"/>
  <c r="F5212" i="4"/>
  <c r="G5212" i="4" s="1"/>
  <c r="F5337" i="4"/>
  <c r="G5337" i="4" s="1"/>
  <c r="F5311" i="4"/>
  <c r="G5311" i="4" s="1"/>
  <c r="F5336" i="4"/>
  <c r="G5336" i="4" s="1"/>
  <c r="G5190" i="4"/>
  <c r="F5285" i="4"/>
  <c r="G5285" i="4" s="1"/>
  <c r="F5333" i="4"/>
  <c r="G5333" i="4" s="1"/>
  <c r="G5327" i="4"/>
  <c r="G5329" i="4"/>
  <c r="G5304" i="4"/>
  <c r="G5332" i="4"/>
  <c r="F5290" i="4"/>
  <c r="G5290" i="4" s="1"/>
  <c r="F5330" i="4"/>
  <c r="G5330" i="4" s="1"/>
  <c r="G5323" i="4"/>
  <c r="G5325" i="4"/>
  <c r="G5326" i="4"/>
  <c r="F5237" i="4"/>
  <c r="G5237" i="4" s="1"/>
  <c r="F5324" i="4"/>
  <c r="G5324" i="4" s="1"/>
  <c r="G5321" i="4"/>
  <c r="G5279" i="4"/>
  <c r="G5296" i="4"/>
  <c r="G5226" i="4"/>
  <c r="G5250" i="4"/>
  <c r="G4933" i="4"/>
  <c r="G5269" i="4"/>
  <c r="G5314" i="4"/>
  <c r="F5197" i="4"/>
  <c r="G5197" i="4" s="1"/>
  <c r="F5316" i="4"/>
  <c r="G5316" i="4" s="1"/>
  <c r="F5085" i="4"/>
  <c r="G5085" i="4" s="1"/>
  <c r="F5313" i="4"/>
  <c r="G5313" i="4" s="1"/>
  <c r="F4182" i="4"/>
  <c r="G4182" i="4" s="1"/>
  <c r="F5312" i="4"/>
  <c r="G5312" i="4" s="1"/>
  <c r="F4982" i="4"/>
  <c r="G4982" i="4" s="1"/>
  <c r="F5309" i="4"/>
  <c r="G5309" i="4" s="1"/>
  <c r="F5303" i="4"/>
  <c r="G5303" i="4" s="1"/>
  <c r="F5310" i="4"/>
  <c r="G5310" i="4" s="1"/>
  <c r="F5307" i="4"/>
  <c r="G5307" i="4" s="1"/>
  <c r="F5308" i="4"/>
  <c r="G5308" i="4" s="1"/>
  <c r="G5249" i="4"/>
  <c r="G5243" i="4"/>
  <c r="G5306" i="4"/>
  <c r="G4871" i="4"/>
  <c r="G5193" i="4"/>
  <c r="G5238" i="4"/>
  <c r="G5167" i="4"/>
  <c r="G5277" i="4"/>
  <c r="G5281" i="4"/>
  <c r="G5301" i="4"/>
  <c r="F5286" i="4"/>
  <c r="G5286" i="4" s="1"/>
  <c r="F5294" i="4"/>
  <c r="G5294" i="4" s="1"/>
  <c r="G5299" i="4"/>
  <c r="F5293" i="4"/>
  <c r="G5293" i="4" s="1"/>
  <c r="F5297" i="4"/>
  <c r="G5297" i="4" s="1"/>
  <c r="F5287" i="4"/>
  <c r="G5287" i="4" s="1"/>
  <c r="F5300" i="4"/>
  <c r="G5300" i="4" s="1"/>
  <c r="G5291" i="4"/>
  <c r="G5288" i="4"/>
  <c r="G5171" i="4"/>
  <c r="G5173" i="4"/>
  <c r="G5180" i="4"/>
  <c r="G5235" i="4"/>
  <c r="G5127" i="4"/>
  <c r="G5221" i="4"/>
  <c r="F5270" i="4"/>
  <c r="G5270" i="4" s="1"/>
  <c r="F5275" i="4"/>
  <c r="F5251" i="4"/>
  <c r="G5251" i="4" s="1"/>
  <c r="F5273" i="4"/>
  <c r="G5273" i="4" s="1"/>
  <c r="F5205" i="4"/>
  <c r="G5205" i="4" s="1"/>
  <c r="F5274" i="4"/>
  <c r="G5274" i="4" s="1"/>
  <c r="F5206" i="4"/>
  <c r="G5206" i="4" s="1"/>
  <c r="F5282" i="4"/>
  <c r="G5282" i="4" s="1"/>
  <c r="G5278" i="4"/>
  <c r="G5275" i="4"/>
  <c r="F5271" i="4"/>
  <c r="G5271" i="4" s="1"/>
  <c r="F5280" i="4"/>
  <c r="G5280" i="4" s="1"/>
  <c r="G5248" i="4"/>
  <c r="G5253" i="4"/>
  <c r="G5268" i="4"/>
  <c r="F4998" i="4"/>
  <c r="G4998" i="4" s="1"/>
  <c r="F5262" i="4"/>
  <c r="G5262" i="4" s="1"/>
  <c r="F5264" i="4"/>
  <c r="F5265" i="4"/>
  <c r="G5265" i="4" s="1"/>
  <c r="F5252" i="4"/>
  <c r="G5252" i="4" s="1"/>
  <c r="F5261" i="4"/>
  <c r="G5261" i="4" s="1"/>
  <c r="G5264" i="4"/>
  <c r="F5129" i="4"/>
  <c r="G5129" i="4" s="1"/>
  <c r="F5259" i="4"/>
  <c r="G5259" i="4" s="1"/>
  <c r="G5254" i="4"/>
  <c r="G5256" i="4"/>
  <c r="G5118" i="4"/>
  <c r="G4696" i="4"/>
  <c r="G4874" i="4"/>
  <c r="G5063" i="4"/>
  <c r="G1074" i="4"/>
  <c r="G5247" i="4"/>
  <c r="F5203" i="4"/>
  <c r="G5203" i="4" s="1"/>
  <c r="F5246" i="4"/>
  <c r="G5246" i="4" s="1"/>
  <c r="F4855" i="4"/>
  <c r="G4855" i="4" s="1"/>
  <c r="F5245" i="4"/>
  <c r="G5245" i="4" s="1"/>
  <c r="F5239" i="4"/>
  <c r="G5239" i="4" s="1"/>
  <c r="F5244" i="4"/>
  <c r="G5244" i="4" s="1"/>
  <c r="G5240" i="4"/>
  <c r="G5241" i="4"/>
  <c r="G5124" i="4"/>
  <c r="G5218" i="4"/>
  <c r="G5227" i="4"/>
  <c r="G5220" i="4"/>
  <c r="G5233" i="4"/>
  <c r="F5234" i="4"/>
  <c r="G5234" i="4" s="1"/>
  <c r="F5236" i="4"/>
  <c r="G5236" i="4" s="1"/>
  <c r="F5036" i="4"/>
  <c r="G5036" i="4" s="1"/>
  <c r="F5232" i="4"/>
  <c r="G5232" i="4" s="1"/>
  <c r="F5224" i="4"/>
  <c r="G5224" i="4" s="1"/>
  <c r="F5230" i="4"/>
  <c r="G5230" i="4" s="1"/>
  <c r="F5120" i="4"/>
  <c r="G5120" i="4" s="1"/>
  <c r="F5222" i="4"/>
  <c r="G5222" i="4" s="1"/>
  <c r="F5223" i="4"/>
  <c r="G5223" i="4" s="1"/>
  <c r="G5187" i="4"/>
  <c r="G5033" i="4"/>
  <c r="G1049" i="4"/>
  <c r="F5213" i="4"/>
  <c r="G5213" i="4" s="1"/>
  <c r="F5217" i="4"/>
  <c r="G5217" i="4" s="1"/>
  <c r="F4972" i="4"/>
  <c r="G4972" i="4" s="1"/>
  <c r="F5216" i="4"/>
  <c r="G5216" i="4" s="1"/>
  <c r="F5207" i="4"/>
  <c r="G5207" i="4" s="1"/>
  <c r="F5211" i="4"/>
  <c r="G5211" i="4" s="1"/>
  <c r="F5176" i="4"/>
  <c r="G5176" i="4" s="1"/>
  <c r="F5215" i="4"/>
  <c r="G5215" i="4" s="1"/>
  <c r="F5119" i="4"/>
  <c r="G5119" i="4" s="1"/>
  <c r="F5204" i="4"/>
  <c r="G5204" i="4" s="1"/>
  <c r="G5200" i="4"/>
  <c r="F5185" i="4"/>
  <c r="G5185" i="4" s="1"/>
  <c r="F5209" i="4"/>
  <c r="G5209" i="4" s="1"/>
  <c r="F5208" i="4"/>
  <c r="G5208" i="4" s="1"/>
  <c r="F5210" i="4"/>
  <c r="G5210" i="4" s="1"/>
  <c r="G1302" i="4"/>
  <c r="G3917" i="4"/>
  <c r="G1186" i="4"/>
  <c r="G3184" i="4"/>
  <c r="G2193" i="4"/>
  <c r="B47" i="12"/>
  <c r="G4914" i="4"/>
  <c r="F5188" i="4"/>
  <c r="G5188" i="4" s="1"/>
  <c r="F5199" i="4"/>
  <c r="G5199" i="4" s="1"/>
  <c r="F4654" i="4"/>
  <c r="G4654" i="4" s="1"/>
  <c r="F5196" i="4"/>
  <c r="G5196" i="4" s="1"/>
  <c r="G5198" i="4"/>
  <c r="G4135" i="4"/>
  <c r="F4974" i="4"/>
  <c r="G4974" i="4" s="1"/>
  <c r="F5194" i="4"/>
  <c r="G5194" i="4" s="1"/>
  <c r="F5035" i="4"/>
  <c r="G5035" i="4" s="1"/>
  <c r="F5195" i="4"/>
  <c r="G5195" i="4" s="1"/>
  <c r="G5148" i="4"/>
  <c r="G5186" i="4"/>
  <c r="G5189" i="4"/>
  <c r="G5181" i="4"/>
  <c r="G5184" i="4"/>
  <c r="F5179" i="4"/>
  <c r="G5179" i="4" s="1"/>
  <c r="F5183" i="4"/>
  <c r="G5183" i="4" s="1"/>
  <c r="F5182" i="4"/>
  <c r="G5182" i="4" s="1"/>
  <c r="G5177" i="4"/>
  <c r="G4574" i="4"/>
  <c r="F5081" i="4"/>
  <c r="G5081" i="4" s="1"/>
  <c r="F5178" i="4"/>
  <c r="G5178" i="4" s="1"/>
  <c r="F5069" i="4"/>
  <c r="G5069" i="4" s="1"/>
  <c r="F5175" i="4"/>
  <c r="G5175" i="4" s="1"/>
  <c r="F5136" i="4"/>
  <c r="G5136" i="4" s="1"/>
  <c r="F5174" i="4"/>
  <c r="G5174" i="4" s="1"/>
  <c r="G5130" i="4"/>
  <c r="G5131" i="4"/>
  <c r="G5169" i="4"/>
  <c r="F5166" i="4"/>
  <c r="G5166" i="4" s="1"/>
  <c r="F5168" i="4"/>
  <c r="G5168" i="4" s="1"/>
  <c r="G5162" i="4"/>
  <c r="F5164" i="4"/>
  <c r="G5164" i="4" s="1"/>
  <c r="F5165" i="4"/>
  <c r="G5165" i="4" s="1"/>
  <c r="F5141" i="4"/>
  <c r="G5141" i="4" s="1"/>
  <c r="F5163" i="4"/>
  <c r="G5163" i="4" s="1"/>
  <c r="F5155" i="4"/>
  <c r="G5155" i="4" s="1"/>
  <c r="F5161" i="4"/>
  <c r="G5161" i="4" s="1"/>
  <c r="G5153" i="4"/>
  <c r="G5160" i="4"/>
  <c r="F5088" i="4"/>
  <c r="G5088" i="4" s="1"/>
  <c r="F5158" i="4"/>
  <c r="G5158" i="4" s="1"/>
  <c r="F5152" i="4"/>
  <c r="G5152" i="4" s="1"/>
  <c r="F5170" i="4"/>
  <c r="G5170" i="4" s="1"/>
  <c r="E4999" i="4"/>
  <c r="G4999" i="4" s="1"/>
  <c r="E5149" i="4"/>
  <c r="G5149" i="4" s="1"/>
  <c r="F5140" i="4"/>
  <c r="G5140" i="4" s="1"/>
  <c r="F5151" i="4"/>
  <c r="G5151" i="4" s="1"/>
  <c r="F5092" i="4"/>
  <c r="G5092" i="4" s="1"/>
  <c r="F5150" i="4"/>
  <c r="G5150" i="4" s="1"/>
  <c r="G4854" i="4"/>
  <c r="G3120" i="4"/>
  <c r="G4853" i="4"/>
  <c r="G5099" i="4"/>
  <c r="G5064" i="4"/>
  <c r="G5122" i="4"/>
  <c r="F5098" i="4"/>
  <c r="G5098" i="4" s="1"/>
  <c r="F5146" i="4"/>
  <c r="G5146" i="4" s="1"/>
  <c r="G5145" i="4"/>
  <c r="F5072" i="4"/>
  <c r="G5072" i="4" s="1"/>
  <c r="F5137" i="4"/>
  <c r="G5137" i="4" s="1"/>
  <c r="F5135" i="4"/>
  <c r="G5135" i="4" s="1"/>
  <c r="G5138" i="4"/>
  <c r="G5128" i="4"/>
  <c r="G5133" i="4"/>
  <c r="G5142" i="4"/>
  <c r="G5089" i="4"/>
  <c r="G5107" i="4"/>
  <c r="F5110" i="4"/>
  <c r="G5110" i="4" s="1"/>
  <c r="F5132" i="4"/>
  <c r="G5132" i="4" s="1"/>
  <c r="G5121" i="4"/>
  <c r="F5125" i="4"/>
  <c r="G5125" i="4" s="1"/>
  <c r="F5126" i="4"/>
  <c r="G5126" i="4" s="1"/>
  <c r="F5108" i="4"/>
  <c r="G5108" i="4" s="1"/>
  <c r="F5123" i="4"/>
  <c r="G5123" i="4" s="1"/>
  <c r="G5112" i="4"/>
  <c r="F5056" i="4"/>
  <c r="G5056" i="4" s="1"/>
  <c r="F5116" i="4"/>
  <c r="G5116" i="4" s="1"/>
  <c r="F4945" i="4"/>
  <c r="G4945" i="4" s="1"/>
  <c r="F5115" i="4"/>
  <c r="G5115" i="4" s="1"/>
  <c r="G5042" i="4"/>
  <c r="F5068" i="4"/>
  <c r="G5068" i="4" s="1"/>
  <c r="F5113" i="4"/>
  <c r="G5113" i="4" s="1"/>
  <c r="G5114" i="4"/>
  <c r="F5044" i="4"/>
  <c r="G5044" i="4" s="1"/>
  <c r="F5111" i="4"/>
  <c r="G5111" i="4" s="1"/>
  <c r="G5105" i="4"/>
  <c r="G5096" i="4"/>
  <c r="G5102" i="4"/>
  <c r="G5103" i="4"/>
  <c r="G5106" i="4"/>
  <c r="F5094" i="4"/>
  <c r="G5094" i="4" s="1"/>
  <c r="F5100" i="4"/>
  <c r="G5100" i="4" s="1"/>
  <c r="G5101" i="4"/>
  <c r="F5078" i="4"/>
  <c r="G5078" i="4" s="1"/>
  <c r="F5095" i="4"/>
  <c r="G5095" i="4" s="1"/>
  <c r="G5060" i="4"/>
  <c r="G5080" i="4"/>
  <c r="G5093" i="4"/>
  <c r="G4903" i="4"/>
  <c r="G5091" i="4"/>
  <c r="F5077" i="4"/>
  <c r="G5077" i="4" s="1"/>
  <c r="F5087" i="4"/>
  <c r="G5059" i="4"/>
  <c r="G5066" i="4"/>
  <c r="G5084" i="4"/>
  <c r="G5087" i="4"/>
  <c r="G5082" i="4"/>
  <c r="F4899" i="4"/>
  <c r="G4899" i="4" s="1"/>
  <c r="F5083" i="4"/>
  <c r="G5083" i="4" s="1"/>
  <c r="F5073" i="4"/>
  <c r="G5073" i="4" s="1"/>
  <c r="F5079" i="4"/>
  <c r="G5079" i="4" s="1"/>
  <c r="F5029" i="4"/>
  <c r="G5029" i="4" s="1"/>
  <c r="F5075" i="4"/>
  <c r="G5075" i="4" s="1"/>
  <c r="G5071" i="4"/>
  <c r="G5070" i="4"/>
  <c r="G5067" i="4"/>
  <c r="G5030" i="4"/>
  <c r="G4776" i="4"/>
  <c r="G5055" i="4"/>
  <c r="G878" i="4"/>
  <c r="G995" i="4"/>
  <c r="B59" i="12"/>
  <c r="G2770" i="4"/>
  <c r="F5057" i="4"/>
  <c r="G5057" i="4" s="1"/>
  <c r="F5062" i="4"/>
  <c r="G5062" i="4" s="1"/>
  <c r="F5034" i="4"/>
  <c r="G5034" i="4" s="1"/>
  <c r="F5061" i="4"/>
  <c r="G5061" i="4" s="1"/>
  <c r="G5049" i="4"/>
  <c r="F5047" i="4"/>
  <c r="G5047" i="4" s="1"/>
  <c r="F5058" i="4"/>
  <c r="G5058" i="4" s="1"/>
  <c r="G5053" i="4"/>
  <c r="F4697" i="4"/>
  <c r="G4697" i="4" s="1"/>
  <c r="F5051" i="4"/>
  <c r="G5051" i="4" s="1"/>
  <c r="F4897" i="4"/>
  <c r="G4897" i="4" s="1"/>
  <c r="F5052" i="4"/>
  <c r="G5052" i="4" s="1"/>
  <c r="F4936" i="4"/>
  <c r="G4936" i="4" s="1"/>
  <c r="F5050" i="4"/>
  <c r="G5050" i="4" s="1"/>
  <c r="F4995" i="4"/>
  <c r="G4995" i="4" s="1"/>
  <c r="F5048" i="4"/>
  <c r="G5048" i="4" s="1"/>
  <c r="F5002" i="4"/>
  <c r="G5002" i="4" s="1"/>
  <c r="F5046" i="4"/>
  <c r="G5046" i="4" s="1"/>
  <c r="F5043" i="4"/>
  <c r="G5043" i="4" s="1"/>
  <c r="F5045" i="4"/>
  <c r="G5045" i="4" s="1"/>
  <c r="G624" i="4"/>
  <c r="G911" i="4"/>
  <c r="G3826" i="4"/>
  <c r="G1881" i="4"/>
  <c r="G1087" i="4"/>
  <c r="G3129" i="4"/>
  <c r="G2369" i="4"/>
  <c r="B64" i="12"/>
  <c r="B65" i="12"/>
  <c r="F5038" i="4"/>
  <c r="G5038" i="4" s="1"/>
  <c r="F5039" i="4"/>
  <c r="G5039" i="4" s="1"/>
  <c r="G5037" i="4"/>
  <c r="G4970" i="4"/>
  <c r="F5011" i="4"/>
  <c r="G5011" i="4" s="1"/>
  <c r="F5031" i="4"/>
  <c r="G5009" i="4"/>
  <c r="G5004" i="4"/>
  <c r="G5032" i="4"/>
  <c r="G5031" i="4"/>
  <c r="F5022" i="4"/>
  <c r="G5022" i="4" s="1"/>
  <c r="F5025" i="4"/>
  <c r="G5025" i="4" s="1"/>
  <c r="F4686" i="4"/>
  <c r="G4686" i="4" s="1"/>
  <c r="F5027" i="4"/>
  <c r="G5027" i="4" s="1"/>
  <c r="F5014" i="4"/>
  <c r="G5014" i="4" s="1"/>
  <c r="F5026" i="4"/>
  <c r="G5026" i="4" s="1"/>
  <c r="F5016" i="4"/>
  <c r="G5016" i="4" s="1"/>
  <c r="F5028" i="4"/>
  <c r="G5028" i="4" s="1"/>
  <c r="F5015" i="4"/>
  <c r="G5015" i="4" s="1"/>
  <c r="F5020" i="4"/>
  <c r="G5020" i="4" s="1"/>
  <c r="F4935" i="4"/>
  <c r="G4935" i="4" s="1"/>
  <c r="F5023" i="4"/>
  <c r="G5023" i="4" s="1"/>
  <c r="G5018" i="4"/>
  <c r="G5012" i="4"/>
  <c r="G4952" i="4"/>
  <c r="G5013" i="4"/>
  <c r="F4993" i="4"/>
  <c r="G4993" i="4" s="1"/>
  <c r="F5010" i="4"/>
  <c r="G5010" i="4" s="1"/>
  <c r="F5000" i="4"/>
  <c r="G5000" i="4" s="1"/>
  <c r="F5008" i="4"/>
  <c r="G5008" i="4" s="1"/>
  <c r="G5001" i="4"/>
  <c r="G4986" i="4"/>
  <c r="G4665" i="4"/>
  <c r="G5007" i="4"/>
  <c r="F4979" i="4"/>
  <c r="G4979" i="4" s="1"/>
  <c r="F4997" i="4"/>
  <c r="G4997" i="4" s="1"/>
  <c r="G4946" i="4"/>
  <c r="G4996" i="4"/>
  <c r="G4898" i="4"/>
  <c r="G4900" i="4"/>
  <c r="G3927" i="4"/>
  <c r="G2507" i="4"/>
  <c r="G3955" i="4"/>
  <c r="G3383" i="4"/>
  <c r="G810" i="4"/>
  <c r="G959" i="4"/>
  <c r="G1119" i="4"/>
  <c r="G1156" i="4"/>
  <c r="G697" i="4"/>
  <c r="G862" i="4"/>
  <c r="G882" i="4"/>
  <c r="G967" i="4"/>
  <c r="G979" i="4"/>
  <c r="G1152" i="4"/>
  <c r="G3767" i="4"/>
  <c r="G3970" i="4"/>
  <c r="G3624" i="4"/>
  <c r="G3677" i="4"/>
  <c r="G3956" i="4"/>
  <c r="G2967" i="4"/>
  <c r="G1199" i="4"/>
  <c r="G563" i="4"/>
  <c r="G725" i="4"/>
  <c r="G987" i="4"/>
  <c r="G1060" i="4"/>
  <c r="G1391" i="4"/>
  <c r="G1516" i="4"/>
  <c r="G564" i="4"/>
  <c r="G628" i="4"/>
  <c r="G644" i="4"/>
  <c r="G678" i="4"/>
  <c r="G706" i="4"/>
  <c r="G714" i="4"/>
  <c r="G823" i="4"/>
  <c r="G839" i="4"/>
  <c r="G879" i="4"/>
  <c r="G960" i="4"/>
  <c r="G984" i="4"/>
  <c r="G1039" i="4"/>
  <c r="G1137" i="4"/>
  <c r="G3561" i="4"/>
  <c r="G1998" i="4"/>
  <c r="G2788" i="4"/>
  <c r="G2087" i="4"/>
  <c r="G2532" i="4"/>
  <c r="B52" i="12"/>
  <c r="G1993" i="4"/>
  <c r="G2217" i="4"/>
  <c r="G2405" i="4"/>
  <c r="G2433" i="4"/>
  <c r="G11" i="6"/>
  <c r="G4950" i="4"/>
  <c r="G4984" i="4"/>
  <c r="G4971" i="4"/>
  <c r="G4988" i="4"/>
  <c r="F4803" i="4"/>
  <c r="G4803" i="4" s="1"/>
  <c r="F4994" i="4"/>
  <c r="G4994" i="4" s="1"/>
  <c r="F4960" i="4"/>
  <c r="G4960" i="4" s="1"/>
  <c r="F4991" i="4"/>
  <c r="G4991" i="4" s="1"/>
  <c r="F4823" i="4"/>
  <c r="G4823" i="4" s="1"/>
  <c r="F4989" i="4"/>
  <c r="G4989" i="4" s="1"/>
  <c r="F4833" i="4"/>
  <c r="G4833" i="4" s="1"/>
  <c r="F4980" i="4"/>
  <c r="G4980" i="4" s="1"/>
  <c r="F4928" i="4"/>
  <c r="G4928" i="4" s="1"/>
  <c r="F4983" i="4"/>
  <c r="G4983" i="4" s="1"/>
  <c r="F4860" i="4"/>
  <c r="G4860" i="4" s="1"/>
  <c r="F4985" i="4"/>
  <c r="G4985" i="4" s="1"/>
  <c r="F4987" i="4"/>
  <c r="G4987" i="4" s="1"/>
  <c r="G4978" i="4"/>
  <c r="F4772" i="4"/>
  <c r="G4772" i="4" s="1"/>
  <c r="F4977" i="4"/>
  <c r="G4977" i="4" s="1"/>
  <c r="F4618" i="4"/>
  <c r="G4618" i="4" s="1"/>
  <c r="F4973" i="4"/>
  <c r="G4973" i="4" s="1"/>
  <c r="F4910" i="4"/>
  <c r="G4910" i="4" s="1"/>
  <c r="F4967" i="4"/>
  <c r="G4967" i="4" s="1"/>
  <c r="F4932" i="4"/>
  <c r="G4932" i="4" s="1"/>
  <c r="F4968" i="4"/>
  <c r="G4968" i="4" s="1"/>
  <c r="F4934" i="4"/>
  <c r="G4934" i="4" s="1"/>
  <c r="F4966" i="4"/>
  <c r="G4966" i="4" s="1"/>
  <c r="G4965" i="4"/>
  <c r="G4962" i="4"/>
  <c r="G4964" i="4"/>
  <c r="G4766" i="4"/>
  <c r="G4963" i="4"/>
  <c r="F4957" i="4"/>
  <c r="G4957" i="4" s="1"/>
  <c r="F4959" i="4"/>
  <c r="G4959" i="4" s="1"/>
  <c r="F4948" i="4"/>
  <c r="G4948" i="4" s="1"/>
  <c r="F4916" i="4"/>
  <c r="G4916" i="4" s="1"/>
  <c r="F4956" i="4"/>
  <c r="G4956" i="4" s="1"/>
  <c r="F4949" i="4"/>
  <c r="G4949" i="4" s="1"/>
  <c r="F4955" i="4"/>
  <c r="G4955" i="4" s="1"/>
  <c r="F4917" i="4"/>
  <c r="G4917" i="4" s="1"/>
  <c r="F4954" i="4"/>
  <c r="G4954" i="4" s="1"/>
  <c r="G4947" i="4"/>
  <c r="G4943" i="4"/>
  <c r="G4893" i="4"/>
  <c r="G4944" i="4"/>
  <c r="F4873" i="4"/>
  <c r="G4873" i="4" s="1"/>
  <c r="F4942" i="4"/>
  <c r="G4942" i="4" s="1"/>
  <c r="G4915" i="4"/>
  <c r="G4863" i="4"/>
  <c r="G4921" i="4"/>
  <c r="G4924" i="4"/>
  <c r="G4925" i="4"/>
  <c r="G4930" i="4"/>
  <c r="F4887" i="4"/>
  <c r="G4887" i="4" s="1"/>
  <c r="F4923" i="4"/>
  <c r="G4923" i="4" s="1"/>
  <c r="F4813" i="4"/>
  <c r="G4813" i="4" s="1"/>
  <c r="F4926" i="4"/>
  <c r="G4926" i="4" s="1"/>
  <c r="G4906" i="4"/>
  <c r="G4922" i="4"/>
  <c r="G4762" i="4"/>
  <c r="G4919" i="4"/>
  <c r="E4237" i="4"/>
  <c r="E4918" i="4"/>
  <c r="F4237" i="4"/>
  <c r="F4918" i="4"/>
  <c r="F4891" i="4"/>
  <c r="G4891" i="4" s="1"/>
  <c r="F4912" i="4"/>
  <c r="G4912" i="4" s="1"/>
  <c r="F4877" i="4"/>
  <c r="G4877" i="4" s="1"/>
  <c r="F4911" i="4"/>
  <c r="G4911" i="4" s="1"/>
  <c r="F4904" i="4"/>
  <c r="G4904" i="4" s="1"/>
  <c r="F4909" i="4"/>
  <c r="G4909" i="4" s="1"/>
  <c r="G4907" i="4"/>
  <c r="G4757" i="4"/>
  <c r="G4905" i="4"/>
  <c r="G4888" i="4"/>
  <c r="G4894" i="4"/>
  <c r="G4901" i="4"/>
  <c r="F3621" i="4"/>
  <c r="G3621" i="4" s="1"/>
  <c r="F4902" i="4"/>
  <c r="G4902" i="4" s="1"/>
  <c r="G4890" i="4"/>
  <c r="F4896" i="4"/>
  <c r="G4896" i="4" s="1"/>
  <c r="F4895" i="4"/>
  <c r="G4895" i="4" s="1"/>
  <c r="G4876" i="4"/>
  <c r="G4886" i="4"/>
  <c r="F4884" i="4"/>
  <c r="G4884" i="4" s="1"/>
  <c r="F4889" i="4"/>
  <c r="G4889" i="4" s="1"/>
  <c r="G4842" i="4"/>
  <c r="G4815" i="4"/>
  <c r="G4867" i="4"/>
  <c r="G4885" i="4"/>
  <c r="G4791" i="4"/>
  <c r="F4866" i="4"/>
  <c r="G4866" i="4" s="1"/>
  <c r="F4881" i="4"/>
  <c r="G4881" i="4" s="1"/>
  <c r="G4496" i="4"/>
  <c r="G4880" i="4"/>
  <c r="G4878" i="4"/>
  <c r="F4778" i="4"/>
  <c r="G4778" i="4" s="1"/>
  <c r="F4875" i="4"/>
  <c r="G4875" i="4" s="1"/>
  <c r="G4870" i="4"/>
  <c r="F4798" i="4"/>
  <c r="G4798" i="4" s="1"/>
  <c r="F4872" i="4"/>
  <c r="G4872" i="4" s="1"/>
  <c r="G4707" i="4"/>
  <c r="G4849" i="4"/>
  <c r="G4708" i="4"/>
  <c r="G4497" i="4"/>
  <c r="G4299" i="4"/>
  <c r="G4796" i="4"/>
  <c r="F4694" i="4"/>
  <c r="G4694" i="4" s="1"/>
  <c r="F4869" i="4"/>
  <c r="G4869" i="4" s="1"/>
  <c r="G4865" i="4"/>
  <c r="G4868" i="4"/>
  <c r="F2329" i="4"/>
  <c r="G2329" i="4" s="1"/>
  <c r="F4864" i="4"/>
  <c r="G4864" i="4" s="1"/>
  <c r="F4859" i="4"/>
  <c r="G4859" i="4" s="1"/>
  <c r="F4862" i="4"/>
  <c r="G4862" i="4" s="1"/>
  <c r="G4858" i="4"/>
  <c r="G4856" i="4"/>
  <c r="F4731" i="4"/>
  <c r="G4731" i="4" s="1"/>
  <c r="F4852" i="4"/>
  <c r="G4852" i="4" s="1"/>
  <c r="F4839" i="4"/>
  <c r="G4839" i="4" s="1"/>
  <c r="F4851" i="4"/>
  <c r="G4851" i="4" s="1"/>
  <c r="G4711" i="4"/>
  <c r="G4667" i="4"/>
  <c r="G4715" i="4"/>
  <c r="G4741" i="4"/>
  <c r="G4848" i="4"/>
  <c r="F4846" i="4"/>
  <c r="G4846" i="4" s="1"/>
  <c r="F4850" i="4"/>
  <c r="G4850" i="4" s="1"/>
  <c r="G4847" i="4"/>
  <c r="G4844" i="4"/>
  <c r="G4843" i="4"/>
  <c r="G4820" i="4"/>
  <c r="G4670" i="4"/>
  <c r="F4829" i="4"/>
  <c r="G4829" i="4" s="1"/>
  <c r="F4840" i="4"/>
  <c r="G4840" i="4" s="1"/>
  <c r="G4841" i="4"/>
  <c r="G4838" i="4"/>
  <c r="G4835" i="4"/>
  <c r="F4814" i="4"/>
  <c r="G4814" i="4" s="1"/>
  <c r="F4837" i="4"/>
  <c r="G4837" i="4" s="1"/>
  <c r="F4190" i="4"/>
  <c r="G4190" i="4" s="1"/>
  <c r="F4836" i="4"/>
  <c r="G4836" i="4" s="1"/>
  <c r="F4744" i="4"/>
  <c r="G4744" i="4" s="1"/>
  <c r="F4834" i="4"/>
  <c r="G4834" i="4" s="1"/>
  <c r="F4830" i="4"/>
  <c r="G4830" i="4" s="1"/>
  <c r="F4832" i="4"/>
  <c r="G4832" i="4" s="1"/>
  <c r="G4831" i="4"/>
  <c r="F4805" i="4"/>
  <c r="G4805" i="4" s="1"/>
  <c r="F4828" i="4"/>
  <c r="G4828" i="4" s="1"/>
  <c r="F4770" i="4"/>
  <c r="G4770" i="4" s="1"/>
  <c r="F4827" i="4"/>
  <c r="G4827" i="4" s="1"/>
  <c r="G4826" i="4"/>
  <c r="F4822" i="4"/>
  <c r="G4822" i="4" s="1"/>
  <c r="F4825" i="4"/>
  <c r="G4825" i="4" s="1"/>
  <c r="G4824" i="4"/>
  <c r="F4800" i="4"/>
  <c r="G4800" i="4" s="1"/>
  <c r="F4821" i="4"/>
  <c r="G4821" i="4" s="1"/>
  <c r="G4749" i="4"/>
  <c r="G4802" i="4"/>
  <c r="G3939" i="4"/>
  <c r="G3241" i="4"/>
  <c r="G661" i="4"/>
  <c r="G2143" i="4"/>
  <c r="F23" i="6"/>
  <c r="G2895" i="4"/>
  <c r="G4809" i="4"/>
  <c r="G4818" i="4"/>
  <c r="G4739" i="4"/>
  <c r="G4672" i="4"/>
  <c r="G4794" i="4"/>
  <c r="G4747" i="4"/>
  <c r="G4817" i="4"/>
  <c r="G4812" i="4"/>
  <c r="G4816" i="4"/>
  <c r="G4808" i="4"/>
  <c r="F4755" i="4"/>
  <c r="G4755" i="4" s="1"/>
  <c r="F4811" i="4"/>
  <c r="G4811" i="4" s="1"/>
  <c r="F4810" i="4"/>
  <c r="G4810" i="4" s="1"/>
  <c r="E75" i="6"/>
  <c r="G4806" i="4"/>
  <c r="G4807" i="4"/>
  <c r="F75" i="6"/>
  <c r="G75" i="6"/>
  <c r="F4793" i="4"/>
  <c r="G4793" i="4" s="1"/>
  <c r="F4801" i="4"/>
  <c r="G3887" i="4"/>
  <c r="G3963" i="4"/>
  <c r="G3661" i="4"/>
  <c r="G4801" i="4"/>
  <c r="G3754" i="4"/>
  <c r="G3953" i="4"/>
  <c r="G1839" i="4"/>
  <c r="G571" i="4"/>
  <c r="G1198" i="4"/>
  <c r="G1125" i="4"/>
  <c r="G640" i="4"/>
  <c r="G653" i="4"/>
  <c r="G843" i="4"/>
  <c r="G956" i="4"/>
  <c r="G972" i="4"/>
  <c r="G996" i="4"/>
  <c r="G1096" i="4"/>
  <c r="G13" i="6"/>
  <c r="G4775" i="4"/>
  <c r="F4779" i="4"/>
  <c r="G4779" i="4" s="1"/>
  <c r="F4799" i="4"/>
  <c r="G4799" i="4" s="1"/>
  <c r="F4288" i="4"/>
  <c r="G4288" i="4" s="1"/>
  <c r="F4797" i="4"/>
  <c r="G4797" i="4" s="1"/>
  <c r="F4785" i="4"/>
  <c r="G4785" i="4" s="1"/>
  <c r="F4795" i="4"/>
  <c r="G4795" i="4" s="1"/>
  <c r="G4224" i="4"/>
  <c r="G4792" i="4"/>
  <c r="G4678" i="4"/>
  <c r="F4788" i="4"/>
  <c r="G4788" i="4" s="1"/>
  <c r="F4789" i="4"/>
  <c r="G4789" i="4" s="1"/>
  <c r="F4347" i="4"/>
  <c r="G4347" i="4" s="1"/>
  <c r="F4790" i="4"/>
  <c r="G4790" i="4" s="1"/>
  <c r="G4786" i="4"/>
  <c r="G4666" i="4"/>
  <c r="C75" i="6"/>
  <c r="F4724" i="4"/>
  <c r="G4724" i="4" s="1"/>
  <c r="F4781" i="4"/>
  <c r="G4781" i="4" s="1"/>
  <c r="F4777" i="4"/>
  <c r="G4777" i="4" s="1"/>
  <c r="F4782" i="4"/>
  <c r="G4782" i="4" s="1"/>
  <c r="F4783" i="4"/>
  <c r="G4783" i="4" s="1"/>
  <c r="G4745" i="4"/>
  <c r="G4773" i="4"/>
  <c r="F4356" i="4"/>
  <c r="G4356" i="4" s="1"/>
  <c r="F4771" i="4"/>
  <c r="G4771" i="4" s="1"/>
  <c r="G4720" i="4"/>
  <c r="G4768" i="4"/>
  <c r="G4659" i="4"/>
  <c r="F4722" i="4"/>
  <c r="G4722" i="4" s="1"/>
  <c r="F4767" i="4"/>
  <c r="G4767" i="4" s="1"/>
  <c r="F4705" i="4"/>
  <c r="G4705" i="4" s="1"/>
  <c r="F4764" i="4"/>
  <c r="G4763" i="4"/>
  <c r="F4753" i="4"/>
  <c r="G4753" i="4" s="1"/>
  <c r="F4769" i="4"/>
  <c r="G4769" i="4" s="1"/>
  <c r="G4764" i="4"/>
  <c r="G4760" i="4"/>
  <c r="F4736" i="4"/>
  <c r="G4736" i="4" s="1"/>
  <c r="F4761" i="4"/>
  <c r="G4761" i="4" s="1"/>
  <c r="G4758" i="4"/>
  <c r="F3388" i="4"/>
  <c r="G3388" i="4" s="1"/>
  <c r="F4759" i="4"/>
  <c r="G4759" i="4" s="1"/>
  <c r="G4725" i="4"/>
  <c r="G4754" i="4"/>
  <c r="F4683" i="4"/>
  <c r="G4683" i="4" s="1"/>
  <c r="F4750" i="4"/>
  <c r="G4750" i="4" s="1"/>
  <c r="G4748" i="4"/>
  <c r="G4738" i="4"/>
  <c r="G4712" i="4"/>
  <c r="F4742" i="4"/>
  <c r="G4742" i="4" s="1"/>
  <c r="F4746" i="4"/>
  <c r="G4746" i="4" s="1"/>
  <c r="G4743" i="4"/>
  <c r="F4729" i="4"/>
  <c r="G4729" i="4" s="1"/>
  <c r="F4740" i="4"/>
  <c r="G4740" i="4" s="1"/>
  <c r="G4704" i="4"/>
  <c r="G4737" i="4"/>
  <c r="G4504" i="4"/>
  <c r="G4727" i="4"/>
  <c r="G4733" i="4"/>
  <c r="G4730" i="4"/>
  <c r="G4735" i="4"/>
  <c r="G4728" i="4"/>
  <c r="G4734" i="4"/>
  <c r="G4723" i="4"/>
  <c r="F4709" i="4"/>
  <c r="G4709" i="4" s="1"/>
  <c r="F4721" i="4"/>
  <c r="G4721" i="4" s="1"/>
  <c r="F4710" i="4"/>
  <c r="G4710" i="4" s="1"/>
  <c r="F4718" i="4"/>
  <c r="G4718" i="4" s="1"/>
  <c r="G4713" i="4"/>
  <c r="F4422" i="4"/>
  <c r="G4422" i="4" s="1"/>
  <c r="F4716" i="4"/>
  <c r="G4716" i="4" s="1"/>
  <c r="F4676" i="4"/>
  <c r="G4676" i="4" s="1"/>
  <c r="F4717" i="4"/>
  <c r="G4717" i="4" s="1"/>
  <c r="F4702" i="4"/>
  <c r="G4702" i="4" s="1"/>
  <c r="F4714" i="4"/>
  <c r="G4714" i="4" s="1"/>
  <c r="G4634" i="4"/>
  <c r="G4172" i="4"/>
  <c r="G4685" i="4"/>
  <c r="G4698" i="4"/>
  <c r="B53" i="12"/>
  <c r="G4706" i="4"/>
  <c r="F4699" i="4"/>
  <c r="G4699" i="4" s="1"/>
  <c r="F4703" i="4"/>
  <c r="G4703" i="4" s="1"/>
  <c r="G4701" i="4"/>
  <c r="F4627" i="4"/>
  <c r="G4627" i="4" s="1"/>
  <c r="F4700" i="4"/>
  <c r="G4700" i="4" s="1"/>
  <c r="B43" i="12"/>
  <c r="F4673" i="4"/>
  <c r="G4673" i="4" s="1"/>
  <c r="F4691" i="4"/>
  <c r="G4691" i="4" s="1"/>
  <c r="F4681" i="4"/>
  <c r="G4681" i="4" s="1"/>
  <c r="F4690" i="4"/>
  <c r="G4690" i="4" s="1"/>
  <c r="F4559" i="4"/>
  <c r="G4559" i="4" s="1"/>
  <c r="F4688" i="4"/>
  <c r="G4688" i="4" s="1"/>
  <c r="G4682" i="4"/>
  <c r="G4689" i="4"/>
  <c r="G4669" i="4"/>
  <c r="F4579" i="4"/>
  <c r="G4579" i="4" s="1"/>
  <c r="F4687" i="4"/>
  <c r="G4687" i="4" s="1"/>
  <c r="B56" i="12"/>
  <c r="F4671" i="4"/>
  <c r="G4671" i="4" s="1"/>
  <c r="F4684" i="4"/>
  <c r="G4684" i="4" s="1"/>
  <c r="F4674" i="4"/>
  <c r="G4674" i="4" s="1"/>
  <c r="F4680" i="4"/>
  <c r="G4680" i="4" s="1"/>
  <c r="F4412" i="4"/>
  <c r="G4412" i="4" s="1"/>
  <c r="F4679" i="4"/>
  <c r="G4679" i="4" s="1"/>
  <c r="B45" i="12"/>
  <c r="G3980" i="4"/>
  <c r="F3462" i="4"/>
  <c r="G3462" i="4" s="1"/>
  <c r="F4675" i="4"/>
  <c r="G4675" i="4" s="1"/>
  <c r="B48" i="12"/>
  <c r="B49" i="12"/>
  <c r="B58" i="12"/>
  <c r="F4653" i="4"/>
  <c r="G4653" i="4" s="1"/>
  <c r="F4668" i="4"/>
  <c r="G4668" i="4" s="1"/>
  <c r="B46" i="12"/>
  <c r="B42" i="12"/>
  <c r="B55" i="12"/>
  <c r="B61" i="12"/>
  <c r="B44" i="12"/>
  <c r="G3221" i="4"/>
  <c r="G3096" i="4"/>
  <c r="G3889" i="4"/>
  <c r="G3290" i="4"/>
  <c r="G3810" i="4"/>
  <c r="G1932" i="4"/>
  <c r="G2241" i="4"/>
  <c r="G4640" i="4"/>
  <c r="G4282" i="4"/>
  <c r="G4153" i="4"/>
  <c r="G4663" i="4"/>
  <c r="F4525" i="4"/>
  <c r="G4525" i="4" s="1"/>
  <c r="F4664" i="4"/>
  <c r="G4664" i="4" s="1"/>
  <c r="G4214" i="4"/>
  <c r="G4624" i="4"/>
  <c r="G4616" i="4"/>
  <c r="F4550" i="4"/>
  <c r="G4550" i="4" s="1"/>
  <c r="F4660" i="4"/>
  <c r="G4660" i="4" s="1"/>
  <c r="G4607" i="4"/>
  <c r="G4657" i="4"/>
  <c r="F4577" i="4"/>
  <c r="G4577" i="4" s="1"/>
  <c r="F4656" i="4"/>
  <c r="G4656" i="4" s="1"/>
  <c r="G4535" i="4"/>
  <c r="G4643" i="4"/>
  <c r="G4645" i="4"/>
  <c r="G4644" i="4"/>
  <c r="G4648" i="4"/>
  <c r="G4651" i="4"/>
  <c r="F4641" i="4"/>
  <c r="G4641" i="4" s="1"/>
  <c r="F4649" i="4"/>
  <c r="G4649" i="4" s="1"/>
  <c r="F4646" i="4"/>
  <c r="G4646" i="4" s="1"/>
  <c r="F4650" i="4"/>
  <c r="G4650" i="4" s="1"/>
  <c r="G4252" i="4"/>
  <c r="G4600" i="4"/>
  <c r="G4647" i="4"/>
  <c r="F4633" i="4"/>
  <c r="G4633" i="4" s="1"/>
  <c r="F4642" i="4"/>
  <c r="G4642" i="4" s="1"/>
  <c r="G4576" i="4"/>
  <c r="G4230" i="4"/>
  <c r="F4367" i="4"/>
  <c r="G4367" i="4" s="1"/>
  <c r="F4637" i="4"/>
  <c r="G4637" i="4" s="1"/>
  <c r="G4233" i="4"/>
  <c r="G4635" i="4"/>
  <c r="F4597" i="4"/>
  <c r="G4597" i="4" s="1"/>
  <c r="F4636" i="4"/>
  <c r="G4636" i="4" s="1"/>
  <c r="G4631" i="4"/>
  <c r="F4619" i="4"/>
  <c r="G4619" i="4" s="1"/>
  <c r="F4630" i="4"/>
  <c r="G4630" i="4" s="1"/>
  <c r="G4628" i="4"/>
  <c r="G4629" i="4"/>
  <c r="G4614" i="4"/>
  <c r="G4626" i="4"/>
  <c r="F4608" i="4"/>
  <c r="G4608" i="4" s="1"/>
  <c r="F4625" i="4"/>
  <c r="G4625" i="4" s="1"/>
  <c r="G4623" i="4"/>
  <c r="F4606" i="4"/>
  <c r="G4606" i="4" s="1"/>
  <c r="F4622" i="4"/>
  <c r="G4622" i="4" s="1"/>
  <c r="F4620" i="4"/>
  <c r="G4620" i="4" s="1"/>
  <c r="F4621" i="4"/>
  <c r="G4621" i="4" s="1"/>
  <c r="G4615" i="4"/>
  <c r="F4610" i="4"/>
  <c r="G4610" i="4" s="1"/>
  <c r="F4617" i="4"/>
  <c r="G4617" i="4" s="1"/>
  <c r="F4228" i="4"/>
  <c r="G4228" i="4" s="1"/>
  <c r="F4613" i="4"/>
  <c r="G4613" i="4" s="1"/>
  <c r="F4582" i="4"/>
  <c r="G4582" i="4" s="1"/>
  <c r="F4611" i="4"/>
  <c r="G4611" i="4" s="1"/>
  <c r="F4553" i="4"/>
  <c r="G4553" i="4" s="1"/>
  <c r="F4609" i="4"/>
  <c r="G4609" i="4" s="1"/>
  <c r="F4352" i="4"/>
  <c r="G4352" i="4" s="1"/>
  <c r="F4605" i="4"/>
  <c r="G4605" i="4" s="1"/>
  <c r="F4589" i="4"/>
  <c r="F4603" i="4"/>
  <c r="G4603" i="4" s="1"/>
  <c r="F4604" i="4"/>
  <c r="G4604" i="4" s="1"/>
  <c r="G4489" i="4"/>
  <c r="G4601" i="4"/>
  <c r="F2595" i="4"/>
  <c r="F4598" i="4"/>
  <c r="G4598" i="4" s="1"/>
  <c r="F4491" i="4"/>
  <c r="G4491" i="4" s="1"/>
  <c r="F4599" i="4"/>
  <c r="G4599" i="4" s="1"/>
  <c r="F2749" i="4"/>
  <c r="G2749" i="4" s="1"/>
  <c r="F4596" i="4"/>
  <c r="G4596" i="4" s="1"/>
  <c r="G4594" i="4"/>
  <c r="E4156" i="4"/>
  <c r="G4156" i="4" s="1"/>
  <c r="E4593" i="4"/>
  <c r="G4593" i="4" s="1"/>
  <c r="F4155" i="4"/>
  <c r="G4155" i="4" s="1"/>
  <c r="F4592" i="4"/>
  <c r="G4592" i="4" s="1"/>
  <c r="F4448" i="4"/>
  <c r="G4448" i="4" s="1"/>
  <c r="F4591" i="4"/>
  <c r="G4591" i="4" s="1"/>
  <c r="F4521" i="4"/>
  <c r="G4521" i="4" s="1"/>
  <c r="F4590" i="4"/>
  <c r="G4590" i="4" s="1"/>
  <c r="G4589" i="4"/>
  <c r="G4200" i="4"/>
  <c r="F4554" i="4"/>
  <c r="G4554" i="4" s="1"/>
  <c r="F4587" i="4"/>
  <c r="G4587" i="4" s="1"/>
  <c r="G4216" i="4"/>
  <c r="G4578" i="4"/>
  <c r="F4556" i="4"/>
  <c r="G4556" i="4" s="1"/>
  <c r="F4585" i="4"/>
  <c r="G4585" i="4" s="1"/>
  <c r="F4575" i="4"/>
  <c r="G4575" i="4" s="1"/>
  <c r="F4584" i="4"/>
  <c r="G4584" i="4" s="1"/>
  <c r="F4518" i="4"/>
  <c r="G4518" i="4" s="1"/>
  <c r="F4583" i="4"/>
  <c r="G4583" i="4" s="1"/>
  <c r="F4561" i="4"/>
  <c r="G4561" i="4" s="1"/>
  <c r="F4581" i="4"/>
  <c r="G4581" i="4" s="1"/>
  <c r="G4568" i="4"/>
  <c r="F4534" i="4"/>
  <c r="G4534" i="4" s="1"/>
  <c r="F4580" i="4"/>
  <c r="G4580" i="4" s="1"/>
  <c r="G4570" i="4"/>
  <c r="F4071" i="4"/>
  <c r="G4071" i="4" s="1"/>
  <c r="F4572" i="4"/>
  <c r="G4572" i="4" s="1"/>
  <c r="F4450" i="4"/>
  <c r="G4450" i="4" s="1"/>
  <c r="F4571" i="4"/>
  <c r="G4571" i="4" s="1"/>
  <c r="F4552" i="4"/>
  <c r="G4552" i="4" s="1"/>
  <c r="F4567" i="4"/>
  <c r="G4567" i="4" s="1"/>
  <c r="F4563" i="4"/>
  <c r="F4569" i="4"/>
  <c r="G4569" i="4" s="1"/>
  <c r="G4558" i="4"/>
  <c r="G4507" i="4"/>
  <c r="G4564" i="4"/>
  <c r="G4551" i="4"/>
  <c r="G4555" i="4"/>
  <c r="G4565" i="4"/>
  <c r="G4563" i="4"/>
  <c r="G4562" i="4"/>
  <c r="G4560" i="4"/>
  <c r="F4463" i="4"/>
  <c r="G4463" i="4" s="1"/>
  <c r="F4557" i="4"/>
  <c r="G4557" i="4" s="1"/>
  <c r="G4546" i="4"/>
  <c r="F4541" i="4"/>
  <c r="G4541" i="4" s="1"/>
  <c r="F4549" i="4"/>
  <c r="G4549" i="4" s="1"/>
  <c r="G4528" i="4"/>
  <c r="F4539" i="4"/>
  <c r="G4539" i="4" s="1"/>
  <c r="F4548" i="4"/>
  <c r="G4548" i="4" s="1"/>
  <c r="F4545" i="4"/>
  <c r="G4545" i="4" s="1"/>
  <c r="F4544" i="4"/>
  <c r="G4544" i="4" s="1"/>
  <c r="F4527" i="4"/>
  <c r="G4527" i="4" s="1"/>
  <c r="F4540" i="4"/>
  <c r="G4540" i="4" s="1"/>
  <c r="F4350" i="4"/>
  <c r="G4350" i="4" s="1"/>
  <c r="F4542" i="4"/>
  <c r="G4542" i="4" s="1"/>
  <c r="G4543" i="4"/>
  <c r="G4538" i="4"/>
  <c r="G4302" i="4"/>
  <c r="F4524" i="4"/>
  <c r="G4524" i="4" s="1"/>
  <c r="F4537" i="4"/>
  <c r="G4537" i="4" s="1"/>
  <c r="G4530" i="4"/>
  <c r="F4343" i="4"/>
  <c r="G4343" i="4" s="1"/>
  <c r="F4536" i="4"/>
  <c r="G4536" i="4" s="1"/>
  <c r="F4522" i="4"/>
  <c r="G4522" i="4" s="1"/>
  <c r="F4529" i="4"/>
  <c r="G4529" i="4" s="1"/>
  <c r="F4532" i="4"/>
  <c r="G4532" i="4" s="1"/>
  <c r="F4385" i="4"/>
  <c r="G4385" i="4" s="1"/>
  <c r="F4531" i="4"/>
  <c r="G4531" i="4" s="1"/>
  <c r="F4208" i="4"/>
  <c r="G4208" i="4" s="1"/>
  <c r="F4523" i="4"/>
  <c r="G4523" i="4" s="1"/>
  <c r="F4513" i="4"/>
  <c r="G4513" i="4" s="1"/>
  <c r="F4520" i="4"/>
  <c r="G4520" i="4" s="1"/>
  <c r="G4419" i="4"/>
  <c r="G4295" i="4"/>
  <c r="G4516" i="4"/>
  <c r="F4487" i="4"/>
  <c r="G4487" i="4" s="1"/>
  <c r="F4519" i="4"/>
  <c r="G4519" i="4" s="1"/>
  <c r="G4500" i="4"/>
  <c r="F4270" i="4"/>
  <c r="G4270" i="4" s="1"/>
  <c r="F4517" i="4"/>
  <c r="G4517" i="4" s="1"/>
  <c r="F4390" i="4"/>
  <c r="G4390" i="4" s="1"/>
  <c r="F4515" i="4"/>
  <c r="G4515" i="4" s="1"/>
  <c r="F4300" i="4"/>
  <c r="G4300" i="4" s="1"/>
  <c r="F4514" i="4"/>
  <c r="G4514" i="4" s="1"/>
  <c r="F4506" i="4"/>
  <c r="G4506" i="4" s="1"/>
  <c r="F4512" i="4"/>
  <c r="G4512" i="4" s="1"/>
  <c r="G4503" i="4"/>
  <c r="G4509" i="4"/>
  <c r="F4360" i="4"/>
  <c r="G4360" i="4" s="1"/>
  <c r="F4510" i="4"/>
  <c r="G4510" i="4" s="1"/>
  <c r="F4428" i="4"/>
  <c r="G4428" i="4" s="1"/>
  <c r="F4511" i="4"/>
  <c r="G4511" i="4" s="1"/>
  <c r="F4476" i="4"/>
  <c r="F4508" i="4"/>
  <c r="G4508" i="4" s="1"/>
  <c r="F4244" i="4"/>
  <c r="G4244" i="4" s="1"/>
  <c r="F4505" i="4"/>
  <c r="G4505" i="4" s="1"/>
  <c r="F4348" i="4"/>
  <c r="G4348" i="4" s="1"/>
  <c r="F4501" i="4"/>
  <c r="G4501" i="4" s="1"/>
  <c r="F4490" i="4"/>
  <c r="G4490" i="4" s="1"/>
  <c r="F4502" i="4"/>
  <c r="G4502" i="4" s="1"/>
  <c r="F4359" i="4"/>
  <c r="G4359" i="4" s="1"/>
  <c r="F4498" i="4"/>
  <c r="G4498" i="4" s="1"/>
  <c r="G4499" i="4"/>
  <c r="G4424" i="4"/>
  <c r="G4296" i="4"/>
  <c r="G4494" i="4"/>
  <c r="G4493" i="4"/>
  <c r="G4495" i="4"/>
  <c r="F4212" i="4"/>
  <c r="G4212" i="4" s="1"/>
  <c r="F4492" i="4"/>
  <c r="G4492" i="4" s="1"/>
  <c r="F4378" i="4"/>
  <c r="G4378" i="4" s="1"/>
  <c r="F4486" i="4"/>
  <c r="G4486" i="4" s="1"/>
  <c r="F4409" i="4"/>
  <c r="G4409" i="4" s="1"/>
  <c r="F4488" i="4"/>
  <c r="G4488" i="4" s="1"/>
  <c r="F4485" i="4"/>
  <c r="G4485" i="4" s="1"/>
  <c r="F4483" i="4"/>
  <c r="G4483" i="4" s="1"/>
  <c r="F4481" i="4"/>
  <c r="G4481" i="4" s="1"/>
  <c r="F4479" i="4"/>
  <c r="G4479" i="4" s="1"/>
  <c r="F4480" i="4"/>
  <c r="G4480" i="4" s="1"/>
  <c r="F4477" i="4"/>
  <c r="G4477" i="4" s="1"/>
  <c r="G4476" i="4"/>
  <c r="F4472" i="4"/>
  <c r="G4472" i="4" s="1"/>
  <c r="F4473" i="4"/>
  <c r="G4473" i="4" s="1"/>
  <c r="F4469" i="4"/>
  <c r="G4469" i="4" s="1"/>
  <c r="F4468" i="4"/>
  <c r="G4468" i="4" s="1"/>
  <c r="F4466" i="4"/>
  <c r="G4466" i="4" s="1"/>
  <c r="F4467" i="4"/>
  <c r="G4467" i="4" s="1"/>
  <c r="F4465" i="4"/>
  <c r="G4465" i="4" s="1"/>
  <c r="F4462" i="4"/>
  <c r="F4460" i="4"/>
  <c r="G4460" i="4" s="1"/>
  <c r="G4329" i="4"/>
  <c r="G4429" i="4"/>
  <c r="G4322" i="4"/>
  <c r="G4363" i="4"/>
  <c r="G4423" i="4"/>
  <c r="F4458" i="4"/>
  <c r="G4458" i="4" s="1"/>
  <c r="F4455" i="4"/>
  <c r="G4455" i="4" s="1"/>
  <c r="G4309" i="4"/>
  <c r="G4354" i="4"/>
  <c r="F4451" i="4"/>
  <c r="G4451" i="4" s="1"/>
  <c r="G4421" i="4"/>
  <c r="G4306" i="4"/>
  <c r="E4446" i="4"/>
  <c r="G4446" i="4" s="1"/>
  <c r="F4444" i="4"/>
  <c r="G4444" i="4" s="1"/>
  <c r="G4442" i="4"/>
  <c r="F4443" i="4"/>
  <c r="G4443" i="4" s="1"/>
  <c r="G4426" i="4"/>
  <c r="G4452" i="4"/>
  <c r="F4433" i="4"/>
  <c r="G4433" i="4" s="1"/>
  <c r="F4431" i="4"/>
  <c r="G4431" i="4" s="1"/>
  <c r="F4397" i="4"/>
  <c r="G4397" i="4" s="1"/>
  <c r="F4430" i="4"/>
  <c r="G4430" i="4" s="1"/>
  <c r="E4436" i="4"/>
  <c r="G4436" i="4" s="1"/>
  <c r="F4432" i="4"/>
  <c r="G4432" i="4" s="1"/>
  <c r="F4435" i="4"/>
  <c r="G4435" i="4" s="1"/>
  <c r="F4051" i="4"/>
  <c r="G4051" i="4" s="1"/>
  <c r="F4418" i="4"/>
  <c r="G4418" i="4" s="1"/>
  <c r="F4382" i="4"/>
  <c r="G4382" i="4" s="1"/>
  <c r="F4425" i="4"/>
  <c r="G4425" i="4" s="1"/>
  <c r="F4407" i="4"/>
  <c r="G4407" i="4" s="1"/>
  <c r="F4414" i="4"/>
  <c r="G4414" i="4" s="1"/>
  <c r="F4413" i="4"/>
  <c r="G4413" i="4" s="1"/>
  <c r="F4406" i="4"/>
  <c r="G4406" i="4" s="1"/>
  <c r="F4403" i="4"/>
  <c r="G4403" i="4" s="1"/>
  <c r="F4400" i="4"/>
  <c r="G4400" i="4" s="1"/>
  <c r="F4401" i="4"/>
  <c r="G4401" i="4" s="1"/>
  <c r="F4399" i="4"/>
  <c r="G4399" i="4" s="1"/>
  <c r="G4484" i="4"/>
  <c r="G4462" i="4"/>
  <c r="G4482" i="4"/>
  <c r="G4478" i="4"/>
  <c r="G4474" i="4"/>
  <c r="G4454" i="4"/>
  <c r="G4440" i="4"/>
  <c r="G4471" i="4"/>
  <c r="G4447" i="4"/>
  <c r="G4439" i="4"/>
  <c r="G4456" i="4"/>
  <c r="G4470" i="4"/>
  <c r="G4438" i="4"/>
  <c r="G4461" i="4"/>
  <c r="G4453" i="4"/>
  <c r="G4445" i="4"/>
  <c r="G4437" i="4"/>
  <c r="G4464" i="4"/>
  <c r="G4475" i="4"/>
  <c r="G4459" i="4"/>
  <c r="G4457" i="4"/>
  <c r="G4449" i="4"/>
  <c r="G4441" i="4"/>
  <c r="F4380" i="4"/>
  <c r="G4380" i="4" s="1"/>
  <c r="G4398" i="4"/>
  <c r="G4386" i="4"/>
  <c r="G4374" i="4"/>
  <c r="F4394" i="4"/>
  <c r="G4394" i="4" s="1"/>
  <c r="F4393" i="4"/>
  <c r="G4393" i="4" s="1"/>
  <c r="F4392" i="4"/>
  <c r="G4392" i="4" s="1"/>
  <c r="F4389" i="4"/>
  <c r="G4389" i="4" s="1"/>
  <c r="F4387" i="4"/>
  <c r="G4387" i="4" s="1"/>
  <c r="G4415" i="4"/>
  <c r="G4405" i="4"/>
  <c r="G4391" i="4"/>
  <c r="G4381" i="4"/>
  <c r="G4379" i="4"/>
  <c r="G4434" i="4"/>
  <c r="G4410" i="4"/>
  <c r="G4408" i="4"/>
  <c r="G4404" i="4"/>
  <c r="G4402" i="4"/>
  <c r="G4396" i="4"/>
  <c r="G4388" i="4"/>
  <c r="G4411" i="4"/>
  <c r="G4395" i="4"/>
  <c r="G4384" i="4"/>
  <c r="F4383" i="4"/>
  <c r="G4383" i="4" s="1"/>
  <c r="G4375" i="4"/>
  <c r="E4318" i="4"/>
  <c r="F4318" i="4"/>
  <c r="F4304" i="4"/>
  <c r="G4304" i="4" s="1"/>
  <c r="F4377" i="4"/>
  <c r="G4377" i="4" s="1"/>
  <c r="F4376" i="4"/>
  <c r="G4376" i="4" s="1"/>
  <c r="F4373" i="4"/>
  <c r="G4373" i="4" s="1"/>
  <c r="G4369" i="4"/>
  <c r="F4372" i="4"/>
  <c r="G4372" i="4" s="1"/>
  <c r="F4371" i="4"/>
  <c r="G4371" i="4" s="1"/>
  <c r="F4365" i="4"/>
  <c r="G4365" i="4" s="1"/>
  <c r="F4370" i="4"/>
  <c r="G4370" i="4" s="1"/>
  <c r="F4325" i="4"/>
  <c r="G4325" i="4" s="1"/>
  <c r="F4368" i="4"/>
  <c r="G4368" i="4" s="1"/>
  <c r="G4364" i="4"/>
  <c r="F4366" i="4"/>
  <c r="G4366" i="4" s="1"/>
  <c r="G4362" i="4"/>
  <c r="G3841" i="4"/>
  <c r="G4361" i="4"/>
  <c r="G3920" i="4"/>
  <c r="G4355" i="4"/>
  <c r="F4064" i="4"/>
  <c r="G4064" i="4" s="1"/>
  <c r="F4358" i="4"/>
  <c r="G4358" i="4" s="1"/>
  <c r="F4324" i="4"/>
  <c r="G4324" i="4" s="1"/>
  <c r="F4357" i="4"/>
  <c r="G4357" i="4" s="1"/>
  <c r="G4353" i="4"/>
  <c r="G4349" i="4"/>
  <c r="F4332" i="4"/>
  <c r="G4332" i="4" s="1"/>
  <c r="F4351" i="4"/>
  <c r="G4351" i="4" s="1"/>
  <c r="G4340" i="4"/>
  <c r="G4345" i="4"/>
  <c r="F3930" i="4"/>
  <c r="G3930" i="4" s="1"/>
  <c r="F4346" i="4"/>
  <c r="G4346" i="4" s="1"/>
  <c r="G4344" i="4"/>
  <c r="G926" i="4"/>
  <c r="G711" i="4"/>
  <c r="G3793" i="4"/>
  <c r="G3845" i="4"/>
  <c r="F4330" i="4"/>
  <c r="G4330" i="4" s="1"/>
  <c r="F4342" i="4"/>
  <c r="G4342" i="4" s="1"/>
  <c r="G3768" i="4"/>
  <c r="G3801" i="4"/>
  <c r="G3913" i="4"/>
  <c r="F4246" i="4"/>
  <c r="G4246" i="4" s="1"/>
  <c r="F4341" i="4"/>
  <c r="G4341" i="4" s="1"/>
  <c r="F4319" i="4"/>
  <c r="G4319" i="4" s="1"/>
  <c r="F4338" i="4"/>
  <c r="G4338" i="4" s="1"/>
  <c r="G3192" i="4"/>
  <c r="G3948" i="4"/>
  <c r="G4337" i="4"/>
  <c r="G2183" i="4"/>
  <c r="G2655" i="4"/>
  <c r="G1519" i="4"/>
  <c r="G3865" i="4"/>
  <c r="G3884" i="4"/>
  <c r="G3928" i="4"/>
  <c r="G3859" i="4"/>
  <c r="G3935" i="4"/>
  <c r="G3936" i="4"/>
  <c r="G3958" i="4"/>
  <c r="G3971" i="4"/>
  <c r="G3975" i="4"/>
  <c r="G3977" i="4"/>
  <c r="F4185" i="4"/>
  <c r="G4185" i="4" s="1"/>
  <c r="F4335" i="4"/>
  <c r="G4335" i="4" s="1"/>
  <c r="G3102" i="4"/>
  <c r="G3070" i="4"/>
  <c r="G2038" i="4"/>
  <c r="G3105" i="4"/>
  <c r="G2521" i="4"/>
  <c r="G3986" i="4"/>
  <c r="G2071" i="4"/>
  <c r="G2467" i="4"/>
  <c r="G2140" i="4"/>
  <c r="G2715" i="4"/>
  <c r="G2333" i="4"/>
  <c r="G2590" i="4"/>
  <c r="G2558" i="4"/>
  <c r="G3029" i="4"/>
  <c r="G3031" i="4"/>
  <c r="G1410" i="4"/>
  <c r="G2580" i="4"/>
  <c r="F4010" i="4"/>
  <c r="G4010" i="4" s="1"/>
  <c r="F4333" i="4"/>
  <c r="G4333" i="4" s="1"/>
  <c r="G3907" i="4"/>
  <c r="G3964" i="4"/>
  <c r="G3985" i="4"/>
  <c r="G2258" i="4"/>
  <c r="G3824" i="4"/>
  <c r="G3076" i="4"/>
  <c r="G3918" i="4"/>
  <c r="G3957" i="4"/>
  <c r="G3890" i="4"/>
  <c r="F4328" i="4"/>
  <c r="G4328" i="4" s="1"/>
  <c r="G4240" i="4"/>
  <c r="G4241" i="4"/>
  <c r="G4247" i="4"/>
  <c r="G4256" i="4"/>
  <c r="G4257" i="4"/>
  <c r="G4260" i="4"/>
  <c r="G4266" i="4"/>
  <c r="G1069" i="4"/>
  <c r="G3838" i="4"/>
  <c r="G3881" i="4"/>
  <c r="G4249" i="4"/>
  <c r="G4231" i="4"/>
  <c r="G4267" i="4"/>
  <c r="G4035" i="4"/>
  <c r="G4308" i="4"/>
  <c r="G4271" i="4"/>
  <c r="G3961" i="4"/>
  <c r="F4311" i="4"/>
  <c r="G4311" i="4" s="1"/>
  <c r="F4331" i="4"/>
  <c r="G4331" i="4" s="1"/>
  <c r="G2489" i="4"/>
  <c r="G2665" i="4"/>
  <c r="G4248" i="4"/>
  <c r="G1373" i="4"/>
  <c r="G1549" i="4"/>
  <c r="G3150" i="4"/>
  <c r="G4087" i="4"/>
  <c r="G1724" i="4"/>
  <c r="G3292" i="4"/>
  <c r="F45" i="6"/>
  <c r="G45" i="6"/>
  <c r="G4084" i="4"/>
  <c r="G4225" i="4"/>
  <c r="G4174" i="4"/>
  <c r="G4115" i="4"/>
  <c r="G4242" i="4"/>
  <c r="G4199" i="4"/>
  <c r="G4298" i="4"/>
  <c r="G4326" i="4"/>
  <c r="G1818" i="4"/>
  <c r="G4232" i="4"/>
  <c r="G4272" i="4"/>
  <c r="E45" i="6"/>
  <c r="G2769" i="4"/>
  <c r="G1359" i="4"/>
  <c r="G1443" i="4"/>
  <c r="G2601" i="4"/>
  <c r="G2553" i="4"/>
  <c r="G4276" i="4"/>
  <c r="G4292" i="4"/>
  <c r="G4303" i="4"/>
  <c r="G4314" i="4"/>
  <c r="G4317" i="4"/>
  <c r="F4312" i="4"/>
  <c r="G4312" i="4" s="1"/>
  <c r="F4327" i="4"/>
  <c r="G4327" i="4" s="1"/>
  <c r="G2731" i="4"/>
  <c r="F4253" i="4"/>
  <c r="G4253" i="4" s="1"/>
  <c r="F4323" i="4"/>
  <c r="G4323" i="4" s="1"/>
  <c r="F4082" i="4"/>
  <c r="G4082" i="4" s="1"/>
  <c r="F4321" i="4"/>
  <c r="G4321" i="4" s="1"/>
  <c r="F4315" i="4"/>
  <c r="G4315" i="4" s="1"/>
  <c r="F4320" i="4"/>
  <c r="G4320" i="4" s="1"/>
  <c r="F4236" i="4"/>
  <c r="G4236" i="4" s="1"/>
  <c r="F4316" i="4"/>
  <c r="G4316" i="4" s="1"/>
  <c r="F4291" i="4"/>
  <c r="G4291" i="4" s="1"/>
  <c r="F4313" i="4"/>
  <c r="G4313" i="4" s="1"/>
  <c r="F4294" i="4"/>
  <c r="G4294" i="4" s="1"/>
  <c r="F4310" i="4"/>
  <c r="G4310" i="4" s="1"/>
  <c r="F4293" i="4"/>
  <c r="G4293" i="4" s="1"/>
  <c r="F4307" i="4"/>
  <c r="G4307" i="4" s="1"/>
  <c r="F4150" i="4"/>
  <c r="G4150" i="4" s="1"/>
  <c r="F4305" i="4"/>
  <c r="G4305" i="4" s="1"/>
  <c r="F4286" i="4"/>
  <c r="G4286" i="4" s="1"/>
  <c r="F4301" i="4"/>
  <c r="G4301" i="4" s="1"/>
  <c r="F2037" i="4"/>
  <c r="G2037" i="4" s="1"/>
  <c r="F4289" i="4"/>
  <c r="G4289" i="4" s="1"/>
  <c r="F4284" i="4"/>
  <c r="G4284" i="4" s="1"/>
  <c r="F4287" i="4"/>
  <c r="G4287" i="4" s="1"/>
  <c r="F4281" i="4"/>
  <c r="G4281" i="4" s="1"/>
  <c r="F4285" i="4"/>
  <c r="G4285" i="4" s="1"/>
  <c r="F4269" i="4"/>
  <c r="G4269" i="4" s="1"/>
  <c r="F4280" i="4"/>
  <c r="G4280" i="4" s="1"/>
  <c r="F4180" i="4"/>
  <c r="G4180" i="4" s="1"/>
  <c r="F4279" i="4"/>
  <c r="G4279" i="4" s="1"/>
  <c r="F4261" i="4"/>
  <c r="G4261" i="4" s="1"/>
  <c r="F4278" i="4"/>
  <c r="G4278" i="4" s="1"/>
  <c r="F3707" i="4"/>
  <c r="G3707" i="4" s="1"/>
  <c r="F4277" i="4"/>
  <c r="G4277" i="4" s="1"/>
  <c r="F4177" i="4"/>
  <c r="G4177" i="4" s="1"/>
  <c r="F4275" i="4"/>
  <c r="G4275" i="4" s="1"/>
  <c r="G4273" i="4"/>
  <c r="G4268" i="4"/>
  <c r="F4163" i="4"/>
  <c r="G4163" i="4" s="1"/>
  <c r="F4262" i="4"/>
  <c r="G4262" i="4" s="1"/>
  <c r="F4264" i="4"/>
  <c r="G4264" i="4" s="1"/>
  <c r="F4259" i="4"/>
  <c r="G4259" i="4" s="1"/>
  <c r="F3380" i="4"/>
  <c r="G3380" i="4" s="1"/>
  <c r="F4258" i="4"/>
  <c r="G4258" i="4" s="1"/>
  <c r="F4254" i="4"/>
  <c r="G4254" i="4" s="1"/>
  <c r="F4255" i="4"/>
  <c r="G4255" i="4" s="1"/>
  <c r="F4063" i="4"/>
  <c r="G4063" i="4" s="1"/>
  <c r="F4250" i="4"/>
  <c r="G4250" i="4" s="1"/>
  <c r="F4239" i="4"/>
  <c r="G4239" i="4" s="1"/>
  <c r="F4245" i="4"/>
  <c r="G4245" i="4" s="1"/>
  <c r="F4183" i="4"/>
  <c r="G4183" i="4" s="1"/>
  <c r="F4243" i="4"/>
  <c r="G4243" i="4" s="1"/>
  <c r="F3792" i="4"/>
  <c r="G3792" i="4" s="1"/>
  <c r="F4265" i="4"/>
  <c r="G4265" i="4" s="1"/>
  <c r="F4235" i="4"/>
  <c r="G4235" i="4" s="1"/>
  <c r="F4263" i="4"/>
  <c r="G4263" i="4" s="1"/>
  <c r="F4203" i="4"/>
  <c r="G4203" i="4" s="1"/>
  <c r="F4234" i="4"/>
  <c r="G4234" i="4" s="1"/>
  <c r="B2" i="6"/>
  <c r="G3752" i="4"/>
  <c r="G3902" i="4"/>
  <c r="G3898" i="4"/>
  <c r="G3922" i="4"/>
  <c r="E46" i="6"/>
  <c r="F46" i="6"/>
  <c r="G46" i="6"/>
  <c r="A47" i="6"/>
  <c r="G2888" i="4"/>
  <c r="G3781" i="4"/>
  <c r="G3787" i="4"/>
  <c r="G3791" i="4"/>
  <c r="G3842" i="4"/>
  <c r="G4132" i="4"/>
  <c r="G4202" i="4"/>
  <c r="G4175" i="4"/>
  <c r="G3778" i="4"/>
  <c r="G3364" i="4"/>
  <c r="G3839" i="4"/>
  <c r="G3112" i="4"/>
  <c r="G3796" i="4"/>
  <c r="G3805" i="4"/>
  <c r="G2437" i="4"/>
  <c r="G3071" i="4"/>
  <c r="G3760" i="4"/>
  <c r="G3759" i="4"/>
  <c r="G3764" i="4"/>
  <c r="G3765" i="4"/>
  <c r="G3769" i="4"/>
  <c r="G3773" i="4"/>
  <c r="G3774" i="4"/>
  <c r="G3780" i="4"/>
  <c r="G3784" i="4"/>
  <c r="G3786" i="4"/>
  <c r="G3798" i="4"/>
  <c r="G3808" i="4"/>
  <c r="G3811" i="4"/>
  <c r="G3817" i="4"/>
  <c r="G3821" i="4"/>
  <c r="G3825" i="4"/>
  <c r="G3833" i="4"/>
  <c r="G3834" i="4"/>
  <c r="G3836" i="4"/>
  <c r="G3846" i="4"/>
  <c r="G3851" i="4"/>
  <c r="G3862" i="4"/>
  <c r="G2862" i="4"/>
  <c r="G3776" i="4"/>
  <c r="G3872" i="4"/>
  <c r="G3837" i="4"/>
  <c r="G3830" i="4"/>
  <c r="G3892" i="4"/>
  <c r="G3855" i="4"/>
  <c r="G3910" i="4"/>
  <c r="G3919" i="4"/>
  <c r="G3897" i="4"/>
  <c r="G3931" i="4"/>
  <c r="G3945" i="4"/>
  <c r="G2899" i="4"/>
  <c r="G3912" i="4"/>
  <c r="G3940" i="4"/>
  <c r="G3965" i="4"/>
  <c r="G3969" i="4"/>
  <c r="G3803" i="4"/>
  <c r="G4056" i="4"/>
  <c r="G3973" i="4"/>
  <c r="G3680" i="4"/>
  <c r="G4194" i="4"/>
  <c r="G3069" i="4"/>
  <c r="G3871" i="4"/>
  <c r="G3879" i="4"/>
  <c r="G3880" i="4"/>
  <c r="G4001" i="4"/>
  <c r="G4003" i="4"/>
  <c r="G2803" i="4"/>
  <c r="G3172" i="4"/>
  <c r="G4073" i="4"/>
  <c r="G4075" i="4"/>
  <c r="G4149" i="4"/>
  <c r="G4109" i="4"/>
  <c r="G3180" i="4"/>
  <c r="G3033" i="4"/>
  <c r="G3034" i="4"/>
  <c r="G3092" i="4"/>
  <c r="G3204" i="4"/>
  <c r="G3303" i="4"/>
  <c r="G3013" i="4"/>
  <c r="G3037" i="4"/>
  <c r="G4078" i="4"/>
  <c r="G2370" i="4"/>
  <c r="G1997" i="4"/>
  <c r="G2350" i="4"/>
  <c r="G4089" i="4"/>
  <c r="G4101" i="4"/>
  <c r="G4031" i="4"/>
  <c r="G4006" i="4"/>
  <c r="G4029" i="4"/>
  <c r="G4023" i="4"/>
  <c r="G4024" i="4"/>
  <c r="G4139" i="4"/>
  <c r="G4161" i="4"/>
  <c r="G4170" i="4"/>
  <c r="G4016" i="4"/>
  <c r="G4130" i="4"/>
  <c r="G3218" i="4"/>
  <c r="G4058" i="4"/>
  <c r="G4117" i="4"/>
  <c r="G4210" i="4"/>
  <c r="G4217" i="4"/>
  <c r="G4220" i="4"/>
  <c r="C45" i="6"/>
  <c r="C46" i="6"/>
  <c r="G3098" i="4"/>
  <c r="G3116" i="4"/>
  <c r="G4014" i="4"/>
  <c r="G4055" i="4"/>
  <c r="G4095" i="4"/>
  <c r="G4102" i="4"/>
  <c r="G4104" i="4"/>
  <c r="G4159" i="4"/>
  <c r="G4204" i="4"/>
  <c r="C47" i="6"/>
  <c r="G3750" i="4"/>
  <c r="G4028" i="4"/>
  <c r="G4229" i="4"/>
  <c r="G4226" i="4"/>
  <c r="F4222" i="4"/>
  <c r="G4222" i="4" s="1"/>
  <c r="F4227" i="4"/>
  <c r="G4227" i="4" s="1"/>
  <c r="F4195" i="4"/>
  <c r="G4195" i="4" s="1"/>
  <c r="F4223" i="4"/>
  <c r="G4223" i="4" s="1"/>
  <c r="F4219" i="4"/>
  <c r="G4219" i="4" s="1"/>
  <c r="F4221" i="4"/>
  <c r="G4221" i="4" s="1"/>
  <c r="F3983" i="4"/>
  <c r="G3983" i="4" s="1"/>
  <c r="F4218" i="4"/>
  <c r="G4218" i="4" s="1"/>
  <c r="G4213" i="4"/>
  <c r="G4131" i="4"/>
  <c r="F4088" i="4"/>
  <c r="G4088" i="4" s="1"/>
  <c r="F4211" i="4"/>
  <c r="G4211" i="4" s="1"/>
  <c r="G4207" i="4"/>
  <c r="G4197" i="4"/>
  <c r="G4206" i="4"/>
  <c r="F4192" i="4"/>
  <c r="G4192" i="4" s="1"/>
  <c r="F4201" i="4"/>
  <c r="G4201" i="4" s="1"/>
  <c r="F4018" i="4"/>
  <c r="G4018" i="4" s="1"/>
  <c r="F4198" i="4"/>
  <c r="G4198" i="4" s="1"/>
  <c r="G4196" i="4"/>
  <c r="G4167" i="4"/>
  <c r="F4181" i="4"/>
  <c r="G4181" i="4" s="1"/>
  <c r="F4193" i="4"/>
  <c r="G4193" i="4" s="1"/>
  <c r="F4151" i="4"/>
  <c r="G4151" i="4" s="1"/>
  <c r="F4191" i="4"/>
  <c r="G4191" i="4" s="1"/>
  <c r="F4124" i="4"/>
  <c r="G4124" i="4" s="1"/>
  <c r="F4189" i="4"/>
  <c r="G4189" i="4" s="1"/>
  <c r="F4178" i="4"/>
  <c r="G4178" i="4" s="1"/>
  <c r="F4187" i="4"/>
  <c r="G4187" i="4" s="1"/>
  <c r="F4013" i="4"/>
  <c r="G4013" i="4" s="1"/>
  <c r="F4184" i="4"/>
  <c r="G4184" i="4" s="1"/>
  <c r="F4171" i="4"/>
  <c r="G4171" i="4" s="1"/>
  <c r="F4173" i="4"/>
  <c r="G4173" i="4" s="1"/>
  <c r="F3320" i="4"/>
  <c r="G3320" i="4" s="1"/>
  <c r="F4169" i="4"/>
  <c r="G4169" i="4" s="1"/>
  <c r="F4142" i="4"/>
  <c r="G4142" i="4" s="1"/>
  <c r="F4168" i="4"/>
  <c r="G4168" i="4" s="1"/>
  <c r="F4012" i="4"/>
  <c r="G4012" i="4" s="1"/>
  <c r="F4164" i="4"/>
  <c r="G4164" i="4" s="1"/>
  <c r="F4083" i="4"/>
  <c r="G4083" i="4" s="1"/>
  <c r="F4162" i="4"/>
  <c r="G4162" i="4" s="1"/>
  <c r="F4154" i="4"/>
  <c r="G4154" i="4" s="1"/>
  <c r="F4160" i="4"/>
  <c r="G4160" i="4" s="1"/>
  <c r="G4158" i="4"/>
  <c r="E1981" i="4"/>
  <c r="E4157" i="4"/>
  <c r="F2088" i="4"/>
  <c r="F4157" i="4"/>
  <c r="F4136" i="4"/>
  <c r="G4136" i="4" s="1"/>
  <c r="F4152" i="4"/>
  <c r="G4152" i="4" s="1"/>
  <c r="F3565" i="4"/>
  <c r="G3565" i="4" s="1"/>
  <c r="F4148" i="4"/>
  <c r="G4148" i="4" s="1"/>
  <c r="G4147" i="4"/>
  <c r="G4134" i="4"/>
  <c r="F4044" i="4"/>
  <c r="G4044" i="4" s="1"/>
  <c r="F4146" i="4"/>
  <c r="G4146" i="4" s="1"/>
  <c r="G4145" i="4"/>
  <c r="F3771" i="4"/>
  <c r="G3771" i="4" s="1"/>
  <c r="F4144" i="4"/>
  <c r="G4144" i="4" s="1"/>
  <c r="F4105" i="4"/>
  <c r="G4105" i="4" s="1"/>
  <c r="F4143" i="4"/>
  <c r="G4143" i="4" s="1"/>
  <c r="F4059" i="4"/>
  <c r="G4059" i="4" s="1"/>
  <c r="F4141" i="4"/>
  <c r="G4141" i="4" s="1"/>
  <c r="F4009" i="4"/>
  <c r="G4009" i="4" s="1"/>
  <c r="F4138" i="4"/>
  <c r="G4138" i="4" s="1"/>
  <c r="F4133" i="4"/>
  <c r="G4133" i="4" s="1"/>
  <c r="F4137" i="4"/>
  <c r="G4137" i="4" s="1"/>
  <c r="F4119" i="4"/>
  <c r="G4119" i="4" s="1"/>
  <c r="F4128" i="4"/>
  <c r="G4128" i="4" s="1"/>
  <c r="F4123" i="4"/>
  <c r="G4123" i="4" s="1"/>
  <c r="F4127" i="4"/>
  <c r="G4127" i="4" s="1"/>
  <c r="G4126" i="4"/>
  <c r="G4125" i="4"/>
  <c r="G4122" i="4"/>
  <c r="G4120" i="4"/>
  <c r="G4118" i="4"/>
  <c r="G4027" i="4"/>
  <c r="F4108" i="4"/>
  <c r="G4108" i="4" s="1"/>
  <c r="F4116" i="4"/>
  <c r="G4116" i="4" s="1"/>
  <c r="G4113" i="4"/>
  <c r="G4065" i="4"/>
  <c r="F3942" i="4"/>
  <c r="G3942" i="4" s="1"/>
  <c r="F4112" i="4"/>
  <c r="G4112" i="4" s="1"/>
  <c r="F3681" i="4"/>
  <c r="G3681" i="4" s="1"/>
  <c r="F4111" i="4"/>
  <c r="G4111" i="4" s="1"/>
  <c r="F4098" i="4"/>
  <c r="G4098" i="4" s="1"/>
  <c r="F4107" i="4"/>
  <c r="G4107" i="4" s="1"/>
  <c r="F4032" i="4"/>
  <c r="G4032" i="4" s="1"/>
  <c r="F4106" i="4"/>
  <c r="G4106" i="4" s="1"/>
  <c r="F3877" i="4"/>
  <c r="G3877" i="4" s="1"/>
  <c r="F4103" i="4"/>
  <c r="G4103" i="4" s="1"/>
  <c r="G4100" i="4"/>
  <c r="G4039" i="4"/>
  <c r="F4093" i="4"/>
  <c r="G4093" i="4" s="1"/>
  <c r="F4099" i="4"/>
  <c r="G4099" i="4" s="1"/>
  <c r="F4053" i="4"/>
  <c r="G4053" i="4" s="1"/>
  <c r="F4097" i="4"/>
  <c r="G4097" i="4" s="1"/>
  <c r="F4046" i="4"/>
  <c r="G4046" i="4" s="1"/>
  <c r="F4096" i="4"/>
  <c r="G4096" i="4" s="1"/>
  <c r="F4091" i="4"/>
  <c r="G4091" i="4" s="1"/>
  <c r="F4092" i="4"/>
  <c r="G4092" i="4" s="1"/>
  <c r="F2133" i="4"/>
  <c r="G2133" i="4" s="1"/>
  <c r="F4090" i="4"/>
  <c r="G4090" i="4" s="1"/>
  <c r="F3885" i="4"/>
  <c r="G3885" i="4" s="1"/>
  <c r="F4086" i="4"/>
  <c r="G4086" i="4" s="1"/>
  <c r="F4033" i="4"/>
  <c r="G4033" i="4" s="1"/>
  <c r="F4085" i="4"/>
  <c r="G4085" i="4" s="1"/>
  <c r="F4067" i="4"/>
  <c r="G4067" i="4" s="1"/>
  <c r="F4081" i="4"/>
  <c r="G4081" i="4" s="1"/>
  <c r="F4061" i="4"/>
  <c r="G4061" i="4" s="1"/>
  <c r="F4079" i="4"/>
  <c r="G4079" i="4" s="1"/>
  <c r="G4077" i="4"/>
  <c r="G4021" i="4"/>
  <c r="G4074" i="4"/>
  <c r="G4070" i="4"/>
  <c r="G4072" i="4"/>
  <c r="G4026" i="4"/>
  <c r="F3938" i="4"/>
  <c r="G3938" i="4" s="1"/>
  <c r="F4069" i="4"/>
  <c r="G4069" i="4" s="1"/>
  <c r="F4041" i="4"/>
  <c r="G4041" i="4" s="1"/>
  <c r="F4068" i="4"/>
  <c r="G4068" i="4" s="1"/>
  <c r="G4066" i="4"/>
  <c r="G4030" i="4"/>
  <c r="F4004" i="4"/>
  <c r="G4004" i="4" s="1"/>
  <c r="F4060" i="4"/>
  <c r="G4060" i="4" s="1"/>
  <c r="F4052" i="4"/>
  <c r="G4052" i="4" s="1"/>
  <c r="F4054" i="4"/>
  <c r="G4054" i="4" s="1"/>
  <c r="F3772" i="4"/>
  <c r="G3772" i="4" s="1"/>
  <c r="F4050" i="4"/>
  <c r="G4050" i="4" s="1"/>
  <c r="F3145" i="4"/>
  <c r="G3145" i="4" s="1"/>
  <c r="F4049" i="4"/>
  <c r="G4049" i="4" s="1"/>
  <c r="F4011" i="4"/>
  <c r="G4011" i="4" s="1"/>
  <c r="F4048" i="4"/>
  <c r="G4048" i="4" s="1"/>
  <c r="F3743" i="4"/>
  <c r="G3743" i="4" s="1"/>
  <c r="F4047" i="4"/>
  <c r="G4047" i="4" s="1"/>
  <c r="F3991" i="4"/>
  <c r="G3991" i="4" s="1"/>
  <c r="F4045" i="4"/>
  <c r="G4045" i="4" s="1"/>
  <c r="F3946" i="4"/>
  <c r="G3946" i="4" s="1"/>
  <c r="F4043" i="4"/>
  <c r="G4043" i="4" s="1"/>
  <c r="F2452" i="4"/>
  <c r="G2452" i="4" s="1"/>
  <c r="F4042" i="4"/>
  <c r="G4042" i="4" s="1"/>
  <c r="F4020" i="4"/>
  <c r="G4020" i="4" s="1"/>
  <c r="F4040" i="4"/>
  <c r="G4040" i="4" s="1"/>
  <c r="F3843" i="4"/>
  <c r="G3843" i="4" s="1"/>
  <c r="F4038" i="4"/>
  <c r="G4038" i="4" s="1"/>
  <c r="F3954" i="4"/>
  <c r="G3954" i="4" s="1"/>
  <c r="F4034" i="4"/>
  <c r="G4034" i="4" s="1"/>
  <c r="G4025" i="4"/>
  <c r="F3951" i="4"/>
  <c r="G3951" i="4" s="1"/>
  <c r="F4022" i="4"/>
  <c r="G4022" i="4" s="1"/>
  <c r="F3999" i="4"/>
  <c r="G3999" i="4" s="1"/>
  <c r="F4019" i="4"/>
  <c r="G4019" i="4" s="1"/>
  <c r="G4015" i="4"/>
  <c r="G3990" i="4"/>
  <c r="F3967" i="4"/>
  <c r="G3967" i="4" s="1"/>
  <c r="F4008" i="4"/>
  <c r="G4008" i="4" s="1"/>
  <c r="F4005" i="4"/>
  <c r="G4005" i="4" s="1"/>
  <c r="F4007" i="4"/>
  <c r="G4007" i="4" s="1"/>
  <c r="G4002" i="4"/>
  <c r="F3944" i="4"/>
  <c r="G3944" i="4" s="1"/>
  <c r="F4000" i="4"/>
  <c r="G4000" i="4" s="1"/>
  <c r="F3996" i="4"/>
  <c r="G3996" i="4" s="1"/>
  <c r="F3998" i="4"/>
  <c r="G3998" i="4" s="1"/>
  <c r="F3995" i="4"/>
  <c r="G3995" i="4" s="1"/>
  <c r="F3997" i="4"/>
  <c r="G3997" i="4" s="1"/>
  <c r="G3994" i="4"/>
  <c r="G3992" i="4"/>
  <c r="F3984" i="4"/>
  <c r="G3984" i="4" s="1"/>
  <c r="F3993" i="4"/>
  <c r="G3993" i="4" s="1"/>
  <c r="G3989" i="4"/>
  <c r="G3988" i="4"/>
  <c r="F3893" i="4"/>
  <c r="G3893" i="4" s="1"/>
  <c r="F3981" i="4"/>
  <c r="G3981" i="4" s="1"/>
  <c r="F3868" i="4"/>
  <c r="G3868" i="4" s="1"/>
  <c r="F3979" i="4"/>
  <c r="G3979" i="4" s="1"/>
  <c r="F3932" i="4"/>
  <c r="G3932" i="4" s="1"/>
  <c r="F3978" i="4"/>
  <c r="G3978" i="4" s="1"/>
  <c r="F3820" i="4"/>
  <c r="G3820" i="4" s="1"/>
  <c r="F3974" i="4"/>
  <c r="G3974" i="4" s="1"/>
  <c r="F3493" i="4"/>
  <c r="G3493" i="4" s="1"/>
  <c r="F3968" i="4"/>
  <c r="G3968" i="4" s="1"/>
  <c r="F3818" i="4"/>
  <c r="G3818" i="4" s="1"/>
  <c r="F3966" i="4"/>
  <c r="G3966" i="4" s="1"/>
  <c r="F3809" i="4"/>
  <c r="G3809" i="4" s="1"/>
  <c r="F3962" i="4"/>
  <c r="G3962" i="4" s="1"/>
  <c r="F3925" i="4"/>
  <c r="G3925" i="4" s="1"/>
  <c r="F3960" i="4"/>
  <c r="G3960" i="4" s="1"/>
  <c r="F3783" i="4"/>
  <c r="G3783" i="4" s="1"/>
  <c r="F3959" i="4"/>
  <c r="G3959" i="4" s="1"/>
  <c r="F3937" i="4"/>
  <c r="G3937" i="4" s="1"/>
  <c r="F3947" i="4"/>
  <c r="G3947" i="4" s="1"/>
  <c r="F3706" i="4"/>
  <c r="G3706" i="4" s="1"/>
  <c r="F3941" i="4"/>
  <c r="G3941" i="4" s="1"/>
  <c r="F3908" i="4"/>
  <c r="G3908" i="4" s="1"/>
  <c r="F3934" i="4"/>
  <c r="G3934" i="4" s="1"/>
  <c r="F3795" i="4"/>
  <c r="G3795" i="4" s="1"/>
  <c r="F3933" i="4"/>
  <c r="G3933" i="4" s="1"/>
  <c r="F3921" i="4"/>
  <c r="G3921" i="4" s="1"/>
  <c r="F3924" i="4"/>
  <c r="G3924" i="4" s="1"/>
  <c r="F3903" i="4"/>
  <c r="G3903" i="4" s="1"/>
  <c r="F3915" i="4"/>
  <c r="G3915" i="4" s="1"/>
  <c r="F3905" i="4"/>
  <c r="G3905" i="4" s="1"/>
  <c r="F3914" i="4"/>
  <c r="G3914" i="4" s="1"/>
  <c r="F3729" i="4"/>
  <c r="G3729" i="4" s="1"/>
  <c r="F3911" i="4"/>
  <c r="G3911" i="4" s="1"/>
  <c r="F3740" i="4"/>
  <c r="G3740" i="4" s="1"/>
  <c r="F3909" i="4"/>
  <c r="G3909" i="4" s="1"/>
  <c r="F3896" i="4"/>
  <c r="G3896" i="4" s="1"/>
  <c r="F3906" i="4"/>
  <c r="G3906" i="4" s="1"/>
  <c r="F3873" i="4"/>
  <c r="G3873" i="4" s="1"/>
  <c r="F3901" i="4"/>
  <c r="G3901" i="4" s="1"/>
  <c r="F3746" i="4"/>
  <c r="G3746" i="4" s="1"/>
  <c r="F3900" i="4"/>
  <c r="G3900" i="4" s="1"/>
  <c r="F3789" i="4"/>
  <c r="G3789" i="4" s="1"/>
  <c r="F3899" i="4"/>
  <c r="G3899" i="4" s="1"/>
  <c r="F3888" i="4"/>
  <c r="G3888" i="4" s="1"/>
  <c r="F3894" i="4"/>
  <c r="G3894" i="4" s="1"/>
  <c r="F3883" i="4"/>
  <c r="G3883" i="4" s="1"/>
  <c r="F3886" i="4"/>
  <c r="G3886" i="4" s="1"/>
  <c r="F3878" i="4"/>
  <c r="G3878" i="4" s="1"/>
  <c r="F3882" i="4"/>
  <c r="G3882" i="4" s="1"/>
  <c r="F3861" i="4"/>
  <c r="G3861" i="4" s="1"/>
  <c r="F3876" i="4"/>
  <c r="G3876" i="4" s="1"/>
  <c r="F3709" i="4"/>
  <c r="G3709" i="4" s="1"/>
  <c r="F3875" i="4"/>
  <c r="G3875" i="4" s="1"/>
  <c r="F3860" i="4"/>
  <c r="G3860" i="4" s="1"/>
  <c r="F3874" i="4"/>
  <c r="G3874" i="4" s="1"/>
  <c r="F3863" i="4"/>
  <c r="G3863" i="4" s="1"/>
  <c r="F3870" i="4"/>
  <c r="G3870" i="4" s="1"/>
  <c r="F3823" i="4"/>
  <c r="G3823" i="4" s="1"/>
  <c r="F3869" i="4"/>
  <c r="G3869" i="4" s="1"/>
  <c r="F3488" i="4"/>
  <c r="G3488" i="4" s="1"/>
  <c r="F3867" i="4"/>
  <c r="G3867" i="4" s="1"/>
  <c r="F3738" i="4"/>
  <c r="G3738" i="4" s="1"/>
  <c r="F3864" i="4"/>
  <c r="G3864" i="4" s="1"/>
  <c r="F3844" i="4"/>
  <c r="G3844" i="4" s="1"/>
  <c r="F3858" i="4"/>
  <c r="G3858" i="4" s="1"/>
  <c r="F3437" i="4"/>
  <c r="G3437" i="4" s="1"/>
  <c r="F3857" i="4"/>
  <c r="G3857" i="4" s="1"/>
  <c r="F3854" i="4"/>
  <c r="G3854" i="4" s="1"/>
  <c r="F3856" i="4"/>
  <c r="G3856" i="4" s="1"/>
  <c r="F3831" i="4"/>
  <c r="G3831" i="4" s="1"/>
  <c r="F3853" i="4"/>
  <c r="G3853" i="4" s="1"/>
  <c r="F3763" i="4"/>
  <c r="G3763" i="4" s="1"/>
  <c r="F3850" i="4"/>
  <c r="G3850" i="4" s="1"/>
  <c r="F3848" i="4"/>
  <c r="G3848" i="4" s="1"/>
  <c r="F3849" i="4"/>
  <c r="G3849" i="4" s="1"/>
  <c r="F3751" i="4"/>
  <c r="G3751" i="4" s="1"/>
  <c r="F3847" i="4"/>
  <c r="G3847" i="4" s="1"/>
  <c r="F3827" i="4"/>
  <c r="G3827" i="4" s="1"/>
  <c r="F3840" i="4"/>
  <c r="G3840" i="4" s="1"/>
  <c r="F3597" i="4"/>
  <c r="G3597" i="4" s="1"/>
  <c r="F3835" i="4"/>
  <c r="G3835" i="4" s="1"/>
  <c r="F3828" i="4"/>
  <c r="G3828" i="4" s="1"/>
  <c r="F3832" i="4"/>
  <c r="G3832" i="4" s="1"/>
  <c r="F3753" i="4"/>
  <c r="F3829" i="4"/>
  <c r="G3829" i="4" s="1"/>
  <c r="F3814" i="4"/>
  <c r="G3814" i="4" s="1"/>
  <c r="F3819" i="4"/>
  <c r="G3819" i="4" s="1"/>
  <c r="F3782" i="4"/>
  <c r="G3782" i="4" s="1"/>
  <c r="F3816" i="4"/>
  <c r="G3816" i="4" s="1"/>
  <c r="F3799" i="4"/>
  <c r="G3799" i="4" s="1"/>
  <c r="F3806" i="4"/>
  <c r="G3806" i="4" s="1"/>
  <c r="F3788" i="4"/>
  <c r="G3788" i="4" s="1"/>
  <c r="F3802" i="4"/>
  <c r="G3802" i="4" s="1"/>
  <c r="F3794" i="4"/>
  <c r="G3794" i="4" s="1"/>
  <c r="F3797" i="4"/>
  <c r="G3797" i="4" s="1"/>
  <c r="F3482" i="4"/>
  <c r="G3482" i="4" s="1"/>
  <c r="F3790" i="4"/>
  <c r="G3790" i="4" s="1"/>
  <c r="F3777" i="4"/>
  <c r="G3777" i="4" s="1"/>
  <c r="F3785" i="4"/>
  <c r="G3785" i="4" s="1"/>
  <c r="F3698" i="4"/>
  <c r="G3698" i="4" s="1"/>
  <c r="F3779" i="4"/>
  <c r="G3779" i="4" s="1"/>
  <c r="F3377" i="4"/>
  <c r="G3377" i="4" s="1"/>
  <c r="F3775" i="4"/>
  <c r="G3775" i="4" s="1"/>
  <c r="F3761" i="4"/>
  <c r="G3761" i="4" s="1"/>
  <c r="F3770" i="4"/>
  <c r="G3770" i="4" s="1"/>
  <c r="F3057" i="4"/>
  <c r="G3057" i="4" s="1"/>
  <c r="F3762" i="4"/>
  <c r="G3762" i="4" s="1"/>
  <c r="G3753" i="4"/>
  <c r="G3744" i="4"/>
  <c r="F3692" i="4"/>
  <c r="G3692" i="4" s="1"/>
  <c r="F3757" i="4"/>
  <c r="G3757" i="4" s="1"/>
  <c r="F3728" i="4"/>
  <c r="G3728" i="4" s="1"/>
  <c r="F3756" i="4"/>
  <c r="G3756" i="4" s="1"/>
  <c r="G3733" i="4"/>
  <c r="G3742" i="4"/>
  <c r="G3749" i="4"/>
  <c r="F3739" i="4"/>
  <c r="G3739" i="4" s="1"/>
  <c r="F3747" i="4"/>
  <c r="G3747" i="4" s="1"/>
  <c r="F3475" i="4"/>
  <c r="G3475" i="4" s="1"/>
  <c r="F3745" i="4"/>
  <c r="G3745" i="4" s="1"/>
  <c r="G3141" i="4"/>
  <c r="G3737" i="4"/>
  <c r="F3594" i="4"/>
  <c r="G3594" i="4" s="1"/>
  <c r="F3741" i="4"/>
  <c r="G3741" i="4" s="1"/>
  <c r="G3701" i="4"/>
  <c r="G3712" i="4"/>
  <c r="G3715" i="4"/>
  <c r="G3722" i="4"/>
  <c r="G3736" i="4"/>
  <c r="G3674" i="4"/>
  <c r="F3724" i="4"/>
  <c r="G3724" i="4" s="1"/>
  <c r="F3735" i="4"/>
  <c r="G3735" i="4" s="1"/>
  <c r="F3545" i="4"/>
  <c r="G3545" i="4" s="1"/>
  <c r="F3734" i="4"/>
  <c r="G3734" i="4" s="1"/>
  <c r="F3727" i="4"/>
  <c r="G3727" i="4" s="1"/>
  <c r="F3732" i="4"/>
  <c r="G3732" i="4" s="1"/>
  <c r="F2582" i="4"/>
  <c r="G2582" i="4" s="1"/>
  <c r="F3731" i="4"/>
  <c r="G3731" i="4" s="1"/>
  <c r="F3543" i="4"/>
  <c r="G3543" i="4" s="1"/>
  <c r="F3730" i="4"/>
  <c r="G3730" i="4" s="1"/>
  <c r="F3685" i="4"/>
  <c r="G3685" i="4" s="1"/>
  <c r="F3725" i="4"/>
  <c r="G3725" i="4" s="1"/>
  <c r="F3546" i="4"/>
  <c r="G3546" i="4" s="1"/>
  <c r="F3723" i="4"/>
  <c r="G3723" i="4" s="1"/>
  <c r="G3703" i="4"/>
  <c r="G3704" i="4"/>
  <c r="G3719" i="4"/>
  <c r="G3700" i="4"/>
  <c r="G3690" i="4"/>
  <c r="G3718" i="4"/>
  <c r="G3717" i="4"/>
  <c r="G3702" i="4"/>
  <c r="G3687" i="4"/>
  <c r="G3693" i="4"/>
  <c r="G3699" i="4"/>
  <c r="G3710" i="4"/>
  <c r="F3708" i="4"/>
  <c r="G3708" i="4" s="1"/>
  <c r="F3720" i="4"/>
  <c r="G3720" i="4" s="1"/>
  <c r="F3697" i="4"/>
  <c r="G3697" i="4" s="1"/>
  <c r="F3716" i="4"/>
  <c r="G3716" i="4" s="1"/>
  <c r="F3614" i="4"/>
  <c r="G3614" i="4" s="1"/>
  <c r="F3714" i="4"/>
  <c r="G3714" i="4" s="1"/>
  <c r="F3689" i="4"/>
  <c r="G3689" i="4" s="1"/>
  <c r="F3711" i="4"/>
  <c r="G3711" i="4" s="1"/>
  <c r="F3634" i="4"/>
  <c r="G3634" i="4" s="1"/>
  <c r="F3705" i="4"/>
  <c r="G3705" i="4" s="1"/>
  <c r="G3695" i="4"/>
  <c r="G3688" i="4"/>
  <c r="F3691" i="4"/>
  <c r="G3691" i="4" s="1"/>
  <c r="F3696" i="4"/>
  <c r="G3696" i="4" s="1"/>
  <c r="F3567" i="4"/>
  <c r="G3567" i="4" s="1"/>
  <c r="F3694" i="4"/>
  <c r="G3694" i="4" s="1"/>
  <c r="G3679" i="4"/>
  <c r="G3682" i="4"/>
  <c r="G3670" i="4"/>
  <c r="F3570" i="4"/>
  <c r="G3570" i="4" s="1"/>
  <c r="F3686" i="4"/>
  <c r="G3686" i="4" s="1"/>
  <c r="F3658" i="4"/>
  <c r="G3658" i="4" s="1"/>
  <c r="F3684" i="4"/>
  <c r="G3684" i="4" s="1"/>
  <c r="F3646" i="4"/>
  <c r="G3646" i="4" s="1"/>
  <c r="F3683" i="4"/>
  <c r="G3683" i="4" s="1"/>
  <c r="G3662" i="4"/>
  <c r="G3678" i="4"/>
  <c r="G3655" i="4"/>
  <c r="G3639" i="4"/>
  <c r="G3673" i="4"/>
  <c r="G3663" i="4"/>
  <c r="G3672" i="4"/>
  <c r="G3212" i="4"/>
  <c r="G3273" i="4"/>
  <c r="F3671" i="4"/>
  <c r="G3671" i="4" s="1"/>
  <c r="F3676" i="4"/>
  <c r="G3676" i="4" s="1"/>
  <c r="G3667" i="4"/>
  <c r="G3669" i="4"/>
  <c r="G3636" i="4"/>
  <c r="F3578" i="4"/>
  <c r="G3578" i="4" s="1"/>
  <c r="F3666" i="4"/>
  <c r="G3666" i="4" s="1"/>
  <c r="F3381" i="4"/>
  <c r="G3381" i="4" s="1"/>
  <c r="F3665" i="4"/>
  <c r="G3665" i="4" s="1"/>
  <c r="G3651" i="4"/>
  <c r="F3592" i="4"/>
  <c r="G3592" i="4" s="1"/>
  <c r="F3664" i="4"/>
  <c r="G3664" i="4" s="1"/>
  <c r="F3586" i="4"/>
  <c r="G3586" i="4" s="1"/>
  <c r="F3660" i="4"/>
  <c r="G3660" i="4" s="1"/>
  <c r="G3626" i="4"/>
  <c r="F3653" i="4"/>
  <c r="G3653" i="4" s="1"/>
  <c r="F3659" i="4"/>
  <c r="G3659" i="4" s="1"/>
  <c r="F3647" i="4"/>
  <c r="G3647" i="4" s="1"/>
  <c r="F3657" i="4"/>
  <c r="G3657" i="4" s="1"/>
  <c r="F3630" i="4"/>
  <c r="G3630" i="4" s="1"/>
  <c r="F3656" i="4"/>
  <c r="G3656" i="4" s="1"/>
  <c r="G3645" i="4"/>
  <c r="G3649" i="4"/>
  <c r="G3654" i="4"/>
  <c r="G3632" i="4"/>
  <c r="G3638" i="4"/>
  <c r="G3633" i="4"/>
  <c r="F3392" i="4"/>
  <c r="G3392" i="4" s="1"/>
  <c r="F3650" i="4"/>
  <c r="G3650" i="4" s="1"/>
  <c r="F3637" i="4"/>
  <c r="G3637" i="4" s="1"/>
  <c r="F3648" i="4"/>
  <c r="G3648" i="4" s="1"/>
  <c r="F3640" i="4"/>
  <c r="G3640" i="4" s="1"/>
  <c r="F3644" i="4"/>
  <c r="G3644" i="4" s="1"/>
  <c r="F3641" i="4"/>
  <c r="G3641" i="4" s="1"/>
  <c r="F3643" i="4"/>
  <c r="G3643" i="4" s="1"/>
  <c r="F3629" i="4"/>
  <c r="G3629" i="4" s="1"/>
  <c r="F3642" i="4"/>
  <c r="G3642" i="4" s="1"/>
  <c r="F3585" i="4"/>
  <c r="G3585" i="4" s="1"/>
  <c r="F3635" i="4"/>
  <c r="G3635" i="4" s="1"/>
  <c r="F3613" i="4"/>
  <c r="G3613" i="4" s="1"/>
  <c r="F3627" i="4"/>
  <c r="G3627" i="4" s="1"/>
  <c r="G3562" i="4"/>
  <c r="G3580" i="4"/>
  <c r="G3605" i="4"/>
  <c r="G3608" i="4"/>
  <c r="G3616" i="4"/>
  <c r="G3547" i="4"/>
  <c r="G3612" i="4"/>
  <c r="G3620" i="4"/>
  <c r="G3609" i="4"/>
  <c r="F3572" i="4"/>
  <c r="G3572" i="4" s="1"/>
  <c r="F3623" i="4"/>
  <c r="G3623" i="4" s="1"/>
  <c r="G3617" i="4"/>
  <c r="G3618" i="4"/>
  <c r="F3615" i="4"/>
  <c r="G3615" i="4" s="1"/>
  <c r="F3619" i="4"/>
  <c r="G3619" i="4" s="1"/>
  <c r="G3598" i="4"/>
  <c r="G3559" i="4"/>
  <c r="G3606" i="4"/>
  <c r="G3589" i="4"/>
  <c r="G3604" i="4"/>
  <c r="G3465" i="4"/>
  <c r="F3386" i="4"/>
  <c r="G3386" i="4" s="1"/>
  <c r="F3611" i="4"/>
  <c r="G3611" i="4" s="1"/>
  <c r="F3432" i="4"/>
  <c r="G3432" i="4" s="1"/>
  <c r="F3610" i="4"/>
  <c r="G3610" i="4" s="1"/>
  <c r="G3588" i="4"/>
  <c r="G3601" i="4"/>
  <c r="E1987" i="4"/>
  <c r="G1987" i="4" s="1"/>
  <c r="E3607" i="4"/>
  <c r="G3607" i="4" s="1"/>
  <c r="G3576" i="4"/>
  <c r="G3596" i="4"/>
  <c r="F3577" i="4"/>
  <c r="G3577" i="4" s="1"/>
  <c r="F3602" i="4"/>
  <c r="G3602" i="4" s="1"/>
  <c r="F3591" i="4"/>
  <c r="G3591" i="4" s="1"/>
  <c r="F3600" i="4"/>
  <c r="G3600" i="4" s="1"/>
  <c r="F3560" i="4"/>
  <c r="G3560" i="4" s="1"/>
  <c r="F3599" i="4"/>
  <c r="G3599" i="4" s="1"/>
  <c r="G3584" i="4"/>
  <c r="G3573" i="4"/>
  <c r="G3583" i="4"/>
  <c r="G3590" i="4"/>
  <c r="F3587" i="4"/>
  <c r="G3587" i="4" s="1"/>
  <c r="F3593" i="4"/>
  <c r="G3593" i="4" s="1"/>
  <c r="G3550" i="4"/>
  <c r="G3563" i="4"/>
  <c r="G3541" i="4"/>
  <c r="G3564" i="4"/>
  <c r="G3582" i="4"/>
  <c r="G3574" i="4"/>
  <c r="G3581" i="4"/>
  <c r="G3575" i="4"/>
  <c r="G3495" i="4"/>
  <c r="G3566" i="4"/>
  <c r="G3554" i="4"/>
  <c r="G3531" i="4"/>
  <c r="F3491" i="4"/>
  <c r="G3491" i="4" s="1"/>
  <c r="F3568" i="4"/>
  <c r="G3568" i="4" s="1"/>
  <c r="G3555" i="4"/>
  <c r="G3448" i="4"/>
  <c r="G3539" i="4"/>
  <c r="G3536" i="4"/>
  <c r="G3540" i="4"/>
  <c r="G3523" i="4"/>
  <c r="G3544" i="4"/>
  <c r="G3549" i="4"/>
  <c r="G3558" i="4"/>
  <c r="G3515" i="4"/>
  <c r="G3528" i="4"/>
  <c r="G3533" i="4"/>
  <c r="G3553" i="4"/>
  <c r="G3532" i="4"/>
  <c r="G3508" i="4"/>
  <c r="G3534" i="4"/>
  <c r="F3525" i="4"/>
  <c r="G3525" i="4" s="1"/>
  <c r="F3556" i="4"/>
  <c r="G3556" i="4" s="1"/>
  <c r="F2640" i="4"/>
  <c r="G2640" i="4" s="1"/>
  <c r="F3552" i="4"/>
  <c r="G3552" i="4" s="1"/>
  <c r="G3542" i="4"/>
  <c r="G3450" i="4"/>
  <c r="G3511" i="4"/>
  <c r="G3529" i="4"/>
  <c r="G3519" i="4"/>
  <c r="F3466" i="4"/>
  <c r="G3466" i="4" s="1"/>
  <c r="F3538" i="4"/>
  <c r="G3538" i="4" s="1"/>
  <c r="G3490" i="4"/>
  <c r="F3358" i="4"/>
  <c r="G3358" i="4" s="1"/>
  <c r="F3537" i="4"/>
  <c r="G3537" i="4" s="1"/>
  <c r="G3213" i="4"/>
  <c r="F3520" i="4"/>
  <c r="G3520" i="4" s="1"/>
  <c r="F3535" i="4"/>
  <c r="G3535" i="4" s="1"/>
  <c r="G3497" i="4"/>
  <c r="G3506" i="4"/>
  <c r="G3524" i="4"/>
  <c r="G3500" i="4"/>
  <c r="G3504" i="4"/>
  <c r="G3510" i="4"/>
  <c r="G3501" i="4"/>
  <c r="G3521" i="4"/>
  <c r="G3522" i="4"/>
  <c r="F3507" i="4"/>
  <c r="G3507" i="4" s="1"/>
  <c r="F3527" i="4"/>
  <c r="G3527" i="4" s="1"/>
  <c r="F3514" i="4"/>
  <c r="G3514" i="4" s="1"/>
  <c r="F3526" i="4"/>
  <c r="G3526" i="4" s="1"/>
  <c r="G3496" i="4"/>
  <c r="G3480" i="4"/>
  <c r="G3518" i="4"/>
  <c r="B9" i="12"/>
  <c r="G3470" i="4"/>
  <c r="F2526" i="4"/>
  <c r="G2526" i="4" s="1"/>
  <c r="F3517" i="4"/>
  <c r="G3517" i="4" s="1"/>
  <c r="G3494" i="4"/>
  <c r="F3512" i="4"/>
  <c r="G3512" i="4" s="1"/>
  <c r="F3509" i="4"/>
  <c r="G3509" i="4" s="1"/>
  <c r="F3503" i="4"/>
  <c r="G3503" i="4" s="1"/>
  <c r="F3505" i="4"/>
  <c r="G3505" i="4" s="1"/>
  <c r="F3176" i="4"/>
  <c r="G3176" i="4" s="1"/>
  <c r="F3499" i="4"/>
  <c r="G3499" i="4" s="1"/>
  <c r="F3415" i="4"/>
  <c r="G3415" i="4" s="1"/>
  <c r="F3498" i="4"/>
  <c r="G3498" i="4" s="1"/>
  <c r="F3471" i="4"/>
  <c r="G3471" i="4" s="1"/>
  <c r="F3502" i="4"/>
  <c r="G3502" i="4" s="1"/>
  <c r="G3487" i="4"/>
  <c r="F3417" i="4"/>
  <c r="G3417" i="4" s="1"/>
  <c r="F3489" i="4"/>
  <c r="G3489" i="4" s="1"/>
  <c r="G3469" i="4"/>
  <c r="G3463" i="4"/>
  <c r="G3486" i="4"/>
  <c r="G3479" i="4"/>
  <c r="G3454" i="4"/>
  <c r="G3473" i="4"/>
  <c r="G3456" i="4"/>
  <c r="F3108" i="4"/>
  <c r="G3108" i="4" s="1"/>
  <c r="F3485" i="4"/>
  <c r="G3485" i="4" s="1"/>
  <c r="F2048" i="4"/>
  <c r="G2048" i="4" s="1"/>
  <c r="F3484" i="4"/>
  <c r="G3484" i="4" s="1"/>
  <c r="F3296" i="4"/>
  <c r="G3296" i="4" s="1"/>
  <c r="F3483" i="4"/>
  <c r="G3483" i="4" s="1"/>
  <c r="F3457" i="4"/>
  <c r="G3457" i="4" s="1"/>
  <c r="F3481" i="4"/>
  <c r="G3481" i="4" s="1"/>
  <c r="F3346" i="4"/>
  <c r="G3346" i="4" s="1"/>
  <c r="F3478" i="4"/>
  <c r="G3478" i="4" s="1"/>
  <c r="F3449" i="4"/>
  <c r="G3449" i="4" s="1"/>
  <c r="F3476" i="4"/>
  <c r="G3476" i="4" s="1"/>
  <c r="F3460" i="4"/>
  <c r="G3460" i="4" s="1"/>
  <c r="F3472" i="4"/>
  <c r="G3472" i="4" s="1"/>
  <c r="F3420" i="4"/>
  <c r="G3420" i="4" s="1"/>
  <c r="F3474" i="4"/>
  <c r="G3474" i="4" s="1"/>
  <c r="F3453" i="4"/>
  <c r="G3453" i="4" s="1"/>
  <c r="F3468" i="4"/>
  <c r="G3468" i="4" s="1"/>
  <c r="F3394" i="4"/>
  <c r="G3394" i="4" s="1"/>
  <c r="F3461" i="4"/>
  <c r="G3461" i="4" s="1"/>
  <c r="G3452" i="4"/>
  <c r="F3348" i="4"/>
  <c r="G3348" i="4" s="1"/>
  <c r="F3459" i="4"/>
  <c r="G3459" i="4" s="1"/>
  <c r="F3446" i="4"/>
  <c r="G3446" i="4" s="1"/>
  <c r="F3458" i="4"/>
  <c r="G3458" i="4" s="1"/>
  <c r="F3408" i="4"/>
  <c r="G3408" i="4" s="1"/>
  <c r="F3455" i="4"/>
  <c r="G3455" i="4" s="1"/>
  <c r="G3445" i="4"/>
  <c r="G3434" i="4"/>
  <c r="G3439" i="4"/>
  <c r="G3440" i="4"/>
  <c r="G3428" i="4"/>
  <c r="G3444" i="4"/>
  <c r="G3429" i="4"/>
  <c r="F3419" i="4"/>
  <c r="G3419" i="4" s="1"/>
  <c r="F3438" i="4"/>
  <c r="G3438" i="4" s="1"/>
  <c r="G3430" i="4"/>
  <c r="G3431" i="4"/>
  <c r="G3412" i="4"/>
  <c r="G3425" i="4"/>
  <c r="F3311" i="4"/>
  <c r="G3311" i="4" s="1"/>
  <c r="F3436" i="4"/>
  <c r="G3436" i="4" s="1"/>
  <c r="F2849" i="4"/>
  <c r="G2849" i="4" s="1"/>
  <c r="F3435" i="4"/>
  <c r="G3435" i="4" s="1"/>
  <c r="G3443" i="4"/>
  <c r="G3422" i="4"/>
  <c r="G3423" i="4"/>
  <c r="F3362" i="4"/>
  <c r="G3362" i="4" s="1"/>
  <c r="F3427" i="4"/>
  <c r="G3427" i="4" s="1"/>
  <c r="F3421" i="4"/>
  <c r="G3421" i="4" s="1"/>
  <c r="F3426" i="4"/>
  <c r="G3426" i="4" s="1"/>
  <c r="G3418" i="4"/>
  <c r="G3397" i="4"/>
  <c r="F3387" i="4"/>
  <c r="G3387" i="4" s="1"/>
  <c r="F3424" i="4"/>
  <c r="G3424" i="4" s="1"/>
  <c r="G3441" i="4"/>
  <c r="G3416" i="4"/>
  <c r="F3379" i="4"/>
  <c r="G3379" i="4" s="1"/>
  <c r="F3413" i="4"/>
  <c r="G3413" i="4" s="1"/>
  <c r="F3410" i="4"/>
  <c r="G3410" i="4" s="1"/>
  <c r="F3411" i="4"/>
  <c r="G3411" i="4" s="1"/>
  <c r="F3363" i="4"/>
  <c r="G3363" i="4" s="1"/>
  <c r="F3442" i="4"/>
  <c r="G3442" i="4" s="1"/>
  <c r="G3403" i="4"/>
  <c r="G3402" i="4"/>
  <c r="G3160" i="4"/>
  <c r="G3405" i="4"/>
  <c r="G3391" i="4"/>
  <c r="F3400" i="4"/>
  <c r="G3400" i="4" s="1"/>
  <c r="F3409" i="4"/>
  <c r="G3409" i="4" s="1"/>
  <c r="F2657" i="4"/>
  <c r="G2657" i="4" s="1"/>
  <c r="F3407" i="4"/>
  <c r="G3407" i="4" s="1"/>
  <c r="F3404" i="4"/>
  <c r="G3404" i="4" s="1"/>
  <c r="F3406" i="4"/>
  <c r="G3406" i="4" s="1"/>
  <c r="G3389" i="4"/>
  <c r="G3393" i="4"/>
  <c r="G3399" i="4"/>
  <c r="F3375" i="4"/>
  <c r="G3375" i="4" s="1"/>
  <c r="F3401" i="4"/>
  <c r="G3401" i="4" s="1"/>
  <c r="G3359" i="4"/>
  <c r="G3385" i="4"/>
  <c r="F3370" i="4"/>
  <c r="G3370" i="4" s="1"/>
  <c r="F3395" i="4"/>
  <c r="G3395" i="4" s="1"/>
  <c r="G3390" i="4"/>
  <c r="G3361" i="4"/>
  <c r="G3378" i="4"/>
  <c r="G3365" i="4"/>
  <c r="F3353" i="4"/>
  <c r="G3353" i="4" s="1"/>
  <c r="F3382" i="4"/>
  <c r="G3382" i="4" s="1"/>
  <c r="F3272" i="4"/>
  <c r="G3272" i="4" s="1"/>
  <c r="F3376" i="4"/>
  <c r="G3376" i="4" s="1"/>
  <c r="F3373" i="4"/>
  <c r="G3373" i="4" s="1"/>
  <c r="F3374" i="4"/>
  <c r="G3374" i="4" s="1"/>
  <c r="G3366" i="4"/>
  <c r="F3368" i="4"/>
  <c r="G3368" i="4" s="1"/>
  <c r="F3371" i="4"/>
  <c r="G3371" i="4" s="1"/>
  <c r="F3352" i="4"/>
  <c r="G3352" i="4" s="1"/>
  <c r="F3372" i="4"/>
  <c r="G3372" i="4" s="1"/>
  <c r="F3360" i="4"/>
  <c r="G3360" i="4" s="1"/>
  <c r="F3369" i="4"/>
  <c r="G3369" i="4" s="1"/>
  <c r="F3329" i="4"/>
  <c r="G3329" i="4" s="1"/>
  <c r="F3367" i="4"/>
  <c r="G3367" i="4" s="1"/>
  <c r="G3341" i="4"/>
  <c r="G3343" i="4"/>
  <c r="G3355" i="4"/>
  <c r="F3349" i="4"/>
  <c r="G3349" i="4" s="1"/>
  <c r="F3357" i="4"/>
  <c r="G3357" i="4" s="1"/>
  <c r="F2531" i="4"/>
  <c r="G2531" i="4" s="1"/>
  <c r="F3356" i="4"/>
  <c r="G3356" i="4" s="1"/>
  <c r="F2708" i="4"/>
  <c r="G2708" i="4" s="1"/>
  <c r="F3354" i="4"/>
  <c r="G3354" i="4" s="1"/>
  <c r="F3336" i="4"/>
  <c r="G3336" i="4" s="1"/>
  <c r="F3351" i="4"/>
  <c r="G3351" i="4" s="1"/>
  <c r="F2429" i="4"/>
  <c r="G2429" i="4" s="1"/>
  <c r="F3350" i="4"/>
  <c r="G3350" i="4" s="1"/>
  <c r="G3340" i="4"/>
  <c r="F3281" i="4"/>
  <c r="G3281" i="4" s="1"/>
  <c r="F3347" i="4"/>
  <c r="G3347" i="4" s="1"/>
  <c r="F3342" i="4"/>
  <c r="G3342" i="4" s="1"/>
  <c r="F3344" i="4"/>
  <c r="G3344" i="4" s="1"/>
  <c r="G3338" i="4"/>
  <c r="F3276" i="4"/>
  <c r="G3276" i="4" s="1"/>
  <c r="F3337" i="4"/>
  <c r="G3337" i="4" s="1"/>
  <c r="G3304" i="4"/>
  <c r="G3322" i="4"/>
  <c r="G3325" i="4"/>
  <c r="G3328" i="4"/>
  <c r="G3335" i="4"/>
  <c r="G3298" i="4"/>
  <c r="G3327" i="4"/>
  <c r="G3333" i="4"/>
  <c r="G3206" i="4"/>
  <c r="G3312" i="4"/>
  <c r="F3081" i="4"/>
  <c r="G3081" i="4" s="1"/>
  <c r="F3332" i="4"/>
  <c r="G3332" i="4" s="1"/>
  <c r="F3271" i="4"/>
  <c r="G3271" i="4" s="1"/>
  <c r="F3331" i="4"/>
  <c r="G3331" i="4" s="1"/>
  <c r="F3315" i="4"/>
  <c r="G3315" i="4" s="1"/>
  <c r="F3330" i="4"/>
  <c r="G3330" i="4" s="1"/>
  <c r="G3015" i="4"/>
  <c r="F3252" i="4"/>
  <c r="G3252" i="4" s="1"/>
  <c r="F3326" i="4"/>
  <c r="G3326" i="4" s="1"/>
  <c r="F3308" i="4"/>
  <c r="G3308" i="4" s="1"/>
  <c r="F3324" i="4"/>
  <c r="G3324" i="4" s="1"/>
  <c r="F3259" i="4"/>
  <c r="G3259" i="4" s="1"/>
  <c r="F3323" i="4"/>
  <c r="G3323" i="4" s="1"/>
  <c r="F3257" i="4"/>
  <c r="G3257" i="4" s="1"/>
  <c r="F3321" i="4"/>
  <c r="G3321" i="4" s="1"/>
  <c r="G3318" i="4"/>
  <c r="G3313" i="4"/>
  <c r="F3317" i="4"/>
  <c r="G3317" i="4" s="1"/>
  <c r="F3319" i="4"/>
  <c r="G3319" i="4" s="1"/>
  <c r="F3302" i="4"/>
  <c r="G3302" i="4" s="1"/>
  <c r="F3316" i="4"/>
  <c r="G3316" i="4" s="1"/>
  <c r="G3295" i="4"/>
  <c r="G3307" i="4"/>
  <c r="G3268" i="4"/>
  <c r="G3283" i="4"/>
  <c r="G3291" i="4"/>
  <c r="G3297" i="4"/>
  <c r="F3055" i="4"/>
  <c r="G3055" i="4" s="1"/>
  <c r="F3314" i="4"/>
  <c r="G3314" i="4" s="1"/>
  <c r="F3286" i="4"/>
  <c r="G3286" i="4" s="1"/>
  <c r="G3299" i="4"/>
  <c r="F2153" i="4"/>
  <c r="G2153" i="4" s="1"/>
  <c r="F3309" i="4"/>
  <c r="G3309" i="4" s="1"/>
  <c r="F3301" i="4"/>
  <c r="G3301" i="4" s="1"/>
  <c r="F3310" i="4"/>
  <c r="G3310" i="4" s="1"/>
  <c r="F3244" i="4"/>
  <c r="G3244" i="4" s="1"/>
  <c r="F3306" i="4"/>
  <c r="G3306" i="4" s="1"/>
  <c r="F3144" i="4"/>
  <c r="G3144" i="4" s="1"/>
  <c r="F3305" i="4"/>
  <c r="G3305" i="4" s="1"/>
  <c r="G3287" i="4"/>
  <c r="F3285" i="4"/>
  <c r="G3285" i="4" s="1"/>
  <c r="F3300" i="4"/>
  <c r="G3300" i="4" s="1"/>
  <c r="F3288" i="4"/>
  <c r="G3288" i="4" s="1"/>
  <c r="F3294" i="4"/>
  <c r="G3294" i="4" s="1"/>
  <c r="F2754" i="4"/>
  <c r="G2754" i="4" s="1"/>
  <c r="F3293" i="4"/>
  <c r="G3293" i="4" s="1"/>
  <c r="F3202" i="4"/>
  <c r="G3202" i="4" s="1"/>
  <c r="F3289" i="4"/>
  <c r="G3289" i="4" s="1"/>
  <c r="G3274" i="4"/>
  <c r="G3279" i="4"/>
  <c r="G3210" i="4"/>
  <c r="F3269" i="4"/>
  <c r="G3269" i="4" s="1"/>
  <c r="F3284" i="4"/>
  <c r="G3284" i="4" s="1"/>
  <c r="F3247" i="4"/>
  <c r="G3247" i="4" s="1"/>
  <c r="F3282" i="4"/>
  <c r="G3282" i="4" s="1"/>
  <c r="G3277" i="4"/>
  <c r="F2176" i="4"/>
  <c r="G2176" i="4" s="1"/>
  <c r="F3278" i="4"/>
  <c r="G3278" i="4" s="1"/>
  <c r="G3264" i="4"/>
  <c r="G3270" i="4"/>
  <c r="G3267" i="4"/>
  <c r="F3255" i="4"/>
  <c r="G3255" i="4" s="1"/>
  <c r="F3265" i="4"/>
  <c r="G3265" i="4" s="1"/>
  <c r="G3246" i="4"/>
  <c r="G3260" i="4"/>
  <c r="G3258" i="4"/>
  <c r="G3261" i="4"/>
  <c r="G3263" i="4"/>
  <c r="G3248" i="4"/>
  <c r="G3254" i="4"/>
  <c r="F2421" i="4"/>
  <c r="G2421" i="4" s="1"/>
  <c r="F3262" i="4"/>
  <c r="G3262" i="4" s="1"/>
  <c r="G3240" i="4"/>
  <c r="G3233" i="4"/>
  <c r="G3235" i="4"/>
  <c r="G3239" i="4"/>
  <c r="G3249" i="4"/>
  <c r="F3251" i="4"/>
  <c r="G3251" i="4" s="1"/>
  <c r="F3256" i="4"/>
  <c r="G3256" i="4" s="1"/>
  <c r="F3245" i="4"/>
  <c r="G3245" i="4" s="1"/>
  <c r="F3253" i="4"/>
  <c r="G3253" i="4" s="1"/>
  <c r="F3216" i="4"/>
  <c r="G3216" i="4" s="1"/>
  <c r="F3250" i="4"/>
  <c r="G3250" i="4" s="1"/>
  <c r="F3230" i="4"/>
  <c r="G3230" i="4" s="1"/>
  <c r="F3243" i="4"/>
  <c r="G3243" i="4" s="1"/>
  <c r="F3237" i="4"/>
  <c r="G3237" i="4" s="1"/>
  <c r="F3242" i="4"/>
  <c r="G3242" i="4" s="1"/>
  <c r="F3223" i="4"/>
  <c r="G3223" i="4" s="1"/>
  <c r="F3236" i="4"/>
  <c r="G3236" i="4" s="1"/>
  <c r="F2279" i="4"/>
  <c r="G2279" i="4" s="1"/>
  <c r="F3234" i="4"/>
  <c r="G3234" i="4" s="1"/>
  <c r="G3228" i="4"/>
  <c r="F3158" i="4"/>
  <c r="G3158" i="4" s="1"/>
  <c r="F3232" i="4"/>
  <c r="G3232" i="4" s="1"/>
  <c r="F3227" i="4"/>
  <c r="G3227" i="4" s="1"/>
  <c r="F3231" i="4"/>
  <c r="G3231" i="4" s="1"/>
  <c r="F3094" i="4"/>
  <c r="G3094" i="4" s="1"/>
  <c r="F3229" i="4"/>
  <c r="G3229" i="4" s="1"/>
  <c r="G3219" i="4"/>
  <c r="G3143" i="4"/>
  <c r="G3203" i="4"/>
  <c r="G3224" i="4"/>
  <c r="G3225" i="4"/>
  <c r="G3200" i="4"/>
  <c r="G3205" i="4"/>
  <c r="F3156" i="4"/>
  <c r="G3156" i="4" s="1"/>
  <c r="F3226" i="4"/>
  <c r="G3226" i="4" s="1"/>
  <c r="G3194" i="4"/>
  <c r="G3222" i="4"/>
  <c r="G3215" i="4"/>
  <c r="F3030" i="4"/>
  <c r="G3030" i="4" s="1"/>
  <c r="F3220" i="4"/>
  <c r="G3220" i="4" s="1"/>
  <c r="F3004" i="4"/>
  <c r="G3004" i="4" s="1"/>
  <c r="F3217" i="4"/>
  <c r="G3217" i="4" s="1"/>
  <c r="F3207" i="4"/>
  <c r="G3207" i="4" s="1"/>
  <c r="F3209" i="4"/>
  <c r="G3209" i="4" s="1"/>
  <c r="F3211" i="4"/>
  <c r="G3211" i="4" s="1"/>
  <c r="F3148" i="4"/>
  <c r="G3148" i="4" s="1"/>
  <c r="F3208" i="4"/>
  <c r="G3208" i="4" s="1"/>
  <c r="G3196" i="4"/>
  <c r="G3199" i="4"/>
  <c r="F3193" i="4"/>
  <c r="G3193" i="4" s="1"/>
  <c r="F3198" i="4"/>
  <c r="G3198" i="4" s="1"/>
  <c r="F3182" i="4"/>
  <c r="G3182" i="4" s="1"/>
  <c r="F3195" i="4"/>
  <c r="G3195" i="4" s="1"/>
  <c r="G3175" i="4"/>
  <c r="G3171" i="4"/>
  <c r="F2645" i="4"/>
  <c r="G2645" i="4" s="1"/>
  <c r="G3189" i="4"/>
  <c r="G3183" i="4"/>
  <c r="G3165" i="4"/>
  <c r="F2539" i="4"/>
  <c r="G2539" i="4" s="1"/>
  <c r="G3169" i="4"/>
  <c r="G3155" i="4"/>
  <c r="G3168" i="4"/>
  <c r="G2265" i="4"/>
  <c r="F2938" i="4"/>
  <c r="G2938" i="4" s="1"/>
  <c r="F3190" i="4"/>
  <c r="G3190" i="4" s="1"/>
  <c r="F2268" i="4"/>
  <c r="G2268" i="4" s="1"/>
  <c r="F3188" i="4"/>
  <c r="G3188" i="4" s="1"/>
  <c r="G3177" i="4"/>
  <c r="F3178" i="4"/>
  <c r="G3178" i="4" s="1"/>
  <c r="F3187" i="4"/>
  <c r="G3187" i="4" s="1"/>
  <c r="F2994" i="4"/>
  <c r="G2994" i="4" s="1"/>
  <c r="F3185" i="4"/>
  <c r="G3185" i="4" s="1"/>
  <c r="F3163" i="4"/>
  <c r="G3163" i="4" s="1"/>
  <c r="F3186" i="4"/>
  <c r="G3186" i="4" s="1"/>
  <c r="G2541" i="4"/>
  <c r="F3161" i="4"/>
  <c r="G3161" i="4" s="1"/>
  <c r="F3179" i="4"/>
  <c r="G3179" i="4" s="1"/>
  <c r="G3162" i="4"/>
  <c r="F20" i="6"/>
  <c r="F2099" i="4"/>
  <c r="G2099" i="4" s="1"/>
  <c r="F3174" i="4"/>
  <c r="G3174" i="4" s="1"/>
  <c r="F2752" i="4"/>
  <c r="G2752" i="4" s="1"/>
  <c r="F3173" i="4"/>
  <c r="G3173" i="4" s="1"/>
  <c r="F1981" i="4"/>
  <c r="F2353" i="4"/>
  <c r="G2353" i="4" s="1"/>
  <c r="F2117" i="4"/>
  <c r="G2597" i="4"/>
  <c r="G3122" i="4"/>
  <c r="F3153" i="4"/>
  <c r="G3153" i="4" s="1"/>
  <c r="F3166" i="4"/>
  <c r="G3166" i="4" s="1"/>
  <c r="F2780" i="4"/>
  <c r="G2780" i="4" s="1"/>
  <c r="F3167" i="4"/>
  <c r="G3167" i="4" s="1"/>
  <c r="F2699" i="4"/>
  <c r="G2699" i="4" s="1"/>
  <c r="F2984" i="4"/>
  <c r="G2984" i="4" s="1"/>
  <c r="F3049" i="4"/>
  <c r="G3049" i="4" s="1"/>
  <c r="F3159" i="4"/>
  <c r="G3159" i="4" s="1"/>
  <c r="F3084" i="4"/>
  <c r="G3084" i="4" s="1"/>
  <c r="F3154" i="4"/>
  <c r="G3154" i="4" s="1"/>
  <c r="G3146" i="4"/>
  <c r="F2870" i="4"/>
  <c r="G2870" i="4" s="1"/>
  <c r="F3151" i="4"/>
  <c r="G3151" i="4" s="1"/>
  <c r="G1451" i="4"/>
  <c r="G1871" i="4"/>
  <c r="G1781" i="4"/>
  <c r="G1610" i="4"/>
  <c r="G1437" i="4"/>
  <c r="F2576" i="4"/>
  <c r="G2576" i="4" s="1"/>
  <c r="F3149" i="4"/>
  <c r="G3149" i="4" s="1"/>
  <c r="G562" i="4"/>
  <c r="G1047" i="4"/>
  <c r="G1139" i="4"/>
  <c r="G1265" i="4"/>
  <c r="G1151" i="4"/>
  <c r="F2510" i="4"/>
  <c r="G2510" i="4" s="1"/>
  <c r="G692" i="4"/>
  <c r="F2673" i="4"/>
  <c r="G2673" i="4" s="1"/>
  <c r="F2682" i="4"/>
  <c r="G2682" i="4" s="1"/>
  <c r="F2367" i="4"/>
  <c r="G2367" i="4" s="1"/>
  <c r="F2044" i="4"/>
  <c r="G2044" i="4" s="1"/>
  <c r="G2550" i="4"/>
  <c r="F2228" i="4"/>
  <c r="G2228" i="4" s="1"/>
  <c r="F2220" i="4"/>
  <c r="G2220" i="4" s="1"/>
  <c r="F2509" i="4"/>
  <c r="G2509" i="4" s="1"/>
  <c r="F2393" i="4"/>
  <c r="G2393" i="4" s="1"/>
  <c r="F2511" i="4"/>
  <c r="G2511" i="4" s="1"/>
  <c r="F2735" i="4"/>
  <c r="G2735" i="4" s="1"/>
  <c r="F2218" i="4"/>
  <c r="G2218" i="4" s="1"/>
  <c r="F2131" i="4"/>
  <c r="G2131" i="4" s="1"/>
  <c r="F2283" i="4"/>
  <c r="G2283" i="4" s="1"/>
  <c r="F2563" i="4"/>
  <c r="G2563" i="4" s="1"/>
  <c r="F2469" i="4"/>
  <c r="G2469" i="4" s="1"/>
  <c r="F2409" i="4"/>
  <c r="G2409" i="4" s="1"/>
  <c r="F2891" i="4"/>
  <c r="G2891" i="4" s="1"/>
  <c r="F2199" i="4"/>
  <c r="G2199" i="4" s="1"/>
  <c r="F2500" i="4"/>
  <c r="G2500" i="4" s="1"/>
  <c r="F2635" i="4"/>
  <c r="G2635" i="4" s="1"/>
  <c r="F2438" i="4"/>
  <c r="G2438" i="4" s="1"/>
  <c r="F3061" i="4"/>
  <c r="G3061" i="4" s="1"/>
  <c r="F3147" i="4"/>
  <c r="G3147" i="4" s="1"/>
  <c r="G1521" i="4"/>
  <c r="G3136" i="4"/>
  <c r="F2109" i="4"/>
  <c r="G2109" i="4" s="1"/>
  <c r="G2118" i="4"/>
  <c r="G2337" i="4"/>
  <c r="F2566" i="4"/>
  <c r="G2566" i="4" s="1"/>
  <c r="F2547" i="4"/>
  <c r="G2547" i="4" s="1"/>
  <c r="F1890" i="4"/>
  <c r="G1890" i="4" s="1"/>
  <c r="F2372" i="4"/>
  <c r="G2372" i="4" s="1"/>
  <c r="F2450" i="4"/>
  <c r="G2450" i="4" s="1"/>
  <c r="F3139" i="4"/>
  <c r="G3139" i="4" s="1"/>
  <c r="F3140" i="4"/>
  <c r="G3140" i="4" s="1"/>
  <c r="F3142" i="4"/>
  <c r="G3142" i="4" s="1"/>
  <c r="F3127" i="4"/>
  <c r="G3127" i="4" s="1"/>
  <c r="F3135" i="4"/>
  <c r="G3135" i="4" s="1"/>
  <c r="F2817" i="4"/>
  <c r="G2817" i="4" s="1"/>
  <c r="F3138" i="4"/>
  <c r="G3138" i="4" s="1"/>
  <c r="G3128" i="4"/>
  <c r="G1213" i="4"/>
  <c r="G591" i="4"/>
  <c r="G659" i="4"/>
  <c r="G1362" i="4"/>
  <c r="G998" i="4"/>
  <c r="G1201" i="4"/>
  <c r="G1622" i="4"/>
  <c r="G1594" i="4"/>
  <c r="G1566" i="4"/>
  <c r="G3125" i="4"/>
  <c r="G3126" i="4"/>
  <c r="F2277" i="4"/>
  <c r="G1530" i="4"/>
  <c r="G3119" i="4"/>
  <c r="G3131" i="4"/>
  <c r="F3109" i="4"/>
  <c r="G3109" i="4" s="1"/>
  <c r="F3134" i="4"/>
  <c r="G3134" i="4" s="1"/>
  <c r="F2929" i="4"/>
  <c r="G2929" i="4" s="1"/>
  <c r="F2443" i="4"/>
  <c r="G2443" i="4" s="1"/>
  <c r="F3113" i="4"/>
  <c r="G3113" i="4" s="1"/>
  <c r="F3132" i="4"/>
  <c r="G3132" i="4" s="1"/>
  <c r="G1261" i="4"/>
  <c r="G3123" i="4"/>
  <c r="G3118" i="4"/>
  <c r="F2957" i="4"/>
  <c r="G2957" i="4" s="1"/>
  <c r="F3130" i="4"/>
  <c r="G3130" i="4" s="1"/>
  <c r="G997" i="4"/>
  <c r="G1857" i="4"/>
  <c r="G1847" i="4"/>
  <c r="G1425" i="4"/>
  <c r="G611" i="4"/>
  <c r="G801" i="4"/>
  <c r="G962" i="4"/>
  <c r="G825" i="4"/>
  <c r="G934" i="4"/>
  <c r="G1122" i="4"/>
  <c r="G1257" i="4"/>
  <c r="F1897" i="4"/>
  <c r="G1897" i="4" s="1"/>
  <c r="G621" i="4"/>
  <c r="G925" i="4"/>
  <c r="G1093" i="4"/>
  <c r="G1436" i="4"/>
  <c r="F2812" i="4"/>
  <c r="G2812" i="4" s="1"/>
  <c r="G1820" i="4"/>
  <c r="G638" i="4"/>
  <c r="G837" i="4"/>
  <c r="F2693" i="4"/>
  <c r="G2693" i="4" s="1"/>
  <c r="F2740" i="4"/>
  <c r="G2740" i="4" s="1"/>
  <c r="F2826" i="4"/>
  <c r="G2826" i="4" s="1"/>
  <c r="F2831" i="4"/>
  <c r="G2831" i="4" s="1"/>
  <c r="F2837" i="4"/>
  <c r="G2837" i="4" s="1"/>
  <c r="F2854" i="4"/>
  <c r="G2854" i="4" s="1"/>
  <c r="F2865" i="4"/>
  <c r="G2865" i="4" s="1"/>
  <c r="F2288" i="4"/>
  <c r="G2288" i="4" s="1"/>
  <c r="F2900" i="4"/>
  <c r="G2900" i="4" s="1"/>
  <c r="F3124" i="4"/>
  <c r="G3124" i="4" s="1"/>
  <c r="F2614" i="4"/>
  <c r="G2614" i="4" s="1"/>
  <c r="F2636" i="4"/>
  <c r="G2636" i="4" s="1"/>
  <c r="F2567" i="4"/>
  <c r="G2567" i="4" s="1"/>
  <c r="F2487" i="4"/>
  <c r="G2487" i="4" s="1"/>
  <c r="F2446" i="4"/>
  <c r="G2446" i="4" s="1"/>
  <c r="F2561" i="4"/>
  <c r="G2561" i="4" s="1"/>
  <c r="F2474" i="4"/>
  <c r="G2474" i="4" s="1"/>
  <c r="F2502" i="4"/>
  <c r="G2502" i="4" s="1"/>
  <c r="F2426" i="4"/>
  <c r="G2426" i="4" s="1"/>
  <c r="F2722" i="4"/>
  <c r="G2722" i="4" s="1"/>
  <c r="F2733" i="4"/>
  <c r="G2733" i="4" s="1"/>
  <c r="G660" i="4"/>
  <c r="G2225" i="4"/>
  <c r="G1434" i="4"/>
  <c r="G683" i="4"/>
  <c r="E15" i="6"/>
  <c r="G828" i="4"/>
  <c r="G900" i="4"/>
  <c r="G957" i="4"/>
  <c r="G1045" i="4"/>
  <c r="G1097" i="4"/>
  <c r="G1595" i="4"/>
  <c r="E25" i="6"/>
  <c r="G637" i="4"/>
  <c r="G658" i="4"/>
  <c r="G679" i="4"/>
  <c r="G703" i="4"/>
  <c r="G800" i="4"/>
  <c r="G880" i="4"/>
  <c r="G929" i="4"/>
  <c r="G1063" i="4"/>
  <c r="G1212" i="4"/>
  <c r="G1317" i="4"/>
  <c r="G1328" i="4"/>
  <c r="G1350" i="4"/>
  <c r="G622" i="4"/>
  <c r="G881" i="4"/>
  <c r="G1879" i="4"/>
  <c r="G1627" i="4"/>
  <c r="G1618" i="4"/>
  <c r="G1583" i="4"/>
  <c r="G1442" i="4"/>
  <c r="F2600" i="4"/>
  <c r="G2600" i="4" s="1"/>
  <c r="F3121" i="4"/>
  <c r="G3121" i="4" s="1"/>
  <c r="G1293" i="4"/>
  <c r="G1341" i="4"/>
  <c r="E2226" i="4"/>
  <c r="G2226" i="4" s="1"/>
  <c r="G986" i="4"/>
  <c r="G1241" i="4"/>
  <c r="G27" i="6"/>
  <c r="G953" i="4"/>
  <c r="G1652" i="4"/>
  <c r="G1384" i="4"/>
  <c r="G22" i="6"/>
  <c r="G3114" i="4"/>
  <c r="G538" i="4"/>
  <c r="G1013" i="4"/>
  <c r="G1245" i="4"/>
  <c r="G1861" i="4"/>
  <c r="G1855" i="4"/>
  <c r="G1850" i="4"/>
  <c r="G603" i="4"/>
  <c r="G614" i="4"/>
  <c r="G684" i="4"/>
  <c r="G728" i="4"/>
  <c r="G1189" i="4"/>
  <c r="G1221" i="4"/>
  <c r="G1301" i="4"/>
  <c r="G558" i="4"/>
  <c r="G566" i="4"/>
  <c r="G595" i="4"/>
  <c r="G1289" i="4"/>
  <c r="G1884" i="4"/>
  <c r="G1503" i="4"/>
  <c r="E20" i="6"/>
  <c r="G1865" i="4"/>
  <c r="G687" i="4"/>
  <c r="G849" i="4"/>
  <c r="G650" i="4"/>
  <c r="C20" i="6"/>
  <c r="E16" i="6"/>
  <c r="G664" i="4"/>
  <c r="F2098" i="4"/>
  <c r="F1990" i="4"/>
  <c r="G1990" i="4" s="1"/>
  <c r="F1951" i="4"/>
  <c r="G1951" i="4" s="1"/>
  <c r="F2274" i="4"/>
  <c r="G2274" i="4" s="1"/>
  <c r="G909" i="4"/>
  <c r="F2200" i="4"/>
  <c r="G2200" i="4" s="1"/>
  <c r="E17" i="6"/>
  <c r="F2691" i="4"/>
  <c r="G2691" i="4" s="1"/>
  <c r="F2734" i="4"/>
  <c r="G2734" i="4" s="1"/>
  <c r="F2515" i="4"/>
  <c r="G2515" i="4" s="1"/>
  <c r="G1325" i="4"/>
  <c r="G1184" i="4"/>
  <c r="G908" i="4"/>
  <c r="G1853" i="4"/>
  <c r="G1401" i="4"/>
  <c r="G550" i="4"/>
  <c r="G646" i="4"/>
  <c r="G680" i="4"/>
  <c r="G897" i="4"/>
  <c r="G1059" i="4"/>
  <c r="G1165" i="4"/>
  <c r="G1311" i="4"/>
  <c r="G1466" i="4"/>
  <c r="G946" i="4"/>
  <c r="G1456" i="4"/>
  <c r="E23" i="6"/>
  <c r="G26" i="6"/>
  <c r="F2801" i="4"/>
  <c r="G2801" i="4" s="1"/>
  <c r="G18" i="6"/>
  <c r="G20" i="6"/>
  <c r="F2072" i="4"/>
  <c r="G2072" i="4" s="1"/>
  <c r="F2497" i="4"/>
  <c r="G2497" i="4" s="1"/>
  <c r="F2232" i="4"/>
  <c r="G2232" i="4" s="1"/>
  <c r="F2092" i="4"/>
  <c r="G2092" i="4" s="1"/>
  <c r="F2040" i="4"/>
  <c r="G2040" i="4" s="1"/>
  <c r="E26" i="6"/>
  <c r="F2029" i="4"/>
  <c r="G2029" i="4" s="1"/>
  <c r="F2285" i="4"/>
  <c r="G2285" i="4" s="1"/>
  <c r="F30" i="6"/>
  <c r="F2042" i="4"/>
  <c r="G2042" i="4" s="1"/>
  <c r="F2036" i="4"/>
  <c r="G2036" i="4" s="1"/>
  <c r="F1976" i="4"/>
  <c r="G1976" i="4" s="1"/>
  <c r="F2286" i="4"/>
  <c r="G2286" i="4" s="1"/>
  <c r="F2564" i="4"/>
  <c r="G2564" i="4" s="1"/>
  <c r="F2575" i="4"/>
  <c r="G2575" i="4" s="1"/>
  <c r="F2374" i="4"/>
  <c r="G2374" i="4" s="1"/>
  <c r="F2190" i="4"/>
  <c r="G2190" i="4" s="1"/>
  <c r="F2104" i="4"/>
  <c r="G2104" i="4" s="1"/>
  <c r="E1984" i="4"/>
  <c r="G1984" i="4" s="1"/>
  <c r="F1924" i="4"/>
  <c r="G1924" i="4" s="1"/>
  <c r="E1907" i="4"/>
  <c r="G1907" i="4" s="1"/>
  <c r="F2061" i="4"/>
  <c r="G2061" i="4" s="1"/>
  <c r="E2018" i="4"/>
  <c r="G2018" i="4" s="1"/>
  <c r="G885" i="4"/>
  <c r="G1509" i="4"/>
  <c r="F26" i="6"/>
  <c r="G3111" i="4"/>
  <c r="F3107" i="4"/>
  <c r="G3107" i="4" s="1"/>
  <c r="F3115" i="4"/>
  <c r="G3115" i="4" s="1"/>
  <c r="G553" i="4"/>
  <c r="F13" i="6"/>
  <c r="G630" i="4"/>
  <c r="G667" i="4"/>
  <c r="G1639" i="4"/>
  <c r="G29" i="6"/>
  <c r="G2867" i="4"/>
  <c r="G1985" i="4"/>
  <c r="F1937" i="4"/>
  <c r="G1937" i="4" s="1"/>
  <c r="F1928" i="4"/>
  <c r="F2454" i="4"/>
  <c r="G2454" i="4" s="1"/>
  <c r="G1922" i="4"/>
  <c r="F2781" i="4"/>
  <c r="G2781" i="4" s="1"/>
  <c r="F2824" i="4"/>
  <c r="G2824" i="4" s="1"/>
  <c r="F2978" i="4"/>
  <c r="G2978" i="4" s="1"/>
  <c r="F1988" i="4"/>
  <c r="G1988" i="4" s="1"/>
  <c r="G585" i="4"/>
  <c r="G641" i="4"/>
  <c r="G662" i="4"/>
  <c r="G735" i="4"/>
  <c r="G848" i="4"/>
  <c r="G872" i="4"/>
  <c r="G933" i="4"/>
  <c r="G973" i="4"/>
  <c r="G1481" i="4"/>
  <c r="F2832" i="4"/>
  <c r="G2832" i="4" s="1"/>
  <c r="F3110" i="4"/>
  <c r="G3110" i="4" s="1"/>
  <c r="F2685" i="4"/>
  <c r="G2685" i="4" s="1"/>
  <c r="F2721" i="4"/>
  <c r="G2721" i="4" s="1"/>
  <c r="F2725" i="4"/>
  <c r="G2725" i="4" s="1"/>
  <c r="F2759" i="4"/>
  <c r="G2759" i="4" s="1"/>
  <c r="F2791" i="4"/>
  <c r="G2791" i="4" s="1"/>
  <c r="F2816" i="4"/>
  <c r="G2816" i="4" s="1"/>
  <c r="F2928" i="4"/>
  <c r="G2928" i="4" s="1"/>
  <c r="F2988" i="4"/>
  <c r="G2988" i="4" s="1"/>
  <c r="G620" i="4"/>
  <c r="F2709" i="4"/>
  <c r="G2709" i="4" s="1"/>
  <c r="F2790" i="4"/>
  <c r="G2790" i="4" s="1"/>
  <c r="F2901" i="4"/>
  <c r="G2901" i="4" s="1"/>
  <c r="F2923" i="4"/>
  <c r="G2923" i="4" s="1"/>
  <c r="F3000" i="4"/>
  <c r="G3000" i="4" s="1"/>
  <c r="G1974" i="4"/>
  <c r="G1696" i="4"/>
  <c r="G913" i="4"/>
  <c r="G3099" i="4"/>
  <c r="G1507" i="4"/>
  <c r="G877" i="4"/>
  <c r="F16" i="6"/>
  <c r="G954" i="4"/>
  <c r="G1225" i="4"/>
  <c r="G1281" i="4"/>
  <c r="G1517" i="4"/>
  <c r="G1397" i="4"/>
  <c r="F17" i="6"/>
  <c r="G982" i="4"/>
  <c r="G1118" i="4"/>
  <c r="G1169" i="4"/>
  <c r="G1650" i="4"/>
  <c r="G1444" i="4"/>
  <c r="G1102" i="4"/>
  <c r="G1217" i="4"/>
  <c r="G873" i="4"/>
  <c r="E21" i="6"/>
  <c r="F1952" i="4"/>
  <c r="G1952" i="4" s="1"/>
  <c r="F2512" i="4"/>
  <c r="G2512" i="4" s="1"/>
  <c r="G688" i="4"/>
  <c r="G1173" i="4"/>
  <c r="G1285" i="4"/>
  <c r="G1446" i="4"/>
  <c r="F19" i="6"/>
  <c r="F2094" i="4"/>
  <c r="G2094" i="4" s="1"/>
  <c r="G2565" i="4"/>
  <c r="F2495" i="4"/>
  <c r="G2495" i="4" s="1"/>
  <c r="G2729" i="4"/>
  <c r="F2904" i="4"/>
  <c r="G2904" i="4" s="1"/>
  <c r="F2765" i="4"/>
  <c r="G2765" i="4" s="1"/>
  <c r="G2789" i="4"/>
  <c r="G2861" i="4"/>
  <c r="G1294" i="4"/>
  <c r="G552" i="4"/>
  <c r="G1268" i="4"/>
  <c r="G821" i="4"/>
  <c r="G1460" i="4"/>
  <c r="G1452" i="4"/>
  <c r="G1843" i="4"/>
  <c r="F2592" i="4"/>
  <c r="G2592" i="4" s="1"/>
  <c r="F3104" i="4"/>
  <c r="G3104" i="4" s="1"/>
  <c r="G853" i="4"/>
  <c r="G1025" i="4"/>
  <c r="G651" i="4"/>
  <c r="F2100" i="4"/>
  <c r="G2100" i="4" s="1"/>
  <c r="F2293" i="4"/>
  <c r="G2293" i="4" s="1"/>
  <c r="F2670" i="4"/>
  <c r="G2670" i="4" s="1"/>
  <c r="G974" i="4"/>
  <c r="G1029" i="4"/>
  <c r="G1229" i="4"/>
  <c r="G668" i="4"/>
  <c r="F3087" i="4"/>
  <c r="G3087" i="4" s="1"/>
  <c r="F2418" i="4"/>
  <c r="G2418" i="4" s="1"/>
  <c r="F3103" i="4"/>
  <c r="G3103" i="4" s="1"/>
  <c r="G540" i="4"/>
  <c r="G601" i="4"/>
  <c r="G1597" i="4"/>
  <c r="F3066" i="4"/>
  <c r="G3066" i="4" s="1"/>
  <c r="F3100" i="4"/>
  <c r="G3100" i="4" s="1"/>
  <c r="G3089" i="4"/>
  <c r="G3093" i="4"/>
  <c r="G2658" i="4"/>
  <c r="G780" i="4"/>
  <c r="G985" i="4"/>
  <c r="G1300" i="4"/>
  <c r="G557" i="4"/>
  <c r="G1737" i="4"/>
  <c r="G852" i="4"/>
  <c r="G937" i="4"/>
  <c r="G1405" i="4"/>
  <c r="G642" i="4"/>
  <c r="G655" i="4"/>
  <c r="G833" i="4"/>
  <c r="G901" i="4"/>
  <c r="G1601" i="4"/>
  <c r="G1472" i="4"/>
  <c r="G797" i="4"/>
  <c r="G1559" i="4"/>
  <c r="G1041" i="4"/>
  <c r="G1269" i="4"/>
  <c r="G15" i="6"/>
  <c r="F2379" i="4"/>
  <c r="G2379" i="4" s="1"/>
  <c r="F2070" i="4"/>
  <c r="G2070" i="4" s="1"/>
  <c r="G19" i="6"/>
  <c r="F2173" i="4"/>
  <c r="G2173" i="4" s="1"/>
  <c r="F2245" i="4"/>
  <c r="G2245" i="4" s="1"/>
  <c r="E2389" i="4"/>
  <c r="G2389" i="4" s="1"/>
  <c r="F2175" i="4"/>
  <c r="G2175" i="4" s="1"/>
  <c r="F2222" i="4"/>
  <c r="G2222" i="4" s="1"/>
  <c r="F2130" i="4"/>
  <c r="G2130" i="4" s="1"/>
  <c r="F2621" i="4"/>
  <c r="G2621" i="4" s="1"/>
  <c r="F2366" i="4"/>
  <c r="G2366" i="4" s="1"/>
  <c r="F2677" i="4"/>
  <c r="G2677" i="4" s="1"/>
  <c r="F2698" i="4"/>
  <c r="G2698" i="4" s="1"/>
  <c r="F2746" i="4"/>
  <c r="G2746" i="4" s="1"/>
  <c r="E2760" i="4"/>
  <c r="G2760" i="4" s="1"/>
  <c r="F2808" i="4"/>
  <c r="G2808" i="4" s="1"/>
  <c r="G2822" i="4"/>
  <c r="F2857" i="4"/>
  <c r="G2857" i="4" s="1"/>
  <c r="F2880" i="4"/>
  <c r="G2880" i="4" s="1"/>
  <c r="G25" i="6"/>
  <c r="G1326" i="4"/>
  <c r="F3044" i="4"/>
  <c r="G3044" i="4" s="1"/>
  <c r="F3090" i="4"/>
  <c r="G3090" i="4" s="1"/>
  <c r="F2910" i="4"/>
  <c r="G2910" i="4" s="1"/>
  <c r="F2939" i="4"/>
  <c r="G2939" i="4" s="1"/>
  <c r="F2757" i="4"/>
  <c r="G2757" i="4" s="1"/>
  <c r="F2830" i="4"/>
  <c r="G2830" i="4" s="1"/>
  <c r="F2844" i="4"/>
  <c r="G2844" i="4" s="1"/>
  <c r="F2927" i="4"/>
  <c r="G2927" i="4" s="1"/>
  <c r="F2950" i="4"/>
  <c r="G2950" i="4" s="1"/>
  <c r="F2997" i="4"/>
  <c r="G2997" i="4" s="1"/>
  <c r="F27" i="6"/>
  <c r="G1435" i="4"/>
  <c r="F3001" i="4"/>
  <c r="G3001" i="4" s="1"/>
  <c r="F3032" i="4"/>
  <c r="G3032" i="4" s="1"/>
  <c r="F3040" i="4"/>
  <c r="G3040" i="4" s="1"/>
  <c r="G3085" i="4"/>
  <c r="F3091" i="4"/>
  <c r="G3091" i="4" s="1"/>
  <c r="G3075" i="4"/>
  <c r="G700" i="4"/>
  <c r="F2908" i="4"/>
  <c r="G2908" i="4" s="1"/>
  <c r="F2925" i="4"/>
  <c r="G2925" i="4" s="1"/>
  <c r="F2959" i="4"/>
  <c r="G2959" i="4" s="1"/>
  <c r="F2974" i="4"/>
  <c r="G2974" i="4" s="1"/>
  <c r="F2983" i="4"/>
  <c r="G2983" i="4" s="1"/>
  <c r="G2223" i="4"/>
  <c r="F1977" i="4"/>
  <c r="G1977" i="4" s="1"/>
  <c r="F3062" i="4"/>
  <c r="G3062" i="4" s="1"/>
  <c r="F3078" i="4"/>
  <c r="G3078" i="4" s="1"/>
  <c r="G2530" i="4"/>
  <c r="G21" i="6"/>
  <c r="G1448" i="4"/>
  <c r="G1417" i="4"/>
  <c r="G569" i="4"/>
  <c r="G753" i="4"/>
  <c r="G824" i="4"/>
  <c r="G832" i="4"/>
  <c r="G904" i="4"/>
  <c r="G977" i="4"/>
  <c r="G1005" i="4"/>
  <c r="G1050" i="4"/>
  <c r="G1180" i="4"/>
  <c r="G1292" i="4"/>
  <c r="E19" i="6"/>
  <c r="C26" i="6"/>
  <c r="G1550" i="4"/>
  <c r="C15" i="6"/>
  <c r="F3088" i="4"/>
  <c r="G3088" i="4" s="1"/>
  <c r="G1557" i="4"/>
  <c r="F2215" i="4"/>
  <c r="G2215" i="4" s="1"/>
  <c r="F2079" i="4"/>
  <c r="G2079" i="4" s="1"/>
  <c r="C19" i="6"/>
  <c r="F2004" i="4"/>
  <c r="G2004" i="4" s="1"/>
  <c r="F3002" i="4"/>
  <c r="G3002" i="4" s="1"/>
  <c r="F1963" i="4"/>
  <c r="G1963" i="4" s="1"/>
  <c r="F2247" i="4"/>
  <c r="G2247" i="4" s="1"/>
  <c r="F2357" i="4"/>
  <c r="G2357" i="4" s="1"/>
  <c r="F15" i="6"/>
  <c r="B8" i="12"/>
  <c r="G1054" i="4"/>
  <c r="F2020" i="4"/>
  <c r="G2020" i="4" s="1"/>
  <c r="G2622" i="4"/>
  <c r="G609" i="4"/>
  <c r="G1725" i="4"/>
  <c r="F2157" i="4"/>
  <c r="G2157" i="4" s="1"/>
  <c r="F2069" i="4"/>
  <c r="G2069" i="4" s="1"/>
  <c r="E18" i="6"/>
  <c r="F2612" i="4"/>
  <c r="G2612" i="4" s="1"/>
  <c r="G2273" i="4"/>
  <c r="G593" i="4"/>
  <c r="F3082" i="4"/>
  <c r="G3082" i="4" s="1"/>
  <c r="F3095" i="4"/>
  <c r="G3095" i="4" s="1"/>
  <c r="G3063" i="4"/>
  <c r="G3074" i="4"/>
  <c r="G3080" i="4"/>
  <c r="F1995" i="4"/>
  <c r="G1995" i="4" s="1"/>
  <c r="F2290" i="4"/>
  <c r="G2290" i="4" s="1"/>
  <c r="F3079" i="4"/>
  <c r="G3079" i="4" s="1"/>
  <c r="F2606" i="4"/>
  <c r="G2606" i="4" s="1"/>
  <c r="F3077" i="4"/>
  <c r="G3077" i="4" s="1"/>
  <c r="G3072" i="4"/>
  <c r="F3007" i="4"/>
  <c r="G3007" i="4" s="1"/>
  <c r="F3073" i="4"/>
  <c r="G3073" i="4" s="1"/>
  <c r="G3064" i="4"/>
  <c r="G3060" i="4"/>
  <c r="F3068" i="4"/>
  <c r="G3068" i="4" s="1"/>
  <c r="F2555" i="4"/>
  <c r="G2555" i="4" s="1"/>
  <c r="F3067" i="4"/>
  <c r="G3067" i="4" s="1"/>
  <c r="G3053" i="4"/>
  <c r="F3065" i="4"/>
  <c r="G3065" i="4" s="1"/>
  <c r="G3050" i="4"/>
  <c r="G3059" i="4"/>
  <c r="F2669" i="4"/>
  <c r="G2669" i="4" s="1"/>
  <c r="F3058" i="4"/>
  <c r="G3058" i="4" s="1"/>
  <c r="F3054" i="4"/>
  <c r="G3054" i="4" s="1"/>
  <c r="F3056" i="4"/>
  <c r="G3056" i="4" s="1"/>
  <c r="B22" i="12"/>
  <c r="C17" i="6"/>
  <c r="C13" i="6"/>
  <c r="G16" i="6"/>
  <c r="F3024" i="4"/>
  <c r="G3024" i="4" s="1"/>
  <c r="F3051" i="4"/>
  <c r="G3051" i="4" s="1"/>
  <c r="F3035" i="4"/>
  <c r="G3035" i="4" s="1"/>
  <c r="E42" i="6"/>
  <c r="G3020" i="4"/>
  <c r="C7" i="6"/>
  <c r="C10" i="6"/>
  <c r="G39" i="6"/>
  <c r="G3047" i="4"/>
  <c r="F2800" i="4"/>
  <c r="G2800" i="4" s="1"/>
  <c r="F3048" i="4"/>
  <c r="G3048" i="4" s="1"/>
  <c r="F3018" i="4"/>
  <c r="G3018" i="4" s="1"/>
  <c r="F3043" i="4"/>
  <c r="G3043" i="4" s="1"/>
  <c r="F3041" i="4"/>
  <c r="G3041" i="4" s="1"/>
  <c r="B38" i="12"/>
  <c r="G3039" i="4"/>
  <c r="G2292" i="4"/>
  <c r="F2653" i="4"/>
  <c r="G2653" i="4" s="1"/>
  <c r="F3042" i="4"/>
  <c r="G3042" i="4" s="1"/>
  <c r="G2155" i="4"/>
  <c r="G3023" i="4"/>
  <c r="F1901" i="4"/>
  <c r="G1901" i="4" s="1"/>
  <c r="F2124" i="4"/>
  <c r="G2124" i="4" s="1"/>
  <c r="F2427" i="4"/>
  <c r="G2427" i="4" s="1"/>
  <c r="G1742" i="4"/>
  <c r="F2343" i="4"/>
  <c r="G2343" i="4" s="1"/>
  <c r="E2209" i="4"/>
  <c r="F2159" i="4"/>
  <c r="G2159" i="4" s="1"/>
  <c r="F3038" i="4"/>
  <c r="G3038" i="4" s="1"/>
  <c r="F2019" i="4"/>
  <c r="G2019" i="4" s="1"/>
  <c r="F3036" i="4"/>
  <c r="G3036" i="4" s="1"/>
  <c r="G3028" i="4"/>
  <c r="F2053" i="4"/>
  <c r="G2053" i="4" s="1"/>
  <c r="F1935" i="4"/>
  <c r="G1935" i="4" s="1"/>
  <c r="F2458" i="4"/>
  <c r="G2458" i="4" s="1"/>
  <c r="G2915" i="4"/>
  <c r="F2544" i="4"/>
  <c r="G2544" i="4" s="1"/>
  <c r="F2453" i="4"/>
  <c r="G2453" i="4" s="1"/>
  <c r="F2481" i="4"/>
  <c r="G2481" i="4" s="1"/>
  <c r="G3027" i="4"/>
  <c r="F2556" i="4"/>
  <c r="G2556" i="4" s="1"/>
  <c r="F2125" i="4"/>
  <c r="G2125" i="4" s="1"/>
  <c r="E2197" i="4"/>
  <c r="B18" i="12" s="1"/>
  <c r="G1536" i="4"/>
  <c r="F2331" i="4"/>
  <c r="G2331" i="4" s="1"/>
  <c r="F3016" i="4"/>
  <c r="G3016" i="4" s="1"/>
  <c r="F3025" i="4"/>
  <c r="G3025" i="4" s="1"/>
  <c r="F3017" i="4"/>
  <c r="G3017" i="4" s="1"/>
  <c r="F3026" i="4"/>
  <c r="G3026" i="4" s="1"/>
  <c r="G3021" i="4"/>
  <c r="F3022" i="4"/>
  <c r="G3022" i="4" s="1"/>
  <c r="F28" i="6"/>
  <c r="G3009" i="4"/>
  <c r="G3012" i="4"/>
  <c r="G3010" i="4"/>
  <c r="F2332" i="4"/>
  <c r="G2332" i="4" s="1"/>
  <c r="F3014" i="4"/>
  <c r="G3014" i="4" s="1"/>
  <c r="G875" i="4"/>
  <c r="B35" i="12"/>
  <c r="G2064" i="4"/>
  <c r="F2213" i="4"/>
  <c r="G2213" i="4" s="1"/>
  <c r="G2586" i="4"/>
  <c r="E2277" i="4"/>
  <c r="F2324" i="4"/>
  <c r="G2324" i="4" s="1"/>
  <c r="F1906" i="4"/>
  <c r="G1906" i="4" s="1"/>
  <c r="F2952" i="4"/>
  <c r="G2952" i="4" s="1"/>
  <c r="F2958" i="4"/>
  <c r="G2958" i="4" s="1"/>
  <c r="F2999" i="4"/>
  <c r="G2999" i="4" s="1"/>
  <c r="F2129" i="4"/>
  <c r="G2129" i="4" s="1"/>
  <c r="F3008" i="4"/>
  <c r="G3008" i="4" s="1"/>
  <c r="F2233" i="4"/>
  <c r="G2233" i="4" s="1"/>
  <c r="G2548" i="4"/>
  <c r="C16" i="6"/>
  <c r="G1969" i="4"/>
  <c r="F2271" i="4"/>
  <c r="G2271" i="4" s="1"/>
  <c r="F2149" i="4"/>
  <c r="G2149" i="4" s="1"/>
  <c r="F1949" i="4"/>
  <c r="G1949" i="4" s="1"/>
  <c r="E1928" i="4"/>
  <c r="E2652" i="4"/>
  <c r="F2809" i="4"/>
  <c r="G2809" i="4" s="1"/>
  <c r="F2325" i="4"/>
  <c r="G2325" i="4" s="1"/>
  <c r="F2182" i="4"/>
  <c r="G2182" i="4" s="1"/>
  <c r="F2846" i="4"/>
  <c r="G2846" i="4" s="1"/>
  <c r="G2965" i="4"/>
  <c r="G2905" i="4"/>
  <c r="G1829" i="4"/>
  <c r="G704" i="4"/>
  <c r="C29" i="6"/>
  <c r="E29" i="6"/>
  <c r="C21" i="6"/>
  <c r="F21" i="6"/>
  <c r="F2380" i="4"/>
  <c r="G2380" i="4" s="1"/>
  <c r="F2236" i="4"/>
  <c r="G2236" i="4" s="1"/>
  <c r="F2457" i="4"/>
  <c r="G2457" i="4" s="1"/>
  <c r="F2448" i="4"/>
  <c r="G2448" i="4" s="1"/>
  <c r="E2098" i="4"/>
  <c r="F2201" i="4"/>
  <c r="G2201" i="4" s="1"/>
  <c r="F2525" i="4"/>
  <c r="G2525" i="4" s="1"/>
  <c r="F2676" i="4"/>
  <c r="G2676" i="4" s="1"/>
  <c r="F2934" i="4"/>
  <c r="G2934" i="4" s="1"/>
  <c r="G2025" i="4"/>
  <c r="G2671" i="4"/>
  <c r="G2595" i="4"/>
  <c r="F11" i="6"/>
  <c r="G2" i="4"/>
  <c r="G750" i="4"/>
  <c r="E2117" i="4"/>
  <c r="G927" i="4"/>
  <c r="G2024" i="4"/>
  <c r="E2088" i="4"/>
  <c r="F2490" i="4"/>
  <c r="G2490" i="4" s="1"/>
  <c r="F2108" i="4"/>
  <c r="G2108" i="4" s="1"/>
  <c r="F2144" i="4"/>
  <c r="G2144" i="4" s="1"/>
  <c r="F2406" i="4"/>
  <c r="G2406" i="4" s="1"/>
  <c r="F2496" i="4"/>
  <c r="G2496" i="4" s="1"/>
  <c r="G2663" i="4"/>
  <c r="F2701" i="4"/>
  <c r="G2701" i="4" s="1"/>
  <c r="F2962" i="4"/>
  <c r="G2962" i="4" s="1"/>
  <c r="G17" i="6"/>
  <c r="E27" i="6"/>
  <c r="F2656" i="4"/>
  <c r="G2656" i="4" s="1"/>
  <c r="F2767" i="4"/>
  <c r="G2767" i="4" s="1"/>
  <c r="G1824" i="4"/>
  <c r="G1933" i="4"/>
  <c r="F2766" i="4"/>
  <c r="G2766" i="4" s="1"/>
  <c r="G1986" i="4"/>
  <c r="G568" i="4"/>
  <c r="G689" i="4"/>
  <c r="E13" i="6"/>
  <c r="G2305" i="4"/>
  <c r="G2035" i="4"/>
  <c r="C27" i="6"/>
  <c r="G2615" i="4"/>
  <c r="G2594" i="4"/>
  <c r="G1626" i="4"/>
  <c r="G3005" i="4"/>
  <c r="C22" i="6"/>
  <c r="C25" i="6"/>
  <c r="F2488" i="4"/>
  <c r="G2488" i="4" s="1"/>
  <c r="E22" i="6"/>
  <c r="F2445" i="4"/>
  <c r="G2445" i="4" s="1"/>
  <c r="F2799" i="4"/>
  <c r="G2799" i="4" s="1"/>
  <c r="G2312" i="4"/>
  <c r="G12" i="6"/>
  <c r="F25" i="6"/>
  <c r="F2195" i="4"/>
  <c r="G2195" i="4" s="1"/>
  <c r="F2287" i="4"/>
  <c r="G2287" i="4" s="1"/>
  <c r="G2086" i="4"/>
  <c r="F1961" i="4"/>
  <c r="G1961" i="4" s="1"/>
  <c r="F2077" i="4"/>
  <c r="G2077" i="4" s="1"/>
  <c r="G1851" i="4"/>
  <c r="G1840" i="4"/>
  <c r="E28" i="6"/>
  <c r="G2152" i="4"/>
  <c r="F2347" i="4"/>
  <c r="G2347" i="4" s="1"/>
  <c r="C23" i="6"/>
  <c r="F14" i="6"/>
  <c r="F2103" i="4"/>
  <c r="G2103" i="4" s="1"/>
  <c r="G23" i="6"/>
  <c r="F2588" i="4"/>
  <c r="G2588" i="4" s="1"/>
  <c r="F1888" i="4"/>
  <c r="G1888" i="4" s="1"/>
  <c r="F2116" i="4"/>
  <c r="G2116" i="4" s="1"/>
  <c r="G2147" i="4"/>
  <c r="F2390" i="4"/>
  <c r="G2390" i="4" s="1"/>
  <c r="F2387" i="4"/>
  <c r="G2387" i="4" s="1"/>
  <c r="F12" i="6"/>
  <c r="F2091" i="4"/>
  <c r="G2091" i="4" s="1"/>
  <c r="F2546" i="4"/>
  <c r="G2546" i="4" s="1"/>
  <c r="C11" i="6"/>
  <c r="F2422" i="4"/>
  <c r="G2422" i="4" s="1"/>
  <c r="F2571" i="4"/>
  <c r="G2571" i="4" s="1"/>
  <c r="F2318" i="4"/>
  <c r="G2318" i="4" s="1"/>
  <c r="F2338" i="4"/>
  <c r="G2338" i="4" s="1"/>
  <c r="F2660" i="4"/>
  <c r="G2660" i="4" s="1"/>
  <c r="C28" i="6"/>
  <c r="F2058" i="4"/>
  <c r="G2058" i="4" s="1"/>
  <c r="F1970" i="4"/>
  <c r="G1970" i="4" s="1"/>
  <c r="F18" i="6"/>
  <c r="E2014" i="4"/>
  <c r="G32" i="6" s="1"/>
  <c r="E24" i="6"/>
  <c r="C18" i="6"/>
  <c r="F2067" i="4"/>
  <c r="G2067" i="4" s="1"/>
  <c r="F2322" i="4"/>
  <c r="G2322" i="4" s="1"/>
  <c r="F2585" i="4"/>
  <c r="G2585" i="4" s="1"/>
  <c r="F2608" i="4"/>
  <c r="G2608" i="4" s="1"/>
  <c r="F2465" i="4"/>
  <c r="G2465" i="4" s="1"/>
  <c r="F2106" i="4"/>
  <c r="G2106" i="4" s="1"/>
  <c r="F2442" i="4"/>
  <c r="G2442" i="4" s="1"/>
  <c r="E12" i="6"/>
  <c r="G576" i="4"/>
  <c r="F2486" i="4"/>
  <c r="G2486" i="4" s="1"/>
  <c r="F2602" i="4"/>
  <c r="G2602" i="4" s="1"/>
  <c r="F2463" i="4"/>
  <c r="G2463" i="4" s="1"/>
  <c r="F2459" i="4"/>
  <c r="G2459" i="4" s="1"/>
  <c r="F2000" i="4"/>
  <c r="G2000" i="4" s="1"/>
  <c r="F2192" i="4"/>
  <c r="G2192" i="4" s="1"/>
  <c r="F1983" i="4"/>
  <c r="G1983" i="4" s="1"/>
  <c r="F2244" i="4"/>
  <c r="G2244" i="4" s="1"/>
  <c r="F2482" i="4"/>
  <c r="G2482" i="4" s="1"/>
  <c r="F1905" i="4"/>
  <c r="G1905" i="4" s="1"/>
  <c r="F2514" i="4"/>
  <c r="G2514" i="4" s="1"/>
  <c r="F2317" i="4"/>
  <c r="G2317" i="4" s="1"/>
  <c r="F1927" i="4"/>
  <c r="G1927" i="4" s="1"/>
  <c r="F2297" i="4"/>
  <c r="G2297" i="4" s="1"/>
  <c r="F2628" i="4"/>
  <c r="G2628" i="4" s="1"/>
  <c r="F2073" i="4"/>
  <c r="G2073" i="4" s="1"/>
  <c r="F1942" i="4"/>
  <c r="G1942" i="4" s="1"/>
  <c r="F2659" i="4"/>
  <c r="G2659" i="4" s="1"/>
  <c r="F2755" i="4"/>
  <c r="G2755" i="4" s="1"/>
  <c r="F2937" i="4"/>
  <c r="G2937" i="4" s="1"/>
  <c r="F2593" i="4"/>
  <c r="G2593" i="4" s="1"/>
  <c r="F2527" i="4"/>
  <c r="G2527" i="4" s="1"/>
  <c r="F2330" i="4"/>
  <c r="G2330" i="4" s="1"/>
  <c r="F2412" i="4"/>
  <c r="G2412" i="4" s="1"/>
  <c r="F2581" i="4"/>
  <c r="G2581" i="4" s="1"/>
  <c r="F2472" i="4"/>
  <c r="G2472" i="4" s="1"/>
  <c r="F2178" i="4"/>
  <c r="G2178" i="4" s="1"/>
  <c r="F2248" i="4"/>
  <c r="G2248" i="4" s="1"/>
  <c r="F2384" i="4"/>
  <c r="G2384" i="4" s="1"/>
  <c r="F2629" i="4"/>
  <c r="G2629" i="4" s="1"/>
  <c r="F2638" i="4"/>
  <c r="G2638" i="4" s="1"/>
  <c r="F2641" i="4"/>
  <c r="G2641" i="4" s="1"/>
  <c r="F2694" i="4"/>
  <c r="G2694" i="4" s="1"/>
  <c r="F2782" i="4"/>
  <c r="G2782" i="4" s="1"/>
  <c r="F2720" i="4"/>
  <c r="G2720" i="4" s="1"/>
  <c r="F2833" i="4"/>
  <c r="G2833" i="4" s="1"/>
  <c r="F2689" i="4"/>
  <c r="G2689" i="4" s="1"/>
  <c r="F2771" i="4"/>
  <c r="G2771" i="4" s="1"/>
  <c r="F2792" i="4"/>
  <c r="G2792" i="4" s="1"/>
  <c r="F2795" i="4"/>
  <c r="G2795" i="4" s="1"/>
  <c r="F2916" i="4"/>
  <c r="G2916" i="4" s="1"/>
  <c r="F2940" i="4"/>
  <c r="G2940" i="4" s="1"/>
  <c r="F2973" i="4"/>
  <c r="G2973" i="4" s="1"/>
  <c r="G2736" i="4"/>
  <c r="G2909" i="4"/>
  <c r="G1730" i="4"/>
  <c r="E11" i="6"/>
  <c r="F22" i="6"/>
  <c r="F2864" i="4"/>
  <c r="G2864" i="4" s="1"/>
  <c r="F2966" i="4"/>
  <c r="G2966" i="4" s="1"/>
  <c r="G1934" i="4"/>
  <c r="F2705" i="4"/>
  <c r="G2705" i="4" s="1"/>
  <c r="F2719" i="4"/>
  <c r="G2719" i="4" s="1"/>
  <c r="F2794" i="4"/>
  <c r="G2794" i="4" s="1"/>
  <c r="F2954" i="4"/>
  <c r="G2954" i="4" s="1"/>
  <c r="E14" i="6"/>
  <c r="G716" i="4"/>
  <c r="F2672" i="4"/>
  <c r="G2672" i="4" s="1"/>
  <c r="F2613" i="4"/>
  <c r="G2613" i="4" s="1"/>
  <c r="G560" i="4"/>
  <c r="F2797" i="4"/>
  <c r="G2797" i="4" s="1"/>
  <c r="F2806" i="4"/>
  <c r="G2806" i="4" s="1"/>
  <c r="F2931" i="4"/>
  <c r="G2931" i="4" s="1"/>
  <c r="F2266" i="4"/>
  <c r="G2266" i="4" s="1"/>
  <c r="F2518" i="4"/>
  <c r="G2518" i="4" s="1"/>
  <c r="C12" i="6"/>
  <c r="F1947" i="4"/>
  <c r="G1947" i="4" s="1"/>
  <c r="F2783" i="4"/>
  <c r="G2783" i="4" s="1"/>
  <c r="F2897" i="4"/>
  <c r="G2897" i="4" s="1"/>
  <c r="C14" i="6"/>
  <c r="F2253" i="4"/>
  <c r="G2253" i="4" s="1"/>
  <c r="F1941" i="4"/>
  <c r="G1941" i="4" s="1"/>
  <c r="F2825" i="4"/>
  <c r="G2825" i="4" s="1"/>
  <c r="F2842" i="4"/>
  <c r="G2842" i="4" s="1"/>
  <c r="F2991" i="4"/>
  <c r="G2991" i="4" s="1"/>
  <c r="F2371" i="4"/>
  <c r="G2371" i="4" s="1"/>
  <c r="F3003" i="4"/>
  <c r="G3003" i="4" s="1"/>
  <c r="G7" i="6"/>
  <c r="G291" i="4"/>
  <c r="G42" i="6"/>
  <c r="G40" i="6"/>
  <c r="C40" i="6"/>
  <c r="E41" i="6"/>
  <c r="G41" i="6"/>
  <c r="F40" i="6"/>
  <c r="E39" i="6"/>
  <c r="C41" i="6"/>
  <c r="F41" i="6"/>
  <c r="G2990" i="4"/>
  <c r="E40" i="6"/>
  <c r="G2998" i="4"/>
  <c r="G2985" i="4"/>
  <c r="G2987" i="4"/>
  <c r="G2993" i="4"/>
  <c r="G2996" i="4"/>
  <c r="G2992" i="4"/>
  <c r="G2995" i="4"/>
  <c r="G2971" i="4"/>
  <c r="G2986" i="4"/>
  <c r="G2977" i="4"/>
  <c r="F2981" i="4"/>
  <c r="G2981" i="4" s="1"/>
  <c r="F2989" i="4"/>
  <c r="G2989" i="4" s="1"/>
  <c r="G2979" i="4"/>
  <c r="G2982" i="4"/>
  <c r="G2980" i="4"/>
  <c r="G2972" i="4"/>
  <c r="G2976" i="4"/>
  <c r="G2970" i="4"/>
  <c r="G2969" i="4"/>
  <c r="G2964" i="4"/>
  <c r="F2948" i="4"/>
  <c r="G2948" i="4" s="1"/>
  <c r="F2975" i="4"/>
  <c r="G2975" i="4" s="1"/>
  <c r="G2961" i="4"/>
  <c r="F2838" i="4"/>
  <c r="G2838" i="4" s="1"/>
  <c r="F2963" i="4"/>
  <c r="G2963" i="4" s="1"/>
  <c r="G2955" i="4"/>
  <c r="F2874" i="4"/>
  <c r="G2874" i="4" s="1"/>
  <c r="F2960" i="4"/>
  <c r="G2960" i="4" s="1"/>
  <c r="F2947" i="4"/>
  <c r="G2947" i="4" s="1"/>
  <c r="F2953" i="4"/>
  <c r="G2953" i="4" s="1"/>
  <c r="G2949" i="4"/>
  <c r="F2933" i="4"/>
  <c r="G2933" i="4" s="1"/>
  <c r="F2951" i="4"/>
  <c r="G2951" i="4" s="1"/>
  <c r="G2946" i="4"/>
  <c r="G2941" i="4"/>
  <c r="G2943" i="4"/>
  <c r="F2924" i="4"/>
  <c r="G2924" i="4" s="1"/>
  <c r="F2945" i="4"/>
  <c r="G2945" i="4" s="1"/>
  <c r="F2858" i="4"/>
  <c r="G2858" i="4" s="1"/>
  <c r="F2944" i="4"/>
  <c r="G2944" i="4" s="1"/>
  <c r="G2942" i="4"/>
  <c r="G2936" i="4"/>
  <c r="G2935" i="4"/>
  <c r="G2930" i="4"/>
  <c r="G2926" i="4"/>
  <c r="G2932" i="4"/>
  <c r="G2921" i="4"/>
  <c r="G2922" i="4"/>
  <c r="G2920" i="4"/>
  <c r="G2918" i="4"/>
  <c r="G2919" i="4"/>
  <c r="G2917" i="4"/>
  <c r="G2913" i="4"/>
  <c r="G2914" i="4"/>
  <c r="G2911" i="4"/>
  <c r="F2617" i="4"/>
  <c r="G2617" i="4" s="1"/>
  <c r="F2912" i="4"/>
  <c r="G2912" i="4" s="1"/>
  <c r="G2898" i="4"/>
  <c r="G2902" i="4"/>
  <c r="F2859" i="4"/>
  <c r="G2859" i="4" s="1"/>
  <c r="F2903" i="4"/>
  <c r="G2903" i="4" s="1"/>
  <c r="G2896" i="4"/>
  <c r="G2894" i="4"/>
  <c r="G2886" i="4"/>
  <c r="G2893" i="4"/>
  <c r="G2892" i="4"/>
  <c r="G2890" i="4"/>
  <c r="G2887" i="4"/>
  <c r="G2885" i="4"/>
  <c r="G2882" i="4"/>
  <c r="G2878" i="4"/>
  <c r="G2884" i="4"/>
  <c r="G2881" i="4"/>
  <c r="G2883" i="4"/>
  <c r="G2879" i="4"/>
  <c r="G2875" i="4"/>
  <c r="G2877" i="4"/>
  <c r="F2633" i="4"/>
  <c r="G2633" i="4" s="1"/>
  <c r="F2876" i="4"/>
  <c r="G2876" i="4" s="1"/>
  <c r="G2873" i="4"/>
  <c r="G2871" i="4"/>
  <c r="G2872" i="4"/>
  <c r="G2869" i="4"/>
  <c r="G2866" i="4"/>
  <c r="G2868" i="4"/>
  <c r="G2863" i="4"/>
  <c r="G2856" i="4"/>
  <c r="G2851" i="4"/>
  <c r="G2853" i="4"/>
  <c r="G2855" i="4"/>
  <c r="G2850" i="4"/>
  <c r="G2848" i="4"/>
  <c r="G2847" i="4"/>
  <c r="G2845" i="4"/>
  <c r="G2843" i="4"/>
  <c r="G2839" i="4"/>
  <c r="G2841" i="4"/>
  <c r="G2835" i="4"/>
  <c r="F2827" i="4"/>
  <c r="G2827" i="4" s="1"/>
  <c r="F2840" i="4"/>
  <c r="G2840" i="4" s="1"/>
  <c r="G2836" i="4"/>
  <c r="G2828" i="4"/>
  <c r="G2829" i="4"/>
  <c r="G2820" i="4"/>
  <c r="G2823" i="4"/>
  <c r="G2811" i="4"/>
  <c r="F2751" i="4"/>
  <c r="G2751" i="4" s="1"/>
  <c r="F2821" i="4"/>
  <c r="G2821" i="4" s="1"/>
  <c r="G2819" i="4"/>
  <c r="G2815" i="4"/>
  <c r="G2818" i="4"/>
  <c r="G2813" i="4"/>
  <c r="F2786" i="4"/>
  <c r="G2786" i="4" s="1"/>
  <c r="F2814" i="4"/>
  <c r="G2814" i="4" s="1"/>
  <c r="G2807" i="4"/>
  <c r="G2810" i="4"/>
  <c r="E44" i="6"/>
  <c r="G2805" i="4"/>
  <c r="C44" i="6"/>
  <c r="F2802" i="4"/>
  <c r="G2802" i="4" s="1"/>
  <c r="F2804" i="4"/>
  <c r="G2804" i="4" s="1"/>
  <c r="F44" i="6"/>
  <c r="G44" i="6"/>
  <c r="F2646" i="4"/>
  <c r="G2646" i="4" s="1"/>
  <c r="F2798" i="4"/>
  <c r="G2798" i="4" s="1"/>
  <c r="G2796" i="4"/>
  <c r="G2787" i="4"/>
  <c r="G2785" i="4"/>
  <c r="G2779" i="4"/>
  <c r="G2778" i="4"/>
  <c r="F2775" i="4"/>
  <c r="G2775" i="4" s="1"/>
  <c r="F2777" i="4"/>
  <c r="G2777" i="4" s="1"/>
  <c r="F2637" i="4"/>
  <c r="G2637" i="4" s="1"/>
  <c r="F2776" i="4"/>
  <c r="G2776" i="4" s="1"/>
  <c r="G2773" i="4"/>
  <c r="G2772" i="4"/>
  <c r="F2716" i="4"/>
  <c r="G2716" i="4" s="1"/>
  <c r="F2774" i="4"/>
  <c r="G2774" i="4" s="1"/>
  <c r="F2763" i="4"/>
  <c r="G2763" i="4" s="1"/>
  <c r="F2768" i="4"/>
  <c r="G2768" i="4" s="1"/>
  <c r="G2758" i="4"/>
  <c r="F2717" i="4"/>
  <c r="G2717" i="4" s="1"/>
  <c r="F2764" i="4"/>
  <c r="G2764" i="4" s="1"/>
  <c r="G2761" i="4"/>
  <c r="F2726" i="4"/>
  <c r="G2726" i="4" s="1"/>
  <c r="F2762" i="4"/>
  <c r="G2762" i="4" s="1"/>
  <c r="G2756" i="4"/>
  <c r="G2753" i="4"/>
  <c r="G2750" i="4"/>
  <c r="G2747" i="4"/>
  <c r="G2745" i="4"/>
  <c r="G2744" i="4"/>
  <c r="G2743" i="4"/>
  <c r="G2741" i="4"/>
  <c r="F2711" i="4"/>
  <c r="G2711" i="4" s="1"/>
  <c r="F2742" i="4"/>
  <c r="G2742" i="4" s="1"/>
  <c r="G2739" i="4"/>
  <c r="G2737" i="4"/>
  <c r="F43" i="6"/>
  <c r="G2730" i="4"/>
  <c r="G2728" i="4"/>
  <c r="G2724" i="4"/>
  <c r="G2727" i="4"/>
  <c r="G2723" i="4"/>
  <c r="G2718" i="4"/>
  <c r="G43" i="6"/>
  <c r="G2713" i="4"/>
  <c r="G2710" i="4"/>
  <c r="G2714" i="4"/>
  <c r="G2707" i="4"/>
  <c r="E43" i="6"/>
  <c r="G2706" i="4"/>
  <c r="G2703" i="4"/>
  <c r="G2704" i="4"/>
  <c r="G2700" i="4"/>
  <c r="G2702" i="4"/>
  <c r="G2697" i="4"/>
  <c r="G2695" i="4"/>
  <c r="G2690" i="4"/>
  <c r="G2684" i="4"/>
  <c r="G2687" i="4"/>
  <c r="G2688" i="4"/>
  <c r="G1916" i="4"/>
  <c r="F2" i="6"/>
  <c r="E2" i="6"/>
  <c r="G2679" i="4"/>
  <c r="G2681" i="4"/>
  <c r="G2683" i="4"/>
  <c r="B7" i="12"/>
  <c r="F2626" i="4"/>
  <c r="G2626" i="4" s="1"/>
  <c r="F2686" i="4"/>
  <c r="G2686" i="4" s="1"/>
  <c r="G2" i="6"/>
  <c r="G2675" i="4"/>
  <c r="G2678" i="4"/>
  <c r="F2680" i="4"/>
  <c r="G2680" i="4" s="1"/>
  <c r="G2674" i="4"/>
  <c r="G2662" i="4"/>
  <c r="G2661" i="4"/>
  <c r="G2668" i="4"/>
  <c r="G2664" i="4"/>
  <c r="G2045" i="4"/>
  <c r="G2667" i="4"/>
  <c r="F2642" i="4"/>
  <c r="G2642" i="4" s="1"/>
  <c r="F2666" i="4"/>
  <c r="G2666" i="4" s="1"/>
  <c r="G2475" i="4"/>
  <c r="G2494" i="4"/>
  <c r="G2360" i="4"/>
  <c r="G2498" i="4"/>
  <c r="G2654" i="4"/>
  <c r="G2650" i="4"/>
  <c r="F2627" i="4"/>
  <c r="G2627" i="4" s="1"/>
  <c r="F2651" i="4"/>
  <c r="G2651" i="4" s="1"/>
  <c r="G2648" i="4"/>
  <c r="G2644" i="4"/>
  <c r="G1908" i="4"/>
  <c r="G2460" i="4"/>
  <c r="G1930" i="4"/>
  <c r="G2146" i="4"/>
  <c r="G2351" i="4"/>
  <c r="G2314" i="4"/>
  <c r="G2540" i="4"/>
  <c r="G2425" i="4"/>
  <c r="G2301" i="4"/>
  <c r="G2309" i="4"/>
  <c r="G2295" i="4"/>
  <c r="F2616" i="4"/>
  <c r="G2616" i="4" s="1"/>
  <c r="F2647" i="4"/>
  <c r="G2647" i="4" s="1"/>
  <c r="G2138" i="4"/>
  <c r="G2250" i="4"/>
  <c r="G2122" i="4"/>
  <c r="G2180" i="4"/>
  <c r="G2545" i="4"/>
  <c r="G2243" i="4"/>
  <c r="G2161" i="4"/>
  <c r="G1989" i="4"/>
  <c r="G1931" i="4"/>
  <c r="G1913" i="4"/>
  <c r="G2316" i="4"/>
  <c r="G2639" i="4"/>
  <c r="G2319" i="4"/>
  <c r="G2417" i="4"/>
  <c r="G1972" i="4"/>
  <c r="F2603" i="4"/>
  <c r="G2603" i="4" s="1"/>
  <c r="F2643" i="4"/>
  <c r="G2643" i="4" s="1"/>
  <c r="G1929" i="4"/>
  <c r="G2354" i="4"/>
  <c r="G2358" i="4"/>
  <c r="G2060" i="4"/>
  <c r="G2378" i="4"/>
  <c r="G1991" i="4"/>
  <c r="G2631" i="4"/>
  <c r="G2009" i="4"/>
  <c r="G2356" i="4"/>
  <c r="G2113" i="4"/>
  <c r="G1921" i="4"/>
  <c r="G2632" i="4"/>
  <c r="G2549" i="4"/>
  <c r="G2430" i="4"/>
  <c r="G2368" i="4"/>
  <c r="G2484" i="4"/>
  <c r="G2399" i="4"/>
  <c r="G2630" i="4"/>
  <c r="G2047" i="4"/>
  <c r="G1964" i="4"/>
  <c r="G1912" i="4"/>
  <c r="G2634" i="4"/>
  <c r="G1917" i="4"/>
  <c r="G2280" i="4"/>
  <c r="G2102" i="4"/>
  <c r="G2186" i="4"/>
  <c r="G2081" i="4"/>
  <c r="G2455" i="4"/>
  <c r="G2413" i="4"/>
  <c r="G2056" i="4"/>
  <c r="G2261" i="4"/>
  <c r="G2235" i="4"/>
  <c r="G2520" i="4"/>
  <c r="G2623" i="4"/>
  <c r="G2281" i="4"/>
  <c r="G2026" i="4"/>
  <c r="G2513" i="4"/>
  <c r="G2171" i="4"/>
  <c r="G2120" i="4"/>
  <c r="G2011" i="4"/>
  <c r="G2599" i="4"/>
  <c r="G2349" i="4"/>
  <c r="G2101" i="4"/>
  <c r="G2620" i="4"/>
  <c r="G2625" i="4"/>
  <c r="G1939" i="4"/>
  <c r="G2119" i="4"/>
  <c r="G2083" i="4"/>
  <c r="G1973" i="4"/>
  <c r="G2003" i="4"/>
  <c r="G2059" i="4"/>
  <c r="G2401" i="4"/>
  <c r="G2557" i="4"/>
  <c r="G2522" i="4"/>
  <c r="G2479" i="4"/>
  <c r="F1925" i="4"/>
  <c r="G1925" i="4" s="1"/>
  <c r="F2619" i="4"/>
  <c r="G2619" i="4" s="1"/>
  <c r="G2537" i="4"/>
  <c r="G2249" i="4"/>
  <c r="G2483" i="4"/>
  <c r="G2062" i="4"/>
  <c r="G2419" i="4"/>
  <c r="G2257" i="4"/>
  <c r="G1966" i="4"/>
  <c r="G2397" i="4"/>
  <c r="G2238" i="4"/>
  <c r="G2168" i="4"/>
  <c r="G2246" i="4"/>
  <c r="G1945" i="4"/>
  <c r="G2167" i="4"/>
  <c r="G2005" i="4"/>
  <c r="G2504" i="4"/>
  <c r="G2529" i="4"/>
  <c r="G2583" i="4"/>
  <c r="G2395" i="4"/>
  <c r="B12" i="12"/>
  <c r="G2598" i="4"/>
  <c r="G2407" i="4"/>
  <c r="G2263" i="4"/>
  <c r="G1960" i="4"/>
  <c r="G2610" i="4"/>
  <c r="G2219" i="4"/>
  <c r="G2074" i="4"/>
  <c r="G2611" i="4"/>
  <c r="G2381" i="4"/>
  <c r="G2468" i="4"/>
  <c r="G2320" i="4"/>
  <c r="G2264" i="4"/>
  <c r="G1920" i="4"/>
  <c r="G2449" i="4"/>
  <c r="G2212" i="4"/>
  <c r="G1953" i="4"/>
  <c r="G2607" i="4"/>
  <c r="G1940" i="4"/>
  <c r="G2278" i="4"/>
  <c r="G1946" i="4"/>
  <c r="G2328" i="4"/>
  <c r="G2348" i="4"/>
  <c r="G2154" i="4"/>
  <c r="G2089" i="4"/>
  <c r="G2519" i="4"/>
  <c r="G2423" i="4"/>
  <c r="G2303" i="4"/>
  <c r="G2170" i="4"/>
  <c r="G2090" i="4"/>
  <c r="G1894" i="4"/>
  <c r="G1895" i="4"/>
  <c r="G1918" i="4"/>
  <c r="G2202" i="4"/>
  <c r="G2006" i="4"/>
  <c r="G1915" i="4"/>
  <c r="G2471" i="4"/>
  <c r="G2570" i="4"/>
  <c r="G2392" i="4"/>
  <c r="G2010" i="4"/>
  <c r="G1910" i="4"/>
  <c r="G2002" i="4"/>
  <c r="G1889" i="4"/>
  <c r="G2142" i="4"/>
  <c r="G2134" i="4"/>
  <c r="G2298" i="4"/>
  <c r="G2306" i="4"/>
  <c r="G2093" i="4"/>
  <c r="G2524" i="4"/>
  <c r="G2344" i="4"/>
  <c r="G2543" i="4"/>
  <c r="G2034" i="4"/>
  <c r="G2231" i="4"/>
  <c r="G38" i="6"/>
  <c r="G2383" i="4"/>
  <c r="G2456" i="4"/>
  <c r="G1967" i="4"/>
  <c r="G2339" i="4"/>
  <c r="G2410" i="4"/>
  <c r="G2577" i="4"/>
  <c r="G2289" i="4"/>
  <c r="G2363" i="4"/>
  <c r="G2464" i="4"/>
  <c r="G2267" i="4"/>
  <c r="G2017" i="4"/>
  <c r="G2085" i="4"/>
  <c r="G2068" i="4"/>
  <c r="G2239" i="4"/>
  <c r="G2302" i="4"/>
  <c r="G2141" i="4"/>
  <c r="G2022" i="4"/>
  <c r="G1955" i="4"/>
  <c r="G2012" i="4"/>
  <c r="G1902" i="4"/>
  <c r="G2151" i="4"/>
  <c r="G2345" i="4"/>
  <c r="G2400" i="4"/>
  <c r="G2340" i="4"/>
  <c r="G2121" i="4"/>
  <c r="G2252" i="4"/>
  <c r="G2210" i="4"/>
  <c r="G2376" i="4"/>
  <c r="G2166" i="4"/>
  <c r="G2242" i="4"/>
  <c r="G2291" i="4"/>
  <c r="G1950" i="4"/>
  <c r="G2211" i="4"/>
  <c r="G1948" i="4"/>
  <c r="G1911" i="4"/>
  <c r="G2156" i="4"/>
  <c r="G2262" i="4"/>
  <c r="G2132" i="4"/>
  <c r="G2123" i="4"/>
  <c r="G2208" i="4"/>
  <c r="G1962" i="4"/>
  <c r="G2342" i="4"/>
  <c r="G2568" i="4"/>
  <c r="G2275" i="4"/>
  <c r="G1965" i="4"/>
  <c r="G2428" i="4"/>
  <c r="G2533" i="4"/>
  <c r="G2382" i="4"/>
  <c r="G2335" i="4"/>
  <c r="G2224" i="4"/>
  <c r="G2304" i="4"/>
  <c r="G1891" i="4"/>
  <c r="G1887" i="4"/>
  <c r="G2282" i="4"/>
  <c r="G2272" i="4"/>
  <c r="G2205" i="4"/>
  <c r="G1899" i="4"/>
  <c r="G2269" i="4"/>
  <c r="G2031" i="4"/>
  <c r="G2046" i="4"/>
  <c r="G2551" i="4"/>
  <c r="G1958" i="4"/>
  <c r="G2221" i="4"/>
  <c r="G2207" i="4"/>
  <c r="G2477" i="4"/>
  <c r="G2158" i="4"/>
  <c r="E33" i="6"/>
  <c r="G2359" i="4"/>
  <c r="G2491" i="4"/>
  <c r="G2605" i="4"/>
  <c r="G2136" i="4"/>
  <c r="G1904" i="4"/>
  <c r="G2016" i="4"/>
  <c r="G2191" i="4"/>
  <c r="G2391" i="4"/>
  <c r="G2447" i="4"/>
  <c r="B23" i="12"/>
  <c r="G2311" i="4"/>
  <c r="G2027" i="4"/>
  <c r="G2256" i="4"/>
  <c r="G2206" i="4"/>
  <c r="G2538" i="4"/>
  <c r="G1975" i="4"/>
  <c r="G2435" i="4"/>
  <c r="G2534" i="4"/>
  <c r="G2499" i="4"/>
  <c r="B11" i="12"/>
  <c r="G2476" i="4"/>
  <c r="G2341" i="4"/>
  <c r="G2174" i="4"/>
  <c r="G2078" i="4"/>
  <c r="G2095" i="4"/>
  <c r="G1999" i="4"/>
  <c r="G2075" i="4"/>
  <c r="B10" i="12"/>
  <c r="C38" i="6"/>
  <c r="B19" i="12"/>
  <c r="G2441" i="4"/>
  <c r="G2364" i="4"/>
  <c r="G2473" i="4"/>
  <c r="G1896" i="4"/>
  <c r="B6" i="12"/>
  <c r="G2485" i="4"/>
  <c r="G2554" i="4"/>
  <c r="G2584" i="4"/>
  <c r="G2535" i="4"/>
  <c r="G2386" i="4"/>
  <c r="G2396" i="4"/>
  <c r="G2030" i="4"/>
  <c r="G2135" i="4"/>
  <c r="E32" i="6"/>
  <c r="G2434" i="4"/>
  <c r="E38" i="6"/>
  <c r="F38" i="6"/>
  <c r="G2323" i="4"/>
  <c r="G2432" i="4"/>
  <c r="G2398" i="4"/>
  <c r="G2493" i="4"/>
  <c r="G2414" i="4"/>
  <c r="G2365" i="4"/>
  <c r="B36" i="12"/>
  <c r="G31" i="6"/>
  <c r="G2336" i="4"/>
  <c r="G2542" i="4"/>
  <c r="G2321" i="4"/>
  <c r="G2578" i="4"/>
  <c r="G2505" i="4"/>
  <c r="G1926" i="4"/>
  <c r="G2415" i="4"/>
  <c r="G2604" i="4"/>
  <c r="G2346" i="4"/>
  <c r="G2466" i="4"/>
  <c r="G2187" i="4"/>
  <c r="G2163" i="4"/>
  <c r="G2375" i="4"/>
  <c r="B13" i="12"/>
  <c r="G2394" i="4"/>
  <c r="G2569" i="4"/>
  <c r="B5" i="12"/>
  <c r="E31" i="6"/>
  <c r="B29" i="12"/>
  <c r="G2189" i="4"/>
  <c r="B17" i="12"/>
  <c r="G2227" i="4"/>
  <c r="G34" i="6"/>
  <c r="G2234" i="4"/>
  <c r="B14" i="12"/>
  <c r="B33" i="12"/>
  <c r="E35" i="6"/>
  <c r="G2198" i="4"/>
  <c r="F35" i="6"/>
  <c r="G2184" i="4"/>
  <c r="G37" i="6"/>
  <c r="B37" i="12"/>
  <c r="G1892" i="4"/>
  <c r="E34" i="6"/>
  <c r="G2137" i="4"/>
  <c r="G2296" i="4"/>
  <c r="E37" i="6"/>
  <c r="G2229" i="4"/>
  <c r="G36" i="6"/>
  <c r="G2251" i="4"/>
  <c r="G1867" i="4"/>
  <c r="B15" i="12"/>
  <c r="F2028" i="4"/>
  <c r="G2028" i="4" s="1"/>
  <c r="F2080" i="4"/>
  <c r="G2080" i="4" s="1"/>
  <c r="G200" i="4"/>
  <c r="F5" i="6"/>
  <c r="D7" i="6"/>
  <c r="G1403" i="4"/>
  <c r="C24" i="6"/>
  <c r="G24" i="6"/>
  <c r="B26" i="12"/>
  <c r="F1978" i="4"/>
  <c r="G1978" i="4" s="1"/>
  <c r="F2587" i="4"/>
  <c r="G2587" i="4" s="1"/>
  <c r="F2097" i="4"/>
  <c r="G2097" i="4" s="1"/>
  <c r="F2057" i="4"/>
  <c r="G2057" i="4" s="1"/>
  <c r="F1980" i="4"/>
  <c r="G1980" i="4" s="1"/>
  <c r="F2315" i="4"/>
  <c r="G2315" i="4" s="1"/>
  <c r="F2310" i="4"/>
  <c r="G2310" i="4" s="1"/>
  <c r="F2300" i="4"/>
  <c r="G2300" i="4" s="1"/>
  <c r="F2127" i="4"/>
  <c r="G2127" i="4" s="1"/>
  <c r="F2115" i="4"/>
  <c r="G2115" i="4" s="1"/>
  <c r="F2579" i="4"/>
  <c r="G2579" i="4" s="1"/>
  <c r="F2160" i="4"/>
  <c r="G2160" i="4" s="1"/>
  <c r="F2128" i="4"/>
  <c r="G2128" i="4" s="1"/>
  <c r="F2105" i="4"/>
  <c r="G2105" i="4" s="1"/>
  <c r="F2055" i="4"/>
  <c r="G2055" i="4" s="1"/>
  <c r="F2050" i="4"/>
  <c r="G2050" i="4" s="1"/>
  <c r="F2165" i="4"/>
  <c r="G2165" i="4" s="1"/>
  <c r="F2043" i="4"/>
  <c r="G2043" i="4" s="1"/>
  <c r="F2114" i="4"/>
  <c r="G2114" i="4" s="1"/>
  <c r="F2051" i="4"/>
  <c r="G2051" i="4" s="1"/>
  <c r="F2054" i="4"/>
  <c r="G2054" i="4" s="1"/>
  <c r="D6" i="6"/>
  <c r="F1994" i="4"/>
  <c r="G1994" i="4" s="1"/>
  <c r="F2145" i="4"/>
  <c r="G2145" i="4" s="1"/>
  <c r="F2021" i="4"/>
  <c r="G2021" i="4" s="1"/>
  <c r="F2562" i="4"/>
  <c r="G2562" i="4" s="1"/>
  <c r="F2150" i="4"/>
  <c r="G2150" i="4" s="1"/>
  <c r="G1862" i="4"/>
  <c r="G30" i="6"/>
  <c r="C30" i="6"/>
  <c r="B27" i="12"/>
  <c r="D10" i="6"/>
  <c r="F2209" i="4"/>
  <c r="F2197" i="4"/>
  <c r="F2014" i="4"/>
  <c r="F2110" i="4"/>
  <c r="G2110" i="4" s="1"/>
  <c r="F2424" i="4"/>
  <c r="G2424" i="4" s="1"/>
  <c r="G1886" i="4"/>
  <c r="B20" i="12"/>
  <c r="G1992" i="4"/>
  <c r="G1406" i="4"/>
  <c r="F24" i="6"/>
  <c r="F2373" i="4"/>
  <c r="G2373" i="4" s="1"/>
  <c r="F2589" i="4"/>
  <c r="G2589" i="4" s="1"/>
  <c r="F2313" i="4"/>
  <c r="G2313" i="4" s="1"/>
  <c r="F2111" i="4"/>
  <c r="G2111" i="4" s="1"/>
  <c r="C33" i="6"/>
  <c r="F33" i="6"/>
  <c r="D3" i="6"/>
  <c r="D9" i="6"/>
  <c r="F2411" i="4"/>
  <c r="G2411" i="4" s="1"/>
  <c r="F2501" i="4"/>
  <c r="G2501" i="4" s="1"/>
  <c r="F2431" i="4"/>
  <c r="G2431" i="4" s="1"/>
  <c r="F2039" i="4"/>
  <c r="G2039" i="4" s="1"/>
  <c r="F1996" i="4"/>
  <c r="G1996" i="4" s="1"/>
  <c r="G1868" i="4"/>
  <c r="E30" i="6"/>
  <c r="F2237" i="4"/>
  <c r="G2237" i="4" s="1"/>
  <c r="F2008" i="4"/>
  <c r="G2008" i="4" s="1"/>
  <c r="F2181" i="4"/>
  <c r="G2181" i="4" s="1"/>
  <c r="F2214" i="4"/>
  <c r="G2214" i="4" s="1"/>
  <c r="F2107" i="4"/>
  <c r="G2107" i="4" s="1"/>
  <c r="F1971" i="4"/>
  <c r="G1971" i="4" s="1"/>
  <c r="F2308" i="4"/>
  <c r="G2308" i="4" s="1"/>
  <c r="F2164" i="4"/>
  <c r="G2164" i="4" s="1"/>
  <c r="F2052" i="4"/>
  <c r="G2052" i="4" s="1"/>
  <c r="F1982" i="4"/>
  <c r="G1982" i="4" s="1"/>
  <c r="F2162" i="4"/>
  <c r="G2162" i="4" s="1"/>
  <c r="F2082" i="4"/>
  <c r="G2082" i="4" s="1"/>
  <c r="F1943" i="4"/>
  <c r="G1943" i="4" s="1"/>
  <c r="F2084" i="4"/>
  <c r="G2084" i="4" s="1"/>
  <c r="F1923" i="4"/>
  <c r="G1923" i="4" s="1"/>
  <c r="F2230" i="4"/>
  <c r="G2230" i="4" s="1"/>
  <c r="F2503" i="4"/>
  <c r="G2503" i="4" s="1"/>
  <c r="F2536" i="4"/>
  <c r="G2536" i="4" s="1"/>
  <c r="F2402" i="4"/>
  <c r="G2402" i="4" s="1"/>
  <c r="F2523" i="4"/>
  <c r="G2523" i="4" s="1"/>
  <c r="F2326" i="4"/>
  <c r="G2326" i="4" s="1"/>
  <c r="F2023" i="4"/>
  <c r="G2023" i="4" s="1"/>
  <c r="F2063" i="4"/>
  <c r="G2063" i="4" s="1"/>
  <c r="F2254" i="4"/>
  <c r="G2254" i="4" s="1"/>
  <c r="F2015" i="4"/>
  <c r="G2015" i="4" s="1"/>
  <c r="F2203" i="4"/>
  <c r="G2203" i="4" s="1"/>
  <c r="F1956" i="4"/>
  <c r="G1956" i="4" s="1"/>
  <c r="F2462" i="4"/>
  <c r="G2462" i="4" s="1"/>
  <c r="F2259" i="4"/>
  <c r="G2259" i="4" s="1"/>
  <c r="F1893" i="4"/>
  <c r="G1893" i="4" s="1"/>
  <c r="F2204" i="4"/>
  <c r="G2204" i="4" s="1"/>
  <c r="F2148" i="4"/>
  <c r="G2148" i="4" s="1"/>
  <c r="F1959" i="4"/>
  <c r="G1959" i="4" s="1"/>
  <c r="F2013" i="4"/>
  <c r="G2013" i="4" s="1"/>
  <c r="F2408" i="4"/>
  <c r="G2408" i="4" s="1"/>
  <c r="F2066" i="4"/>
  <c r="G2066" i="4" s="1"/>
  <c r="F2260" i="4"/>
  <c r="G2260" i="4" s="1"/>
  <c r="F2284" i="4"/>
  <c r="G2284" i="4" s="1"/>
  <c r="F1914" i="4"/>
  <c r="G1914" i="4" s="1"/>
  <c r="F1957" i="4"/>
  <c r="G1957" i="4" s="1"/>
  <c r="F2276" i="4"/>
  <c r="G2276" i="4" s="1"/>
  <c r="F2572" i="4"/>
  <c r="G2572" i="4" s="1"/>
  <c r="D4" i="6"/>
  <c r="D8" i="6"/>
  <c r="F1903" i="4"/>
  <c r="G1903" i="4" s="1"/>
  <c r="F2007" i="4"/>
  <c r="G2007" i="4" s="1"/>
  <c r="F2506" i="4"/>
  <c r="G2506" i="4" s="1"/>
  <c r="F2172" i="4"/>
  <c r="G2172" i="4" s="1"/>
  <c r="F1919" i="4"/>
  <c r="G1919" i="4" s="1"/>
  <c r="F2299" i="4"/>
  <c r="G2299" i="4" s="1"/>
  <c r="F2126" i="4"/>
  <c r="G2126" i="4" s="1"/>
  <c r="G168" i="4"/>
  <c r="G5" i="6"/>
  <c r="C5" i="6"/>
  <c r="B16" i="12"/>
  <c r="F2574" i="4"/>
  <c r="G2574" i="4" s="1"/>
  <c r="F2194" i="4"/>
  <c r="G2194" i="4" s="1"/>
  <c r="F1979" i="4"/>
  <c r="G1979" i="4" s="1"/>
  <c r="F2388" i="4"/>
  <c r="G2388" i="4" s="1"/>
  <c r="F2049" i="4"/>
  <c r="G2049" i="4" s="1"/>
  <c r="F2362" i="4"/>
  <c r="G2362" i="4" s="1"/>
  <c r="F2461" i="4"/>
  <c r="G2461" i="4" s="1"/>
  <c r="F2559" i="4"/>
  <c r="G2559" i="4" s="1"/>
  <c r="C121" i="6" l="1"/>
  <c r="C122" i="6"/>
  <c r="D123" i="6"/>
  <c r="D122" i="6"/>
  <c r="I122" i="6" s="1"/>
  <c r="G7864" i="4"/>
  <c r="G7829" i="4"/>
  <c r="D120" i="6" s="1"/>
  <c r="D121" i="6"/>
  <c r="D119" i="6"/>
  <c r="C118" i="6"/>
  <c r="C114" i="6"/>
  <c r="G7649" i="4"/>
  <c r="D118" i="6" s="1"/>
  <c r="I118" i="6" s="1"/>
  <c r="D117" i="6"/>
  <c r="H117" i="6" s="1"/>
  <c r="C116" i="6"/>
  <c r="D116" i="6"/>
  <c r="H116" i="6" s="1"/>
  <c r="D115" i="6"/>
  <c r="H115" i="6" s="1"/>
  <c r="G7221" i="4"/>
  <c r="C77" i="6"/>
  <c r="D103" i="6"/>
  <c r="I103" i="6" s="1"/>
  <c r="D114" i="6"/>
  <c r="H114" i="6" s="1"/>
  <c r="D93" i="6"/>
  <c r="I93" i="6" s="1"/>
  <c r="G7185" i="4"/>
  <c r="D112" i="6" s="1"/>
  <c r="D90" i="6"/>
  <c r="I90" i="6" s="1"/>
  <c r="D99" i="6"/>
  <c r="H99" i="6" s="1"/>
  <c r="C85" i="6"/>
  <c r="D87" i="6"/>
  <c r="D109" i="6"/>
  <c r="D94" i="6"/>
  <c r="D107" i="6"/>
  <c r="D108" i="6"/>
  <c r="C95" i="6"/>
  <c r="D83" i="6"/>
  <c r="D91" i="6"/>
  <c r="D92" i="6"/>
  <c r="H103" i="6"/>
  <c r="D105" i="6"/>
  <c r="D102" i="6"/>
  <c r="D95" i="6"/>
  <c r="D100" i="6"/>
  <c r="C107" i="6"/>
  <c r="D89" i="6"/>
  <c r="D101" i="6"/>
  <c r="D106" i="6"/>
  <c r="D96" i="6"/>
  <c r="D113" i="6"/>
  <c r="C99" i="6"/>
  <c r="C81" i="6"/>
  <c r="C78" i="6"/>
  <c r="C105" i="6"/>
  <c r="C109" i="6"/>
  <c r="D78" i="6"/>
  <c r="D82" i="6"/>
  <c r="D86" i="6"/>
  <c r="D104" i="6"/>
  <c r="D111" i="6"/>
  <c r="D97" i="6"/>
  <c r="D98" i="6"/>
  <c r="D110" i="6"/>
  <c r="C111" i="6"/>
  <c r="G7054" i="4"/>
  <c r="C39" i="6"/>
  <c r="F39" i="6"/>
  <c r="G5040" i="4"/>
  <c r="D79" i="6" s="1"/>
  <c r="G4920" i="4"/>
  <c r="G5076" i="4"/>
  <c r="D80" i="6" s="1"/>
  <c r="G5019" i="4"/>
  <c r="G5392" i="4"/>
  <c r="G4953" i="4"/>
  <c r="G5409" i="4"/>
  <c r="G4765" i="4"/>
  <c r="G4927" i="4"/>
  <c r="G4417" i="4"/>
  <c r="G4879" i="4"/>
  <c r="D76" i="6" s="1"/>
  <c r="G5157" i="4"/>
  <c r="D81" i="6" s="1"/>
  <c r="G2088" i="4"/>
  <c r="G5345" i="4"/>
  <c r="D84" i="6" s="1"/>
  <c r="G5631" i="4"/>
  <c r="D88" i="6" s="1"/>
  <c r="G4237" i="4"/>
  <c r="G4918" i="4"/>
  <c r="D75" i="6"/>
  <c r="I75" i="6" s="1"/>
  <c r="C43" i="6"/>
  <c r="G4318" i="4"/>
  <c r="D47" i="6"/>
  <c r="H47" i="6" s="1"/>
  <c r="E47" i="6"/>
  <c r="F47" i="6"/>
  <c r="G47" i="6"/>
  <c r="A48" i="6"/>
  <c r="G1981" i="4"/>
  <c r="D48" i="6"/>
  <c r="H48" i="6" s="1"/>
  <c r="D45" i="6"/>
  <c r="D46" i="6"/>
  <c r="G4157" i="4"/>
  <c r="G2117" i="4"/>
  <c r="F36" i="6"/>
  <c r="C36" i="6"/>
  <c r="D20" i="6"/>
  <c r="I20" i="6" s="1"/>
  <c r="G2277" i="4"/>
  <c r="D37" i="6" s="1"/>
  <c r="G2098" i="4"/>
  <c r="F32" i="6"/>
  <c r="D23" i="6"/>
  <c r="I23" i="6" s="1"/>
  <c r="D22" i="6"/>
  <c r="H22" i="6" s="1"/>
  <c r="D27" i="6"/>
  <c r="H27" i="6" s="1"/>
  <c r="G1928" i="4"/>
  <c r="D31" i="6" s="1"/>
  <c r="D18" i="6"/>
  <c r="I18" i="6" s="1"/>
  <c r="D12" i="6"/>
  <c r="H12" i="6" s="1"/>
  <c r="D25" i="6"/>
  <c r="H25" i="6" s="1"/>
  <c r="D26" i="6"/>
  <c r="I26" i="6" s="1"/>
  <c r="D21" i="6"/>
  <c r="H21" i="6" s="1"/>
  <c r="D16" i="6"/>
  <c r="H16" i="6" s="1"/>
  <c r="D19" i="6"/>
  <c r="H19" i="6" s="1"/>
  <c r="D15" i="6"/>
  <c r="H15" i="6" s="1"/>
  <c r="D13" i="6"/>
  <c r="H13" i="6" s="1"/>
  <c r="D17" i="6"/>
  <c r="I17" i="6" s="1"/>
  <c r="D5" i="6"/>
  <c r="I5" i="6" s="1"/>
  <c r="G2652" i="4"/>
  <c r="D42" i="6" s="1"/>
  <c r="C42" i="6"/>
  <c r="F42" i="6"/>
  <c r="G2197" i="4"/>
  <c r="D35" i="6" s="1"/>
  <c r="F37" i="6"/>
  <c r="C37" i="6"/>
  <c r="D28" i="6"/>
  <c r="H28" i="6" s="1"/>
  <c r="G2209" i="4"/>
  <c r="D36" i="6" s="1"/>
  <c r="E36" i="6"/>
  <c r="D29" i="6"/>
  <c r="H29" i="6" s="1"/>
  <c r="C35" i="6"/>
  <c r="G35" i="6"/>
  <c r="D14" i="6"/>
  <c r="H14" i="6" s="1"/>
  <c r="G2014" i="4"/>
  <c r="D32" i="6" s="1"/>
  <c r="C34" i="6"/>
  <c r="C31" i="6"/>
  <c r="F34" i="6"/>
  <c r="F31" i="6"/>
  <c r="D11" i="6"/>
  <c r="H11" i="6" s="1"/>
  <c r="B25" i="12"/>
  <c r="C32" i="6"/>
  <c r="D40" i="6"/>
  <c r="D41" i="6"/>
  <c r="D39" i="6"/>
  <c r="D44" i="6"/>
  <c r="I44" i="6" s="1"/>
  <c r="D43" i="6"/>
  <c r="I43" i="6" s="1"/>
  <c r="D2" i="6"/>
  <c r="I2" i="6" s="1"/>
  <c r="D38" i="6"/>
  <c r="H38" i="6" s="1"/>
  <c r="D30" i="6"/>
  <c r="I30" i="6" s="1"/>
  <c r="I8" i="6"/>
  <c r="H8" i="6"/>
  <c r="H4" i="6"/>
  <c r="I4" i="6"/>
  <c r="H10" i="6"/>
  <c r="I10" i="6"/>
  <c r="D24" i="6"/>
  <c r="H9" i="6"/>
  <c r="I9" i="6"/>
  <c r="I6" i="6"/>
  <c r="H6" i="6"/>
  <c r="H7" i="6"/>
  <c r="I7" i="6"/>
  <c r="I3" i="6"/>
  <c r="H3" i="6"/>
  <c r="D33" i="6"/>
  <c r="H123" i="6" l="1"/>
  <c r="I123" i="6"/>
  <c r="H122" i="6"/>
  <c r="H121" i="6"/>
  <c r="I121" i="6"/>
  <c r="H120" i="6"/>
  <c r="I120" i="6"/>
  <c r="I119" i="6"/>
  <c r="H119" i="6"/>
  <c r="H118" i="6"/>
  <c r="I117" i="6"/>
  <c r="I116" i="6"/>
  <c r="I115" i="6"/>
  <c r="H90" i="6"/>
  <c r="D77" i="6"/>
  <c r="H77" i="6" s="1"/>
  <c r="I99" i="6"/>
  <c r="I114" i="6"/>
  <c r="H93" i="6"/>
  <c r="D85" i="6"/>
  <c r="I85" i="6" s="1"/>
  <c r="H76" i="6"/>
  <c r="I76" i="6"/>
  <c r="I80" i="6"/>
  <c r="H80" i="6"/>
  <c r="H88" i="6"/>
  <c r="I88" i="6"/>
  <c r="H84" i="6"/>
  <c r="I84" i="6"/>
  <c r="H79" i="6"/>
  <c r="I79" i="6"/>
  <c r="I81" i="6"/>
  <c r="H81" i="6"/>
  <c r="I98" i="6"/>
  <c r="H98" i="6"/>
  <c r="I86" i="6"/>
  <c r="H86" i="6"/>
  <c r="I106" i="6"/>
  <c r="H106" i="6"/>
  <c r="I105" i="6"/>
  <c r="H105" i="6"/>
  <c r="H112" i="6"/>
  <c r="I112" i="6"/>
  <c r="I97" i="6"/>
  <c r="H97" i="6"/>
  <c r="I82" i="6"/>
  <c r="H82" i="6"/>
  <c r="I101" i="6"/>
  <c r="H101" i="6"/>
  <c r="H100" i="6"/>
  <c r="I100" i="6"/>
  <c r="H92" i="6"/>
  <c r="I92" i="6"/>
  <c r="H108" i="6"/>
  <c r="I108" i="6"/>
  <c r="I109" i="6"/>
  <c r="H109" i="6"/>
  <c r="H111" i="6"/>
  <c r="I111" i="6"/>
  <c r="I113" i="6"/>
  <c r="H113" i="6"/>
  <c r="I89" i="6"/>
  <c r="H89" i="6"/>
  <c r="H95" i="6"/>
  <c r="I95" i="6"/>
  <c r="H91" i="6"/>
  <c r="I91" i="6"/>
  <c r="H107" i="6"/>
  <c r="I107" i="6"/>
  <c r="I110" i="6"/>
  <c r="H110" i="6"/>
  <c r="H104" i="6"/>
  <c r="I104" i="6"/>
  <c r="I78" i="6"/>
  <c r="H78" i="6"/>
  <c r="H96" i="6"/>
  <c r="I96" i="6"/>
  <c r="I102" i="6"/>
  <c r="H102" i="6"/>
  <c r="H83" i="6"/>
  <c r="I83" i="6"/>
  <c r="I94" i="6"/>
  <c r="H94" i="6"/>
  <c r="H87" i="6"/>
  <c r="I87" i="6"/>
  <c r="H75" i="6"/>
  <c r="I47" i="6"/>
  <c r="E48" i="6"/>
  <c r="F48" i="6"/>
  <c r="G48" i="6"/>
  <c r="A49" i="6"/>
  <c r="C48" i="6"/>
  <c r="I48" i="6"/>
  <c r="I46" i="6"/>
  <c r="H46" i="6"/>
  <c r="I45" i="6"/>
  <c r="H45" i="6"/>
  <c r="D34" i="6"/>
  <c r="H34" i="6" s="1"/>
  <c r="H23" i="6"/>
  <c r="H20" i="6"/>
  <c r="I19" i="6"/>
  <c r="I27" i="6"/>
  <c r="I25" i="6"/>
  <c r="H17" i="6"/>
  <c r="I12" i="6"/>
  <c r="I22" i="6"/>
  <c r="I13" i="6"/>
  <c r="H18" i="6"/>
  <c r="H5" i="6"/>
  <c r="I15" i="6"/>
  <c r="H26" i="6"/>
  <c r="I21" i="6"/>
  <c r="I16" i="6"/>
  <c r="I29" i="6"/>
  <c r="I28" i="6"/>
  <c r="I11" i="6"/>
  <c r="I14" i="6"/>
  <c r="I39" i="6"/>
  <c r="H39" i="6"/>
  <c r="H42" i="6"/>
  <c r="I42" i="6"/>
  <c r="H41" i="6"/>
  <c r="I41" i="6"/>
  <c r="H40" i="6"/>
  <c r="I40" i="6"/>
  <c r="H44" i="6"/>
  <c r="H2" i="6"/>
  <c r="H43" i="6"/>
  <c r="I38" i="6"/>
  <c r="H30" i="6"/>
  <c r="I35" i="6"/>
  <c r="H35" i="6"/>
  <c r="H32" i="6"/>
  <c r="I32" i="6"/>
  <c r="H24" i="6"/>
  <c r="I24" i="6"/>
  <c r="I36" i="6"/>
  <c r="H36" i="6"/>
  <c r="H33" i="6"/>
  <c r="I33" i="6"/>
  <c r="H37" i="6"/>
  <c r="I37" i="6"/>
  <c r="I31" i="6"/>
  <c r="H31" i="6"/>
  <c r="I77" i="6" l="1"/>
  <c r="H85" i="6"/>
  <c r="E49" i="6"/>
  <c r="F49" i="6"/>
  <c r="G49" i="6"/>
  <c r="A50" i="6"/>
  <c r="C49" i="6"/>
  <c r="D49" i="6"/>
  <c r="I34" i="6"/>
  <c r="I49" i="6" l="1"/>
  <c r="H49" i="6"/>
  <c r="A51" i="6"/>
  <c r="E50" i="6"/>
  <c r="F50" i="6"/>
  <c r="G50" i="6"/>
  <c r="C50" i="6"/>
  <c r="D50" i="6"/>
  <c r="H50" i="6" l="1"/>
  <c r="I50" i="6"/>
  <c r="E51" i="6"/>
  <c r="F51" i="6"/>
  <c r="G51" i="6"/>
  <c r="A52" i="6"/>
  <c r="C51" i="6"/>
  <c r="D51" i="6"/>
  <c r="H51" i="6" l="1"/>
  <c r="I51" i="6"/>
  <c r="E52" i="6"/>
  <c r="F52" i="6"/>
  <c r="G52" i="6"/>
  <c r="C52" i="6"/>
  <c r="A53" i="6"/>
  <c r="D52" i="6"/>
  <c r="H52" i="6" l="1"/>
  <c r="I52" i="6"/>
  <c r="E53" i="6"/>
  <c r="F53" i="6"/>
  <c r="G53" i="6"/>
  <c r="A54" i="6"/>
  <c r="D53" i="6"/>
  <c r="C53" i="6"/>
  <c r="H53" i="6" l="1"/>
  <c r="I53" i="6"/>
  <c r="E54" i="6"/>
  <c r="F54" i="6"/>
  <c r="G54" i="6"/>
  <c r="A55" i="6"/>
  <c r="C54" i="6"/>
  <c r="D54" i="6"/>
  <c r="I54" i="6" l="1"/>
  <c r="H54" i="6"/>
  <c r="E55" i="6"/>
  <c r="F55" i="6"/>
  <c r="G55" i="6"/>
  <c r="A56" i="6"/>
  <c r="D55" i="6"/>
  <c r="C55" i="6"/>
  <c r="I55" i="6" l="1"/>
  <c r="H55" i="6"/>
  <c r="A57" i="6"/>
  <c r="E56" i="6"/>
  <c r="F56" i="6"/>
  <c r="G56" i="6"/>
  <c r="C56" i="6"/>
  <c r="D56" i="6"/>
  <c r="H56" i="6" l="1"/>
  <c r="I56" i="6"/>
  <c r="A58" i="6"/>
  <c r="E57" i="6"/>
  <c r="F57" i="6"/>
  <c r="G57" i="6"/>
  <c r="C57" i="6"/>
  <c r="D57" i="6"/>
  <c r="I57" i="6" l="1"/>
  <c r="H57" i="6"/>
  <c r="A59" i="6"/>
  <c r="E58" i="6"/>
  <c r="F58" i="6"/>
  <c r="G58" i="6"/>
  <c r="C58" i="6"/>
  <c r="D58" i="6"/>
  <c r="H58" i="6" l="1"/>
  <c r="I58" i="6"/>
  <c r="A60" i="6"/>
  <c r="E59" i="6"/>
  <c r="F59" i="6"/>
  <c r="G59" i="6"/>
  <c r="C59" i="6"/>
  <c r="D59" i="6"/>
  <c r="H59" i="6" l="1"/>
  <c r="I59" i="6"/>
  <c r="A61" i="6"/>
  <c r="E60" i="6"/>
  <c r="F60" i="6"/>
  <c r="G60" i="6"/>
  <c r="C60" i="6"/>
  <c r="D60" i="6"/>
  <c r="H60" i="6" l="1"/>
  <c r="I60" i="6"/>
  <c r="A62" i="6"/>
  <c r="E61" i="6"/>
  <c r="F61" i="6"/>
  <c r="G61" i="6"/>
  <c r="C61" i="6"/>
  <c r="D61" i="6"/>
  <c r="I61" i="6" l="1"/>
  <c r="H61" i="6"/>
  <c r="A63" i="6"/>
  <c r="E62" i="6"/>
  <c r="F62" i="6"/>
  <c r="G62" i="6"/>
  <c r="C62" i="6"/>
  <c r="D62" i="6"/>
  <c r="I62" i="6" l="1"/>
  <c r="H62" i="6"/>
  <c r="A64" i="6"/>
  <c r="E63" i="6"/>
  <c r="F63" i="6"/>
  <c r="G63" i="6"/>
  <c r="C63" i="6"/>
  <c r="D63" i="6"/>
  <c r="I63" i="6" l="1"/>
  <c r="H63" i="6"/>
  <c r="A65" i="6"/>
  <c r="E64" i="6"/>
  <c r="F64" i="6"/>
  <c r="G64" i="6"/>
  <c r="C64" i="6"/>
  <c r="D64" i="6"/>
  <c r="H64" i="6" l="1"/>
  <c r="I64" i="6"/>
  <c r="A66" i="6"/>
  <c r="E65" i="6"/>
  <c r="F65" i="6"/>
  <c r="G65" i="6"/>
  <c r="C65" i="6"/>
  <c r="D65" i="6"/>
  <c r="I65" i="6" l="1"/>
  <c r="H65" i="6"/>
  <c r="A67" i="6"/>
  <c r="E66" i="6"/>
  <c r="F66" i="6"/>
  <c r="G66" i="6"/>
  <c r="C66" i="6"/>
  <c r="D66" i="6"/>
  <c r="H66" i="6" l="1"/>
  <c r="I66" i="6"/>
  <c r="A68" i="6"/>
  <c r="E67" i="6"/>
  <c r="F67" i="6"/>
  <c r="G67" i="6"/>
  <c r="C67" i="6"/>
  <c r="D67" i="6"/>
  <c r="I67" i="6" l="1"/>
  <c r="H67" i="6"/>
  <c r="A69" i="6"/>
  <c r="E68" i="6"/>
  <c r="F68" i="6"/>
  <c r="G68" i="6"/>
  <c r="C68" i="6"/>
  <c r="D68" i="6"/>
  <c r="H68" i="6" l="1"/>
  <c r="I68" i="6"/>
  <c r="A70" i="6"/>
  <c r="E69" i="6"/>
  <c r="F69" i="6"/>
  <c r="G69" i="6"/>
  <c r="C69" i="6"/>
  <c r="D69" i="6"/>
  <c r="I69" i="6" l="1"/>
  <c r="H69" i="6"/>
  <c r="A71" i="6"/>
  <c r="E70" i="6"/>
  <c r="F70" i="6"/>
  <c r="G70" i="6"/>
  <c r="C70" i="6"/>
  <c r="D70" i="6"/>
  <c r="H70" i="6" l="1"/>
  <c r="I70" i="6"/>
  <c r="A72" i="6"/>
  <c r="E71" i="6"/>
  <c r="F71" i="6"/>
  <c r="G71" i="6"/>
  <c r="C71" i="6"/>
  <c r="D71" i="6"/>
  <c r="H71" i="6" l="1"/>
  <c r="I71" i="6"/>
  <c r="A73" i="6"/>
  <c r="E72" i="6"/>
  <c r="F72" i="6"/>
  <c r="G72" i="6"/>
  <c r="C72" i="6"/>
  <c r="D72" i="6"/>
  <c r="H72" i="6" l="1"/>
  <c r="I72" i="6"/>
  <c r="A74" i="6"/>
  <c r="E73" i="6"/>
  <c r="F73" i="6"/>
  <c r="G73" i="6"/>
  <c r="C73" i="6"/>
  <c r="D73" i="6"/>
  <c r="I73" i="6" l="1"/>
  <c r="H73" i="6"/>
  <c r="E74" i="6"/>
  <c r="F74" i="6"/>
  <c r="G74" i="6"/>
  <c r="C74" i="6"/>
  <c r="D74" i="6"/>
  <c r="H74" i="6" l="1"/>
  <c r="I74" i="6"/>
</calcChain>
</file>

<file path=xl/sharedStrings.xml><?xml version="1.0" encoding="utf-8"?>
<sst xmlns="http://schemas.openxmlformats.org/spreadsheetml/2006/main" count="14866" uniqueCount="637">
  <si>
    <t>item_name</t>
  </si>
  <si>
    <t>quantity</t>
  </si>
  <si>
    <t>each_bp</t>
  </si>
  <si>
    <t>each_sp</t>
  </si>
  <si>
    <t>category</t>
  </si>
  <si>
    <t>expiry_date</t>
  </si>
  <si>
    <t>date_inventory_taken</t>
  </si>
  <si>
    <t>Column1</t>
  </si>
  <si>
    <t>5ltrs water</t>
  </si>
  <si>
    <t>Soft Drinks</t>
  </si>
  <si>
    <t>1.5ltrs water</t>
  </si>
  <si>
    <t>300ml water</t>
  </si>
  <si>
    <t>soda 2lts</t>
  </si>
  <si>
    <t xml:space="preserve"> soda 1.25lts</t>
  </si>
  <si>
    <t>soda 500ml plastic</t>
  </si>
  <si>
    <t>soda 350ml plastic</t>
  </si>
  <si>
    <t>minutemaid 400ml</t>
  </si>
  <si>
    <t>afia 500ml</t>
  </si>
  <si>
    <t>Dairy Fresh</t>
  </si>
  <si>
    <t>afia 300ml</t>
  </si>
  <si>
    <t>predator</t>
  </si>
  <si>
    <t>soda 300ml glass</t>
  </si>
  <si>
    <t>soda 500ml glass</t>
  </si>
  <si>
    <t>smash juice</t>
  </si>
  <si>
    <t>Dairy Fresh v</t>
  </si>
  <si>
    <t>ilara 250g yoghurt</t>
  </si>
  <si>
    <t>kinangop250g youghurt</t>
  </si>
  <si>
    <t>Delamere 450g yoghurt</t>
  </si>
  <si>
    <t>kinangop 500g youghurt</t>
  </si>
  <si>
    <t>Brookside Lala Natural</t>
  </si>
  <si>
    <t>Brookside Lala Sweetened</t>
  </si>
  <si>
    <t>Mt kenya milk 500ml</t>
  </si>
  <si>
    <t>Beverage</t>
  </si>
  <si>
    <t>Brookside milk 500ml</t>
  </si>
  <si>
    <t>Crown Gold Milk 500ml</t>
  </si>
  <si>
    <t>Nescafe 1.5g</t>
  </si>
  <si>
    <t>Fahari Tea 15g</t>
  </si>
  <si>
    <t>Fahari Tea 50g</t>
  </si>
  <si>
    <t>Tangawizi Tea 50g</t>
  </si>
  <si>
    <t>BB Bread 400g</t>
  </si>
  <si>
    <t>Bread</t>
  </si>
  <si>
    <t>BB Bread 200g</t>
  </si>
  <si>
    <t>Festive 600g</t>
  </si>
  <si>
    <t>Festive 800g</t>
  </si>
  <si>
    <t>Ringoz Paprika</t>
  </si>
  <si>
    <t>Snacks</t>
  </si>
  <si>
    <t>Bitez</t>
  </si>
  <si>
    <t>Tamu  Tamu Green</t>
  </si>
  <si>
    <t>Tamu Tamu Red</t>
  </si>
  <si>
    <t>T.Heat Potato crisps salted 25g</t>
  </si>
  <si>
    <t>T.Heat Potato crisps vinegar and salt 25g</t>
  </si>
  <si>
    <t>Glucose 10g</t>
  </si>
  <si>
    <t>Glucose 50g</t>
  </si>
  <si>
    <t>Njugu</t>
  </si>
  <si>
    <t>Choc-chip Cookies</t>
  </si>
  <si>
    <t>Peanut Cookies</t>
  </si>
  <si>
    <t>Goodday Cookies</t>
  </si>
  <si>
    <t>Nuvita Bisquit</t>
  </si>
  <si>
    <t>Lemon Bisquit</t>
  </si>
  <si>
    <t>Ginger Bisquit</t>
  </si>
  <si>
    <t>Half pound cake</t>
  </si>
  <si>
    <t>Ring Cake</t>
  </si>
  <si>
    <t>Weetabix</t>
  </si>
  <si>
    <t>Canned cookies</t>
  </si>
  <si>
    <t>Mandazi</t>
  </si>
  <si>
    <t>Kdf</t>
  </si>
  <si>
    <t>Ngumu</t>
  </si>
  <si>
    <t>Fresh green</t>
  </si>
  <si>
    <t>Sweets</t>
  </si>
  <si>
    <t>Fresh Blue</t>
  </si>
  <si>
    <t>Patco</t>
  </si>
  <si>
    <t>coo</t>
  </si>
  <si>
    <t>Lollipop</t>
  </si>
  <si>
    <t>Bigdaddy</t>
  </si>
  <si>
    <t>Cough drops</t>
  </si>
  <si>
    <t>Gomba</t>
  </si>
  <si>
    <t>Sodacans</t>
  </si>
  <si>
    <t>Tropical</t>
  </si>
  <si>
    <t>Gumballs</t>
  </si>
  <si>
    <t>Bigboss</t>
  </si>
  <si>
    <t>scooter cans</t>
  </si>
  <si>
    <t>Spagetti</t>
  </si>
  <si>
    <t>cereals</t>
  </si>
  <si>
    <t>Indomie beef</t>
  </si>
  <si>
    <t>Indomie chicken</t>
  </si>
  <si>
    <t>sossi</t>
  </si>
  <si>
    <t>kabras sugar 1kg</t>
  </si>
  <si>
    <t>Condiments</t>
  </si>
  <si>
    <t>kensalt 200g</t>
  </si>
  <si>
    <t>kensalt 500g</t>
  </si>
  <si>
    <t>kensalt 1kg</t>
  </si>
  <si>
    <t>Royco 40pc</t>
  </si>
  <si>
    <t>Tomato paste</t>
  </si>
  <si>
    <t>Tomato sauce</t>
  </si>
  <si>
    <t>Blueband 250g</t>
  </si>
  <si>
    <t>eggs</t>
  </si>
  <si>
    <t>animal produce</t>
  </si>
  <si>
    <t>Dunhill</t>
  </si>
  <si>
    <t>cigarettes</t>
  </si>
  <si>
    <t>Sportsman</t>
  </si>
  <si>
    <t>Safari</t>
  </si>
  <si>
    <t>Gellette</t>
  </si>
  <si>
    <t>Personal care</t>
  </si>
  <si>
    <t>Medium Colgate Toothbrush</t>
  </si>
  <si>
    <t>Ajab 2kg</t>
  </si>
  <si>
    <t>Ajab 1kg</t>
  </si>
  <si>
    <t>Tukuza 1kg</t>
  </si>
  <si>
    <t>Pembe 2kg</t>
  </si>
  <si>
    <t>Chapa Mandashi</t>
  </si>
  <si>
    <t>Freshfry</t>
  </si>
  <si>
    <t>Cooking Oil</t>
  </si>
  <si>
    <t>Hanaan Tissue</t>
  </si>
  <si>
    <t>personal care</t>
  </si>
  <si>
    <t>Bella Tissue</t>
  </si>
  <si>
    <t>Poa Pekee Tissue</t>
  </si>
  <si>
    <t>Rosy serviettes</t>
  </si>
  <si>
    <t>Softcare pads</t>
  </si>
  <si>
    <t>Sunny girl pad</t>
  </si>
  <si>
    <t>Colgate 15g</t>
  </si>
  <si>
    <t>Colgate 35g</t>
  </si>
  <si>
    <t>Colgate Herbal 70g</t>
  </si>
  <si>
    <t>Maxguard</t>
  </si>
  <si>
    <t>Kiwi</t>
  </si>
  <si>
    <t>Toss 100g</t>
  </si>
  <si>
    <t>Detergents</t>
  </si>
  <si>
    <t>Toss 500g</t>
  </si>
  <si>
    <t xml:space="preserve">Whitewash </t>
  </si>
  <si>
    <t>Jik</t>
  </si>
  <si>
    <t>ariel 75g</t>
  </si>
  <si>
    <t>ariel 10g</t>
  </si>
  <si>
    <t>omo 75g</t>
  </si>
  <si>
    <t>omo 20g</t>
  </si>
  <si>
    <t>Downy lavender</t>
  </si>
  <si>
    <t>Maramoja</t>
  </si>
  <si>
    <t>Medicine</t>
  </si>
  <si>
    <t>Onion</t>
  </si>
  <si>
    <t>Farm Produce</t>
  </si>
  <si>
    <t>Tomatoes</t>
  </si>
  <si>
    <t>Cooking Oil Measured</t>
  </si>
  <si>
    <t>Panadol Extra</t>
  </si>
  <si>
    <t>Magadi</t>
  </si>
  <si>
    <t>Icepop</t>
  </si>
  <si>
    <t>Banana</t>
  </si>
  <si>
    <t>Kinangop Fresh Milk 500ml</t>
  </si>
  <si>
    <t>Mt Kenya milk 200ml</t>
  </si>
  <si>
    <t>Scones</t>
  </si>
  <si>
    <t>Dhania</t>
  </si>
  <si>
    <t>Royco cubes</t>
  </si>
  <si>
    <t>Donuts</t>
  </si>
  <si>
    <t>Snack</t>
  </si>
  <si>
    <t>Carrier bag small</t>
  </si>
  <si>
    <t>Shopping Bag</t>
  </si>
  <si>
    <t>Carrier bag big</t>
  </si>
  <si>
    <t>Black Shampoo</t>
  </si>
  <si>
    <t>Festive Bread 400g</t>
  </si>
  <si>
    <t>Pencil</t>
  </si>
  <si>
    <t>Stationery</t>
  </si>
  <si>
    <t>Baloon</t>
  </si>
  <si>
    <t>Safaricom 20 Credit</t>
  </si>
  <si>
    <t>Airtime</t>
  </si>
  <si>
    <t>Safaricom 10 Credit</t>
  </si>
  <si>
    <t>Safaricom 50 Credit</t>
  </si>
  <si>
    <t>Airtel 20 Credit</t>
  </si>
  <si>
    <t>Airtel 10 Credit</t>
  </si>
  <si>
    <t>Airtel 50 Credit</t>
  </si>
  <si>
    <t>Jumbo Tissue</t>
  </si>
  <si>
    <t>Ndengu</t>
  </si>
  <si>
    <t>Royco Beef Mchuzi Mix</t>
  </si>
  <si>
    <t>Drinking Chocolate 20g</t>
  </si>
  <si>
    <t>Steel Wire</t>
  </si>
  <si>
    <t>Kitchen Needs</t>
  </si>
  <si>
    <t>Rope</t>
  </si>
  <si>
    <t>Laundry Needs</t>
  </si>
  <si>
    <t>Sugar</t>
  </si>
  <si>
    <t>Cabbage</t>
  </si>
  <si>
    <t>Menengai Bar 1kg</t>
  </si>
  <si>
    <t>Sonaplast</t>
  </si>
  <si>
    <t>Kaluma Pain Balm Small</t>
  </si>
  <si>
    <t>Battery AAA</t>
  </si>
  <si>
    <t>Pishori rice</t>
  </si>
  <si>
    <t>waru</t>
  </si>
  <si>
    <t>candle</t>
  </si>
  <si>
    <t>Sindano rice</t>
  </si>
  <si>
    <t>Ear Buds</t>
  </si>
  <si>
    <t>Arimis small</t>
  </si>
  <si>
    <t>Sunlight 400g</t>
  </si>
  <si>
    <t>Geisha big</t>
  </si>
  <si>
    <t>Ndimu</t>
  </si>
  <si>
    <t>Match Box</t>
  </si>
  <si>
    <t>Super Glue</t>
  </si>
  <si>
    <t>Rasor Blade</t>
  </si>
  <si>
    <t>Rubber</t>
  </si>
  <si>
    <t>Arimis big</t>
  </si>
  <si>
    <t>Curry Powder</t>
  </si>
  <si>
    <t>Garlic</t>
  </si>
  <si>
    <t>210 Maize Meal 2kg</t>
  </si>
  <si>
    <t>Scissors</t>
  </si>
  <si>
    <t>Coconut Cakes</t>
  </si>
  <si>
    <t>Ginger</t>
  </si>
  <si>
    <t>Blueband 100g</t>
  </si>
  <si>
    <t>Blueband 500g</t>
  </si>
  <si>
    <t>Kichungi small</t>
  </si>
  <si>
    <t>hoho</t>
  </si>
  <si>
    <t>Kamande</t>
  </si>
  <si>
    <t>Yellow Beans</t>
  </si>
  <si>
    <t>Kienyeji  Eggs</t>
  </si>
  <si>
    <t>Kaluma King</t>
  </si>
  <si>
    <t>Aspirin</t>
  </si>
  <si>
    <t>Lighter</t>
  </si>
  <si>
    <t>6kg grill stand</t>
  </si>
  <si>
    <t>Salama Condom</t>
  </si>
  <si>
    <t>Milo</t>
  </si>
  <si>
    <t>familla porriedge</t>
  </si>
  <si>
    <t>action</t>
  </si>
  <si>
    <t>pens</t>
  </si>
  <si>
    <t>tumbocide</t>
  </si>
  <si>
    <t>mosquito stick</t>
  </si>
  <si>
    <t>spinach</t>
  </si>
  <si>
    <t>sukuma wiki</t>
  </si>
  <si>
    <t>toothpick</t>
  </si>
  <si>
    <t>funtime snacks</t>
  </si>
  <si>
    <t>Tropical heat crisps 50g</t>
  </si>
  <si>
    <t>Bamsi Antidandruff hair oil</t>
  </si>
  <si>
    <t>laundry brush</t>
  </si>
  <si>
    <t>Kortex pads</t>
  </si>
  <si>
    <t>Battery AA</t>
  </si>
  <si>
    <t>Softcare diapers</t>
  </si>
  <si>
    <t>Nail cutter</t>
  </si>
  <si>
    <t>Vaseline</t>
  </si>
  <si>
    <t>Kaluma Pain Balm Big</t>
  </si>
  <si>
    <t>Sharpener</t>
  </si>
  <si>
    <t>Eno</t>
  </si>
  <si>
    <t>Queen cake</t>
  </si>
  <si>
    <t>Carrot</t>
  </si>
  <si>
    <t>Brookside Lala Natural 1ltr</t>
  </si>
  <si>
    <t>Face Towel</t>
  </si>
  <si>
    <t>Soko Maize meal 2kg</t>
  </si>
  <si>
    <t>date_of_purchase</t>
  </si>
  <si>
    <t>Time</t>
  </si>
  <si>
    <t>item_purchased</t>
  </si>
  <si>
    <t>qty</t>
  </si>
  <si>
    <t>bp</t>
  </si>
  <si>
    <t>total_spent</t>
  </si>
  <si>
    <t>Expiry</t>
  </si>
  <si>
    <t>Transaction_mode</t>
  </si>
  <si>
    <t>add_item_to_inventory</t>
  </si>
  <si>
    <t>Column2</t>
  </si>
  <si>
    <t>Cash</t>
  </si>
  <si>
    <t>Mpesa Paybill</t>
  </si>
  <si>
    <t>Famila Pure Wimbi 500g</t>
  </si>
  <si>
    <t>Nice &amp; lovely 180ml</t>
  </si>
  <si>
    <t>Sunny Girl Pads</t>
  </si>
  <si>
    <t>210 maize meal 2kg</t>
  </si>
  <si>
    <t>Mpesa Till</t>
  </si>
  <si>
    <t>kortex Panty Liner</t>
  </si>
  <si>
    <t>Royco Chicken Mchuzi Mix</t>
  </si>
  <si>
    <t>1/4 paper</t>
  </si>
  <si>
    <t>1/2 paper</t>
  </si>
  <si>
    <t>Geisha Big</t>
  </si>
  <si>
    <t>Geisha Small</t>
  </si>
  <si>
    <t>Brookside Lala Sweetened 1ltr</t>
  </si>
  <si>
    <t>Rina Cooking oil 1ltr</t>
  </si>
  <si>
    <t>Cash + mpesa</t>
  </si>
  <si>
    <t>500 mpesa + 115 cash</t>
  </si>
  <si>
    <t>501 mpesa + 115 cash</t>
  </si>
  <si>
    <t>502 mpesa + 115 cash</t>
  </si>
  <si>
    <t>mpesa</t>
  </si>
  <si>
    <t>Onions</t>
  </si>
  <si>
    <t>Pika 20 ltrs cooking oil</t>
  </si>
  <si>
    <t>sunlight 500g</t>
  </si>
  <si>
    <t>toss 500g</t>
  </si>
  <si>
    <t>tukuza 1kg</t>
  </si>
  <si>
    <t>sugar 10kg</t>
  </si>
  <si>
    <t>Kplc Tokens</t>
  </si>
  <si>
    <t>Ringoz Barbeque</t>
  </si>
  <si>
    <t>Downy Sunrice Fresh</t>
  </si>
  <si>
    <t>Downy Sweet Elegance</t>
  </si>
  <si>
    <t>T.Heat Potato crisps Tomato 25g</t>
  </si>
  <si>
    <t>Baked cookies</t>
  </si>
  <si>
    <t>50 Cash +500 Mpesa</t>
  </si>
  <si>
    <t>290 Cash +700 Mpesa</t>
  </si>
  <si>
    <t>Credit Faith</t>
  </si>
  <si>
    <t>Mpesa Number</t>
  </si>
  <si>
    <t>Kienyeji Eggs</t>
  </si>
  <si>
    <t>credit Chicken</t>
  </si>
  <si>
    <t>Salary to ShopKeeper</t>
  </si>
  <si>
    <t>qtyat12th</t>
  </si>
  <si>
    <t>qtyupdated</t>
  </si>
  <si>
    <t>Category</t>
  </si>
  <si>
    <t>Index</t>
  </si>
  <si>
    <t>1ltr Brookside Lala Sweetened</t>
  </si>
  <si>
    <t>1ltr Brookside Lala Natural</t>
  </si>
  <si>
    <t>Baby Needs</t>
  </si>
  <si>
    <t>AVC Led bulb</t>
  </si>
  <si>
    <t>Bulbs</t>
  </si>
  <si>
    <t>Spreads</t>
  </si>
  <si>
    <t>Sugar 1/2 kg</t>
  </si>
  <si>
    <t>Sugar 1/4 kg</t>
  </si>
  <si>
    <t>Royco Chicken mchuzi mix</t>
  </si>
  <si>
    <t>Rina 1ltr</t>
  </si>
  <si>
    <t>Downy sunrise fresh</t>
  </si>
  <si>
    <t>Downy Sweet elegance</t>
  </si>
  <si>
    <t>Gas Needs</t>
  </si>
  <si>
    <t>13kg Child lock regulator</t>
  </si>
  <si>
    <t>13kg Regulator</t>
  </si>
  <si>
    <t>6kg Skytex burner</t>
  </si>
  <si>
    <t>6kg Linelix burner</t>
  </si>
  <si>
    <t>Steel Wool 15g</t>
  </si>
  <si>
    <t>Steel wool 75g</t>
  </si>
  <si>
    <t>scooty steel wire</t>
  </si>
  <si>
    <t>Kichungi Big</t>
  </si>
  <si>
    <t>Kifaru Scouring pad</t>
  </si>
  <si>
    <t>Sungura Scouring Pad</t>
  </si>
  <si>
    <t>pegs</t>
  </si>
  <si>
    <t>Uzi</t>
  </si>
  <si>
    <t>Sindano</t>
  </si>
  <si>
    <t>Kaluma pain killer</t>
  </si>
  <si>
    <t>Zycet (cetrizine)</t>
  </si>
  <si>
    <t>Kotex PantyLiner</t>
  </si>
  <si>
    <t>Sofnfree</t>
  </si>
  <si>
    <t>skala body lotion</t>
  </si>
  <si>
    <t>Glycerine</t>
  </si>
  <si>
    <t>Nice and lovely</t>
  </si>
  <si>
    <t>Kioo+comb</t>
  </si>
  <si>
    <t>Jelly Comb</t>
  </si>
  <si>
    <t>Bic Rasor</t>
  </si>
  <si>
    <t>Face Mask</t>
  </si>
  <si>
    <t>Handkerchief</t>
  </si>
  <si>
    <t>Sawa Family Bathing Soap</t>
  </si>
  <si>
    <t>kiwi</t>
  </si>
  <si>
    <t>Cutex</t>
  </si>
  <si>
    <t>pens black</t>
  </si>
  <si>
    <t>pens red</t>
  </si>
  <si>
    <t>pens blue</t>
  </si>
  <si>
    <t>Toys</t>
  </si>
  <si>
    <t>Water</t>
  </si>
  <si>
    <t>nylon papers</t>
  </si>
  <si>
    <t>Soko Maize meal</t>
  </si>
  <si>
    <t>Geisha small</t>
  </si>
  <si>
    <t>Container 20ltrs</t>
  </si>
  <si>
    <t>Containers</t>
  </si>
  <si>
    <t>Piriton</t>
  </si>
  <si>
    <t>Toothbrush Children</t>
  </si>
  <si>
    <t>Laundry Brush Big</t>
  </si>
  <si>
    <t>Maccofee</t>
  </si>
  <si>
    <t>Masking Tape</t>
  </si>
  <si>
    <t>Sawa soap</t>
  </si>
  <si>
    <t>Date</t>
  </si>
  <si>
    <t>Item</t>
  </si>
  <si>
    <t>Quantity</t>
  </si>
  <si>
    <t>Total_Spent</t>
  </si>
  <si>
    <t>Transmode</t>
  </si>
  <si>
    <t>if_mixed_cash_amt</t>
  </si>
  <si>
    <t>if_mixed_mpesa_amt</t>
  </si>
  <si>
    <t>if_mpesa_mode</t>
  </si>
  <si>
    <t>if_credit_name</t>
  </si>
  <si>
    <t>if_credit_amt</t>
  </si>
  <si>
    <t>Mixed</t>
  </si>
  <si>
    <t>Number</t>
  </si>
  <si>
    <t>Credit</t>
  </si>
  <si>
    <t>Home's Chicken</t>
  </si>
  <si>
    <t>Mpesa</t>
  </si>
  <si>
    <t>Paybill</t>
  </si>
  <si>
    <t>Till</t>
  </si>
  <si>
    <t>21/08/2024</t>
  </si>
  <si>
    <t>23/08/2024</t>
  </si>
  <si>
    <t>Bisquit milk</t>
  </si>
  <si>
    <t>Pay bill</t>
  </si>
  <si>
    <t>Jamaa soap</t>
  </si>
  <si>
    <t>Family bisquit</t>
  </si>
  <si>
    <t xml:space="preserve">kplc token </t>
  </si>
  <si>
    <t>Sugar bags</t>
  </si>
  <si>
    <t>Sunlight 25g</t>
  </si>
  <si>
    <t>date</t>
  </si>
  <si>
    <t>time</t>
  </si>
  <si>
    <t>item_sold</t>
  </si>
  <si>
    <t>Total_sold</t>
  </si>
  <si>
    <t>Total_bp</t>
  </si>
  <si>
    <t>profit</t>
  </si>
  <si>
    <t>person_if_credit</t>
  </si>
  <si>
    <t>person_paid_if_credit</t>
  </si>
  <si>
    <t>how_much_paid_if_credit</t>
  </si>
  <si>
    <t>payment_mode_if_paid_in_credit</t>
  </si>
  <si>
    <t>Jayden</t>
  </si>
  <si>
    <t>Irene</t>
  </si>
  <si>
    <t>Faith</t>
  </si>
  <si>
    <t>Shariffa</t>
  </si>
  <si>
    <t>Grace</t>
  </si>
  <si>
    <t>Vivian</t>
  </si>
  <si>
    <t>Mum Victor</t>
  </si>
  <si>
    <t>Ruth</t>
  </si>
  <si>
    <t>Masaku</t>
  </si>
  <si>
    <t>Lucy</t>
  </si>
  <si>
    <t>Gladys</t>
  </si>
  <si>
    <t>Pauline</t>
  </si>
  <si>
    <t>Mark</t>
  </si>
  <si>
    <t>Cate</t>
  </si>
  <si>
    <t>Mum Worship</t>
  </si>
  <si>
    <t>Milly</t>
  </si>
  <si>
    <t>Oburu</t>
  </si>
  <si>
    <t>Tracy</t>
  </si>
  <si>
    <t>Titus</t>
  </si>
  <si>
    <t>cash</t>
  </si>
  <si>
    <t>Jescah</t>
  </si>
  <si>
    <t>Florence</t>
  </si>
  <si>
    <t>Moureen</t>
  </si>
  <si>
    <t>Ken</t>
  </si>
  <si>
    <t>Rosemary</t>
  </si>
  <si>
    <t>Janet Mkale</t>
  </si>
  <si>
    <t>Haston</t>
  </si>
  <si>
    <t>cate</t>
  </si>
  <si>
    <t>juliana</t>
  </si>
  <si>
    <t>Msanii</t>
  </si>
  <si>
    <t>Shop</t>
  </si>
  <si>
    <t>Zueda</t>
  </si>
  <si>
    <t>Juliana</t>
  </si>
  <si>
    <t>Aunt Shawn</t>
  </si>
  <si>
    <t>Erick</t>
  </si>
  <si>
    <t>Mwende</t>
  </si>
  <si>
    <t>Fredy</t>
  </si>
  <si>
    <t>Millicent C2</t>
  </si>
  <si>
    <t>new customer</t>
  </si>
  <si>
    <t>moureen</t>
  </si>
  <si>
    <t>Janet Kabiti</t>
  </si>
  <si>
    <t>20/08/2024</t>
  </si>
  <si>
    <t>Geofrey</t>
  </si>
  <si>
    <t>22/08/2024</t>
  </si>
  <si>
    <t>Fanis</t>
  </si>
  <si>
    <t>Janet</t>
  </si>
  <si>
    <t>Winfred</t>
  </si>
  <si>
    <t>credit</t>
  </si>
  <si>
    <t>Meltus</t>
  </si>
  <si>
    <t>24/08/2024</t>
  </si>
  <si>
    <t>JAnet</t>
  </si>
  <si>
    <t>25/08/2024</t>
  </si>
  <si>
    <t>lemox</t>
  </si>
  <si>
    <t>26/08/2024</t>
  </si>
  <si>
    <t>Aunty mum victor</t>
  </si>
  <si>
    <t>Japhet</t>
  </si>
  <si>
    <t>mkamba</t>
  </si>
  <si>
    <t>27/08/2024</t>
  </si>
  <si>
    <t>28/08/2024</t>
  </si>
  <si>
    <t>Morine</t>
  </si>
  <si>
    <t>Towet</t>
  </si>
  <si>
    <t>fredy</t>
  </si>
  <si>
    <t>Kipkor</t>
  </si>
  <si>
    <t>Boniface</t>
  </si>
  <si>
    <t>Fredrick</t>
  </si>
  <si>
    <t>Judy</t>
  </si>
  <si>
    <t>Aron</t>
  </si>
  <si>
    <t>Haron</t>
  </si>
  <si>
    <t>Lydia</t>
  </si>
  <si>
    <t>Meline</t>
  </si>
  <si>
    <t>Mwangi</t>
  </si>
  <si>
    <t>Baba Victor</t>
  </si>
  <si>
    <t>Lemox</t>
  </si>
  <si>
    <t>Mama Victor</t>
  </si>
  <si>
    <t xml:space="preserve">Lucy </t>
  </si>
  <si>
    <t>Robert</t>
  </si>
  <si>
    <t>Janet M</t>
  </si>
  <si>
    <t>Mama Zawadi</t>
  </si>
  <si>
    <t>Janet kabiti</t>
  </si>
  <si>
    <t xml:space="preserve">Ruth </t>
  </si>
  <si>
    <t>item/loan</t>
  </si>
  <si>
    <t>qty_if_item</t>
  </si>
  <si>
    <t>amt</t>
  </si>
  <si>
    <t>shop biz</t>
  </si>
  <si>
    <t>gas biz</t>
  </si>
  <si>
    <t>mzae</t>
  </si>
  <si>
    <t>house</t>
  </si>
  <si>
    <t>shopkeeper salary</t>
  </si>
  <si>
    <t>Bones</t>
  </si>
  <si>
    <t>Main House Tokens</t>
  </si>
  <si>
    <t>Shop Tokens</t>
  </si>
  <si>
    <t>Wifi</t>
  </si>
  <si>
    <t>main house shopping</t>
  </si>
  <si>
    <t>Creditor_name</t>
  </si>
  <si>
    <t>Amt_To_Pay</t>
  </si>
  <si>
    <t>(blank)</t>
  </si>
  <si>
    <t>Grand Total</t>
  </si>
  <si>
    <t>Purchases</t>
  </si>
  <si>
    <t>Sales</t>
  </si>
  <si>
    <t>Profit</t>
  </si>
  <si>
    <t>Sales_Mpesa</t>
  </si>
  <si>
    <t>Sales_Cash</t>
  </si>
  <si>
    <t>Sales_Credit</t>
  </si>
  <si>
    <t>45% Profit</t>
  </si>
  <si>
    <t>55% Profit2</t>
  </si>
  <si>
    <t>Hours</t>
  </si>
  <si>
    <t>Sum of qty</t>
  </si>
  <si>
    <t>07</t>
  </si>
  <si>
    <t>:38</t>
  </si>
  <si>
    <t>07 Total</t>
  </si>
  <si>
    <t>08</t>
  </si>
  <si>
    <t>:02</t>
  </si>
  <si>
    <t>08 Total</t>
  </si>
  <si>
    <t>10</t>
  </si>
  <si>
    <t>:32</t>
  </si>
  <si>
    <t>:39</t>
  </si>
  <si>
    <t>:40</t>
  </si>
  <si>
    <t>:47</t>
  </si>
  <si>
    <t>10 Total</t>
  </si>
  <si>
    <t>11</t>
  </si>
  <si>
    <t>:41</t>
  </si>
  <si>
    <t>11 Total</t>
  </si>
  <si>
    <t>12</t>
  </si>
  <si>
    <t>:26</t>
  </si>
  <si>
    <t>12 Total</t>
  </si>
  <si>
    <t>14</t>
  </si>
  <si>
    <t>:05</t>
  </si>
  <si>
    <t>:22</t>
  </si>
  <si>
    <t>:45</t>
  </si>
  <si>
    <t>14 Total</t>
  </si>
  <si>
    <t>15</t>
  </si>
  <si>
    <t>:30</t>
  </si>
  <si>
    <t>:35</t>
  </si>
  <si>
    <t>15 Total</t>
  </si>
  <si>
    <t>16</t>
  </si>
  <si>
    <t>:23</t>
  </si>
  <si>
    <t>16 Total</t>
  </si>
  <si>
    <t>17</t>
  </si>
  <si>
    <t>:55</t>
  </si>
  <si>
    <t>17 Total</t>
  </si>
  <si>
    <t>18</t>
  </si>
  <si>
    <t>:10</t>
  </si>
  <si>
    <t>18 Total</t>
  </si>
  <si>
    <t>19</t>
  </si>
  <si>
    <t>:07</t>
  </si>
  <si>
    <t>:36</t>
  </si>
  <si>
    <t>19 Total</t>
  </si>
  <si>
    <t>20</t>
  </si>
  <si>
    <t>:08</t>
  </si>
  <si>
    <t>:13</t>
  </si>
  <si>
    <t>20 Total</t>
  </si>
  <si>
    <t>:00</t>
  </si>
  <si>
    <t>:16</t>
  </si>
  <si>
    <t>09</t>
  </si>
  <si>
    <t>:28</t>
  </si>
  <si>
    <t>:29</t>
  </si>
  <si>
    <t>:56</t>
  </si>
  <si>
    <t>09 Total</t>
  </si>
  <si>
    <t>:44</t>
  </si>
  <si>
    <t>:46</t>
  </si>
  <si>
    <t>13</t>
  </si>
  <si>
    <t>:53</t>
  </si>
  <si>
    <t>:59</t>
  </si>
  <si>
    <t>13 Total</t>
  </si>
  <si>
    <t>:34</t>
  </si>
  <si>
    <t>:17</t>
  </si>
  <si>
    <t>:49</t>
  </si>
  <si>
    <t>:50</t>
  </si>
  <si>
    <t>:21</t>
  </si>
  <si>
    <t>:33</t>
  </si>
  <si>
    <t>:24</t>
  </si>
  <si>
    <t>:37</t>
  </si>
  <si>
    <t>:01</t>
  </si>
  <si>
    <t>:04</t>
  </si>
  <si>
    <t>:09</t>
  </si>
  <si>
    <t>:19</t>
  </si>
  <si>
    <t>:25</t>
  </si>
  <si>
    <t>:27</t>
  </si>
  <si>
    <t>:20</t>
  </si>
  <si>
    <t>:43</t>
  </si>
  <si>
    <t>:11</t>
  </si>
  <si>
    <t>:14</t>
  </si>
  <si>
    <t>:52</t>
  </si>
  <si>
    <t>:03</t>
  </si>
  <si>
    <t>:57</t>
  </si>
  <si>
    <t>:48</t>
  </si>
  <si>
    <t>:12</t>
  </si>
  <si>
    <t>:31</t>
  </si>
  <si>
    <t>:18</t>
  </si>
  <si>
    <t>:54</t>
  </si>
  <si>
    <t>:42</t>
  </si>
  <si>
    <t>:15</t>
  </si>
  <si>
    <t>:51</t>
  </si>
  <si>
    <t>:58</t>
  </si>
  <si>
    <t>:06</t>
  </si>
  <si>
    <t>01</t>
  </si>
  <si>
    <t>01 Total</t>
  </si>
  <si>
    <t>B Faith</t>
  </si>
  <si>
    <t>Afia 1ltr</t>
  </si>
  <si>
    <t>Pampers</t>
  </si>
  <si>
    <t>Black Tape</t>
  </si>
  <si>
    <t>Pilau Masala</t>
  </si>
  <si>
    <t>Hair band</t>
  </si>
  <si>
    <t>Faith B</t>
  </si>
  <si>
    <t xml:space="preserve">Meline </t>
  </si>
  <si>
    <t>Beatrice</t>
  </si>
  <si>
    <t>Mama Mathew</t>
  </si>
  <si>
    <t>Fundi</t>
  </si>
  <si>
    <t>Josy</t>
  </si>
  <si>
    <t>Glady</t>
  </si>
  <si>
    <t>Vicky</t>
  </si>
  <si>
    <t xml:space="preserve">Debit </t>
  </si>
  <si>
    <t>Frashia</t>
  </si>
  <si>
    <t>Mama Swan</t>
  </si>
  <si>
    <t>Nyakengo</t>
  </si>
  <si>
    <t>Zedekia</t>
  </si>
  <si>
    <t>Maureen</t>
  </si>
  <si>
    <t>Ken Towet</t>
  </si>
  <si>
    <t>lucy</t>
  </si>
  <si>
    <t>Present y/n</t>
  </si>
  <si>
    <t>Zenta Bar Soap</t>
  </si>
  <si>
    <t>Ting Ting</t>
  </si>
  <si>
    <t>Transport</t>
  </si>
  <si>
    <t>Heart cake</t>
  </si>
  <si>
    <t>Sweet cake</t>
  </si>
  <si>
    <t>Milk Bisquit</t>
  </si>
  <si>
    <t>Star Cream Bisquit</t>
  </si>
  <si>
    <t>Straws</t>
  </si>
  <si>
    <t>Empty Bottle</t>
  </si>
  <si>
    <t>Soko Maize 1kg</t>
  </si>
  <si>
    <t>Keneth</t>
  </si>
  <si>
    <t>Nikita</t>
  </si>
  <si>
    <t>Tangus</t>
  </si>
  <si>
    <t>David</t>
  </si>
  <si>
    <t>Mama Shalom</t>
  </si>
  <si>
    <t>Fundi Sharifa</t>
  </si>
  <si>
    <t>Ballon</t>
  </si>
  <si>
    <t>Gove</t>
  </si>
  <si>
    <t>cssh</t>
  </si>
  <si>
    <t>Mwanzia</t>
  </si>
  <si>
    <t>Kenneth</t>
  </si>
  <si>
    <t xml:space="preserve"> Janet Kabiti</t>
  </si>
  <si>
    <t>New customer</t>
  </si>
  <si>
    <t>mark</t>
  </si>
  <si>
    <t>Dennis</t>
  </si>
  <si>
    <t>Philips bulb</t>
  </si>
  <si>
    <t>Ndonga</t>
  </si>
  <si>
    <t>carol</t>
  </si>
  <si>
    <t>Rasta</t>
  </si>
  <si>
    <t>paua</t>
  </si>
  <si>
    <t>Solder</t>
  </si>
  <si>
    <t>Germana</t>
  </si>
  <si>
    <t xml:space="preserve"> </t>
  </si>
  <si>
    <t>Watchy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</si>
</sst>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-&quot;Ksh&quot;* #,##0.00_-;\-&quot;Ksh&quot;* #,##0.00_-;_-&quot;Ksh&quot;* &quot;-&quot;??_-;_-@_-"/>
    <numFmt numFmtId="164" formatCode="[$-F400]h:mm:ss\ AM/PM"/>
    <numFmt numFmtId="165" formatCode="h:mm\ AM/PM"/>
    <numFmt numFmtId="166" formatCode="[$-F800]dddd\,\ mmmm\ dd\,\ yyyy"/>
  </numFmts>
  <fonts count="1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0000"/>
      <name val="Calibri"/>
      <family val="2"/>
    </font>
    <font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rgb="FFC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FCE4D6"/>
        <bgColor rgb="FFFCE4D6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 style="thin">
        <color rgb="FFF4B084"/>
      </left>
      <right/>
      <top style="thin">
        <color rgb="FFF4B084"/>
      </top>
      <bottom style="thin">
        <color rgb="FFF4B084"/>
      </bottom>
      <diagonal/>
    </border>
    <border>
      <left/>
      <right/>
      <top style="thin">
        <color rgb="FFF4B084"/>
      </top>
      <bottom style="thin">
        <color rgb="FFF4B084"/>
      </bottom>
      <diagonal/>
    </border>
    <border>
      <left/>
      <right style="thin">
        <color rgb="FFF4B084"/>
      </right>
      <top style="thin">
        <color rgb="FFF4B084"/>
      </top>
      <bottom style="thin">
        <color rgb="FFF4B08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44" fontId="0" fillId="0" borderId="0" xfId="0" applyNumberFormat="1"/>
    <xf numFmtId="0" fontId="4" fillId="0" borderId="0" xfId="0" applyFont="1"/>
    <xf numFmtId="44" fontId="0" fillId="2" borderId="0" xfId="0" applyNumberFormat="1" applyFill="1"/>
    <xf numFmtId="0" fontId="3" fillId="0" borderId="0" xfId="0" applyFont="1"/>
    <xf numFmtId="0" fontId="0" fillId="0" borderId="2" xfId="0" applyBorder="1"/>
    <xf numFmtId="14" fontId="0" fillId="0" borderId="1" xfId="0" applyNumberFormat="1" applyBorder="1"/>
    <xf numFmtId="44" fontId="0" fillId="0" borderId="2" xfId="0" applyNumberFormat="1" applyBorder="1"/>
    <xf numFmtId="0" fontId="5" fillId="0" borderId="0" xfId="0" applyFont="1"/>
    <xf numFmtId="18" fontId="5" fillId="0" borderId="0" xfId="0" applyNumberFormat="1" applyFont="1"/>
    <xf numFmtId="0" fontId="5" fillId="3" borderId="0" xfId="0" applyFont="1" applyFill="1"/>
    <xf numFmtId="14" fontId="5" fillId="3" borderId="0" xfId="0" applyNumberFormat="1" applyFont="1" applyFill="1"/>
    <xf numFmtId="14" fontId="5" fillId="0" borderId="0" xfId="0" applyNumberFormat="1" applyFont="1"/>
    <xf numFmtId="0" fontId="5" fillId="0" borderId="3" xfId="0" applyFont="1" applyBorder="1"/>
    <xf numFmtId="0" fontId="5" fillId="0" borderId="4" xfId="0" applyFont="1" applyBorder="1"/>
    <xf numFmtId="0" fontId="5" fillId="0" borderId="5" xfId="0" applyFont="1" applyBorder="1"/>
    <xf numFmtId="0" fontId="5" fillId="4" borderId="3" xfId="0" applyFont="1" applyFill="1" applyBorder="1"/>
    <xf numFmtId="0" fontId="5" fillId="4" borderId="4" xfId="0" applyFont="1" applyFill="1" applyBorder="1"/>
    <xf numFmtId="0" fontId="5" fillId="4" borderId="5" xfId="0" applyFont="1" applyFill="1" applyBorder="1"/>
    <xf numFmtId="0" fontId="7" fillId="0" borderId="0" xfId="0" applyFont="1"/>
    <xf numFmtId="0" fontId="6" fillId="0" borderId="0" xfId="0" applyFont="1"/>
    <xf numFmtId="0" fontId="0" fillId="5" borderId="0" xfId="0" applyFill="1"/>
    <xf numFmtId="0" fontId="9" fillId="0" borderId="0" xfId="1" applyFont="1"/>
    <xf numFmtId="0" fontId="9" fillId="0" borderId="0" xfId="0" applyFont="1"/>
    <xf numFmtId="0" fontId="10" fillId="0" borderId="0" xfId="0" applyFont="1"/>
    <xf numFmtId="0" fontId="10" fillId="3" borderId="0" xfId="0" applyFont="1" applyFill="1"/>
    <xf numFmtId="14" fontId="5" fillId="0" borderId="3" xfId="0" applyNumberFormat="1" applyFont="1" applyBorder="1"/>
    <xf numFmtId="164" fontId="0" fillId="0" borderId="0" xfId="0" applyNumberFormat="1"/>
    <xf numFmtId="164" fontId="5" fillId="0" borderId="0" xfId="0" applyNumberFormat="1" applyFont="1"/>
    <xf numFmtId="164" fontId="5" fillId="3" borderId="0" xfId="0" applyNumberFormat="1" applyFont="1" applyFill="1"/>
    <xf numFmtId="0" fontId="11" fillId="0" borderId="0" xfId="0" applyFont="1"/>
    <xf numFmtId="18" fontId="0" fillId="0" borderId="0" xfId="0" applyNumberFormat="1"/>
    <xf numFmtId="165" fontId="0" fillId="0" borderId="0" xfId="0" applyNumberFormat="1"/>
    <xf numFmtId="0" fontId="0" fillId="6" borderId="0" xfId="0" applyFill="1"/>
    <xf numFmtId="0" fontId="0" fillId="7" borderId="0" xfId="0" applyFill="1"/>
    <xf numFmtId="166" fontId="0" fillId="0" borderId="0" xfId="0" applyNumberFormat="1"/>
    <xf numFmtId="0" fontId="0" fillId="8" borderId="0" xfId="0" applyFill="1"/>
    <xf numFmtId="0" fontId="0" fillId="9" borderId="0" xfId="0" applyFill="1"/>
  </cellXfs>
  <cellStyles count="2">
    <cellStyle name="Hyperlink" xfId="1" builtinId="8"/>
    <cellStyle name="Normal" xfId="0" builtinId="0"/>
  </cellStyles>
  <dxfs count="23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9" tint="-0.249977111117893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numFmt numFmtId="166" formatCode="[$-F800]dddd\,\ mmmm\ dd\,\ yyyy"/>
    </dxf>
    <dxf>
      <numFmt numFmtId="166" formatCode="[$-F800]dddd\,\ mmmm\ dd\,\ yyyy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4" formatCode="_-&quot;Ksh&quot;* #,##0.00_-;\-&quot;Ksh&quot;* #,##0.00_-;_-&quot;Ksh&quot;* &quot;-&quot;??_-;_-@_-"/>
    </dxf>
    <dxf>
      <numFmt numFmtId="19" formatCode="dd/mm/yyyy"/>
    </dxf>
    <dxf>
      <numFmt numFmtId="0" formatCode="General"/>
    </dxf>
    <dxf>
      <numFmt numFmtId="165" formatCode="h:mm\ AM/PM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</dxfs>
  <tableStyles count="1" defaultTableStyle="TableStyleMedium2" defaultPivotStyle="PivotStyleLight16">
    <tableStyle name="Table Style 1" pivot="0" count="0" xr9:uid="{07E5D169-4315-4B43-BB37-CF62E3227AB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Profits Based on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Profits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K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'Summary Per Day'!$A$2:$A$58</c:f>
              <c:numCache>
                <c:formatCode>[$-F800]dddd\,\ mmmm\ dd\,\ yyyy</c:formatCode>
                <c:ptCount val="57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  <c:pt idx="5">
                  <c:v>45493</c:v>
                </c:pt>
                <c:pt idx="6">
                  <c:v>45494</c:v>
                </c:pt>
                <c:pt idx="7">
                  <c:v>45495</c:v>
                </c:pt>
                <c:pt idx="8">
                  <c:v>45496</c:v>
                </c:pt>
                <c:pt idx="9">
                  <c:v>45497</c:v>
                </c:pt>
                <c:pt idx="10">
                  <c:v>45498</c:v>
                </c:pt>
                <c:pt idx="11">
                  <c:v>45499</c:v>
                </c:pt>
                <c:pt idx="12">
                  <c:v>45500</c:v>
                </c:pt>
                <c:pt idx="13">
                  <c:v>45501</c:v>
                </c:pt>
                <c:pt idx="14">
                  <c:v>45502</c:v>
                </c:pt>
                <c:pt idx="15">
                  <c:v>45503</c:v>
                </c:pt>
                <c:pt idx="16">
                  <c:v>45504</c:v>
                </c:pt>
                <c:pt idx="17">
                  <c:v>45505</c:v>
                </c:pt>
                <c:pt idx="18">
                  <c:v>45506</c:v>
                </c:pt>
                <c:pt idx="19">
                  <c:v>45507</c:v>
                </c:pt>
                <c:pt idx="20">
                  <c:v>45508</c:v>
                </c:pt>
                <c:pt idx="21">
                  <c:v>45509</c:v>
                </c:pt>
                <c:pt idx="22">
                  <c:v>45510</c:v>
                </c:pt>
                <c:pt idx="23">
                  <c:v>45511</c:v>
                </c:pt>
                <c:pt idx="24">
                  <c:v>45512</c:v>
                </c:pt>
                <c:pt idx="25">
                  <c:v>45513</c:v>
                </c:pt>
                <c:pt idx="26">
                  <c:v>45514</c:v>
                </c:pt>
                <c:pt idx="27">
                  <c:v>45515</c:v>
                </c:pt>
                <c:pt idx="28">
                  <c:v>45516</c:v>
                </c:pt>
                <c:pt idx="29">
                  <c:v>45517</c:v>
                </c:pt>
                <c:pt idx="30">
                  <c:v>45518</c:v>
                </c:pt>
                <c:pt idx="31">
                  <c:v>45519</c:v>
                </c:pt>
                <c:pt idx="32">
                  <c:v>45520</c:v>
                </c:pt>
                <c:pt idx="33">
                  <c:v>45521</c:v>
                </c:pt>
                <c:pt idx="34">
                  <c:v>45522</c:v>
                </c:pt>
                <c:pt idx="35">
                  <c:v>45523</c:v>
                </c:pt>
                <c:pt idx="36">
                  <c:v>45524</c:v>
                </c:pt>
                <c:pt idx="37">
                  <c:v>45525</c:v>
                </c:pt>
                <c:pt idx="38">
                  <c:v>45526</c:v>
                </c:pt>
                <c:pt idx="39">
                  <c:v>45527</c:v>
                </c:pt>
                <c:pt idx="40">
                  <c:v>45528</c:v>
                </c:pt>
                <c:pt idx="41">
                  <c:v>45529</c:v>
                </c:pt>
                <c:pt idx="42">
                  <c:v>45530</c:v>
                </c:pt>
                <c:pt idx="43">
                  <c:v>45531</c:v>
                </c:pt>
                <c:pt idx="44">
                  <c:v>45532</c:v>
                </c:pt>
                <c:pt idx="45">
                  <c:v>45533</c:v>
                </c:pt>
                <c:pt idx="46">
                  <c:v>45534</c:v>
                </c:pt>
                <c:pt idx="47">
                  <c:v>45535</c:v>
                </c:pt>
                <c:pt idx="48">
                  <c:v>45536</c:v>
                </c:pt>
                <c:pt idx="49">
                  <c:v>45537</c:v>
                </c:pt>
                <c:pt idx="50">
                  <c:v>45538</c:v>
                </c:pt>
                <c:pt idx="51">
                  <c:v>45539</c:v>
                </c:pt>
                <c:pt idx="52">
                  <c:v>45540</c:v>
                </c:pt>
                <c:pt idx="53">
                  <c:v>45541</c:v>
                </c:pt>
                <c:pt idx="54">
                  <c:v>45542</c:v>
                </c:pt>
                <c:pt idx="55">
                  <c:v>45543</c:v>
                </c:pt>
                <c:pt idx="56">
                  <c:v>45544</c:v>
                </c:pt>
              </c:numCache>
            </c:numRef>
          </c:cat>
          <c:val>
            <c:numRef>
              <c:f>'Summary Per Day'!$D$2:$D$58</c:f>
              <c:numCache>
                <c:formatCode>General</c:formatCode>
                <c:ptCount val="57"/>
                <c:pt idx="0">
                  <c:v>#N/A</c:v>
                </c:pt>
                <c:pt idx="1">
                  <c:v>1116.0714285714287</c:v>
                </c:pt>
                <c:pt idx="2">
                  <c:v>428</c:v>
                </c:pt>
                <c:pt idx="3">
                  <c:v>642.86190476190473</c:v>
                </c:pt>
                <c:pt idx="4">
                  <c:v>532.82500000000005</c:v>
                </c:pt>
                <c:pt idx="5">
                  <c:v>1181.666666666667</c:v>
                </c:pt>
                <c:pt idx="6">
                  <c:v>720.62539682539682</c:v>
                </c:pt>
                <c:pt idx="7">
                  <c:v>803.96428571428567</c:v>
                </c:pt>
                <c:pt idx="8">
                  <c:v>825.9595238095236</c:v>
                </c:pt>
                <c:pt idx="9">
                  <c:v>875.80079365079359</c:v>
                </c:pt>
                <c:pt idx="10">
                  <c:v>706.71111111111111</c:v>
                </c:pt>
                <c:pt idx="11">
                  <c:v>545.12222222222215</c:v>
                </c:pt>
                <c:pt idx="12">
                  <c:v>881.05000000000007</c:v>
                </c:pt>
                <c:pt idx="13">
                  <c:v>956.6055555555555</c:v>
                </c:pt>
                <c:pt idx="14">
                  <c:v>660.83333333333326</c:v>
                </c:pt>
                <c:pt idx="15">
                  <c:v>812.95873015872996</c:v>
                </c:pt>
                <c:pt idx="16">
                  <c:v>1045.0809523809523</c:v>
                </c:pt>
                <c:pt idx="17">
                  <c:v>1605.6698412698415</c:v>
                </c:pt>
                <c:pt idx="18">
                  <c:v>692.03888888888901</c:v>
                </c:pt>
                <c:pt idx="19">
                  <c:v>1087.6119047619047</c:v>
                </c:pt>
                <c:pt idx="20">
                  <c:v>1030.7841269841269</c:v>
                </c:pt>
                <c:pt idx="21">
                  <c:v>875.50555555555547</c:v>
                </c:pt>
                <c:pt idx="22">
                  <c:v>564.4198412698413</c:v>
                </c:pt>
                <c:pt idx="23">
                  <c:v>1091.1365079365085</c:v>
                </c:pt>
                <c:pt idx="24">
                  <c:v>1017.8484126984126</c:v>
                </c:pt>
                <c:pt idx="25">
                  <c:v>1381.5642857142866</c:v>
                </c:pt>
                <c:pt idx="26">
                  <c:v>775.16666666666663</c:v>
                </c:pt>
                <c:pt idx="27">
                  <c:v>603</c:v>
                </c:pt>
                <c:pt idx="28">
                  <c:v>753.85317460317458</c:v>
                </c:pt>
                <c:pt idx="29">
                  <c:v>1071.8007936507934</c:v>
                </c:pt>
                <c:pt idx="30">
                  <c:v>865.95952380952406</c:v>
                </c:pt>
                <c:pt idx="31">
                  <c:v>695.63333333333344</c:v>
                </c:pt>
                <c:pt idx="32">
                  <c:v>856.20634920634927</c:v>
                </c:pt>
                <c:pt idx="33">
                  <c:v>462.26428571428568</c:v>
                </c:pt>
                <c:pt idx="34">
                  <c:v>746.09999999999991</c:v>
                </c:pt>
                <c:pt idx="35">
                  <c:v>1240.6666666666665</c:v>
                </c:pt>
                <c:pt idx="36">
                  <c:v>624.08095238095245</c:v>
                </c:pt>
                <c:pt idx="37">
                  <c:v>888.58412698412701</c:v>
                </c:pt>
                <c:pt idx="38">
                  <c:v>960.54761904761904</c:v>
                </c:pt>
                <c:pt idx="39">
                  <c:v>915.91666666666663</c:v>
                </c:pt>
                <c:pt idx="40">
                  <c:v>1249.3833333333334</c:v>
                </c:pt>
                <c:pt idx="41">
                  <c:v>1150.3333333333335</c:v>
                </c:pt>
                <c:pt idx="42">
                  <c:v>1162.652380952381</c:v>
                </c:pt>
                <c:pt idx="43">
                  <c:v>1232.0063492063493</c:v>
                </c:pt>
                <c:pt idx="44">
                  <c:v>1039.6142857142856</c:v>
                </c:pt>
                <c:pt idx="45">
                  <c:v>973.48650793650802</c:v>
                </c:pt>
                <c:pt idx="46">
                  <c:v>759.25</c:v>
                </c:pt>
                <c:pt idx="47">
                  <c:v>801.90952380952365</c:v>
                </c:pt>
                <c:pt idx="48">
                  <c:v>747.59722222222217</c:v>
                </c:pt>
                <c:pt idx="49">
                  <c:v>941.87857142857126</c:v>
                </c:pt>
                <c:pt idx="50">
                  <c:v>505.85</c:v>
                </c:pt>
                <c:pt idx="51">
                  <c:v>876.7150793650793</c:v>
                </c:pt>
                <c:pt idx="52">
                  <c:v>540.72222222222217</c:v>
                </c:pt>
                <c:pt idx="53">
                  <c:v>626.9785714285714</c:v>
                </c:pt>
                <c:pt idx="54">
                  <c:v>973.50000000000011</c:v>
                </c:pt>
                <c:pt idx="55">
                  <c:v>1082.5420634920636</c:v>
                </c:pt>
                <c:pt idx="56">
                  <c:v>728.78412698412683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B-4D81-903E-1E9B4AF874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30338256"/>
        <c:axId val="730331184"/>
      </c:barChart>
      <c:dateAx>
        <c:axId val="730338256"/>
        <c:scaling>
          <c:orientation val="minMax"/>
        </c:scaling>
        <c:delete val="0"/>
        <c:axPos val="b"/>
        <c:numFmt formatCode="[$-F800]dddd\,\ mmmm\ dd\,\ 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730331184"/>
        <c:crosses val="autoZero"/>
        <c:auto val="1"/>
        <c:lblOffset val="100"/>
        <c:baseTimeUnit val="days"/>
      </c:dateAx>
      <c:valAx>
        <c:axId val="730331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3033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in Cash, Mpesa, Credit vs Date</a:t>
            </a:r>
          </a:p>
        </c:rich>
      </c:tx>
      <c:layout>
        <c:manualLayout>
          <c:xMode val="edge"/>
          <c:yMode val="edge"/>
          <c:x val="0.22380094484058902"/>
          <c:y val="2.44648396589819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Mpesa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'Summary Per Day'!$A$2:$A$58</c:f>
              <c:numCache>
                <c:formatCode>[$-F800]dddd\,\ mmmm\ dd\,\ yyyy</c:formatCode>
                <c:ptCount val="57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  <c:pt idx="5">
                  <c:v>45493</c:v>
                </c:pt>
                <c:pt idx="6">
                  <c:v>45494</c:v>
                </c:pt>
                <c:pt idx="7">
                  <c:v>45495</c:v>
                </c:pt>
                <c:pt idx="8">
                  <c:v>45496</c:v>
                </c:pt>
                <c:pt idx="9">
                  <c:v>45497</c:v>
                </c:pt>
                <c:pt idx="10">
                  <c:v>45498</c:v>
                </c:pt>
                <c:pt idx="11">
                  <c:v>45499</c:v>
                </c:pt>
                <c:pt idx="12">
                  <c:v>45500</c:v>
                </c:pt>
                <c:pt idx="13">
                  <c:v>45501</c:v>
                </c:pt>
                <c:pt idx="14">
                  <c:v>45502</c:v>
                </c:pt>
                <c:pt idx="15">
                  <c:v>45503</c:v>
                </c:pt>
                <c:pt idx="16">
                  <c:v>45504</c:v>
                </c:pt>
                <c:pt idx="17">
                  <c:v>45505</c:v>
                </c:pt>
                <c:pt idx="18">
                  <c:v>45506</c:v>
                </c:pt>
                <c:pt idx="19">
                  <c:v>45507</c:v>
                </c:pt>
                <c:pt idx="20">
                  <c:v>45508</c:v>
                </c:pt>
                <c:pt idx="21">
                  <c:v>45509</c:v>
                </c:pt>
                <c:pt idx="22">
                  <c:v>45510</c:v>
                </c:pt>
                <c:pt idx="23">
                  <c:v>45511</c:v>
                </c:pt>
                <c:pt idx="24">
                  <c:v>45512</c:v>
                </c:pt>
                <c:pt idx="25">
                  <c:v>45513</c:v>
                </c:pt>
                <c:pt idx="26">
                  <c:v>45514</c:v>
                </c:pt>
                <c:pt idx="27">
                  <c:v>45515</c:v>
                </c:pt>
                <c:pt idx="28">
                  <c:v>45516</c:v>
                </c:pt>
                <c:pt idx="29">
                  <c:v>45517</c:v>
                </c:pt>
                <c:pt idx="30">
                  <c:v>45518</c:v>
                </c:pt>
                <c:pt idx="31">
                  <c:v>45519</c:v>
                </c:pt>
                <c:pt idx="32">
                  <c:v>45520</c:v>
                </c:pt>
                <c:pt idx="33">
                  <c:v>45521</c:v>
                </c:pt>
                <c:pt idx="34">
                  <c:v>45522</c:v>
                </c:pt>
                <c:pt idx="35">
                  <c:v>45523</c:v>
                </c:pt>
                <c:pt idx="36">
                  <c:v>45524</c:v>
                </c:pt>
                <c:pt idx="37">
                  <c:v>45525</c:v>
                </c:pt>
                <c:pt idx="38">
                  <c:v>45526</c:v>
                </c:pt>
                <c:pt idx="39">
                  <c:v>45527</c:v>
                </c:pt>
                <c:pt idx="40">
                  <c:v>45528</c:v>
                </c:pt>
                <c:pt idx="41">
                  <c:v>45529</c:v>
                </c:pt>
                <c:pt idx="42">
                  <c:v>45530</c:v>
                </c:pt>
                <c:pt idx="43">
                  <c:v>45531</c:v>
                </c:pt>
                <c:pt idx="44">
                  <c:v>45532</c:v>
                </c:pt>
                <c:pt idx="45">
                  <c:v>45533</c:v>
                </c:pt>
                <c:pt idx="46">
                  <c:v>45534</c:v>
                </c:pt>
                <c:pt idx="47">
                  <c:v>45535</c:v>
                </c:pt>
                <c:pt idx="48">
                  <c:v>45536</c:v>
                </c:pt>
                <c:pt idx="49">
                  <c:v>45537</c:v>
                </c:pt>
                <c:pt idx="50">
                  <c:v>45538</c:v>
                </c:pt>
                <c:pt idx="51">
                  <c:v>45539</c:v>
                </c:pt>
                <c:pt idx="52">
                  <c:v>45540</c:v>
                </c:pt>
                <c:pt idx="53">
                  <c:v>45541</c:v>
                </c:pt>
                <c:pt idx="54">
                  <c:v>45542</c:v>
                </c:pt>
                <c:pt idx="55">
                  <c:v>45543</c:v>
                </c:pt>
                <c:pt idx="56">
                  <c:v>45544</c:v>
                </c:pt>
              </c:numCache>
            </c:numRef>
          </c:cat>
          <c:val>
            <c:numRef>
              <c:f>'Summary Per Day'!$E$2:$E$58</c:f>
              <c:numCache>
                <c:formatCode>General</c:formatCode>
                <c:ptCount val="57"/>
                <c:pt idx="0">
                  <c:v>605</c:v>
                </c:pt>
                <c:pt idx="1">
                  <c:v>2235</c:v>
                </c:pt>
                <c:pt idx="2">
                  <c:v>435</c:v>
                </c:pt>
                <c:pt idx="3">
                  <c:v>870</c:v>
                </c:pt>
                <c:pt idx="4">
                  <c:v>1365</c:v>
                </c:pt>
                <c:pt idx="5">
                  <c:v>2560</c:v>
                </c:pt>
                <c:pt idx="6">
                  <c:v>1100</c:v>
                </c:pt>
                <c:pt idx="7">
                  <c:v>860</c:v>
                </c:pt>
                <c:pt idx="8">
                  <c:v>1510</c:v>
                </c:pt>
                <c:pt idx="9">
                  <c:v>2090</c:v>
                </c:pt>
                <c:pt idx="10">
                  <c:v>1095</c:v>
                </c:pt>
                <c:pt idx="11">
                  <c:v>1190</c:v>
                </c:pt>
                <c:pt idx="12">
                  <c:v>1965</c:v>
                </c:pt>
                <c:pt idx="13">
                  <c:v>1495</c:v>
                </c:pt>
                <c:pt idx="14">
                  <c:v>1895</c:v>
                </c:pt>
                <c:pt idx="15">
                  <c:v>1630</c:v>
                </c:pt>
                <c:pt idx="16">
                  <c:v>2590</c:v>
                </c:pt>
                <c:pt idx="17">
                  <c:v>3585</c:v>
                </c:pt>
                <c:pt idx="18">
                  <c:v>1410</c:v>
                </c:pt>
                <c:pt idx="19">
                  <c:v>2650</c:v>
                </c:pt>
                <c:pt idx="20">
                  <c:v>1525</c:v>
                </c:pt>
                <c:pt idx="21">
                  <c:v>1465</c:v>
                </c:pt>
                <c:pt idx="22">
                  <c:v>590</c:v>
                </c:pt>
                <c:pt idx="23">
                  <c:v>1770</c:v>
                </c:pt>
                <c:pt idx="24">
                  <c:v>2550</c:v>
                </c:pt>
                <c:pt idx="25">
                  <c:v>1695</c:v>
                </c:pt>
                <c:pt idx="26">
                  <c:v>1720</c:v>
                </c:pt>
                <c:pt idx="27">
                  <c:v>720</c:v>
                </c:pt>
                <c:pt idx="28">
                  <c:v>1155</c:v>
                </c:pt>
                <c:pt idx="29">
                  <c:v>920</c:v>
                </c:pt>
                <c:pt idx="30">
                  <c:v>1520</c:v>
                </c:pt>
                <c:pt idx="31">
                  <c:v>1855</c:v>
                </c:pt>
                <c:pt idx="32">
                  <c:v>1560</c:v>
                </c:pt>
                <c:pt idx="33">
                  <c:v>705</c:v>
                </c:pt>
                <c:pt idx="34">
                  <c:v>2260</c:v>
                </c:pt>
                <c:pt idx="35">
                  <c:v>2010</c:v>
                </c:pt>
                <c:pt idx="36">
                  <c:v>2140</c:v>
                </c:pt>
                <c:pt idx="37">
                  <c:v>1980</c:v>
                </c:pt>
                <c:pt idx="38">
                  <c:v>2180</c:v>
                </c:pt>
                <c:pt idx="39">
                  <c:v>2082.5</c:v>
                </c:pt>
                <c:pt idx="40">
                  <c:v>2812.5</c:v>
                </c:pt>
                <c:pt idx="41">
                  <c:v>2340</c:v>
                </c:pt>
                <c:pt idx="42">
                  <c:v>2095</c:v>
                </c:pt>
                <c:pt idx="43">
                  <c:v>3115</c:v>
                </c:pt>
                <c:pt idx="44">
                  <c:v>1685</c:v>
                </c:pt>
                <c:pt idx="45">
                  <c:v>2095</c:v>
                </c:pt>
                <c:pt idx="46">
                  <c:v>1915</c:v>
                </c:pt>
                <c:pt idx="47">
                  <c:v>2220</c:v>
                </c:pt>
                <c:pt idx="48">
                  <c:v>1365</c:v>
                </c:pt>
                <c:pt idx="49">
                  <c:v>1145</c:v>
                </c:pt>
                <c:pt idx="50">
                  <c:v>1170</c:v>
                </c:pt>
                <c:pt idx="51">
                  <c:v>1450</c:v>
                </c:pt>
                <c:pt idx="52">
                  <c:v>925</c:v>
                </c:pt>
                <c:pt idx="53">
                  <c:v>1500</c:v>
                </c:pt>
                <c:pt idx="54">
                  <c:v>1195</c:v>
                </c:pt>
                <c:pt idx="55">
                  <c:v>2205</c:v>
                </c:pt>
                <c:pt idx="56">
                  <c:v>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79-4F74-B5D5-777330A40BC9}"/>
            </c:ext>
          </c:extLst>
        </c:ser>
        <c:ser>
          <c:idx val="4"/>
          <c:order val="1"/>
          <c:tx>
            <c:v>Cash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'Summary Per Day'!$A$2:$A$58</c:f>
              <c:numCache>
                <c:formatCode>[$-F800]dddd\,\ mmmm\ dd\,\ yyyy</c:formatCode>
                <c:ptCount val="57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  <c:pt idx="5">
                  <c:v>45493</c:v>
                </c:pt>
                <c:pt idx="6">
                  <c:v>45494</c:v>
                </c:pt>
                <c:pt idx="7">
                  <c:v>45495</c:v>
                </c:pt>
                <c:pt idx="8">
                  <c:v>45496</c:v>
                </c:pt>
                <c:pt idx="9">
                  <c:v>45497</c:v>
                </c:pt>
                <c:pt idx="10">
                  <c:v>45498</c:v>
                </c:pt>
                <c:pt idx="11">
                  <c:v>45499</c:v>
                </c:pt>
                <c:pt idx="12">
                  <c:v>45500</c:v>
                </c:pt>
                <c:pt idx="13">
                  <c:v>45501</c:v>
                </c:pt>
                <c:pt idx="14">
                  <c:v>45502</c:v>
                </c:pt>
                <c:pt idx="15">
                  <c:v>45503</c:v>
                </c:pt>
                <c:pt idx="16">
                  <c:v>45504</c:v>
                </c:pt>
                <c:pt idx="17">
                  <c:v>45505</c:v>
                </c:pt>
                <c:pt idx="18">
                  <c:v>45506</c:v>
                </c:pt>
                <c:pt idx="19">
                  <c:v>45507</c:v>
                </c:pt>
                <c:pt idx="20">
                  <c:v>45508</c:v>
                </c:pt>
                <c:pt idx="21">
                  <c:v>45509</c:v>
                </c:pt>
                <c:pt idx="22">
                  <c:v>45510</c:v>
                </c:pt>
                <c:pt idx="23">
                  <c:v>45511</c:v>
                </c:pt>
                <c:pt idx="24">
                  <c:v>45512</c:v>
                </c:pt>
                <c:pt idx="25">
                  <c:v>45513</c:v>
                </c:pt>
                <c:pt idx="26">
                  <c:v>45514</c:v>
                </c:pt>
                <c:pt idx="27">
                  <c:v>45515</c:v>
                </c:pt>
                <c:pt idx="28">
                  <c:v>45516</c:v>
                </c:pt>
                <c:pt idx="29">
                  <c:v>45517</c:v>
                </c:pt>
                <c:pt idx="30">
                  <c:v>45518</c:v>
                </c:pt>
                <c:pt idx="31">
                  <c:v>45519</c:v>
                </c:pt>
                <c:pt idx="32">
                  <c:v>45520</c:v>
                </c:pt>
                <c:pt idx="33">
                  <c:v>45521</c:v>
                </c:pt>
                <c:pt idx="34">
                  <c:v>45522</c:v>
                </c:pt>
                <c:pt idx="35">
                  <c:v>45523</c:v>
                </c:pt>
                <c:pt idx="36">
                  <c:v>45524</c:v>
                </c:pt>
                <c:pt idx="37">
                  <c:v>45525</c:v>
                </c:pt>
                <c:pt idx="38">
                  <c:v>45526</c:v>
                </c:pt>
                <c:pt idx="39">
                  <c:v>45527</c:v>
                </c:pt>
                <c:pt idx="40">
                  <c:v>45528</c:v>
                </c:pt>
                <c:pt idx="41">
                  <c:v>45529</c:v>
                </c:pt>
                <c:pt idx="42">
                  <c:v>45530</c:v>
                </c:pt>
                <c:pt idx="43">
                  <c:v>45531</c:v>
                </c:pt>
                <c:pt idx="44">
                  <c:v>45532</c:v>
                </c:pt>
                <c:pt idx="45">
                  <c:v>45533</c:v>
                </c:pt>
                <c:pt idx="46">
                  <c:v>45534</c:v>
                </c:pt>
                <c:pt idx="47">
                  <c:v>45535</c:v>
                </c:pt>
                <c:pt idx="48">
                  <c:v>45536</c:v>
                </c:pt>
                <c:pt idx="49">
                  <c:v>45537</c:v>
                </c:pt>
                <c:pt idx="50">
                  <c:v>45538</c:v>
                </c:pt>
                <c:pt idx="51">
                  <c:v>45539</c:v>
                </c:pt>
                <c:pt idx="52">
                  <c:v>45540</c:v>
                </c:pt>
                <c:pt idx="53">
                  <c:v>45541</c:v>
                </c:pt>
                <c:pt idx="54">
                  <c:v>45542</c:v>
                </c:pt>
                <c:pt idx="55">
                  <c:v>45543</c:v>
                </c:pt>
                <c:pt idx="56">
                  <c:v>45544</c:v>
                </c:pt>
              </c:numCache>
            </c:numRef>
          </c:cat>
          <c:val>
            <c:numRef>
              <c:f>'Summary Per Day'!$F$2:$F$58</c:f>
              <c:numCache>
                <c:formatCode>General</c:formatCode>
                <c:ptCount val="57"/>
                <c:pt idx="0">
                  <c:v>325</c:v>
                </c:pt>
                <c:pt idx="1">
                  <c:v>1720</c:v>
                </c:pt>
                <c:pt idx="2">
                  <c:v>595</c:v>
                </c:pt>
                <c:pt idx="3">
                  <c:v>480</c:v>
                </c:pt>
                <c:pt idx="4">
                  <c:v>815</c:v>
                </c:pt>
                <c:pt idx="5">
                  <c:v>675</c:v>
                </c:pt>
                <c:pt idx="6">
                  <c:v>495</c:v>
                </c:pt>
                <c:pt idx="7">
                  <c:v>1015</c:v>
                </c:pt>
                <c:pt idx="8">
                  <c:v>1190</c:v>
                </c:pt>
                <c:pt idx="9">
                  <c:v>945</c:v>
                </c:pt>
                <c:pt idx="10">
                  <c:v>905</c:v>
                </c:pt>
                <c:pt idx="11">
                  <c:v>945</c:v>
                </c:pt>
                <c:pt idx="12">
                  <c:v>1405</c:v>
                </c:pt>
                <c:pt idx="13">
                  <c:v>1165</c:v>
                </c:pt>
                <c:pt idx="14">
                  <c:v>260</c:v>
                </c:pt>
                <c:pt idx="15">
                  <c:v>635</c:v>
                </c:pt>
                <c:pt idx="16">
                  <c:v>960</c:v>
                </c:pt>
                <c:pt idx="17">
                  <c:v>1170</c:v>
                </c:pt>
                <c:pt idx="18">
                  <c:v>970</c:v>
                </c:pt>
                <c:pt idx="19">
                  <c:v>1790</c:v>
                </c:pt>
                <c:pt idx="20">
                  <c:v>1170</c:v>
                </c:pt>
                <c:pt idx="21">
                  <c:v>570</c:v>
                </c:pt>
                <c:pt idx="22">
                  <c:v>415</c:v>
                </c:pt>
                <c:pt idx="23">
                  <c:v>1415</c:v>
                </c:pt>
                <c:pt idx="24">
                  <c:v>785</c:v>
                </c:pt>
                <c:pt idx="25">
                  <c:v>927.5</c:v>
                </c:pt>
                <c:pt idx="26">
                  <c:v>955</c:v>
                </c:pt>
                <c:pt idx="27">
                  <c:v>740</c:v>
                </c:pt>
                <c:pt idx="28">
                  <c:v>1465</c:v>
                </c:pt>
                <c:pt idx="29">
                  <c:v>1870</c:v>
                </c:pt>
                <c:pt idx="30">
                  <c:v>1290</c:v>
                </c:pt>
                <c:pt idx="31">
                  <c:v>860</c:v>
                </c:pt>
                <c:pt idx="32">
                  <c:v>1250</c:v>
                </c:pt>
                <c:pt idx="33">
                  <c:v>584.5</c:v>
                </c:pt>
                <c:pt idx="34">
                  <c:v>210</c:v>
                </c:pt>
                <c:pt idx="35">
                  <c:v>732.5</c:v>
                </c:pt>
                <c:pt idx="36">
                  <c:v>550</c:v>
                </c:pt>
                <c:pt idx="37">
                  <c:v>1365</c:v>
                </c:pt>
                <c:pt idx="38">
                  <c:v>1075</c:v>
                </c:pt>
                <c:pt idx="39">
                  <c:v>925</c:v>
                </c:pt>
                <c:pt idx="40">
                  <c:v>1450</c:v>
                </c:pt>
                <c:pt idx="41">
                  <c:v>1125</c:v>
                </c:pt>
                <c:pt idx="42">
                  <c:v>1210</c:v>
                </c:pt>
                <c:pt idx="43">
                  <c:v>1150</c:v>
                </c:pt>
                <c:pt idx="44">
                  <c:v>2025</c:v>
                </c:pt>
                <c:pt idx="45">
                  <c:v>1130</c:v>
                </c:pt>
                <c:pt idx="46">
                  <c:v>640</c:v>
                </c:pt>
                <c:pt idx="47">
                  <c:v>820</c:v>
                </c:pt>
                <c:pt idx="48">
                  <c:v>595</c:v>
                </c:pt>
                <c:pt idx="49">
                  <c:v>790</c:v>
                </c:pt>
                <c:pt idx="50">
                  <c:v>550</c:v>
                </c:pt>
                <c:pt idx="51">
                  <c:v>960</c:v>
                </c:pt>
                <c:pt idx="52">
                  <c:v>1080</c:v>
                </c:pt>
                <c:pt idx="53">
                  <c:v>630</c:v>
                </c:pt>
                <c:pt idx="54">
                  <c:v>515</c:v>
                </c:pt>
                <c:pt idx="55">
                  <c:v>1265</c:v>
                </c:pt>
                <c:pt idx="56">
                  <c:v>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79-4F74-B5D5-777330A40BC9}"/>
            </c:ext>
          </c:extLst>
        </c:ser>
        <c:ser>
          <c:idx val="5"/>
          <c:order val="2"/>
          <c:tx>
            <c:v>Credit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'Summary Per Day'!$A$2:$A$58</c:f>
              <c:numCache>
                <c:formatCode>[$-F800]dddd\,\ mmmm\ dd\,\ yyyy</c:formatCode>
                <c:ptCount val="57"/>
                <c:pt idx="0">
                  <c:v>45488</c:v>
                </c:pt>
                <c:pt idx="1">
                  <c:v>45489</c:v>
                </c:pt>
                <c:pt idx="2">
                  <c:v>45490</c:v>
                </c:pt>
                <c:pt idx="3">
                  <c:v>45491</c:v>
                </c:pt>
                <c:pt idx="4">
                  <c:v>45492</c:v>
                </c:pt>
                <c:pt idx="5">
                  <c:v>45493</c:v>
                </c:pt>
                <c:pt idx="6">
                  <c:v>45494</c:v>
                </c:pt>
                <c:pt idx="7">
                  <c:v>45495</c:v>
                </c:pt>
                <c:pt idx="8">
                  <c:v>45496</c:v>
                </c:pt>
                <c:pt idx="9">
                  <c:v>45497</c:v>
                </c:pt>
                <c:pt idx="10">
                  <c:v>45498</c:v>
                </c:pt>
                <c:pt idx="11">
                  <c:v>45499</c:v>
                </c:pt>
                <c:pt idx="12">
                  <c:v>45500</c:v>
                </c:pt>
                <c:pt idx="13">
                  <c:v>45501</c:v>
                </c:pt>
                <c:pt idx="14">
                  <c:v>45502</c:v>
                </c:pt>
                <c:pt idx="15">
                  <c:v>45503</c:v>
                </c:pt>
                <c:pt idx="16">
                  <c:v>45504</c:v>
                </c:pt>
                <c:pt idx="17">
                  <c:v>45505</c:v>
                </c:pt>
                <c:pt idx="18">
                  <c:v>45506</c:v>
                </c:pt>
                <c:pt idx="19">
                  <c:v>45507</c:v>
                </c:pt>
                <c:pt idx="20">
                  <c:v>45508</c:v>
                </c:pt>
                <c:pt idx="21">
                  <c:v>45509</c:v>
                </c:pt>
                <c:pt idx="22">
                  <c:v>45510</c:v>
                </c:pt>
                <c:pt idx="23">
                  <c:v>45511</c:v>
                </c:pt>
                <c:pt idx="24">
                  <c:v>45512</c:v>
                </c:pt>
                <c:pt idx="25">
                  <c:v>45513</c:v>
                </c:pt>
                <c:pt idx="26">
                  <c:v>45514</c:v>
                </c:pt>
                <c:pt idx="27">
                  <c:v>45515</c:v>
                </c:pt>
                <c:pt idx="28">
                  <c:v>45516</c:v>
                </c:pt>
                <c:pt idx="29">
                  <c:v>45517</c:v>
                </c:pt>
                <c:pt idx="30">
                  <c:v>45518</c:v>
                </c:pt>
                <c:pt idx="31">
                  <c:v>45519</c:v>
                </c:pt>
                <c:pt idx="32">
                  <c:v>45520</c:v>
                </c:pt>
                <c:pt idx="33">
                  <c:v>45521</c:v>
                </c:pt>
                <c:pt idx="34">
                  <c:v>45522</c:v>
                </c:pt>
                <c:pt idx="35">
                  <c:v>45523</c:v>
                </c:pt>
                <c:pt idx="36">
                  <c:v>45524</c:v>
                </c:pt>
                <c:pt idx="37">
                  <c:v>45525</c:v>
                </c:pt>
                <c:pt idx="38">
                  <c:v>45526</c:v>
                </c:pt>
                <c:pt idx="39">
                  <c:v>45527</c:v>
                </c:pt>
                <c:pt idx="40">
                  <c:v>45528</c:v>
                </c:pt>
                <c:pt idx="41">
                  <c:v>45529</c:v>
                </c:pt>
                <c:pt idx="42">
                  <c:v>45530</c:v>
                </c:pt>
                <c:pt idx="43">
                  <c:v>45531</c:v>
                </c:pt>
                <c:pt idx="44">
                  <c:v>45532</c:v>
                </c:pt>
                <c:pt idx="45">
                  <c:v>45533</c:v>
                </c:pt>
                <c:pt idx="46">
                  <c:v>45534</c:v>
                </c:pt>
                <c:pt idx="47">
                  <c:v>45535</c:v>
                </c:pt>
                <c:pt idx="48">
                  <c:v>45536</c:v>
                </c:pt>
                <c:pt idx="49">
                  <c:v>45537</c:v>
                </c:pt>
                <c:pt idx="50">
                  <c:v>45538</c:v>
                </c:pt>
                <c:pt idx="51">
                  <c:v>45539</c:v>
                </c:pt>
                <c:pt idx="52">
                  <c:v>45540</c:v>
                </c:pt>
                <c:pt idx="53">
                  <c:v>45541</c:v>
                </c:pt>
                <c:pt idx="54">
                  <c:v>45542</c:v>
                </c:pt>
                <c:pt idx="55">
                  <c:v>45543</c:v>
                </c:pt>
                <c:pt idx="56">
                  <c:v>45544</c:v>
                </c:pt>
              </c:numCache>
            </c:numRef>
          </c:cat>
          <c:val>
            <c:numRef>
              <c:f>'Summary Per Day'!$G$2:$G$58</c:f>
              <c:numCache>
                <c:formatCode>General</c:formatCode>
                <c:ptCount val="57"/>
                <c:pt idx="0">
                  <c:v>1050</c:v>
                </c:pt>
                <c:pt idx="1">
                  <c:v>820</c:v>
                </c:pt>
                <c:pt idx="2">
                  <c:v>680</c:v>
                </c:pt>
                <c:pt idx="3">
                  <c:v>1505</c:v>
                </c:pt>
                <c:pt idx="4">
                  <c:v>630</c:v>
                </c:pt>
                <c:pt idx="5">
                  <c:v>2290</c:v>
                </c:pt>
                <c:pt idx="6">
                  <c:v>1320</c:v>
                </c:pt>
                <c:pt idx="7">
                  <c:v>1540</c:v>
                </c:pt>
                <c:pt idx="8">
                  <c:v>1020</c:v>
                </c:pt>
                <c:pt idx="9">
                  <c:v>725</c:v>
                </c:pt>
                <c:pt idx="10">
                  <c:v>1235</c:v>
                </c:pt>
                <c:pt idx="11">
                  <c:v>230</c:v>
                </c:pt>
                <c:pt idx="12">
                  <c:v>625</c:v>
                </c:pt>
                <c:pt idx="13">
                  <c:v>1020</c:v>
                </c:pt>
                <c:pt idx="14">
                  <c:v>965</c:v>
                </c:pt>
                <c:pt idx="15">
                  <c:v>1205</c:v>
                </c:pt>
                <c:pt idx="16">
                  <c:v>990</c:v>
                </c:pt>
                <c:pt idx="17">
                  <c:v>1910</c:v>
                </c:pt>
                <c:pt idx="18">
                  <c:v>515</c:v>
                </c:pt>
                <c:pt idx="19">
                  <c:v>1345</c:v>
                </c:pt>
                <c:pt idx="20">
                  <c:v>1375</c:v>
                </c:pt>
                <c:pt idx="21">
                  <c:v>1722.5</c:v>
                </c:pt>
                <c:pt idx="22">
                  <c:v>1255</c:v>
                </c:pt>
                <c:pt idx="23">
                  <c:v>1770</c:v>
                </c:pt>
                <c:pt idx="24">
                  <c:v>1300</c:v>
                </c:pt>
                <c:pt idx="25">
                  <c:v>3867.5</c:v>
                </c:pt>
                <c:pt idx="26">
                  <c:v>1175</c:v>
                </c:pt>
                <c:pt idx="27">
                  <c:v>1275</c:v>
                </c:pt>
                <c:pt idx="28">
                  <c:v>800</c:v>
                </c:pt>
                <c:pt idx="29">
                  <c:v>2080</c:v>
                </c:pt>
                <c:pt idx="30">
                  <c:v>560</c:v>
                </c:pt>
                <c:pt idx="31">
                  <c:v>60</c:v>
                </c:pt>
                <c:pt idx="32">
                  <c:v>825</c:v>
                </c:pt>
                <c:pt idx="33">
                  <c:v>810</c:v>
                </c:pt>
                <c:pt idx="34">
                  <c:v>1215</c:v>
                </c:pt>
                <c:pt idx="35">
                  <c:v>2605</c:v>
                </c:pt>
                <c:pt idx="36">
                  <c:v>635</c:v>
                </c:pt>
                <c:pt idx="37">
                  <c:v>365</c:v>
                </c:pt>
                <c:pt idx="38">
                  <c:v>865</c:v>
                </c:pt>
                <c:pt idx="39">
                  <c:v>1110</c:v>
                </c:pt>
                <c:pt idx="40">
                  <c:v>1055</c:v>
                </c:pt>
                <c:pt idx="41">
                  <c:v>1485</c:v>
                </c:pt>
                <c:pt idx="42">
                  <c:v>2075</c:v>
                </c:pt>
                <c:pt idx="43">
                  <c:v>680</c:v>
                </c:pt>
                <c:pt idx="44">
                  <c:v>930</c:v>
                </c:pt>
                <c:pt idx="45">
                  <c:v>1085</c:v>
                </c:pt>
                <c:pt idx="46">
                  <c:v>510</c:v>
                </c:pt>
                <c:pt idx="47">
                  <c:v>480</c:v>
                </c:pt>
                <c:pt idx="48">
                  <c:v>1245</c:v>
                </c:pt>
                <c:pt idx="49">
                  <c:v>1756</c:v>
                </c:pt>
                <c:pt idx="50">
                  <c:v>695</c:v>
                </c:pt>
                <c:pt idx="51">
                  <c:v>1410</c:v>
                </c:pt>
                <c:pt idx="52">
                  <c:v>765</c:v>
                </c:pt>
                <c:pt idx="53">
                  <c:v>985</c:v>
                </c:pt>
                <c:pt idx="54">
                  <c:v>2290</c:v>
                </c:pt>
                <c:pt idx="55">
                  <c:v>1050</c:v>
                </c:pt>
                <c:pt idx="56">
                  <c:v>1050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79-4F74-B5D5-777330A40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967216"/>
        <c:axId val="796973456"/>
      </c:barChart>
      <c:dateAx>
        <c:axId val="796967216"/>
        <c:scaling>
          <c:orientation val="minMax"/>
        </c:scaling>
        <c:delete val="0"/>
        <c:axPos val="b"/>
        <c:numFmt formatCode="[$-F800]dddd\,\ mmmm\ dd\,\ 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796973456"/>
        <c:crosses val="autoZero"/>
        <c:auto val="1"/>
        <c:lblOffset val="100"/>
        <c:baseTimeUnit val="days"/>
      </c:dateAx>
      <c:valAx>
        <c:axId val="79697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79696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[Inventory data Project.xlsx]Time vs item sold!PivotTable8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item_sold by Transaction_mode</a:t>
            </a:r>
          </a:p>
        </c:rich>
      </c:tx>
      <c:layout>
        <c:manualLayout>
          <c:xMode val="edge"/>
          <c:yMode val="edge"/>
          <c:x val="0.11562264150943394"/>
          <c:y val="0.105460775736366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vs item sold'!$D$3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'Time vs item sold'!$A$4:$C$921</c:f>
              <c:multiLvlStrCache>
                <c:ptCount val="664"/>
                <c:lvl>
                  <c:pt idx="0">
                    <c:v>:38</c:v>
                  </c:pt>
                  <c:pt idx="1">
                    <c:v>:02</c:v>
                  </c:pt>
                  <c:pt idx="2">
                    <c:v>:32</c:v>
                  </c:pt>
                  <c:pt idx="3">
                    <c:v>:39</c:v>
                  </c:pt>
                  <c:pt idx="4">
                    <c:v>:40</c:v>
                  </c:pt>
                  <c:pt idx="5">
                    <c:v>:47</c:v>
                  </c:pt>
                  <c:pt idx="6">
                    <c:v>:41</c:v>
                  </c:pt>
                  <c:pt idx="7">
                    <c:v>:26</c:v>
                  </c:pt>
                  <c:pt idx="8">
                    <c:v>:41</c:v>
                  </c:pt>
                  <c:pt idx="9">
                    <c:v>:05</c:v>
                  </c:pt>
                  <c:pt idx="10">
                    <c:v>:22</c:v>
                  </c:pt>
                  <c:pt idx="11">
                    <c:v>:45</c:v>
                  </c:pt>
                  <c:pt idx="12">
                    <c:v>:30</c:v>
                  </c:pt>
                  <c:pt idx="13">
                    <c:v>:35</c:v>
                  </c:pt>
                  <c:pt idx="14">
                    <c:v>:23</c:v>
                  </c:pt>
                  <c:pt idx="15">
                    <c:v>:30</c:v>
                  </c:pt>
                  <c:pt idx="16">
                    <c:v>:55</c:v>
                  </c:pt>
                  <c:pt idx="17">
                    <c:v>:10</c:v>
                  </c:pt>
                  <c:pt idx="18">
                    <c:v>:38</c:v>
                  </c:pt>
                  <c:pt idx="19">
                    <c:v>:07</c:v>
                  </c:pt>
                  <c:pt idx="20">
                    <c:v>:30</c:v>
                  </c:pt>
                  <c:pt idx="21">
                    <c:v>:36</c:v>
                  </c:pt>
                  <c:pt idx="22">
                    <c:v>:02</c:v>
                  </c:pt>
                  <c:pt idx="23">
                    <c:v>:08</c:v>
                  </c:pt>
                  <c:pt idx="24">
                    <c:v>:10</c:v>
                  </c:pt>
                  <c:pt idx="25">
                    <c:v>:13</c:v>
                  </c:pt>
                  <c:pt idx="26">
                    <c:v>:00</c:v>
                  </c:pt>
                  <c:pt idx="27">
                    <c:v>:16</c:v>
                  </c:pt>
                  <c:pt idx="28">
                    <c:v>:02</c:v>
                  </c:pt>
                  <c:pt idx="29">
                    <c:v>:28</c:v>
                  </c:pt>
                  <c:pt idx="30">
                    <c:v>:29</c:v>
                  </c:pt>
                  <c:pt idx="31">
                    <c:v>:56</c:v>
                  </c:pt>
                  <c:pt idx="32">
                    <c:v>:13</c:v>
                  </c:pt>
                  <c:pt idx="33">
                    <c:v>:36</c:v>
                  </c:pt>
                  <c:pt idx="34">
                    <c:v>:44</c:v>
                  </c:pt>
                  <c:pt idx="35">
                    <c:v>:45</c:v>
                  </c:pt>
                  <c:pt idx="36">
                    <c:v>:46</c:v>
                  </c:pt>
                  <c:pt idx="37">
                    <c:v>:35</c:v>
                  </c:pt>
                  <c:pt idx="38">
                    <c:v>:53</c:v>
                  </c:pt>
                  <c:pt idx="39">
                    <c:v>:59</c:v>
                  </c:pt>
                  <c:pt idx="40">
                    <c:v>:26</c:v>
                  </c:pt>
                  <c:pt idx="41">
                    <c:v>:34</c:v>
                  </c:pt>
                  <c:pt idx="42">
                    <c:v>:35</c:v>
                  </c:pt>
                  <c:pt idx="43">
                    <c:v>:56</c:v>
                  </c:pt>
                  <c:pt idx="44">
                    <c:v>:40</c:v>
                  </c:pt>
                  <c:pt idx="45">
                    <c:v>:17</c:v>
                  </c:pt>
                  <c:pt idx="46">
                    <c:v>:49</c:v>
                  </c:pt>
                  <c:pt idx="47">
                    <c:v>:50</c:v>
                  </c:pt>
                  <c:pt idx="48">
                    <c:v>:21</c:v>
                  </c:pt>
                  <c:pt idx="49">
                    <c:v>:33</c:v>
                  </c:pt>
                  <c:pt idx="50">
                    <c:v>:45</c:v>
                  </c:pt>
                  <c:pt idx="51">
                    <c:v>:46</c:v>
                  </c:pt>
                  <c:pt idx="52">
                    <c:v>:24</c:v>
                  </c:pt>
                  <c:pt idx="53">
                    <c:v>:30</c:v>
                  </c:pt>
                  <c:pt idx="54">
                    <c:v>:33</c:v>
                  </c:pt>
                  <c:pt idx="55">
                    <c:v>:35</c:v>
                  </c:pt>
                  <c:pt idx="56">
                    <c:v>:36</c:v>
                  </c:pt>
                  <c:pt idx="57">
                    <c:v>:37</c:v>
                  </c:pt>
                  <c:pt idx="58">
                    <c:v>:38</c:v>
                  </c:pt>
                  <c:pt idx="59">
                    <c:v>:00</c:v>
                  </c:pt>
                  <c:pt idx="60">
                    <c:v>:01</c:v>
                  </c:pt>
                  <c:pt idx="61">
                    <c:v>:04</c:v>
                  </c:pt>
                  <c:pt idx="62">
                    <c:v>:08</c:v>
                  </c:pt>
                  <c:pt idx="63">
                    <c:v>:09</c:v>
                  </c:pt>
                  <c:pt idx="64">
                    <c:v>:19</c:v>
                  </c:pt>
                  <c:pt idx="65">
                    <c:v>:25</c:v>
                  </c:pt>
                  <c:pt idx="66">
                    <c:v>:30</c:v>
                  </c:pt>
                  <c:pt idx="67">
                    <c:v>:47</c:v>
                  </c:pt>
                  <c:pt idx="68">
                    <c:v>:02</c:v>
                  </c:pt>
                  <c:pt idx="69">
                    <c:v>:30</c:v>
                  </c:pt>
                  <c:pt idx="70">
                    <c:v>:19</c:v>
                  </c:pt>
                  <c:pt idx="71">
                    <c:v>:27</c:v>
                  </c:pt>
                  <c:pt idx="72">
                    <c:v>:37</c:v>
                  </c:pt>
                  <c:pt idx="73">
                    <c:v>:50</c:v>
                  </c:pt>
                  <c:pt idx="74">
                    <c:v>:20</c:v>
                  </c:pt>
                  <c:pt idx="75">
                    <c:v>:43</c:v>
                  </c:pt>
                  <c:pt idx="76">
                    <c:v>:11</c:v>
                  </c:pt>
                  <c:pt idx="77">
                    <c:v>:23</c:v>
                  </c:pt>
                  <c:pt idx="78">
                    <c:v>:34</c:v>
                  </c:pt>
                  <c:pt idx="79">
                    <c:v>:50</c:v>
                  </c:pt>
                  <c:pt idx="80">
                    <c:v>:05</c:v>
                  </c:pt>
                  <c:pt idx="81">
                    <c:v>:46</c:v>
                  </c:pt>
                  <c:pt idx="82">
                    <c:v>:14</c:v>
                  </c:pt>
                  <c:pt idx="83">
                    <c:v>:24</c:v>
                  </c:pt>
                  <c:pt idx="84">
                    <c:v>:07</c:v>
                  </c:pt>
                  <c:pt idx="85">
                    <c:v>:23</c:v>
                  </c:pt>
                  <c:pt idx="86">
                    <c:v>:25</c:v>
                  </c:pt>
                  <c:pt idx="87">
                    <c:v>:30</c:v>
                  </c:pt>
                  <c:pt idx="88">
                    <c:v>:26</c:v>
                  </c:pt>
                  <c:pt idx="89">
                    <c:v>:52</c:v>
                  </c:pt>
                  <c:pt idx="90">
                    <c:v>:20</c:v>
                  </c:pt>
                  <c:pt idx="91">
                    <c:v>:37</c:v>
                  </c:pt>
                  <c:pt idx="92">
                    <c:v>:26</c:v>
                  </c:pt>
                  <c:pt idx="93">
                    <c:v>:50</c:v>
                  </c:pt>
                  <c:pt idx="94">
                    <c:v>:56</c:v>
                  </c:pt>
                  <c:pt idx="95">
                    <c:v>:55</c:v>
                  </c:pt>
                  <c:pt idx="96">
                    <c:v>:02</c:v>
                  </c:pt>
                  <c:pt idx="97">
                    <c:v>:35</c:v>
                  </c:pt>
                  <c:pt idx="98">
                    <c:v>:55</c:v>
                  </c:pt>
                  <c:pt idx="99">
                    <c:v>:52</c:v>
                  </c:pt>
                  <c:pt idx="100">
                    <c:v>:27</c:v>
                  </c:pt>
                  <c:pt idx="101">
                    <c:v>:00</c:v>
                  </c:pt>
                  <c:pt idx="102">
                    <c:v>:32</c:v>
                  </c:pt>
                  <c:pt idx="103">
                    <c:v>:29</c:v>
                  </c:pt>
                  <c:pt idx="104">
                    <c:v>:05</c:v>
                  </c:pt>
                  <c:pt idx="105">
                    <c:v>:27</c:v>
                  </c:pt>
                  <c:pt idx="106">
                    <c:v>:37</c:v>
                  </c:pt>
                  <c:pt idx="107">
                    <c:v>:02</c:v>
                  </c:pt>
                  <c:pt idx="108">
                    <c:v>:03</c:v>
                  </c:pt>
                  <c:pt idx="109">
                    <c:v>:03</c:v>
                  </c:pt>
                  <c:pt idx="110">
                    <c:v>:43</c:v>
                  </c:pt>
                  <c:pt idx="111">
                    <c:v>:00</c:v>
                  </c:pt>
                  <c:pt idx="112">
                    <c:v>:02</c:v>
                  </c:pt>
                  <c:pt idx="113">
                    <c:v>:20</c:v>
                  </c:pt>
                  <c:pt idx="114">
                    <c:v>:22</c:v>
                  </c:pt>
                  <c:pt idx="115">
                    <c:v>:40</c:v>
                  </c:pt>
                  <c:pt idx="116">
                    <c:v>:36</c:v>
                  </c:pt>
                  <c:pt idx="117">
                    <c:v>:37</c:v>
                  </c:pt>
                  <c:pt idx="118">
                    <c:v>:44</c:v>
                  </c:pt>
                  <c:pt idx="119">
                    <c:v>:53</c:v>
                  </c:pt>
                  <c:pt idx="120">
                    <c:v>:00</c:v>
                  </c:pt>
                  <c:pt idx="121">
                    <c:v>:09</c:v>
                  </c:pt>
                  <c:pt idx="122">
                    <c:v>:27</c:v>
                  </c:pt>
                  <c:pt idx="123">
                    <c:v>:53</c:v>
                  </c:pt>
                  <c:pt idx="124">
                    <c:v>:11</c:v>
                  </c:pt>
                  <c:pt idx="125">
                    <c:v>:22</c:v>
                  </c:pt>
                  <c:pt idx="126">
                    <c:v>:57</c:v>
                  </c:pt>
                  <c:pt idx="127">
                    <c:v>:09</c:v>
                  </c:pt>
                  <c:pt idx="128">
                    <c:v>:48</c:v>
                  </c:pt>
                  <c:pt idx="129">
                    <c:v>:32</c:v>
                  </c:pt>
                  <c:pt idx="130">
                    <c:v>:21</c:v>
                  </c:pt>
                  <c:pt idx="131">
                    <c:v>:30</c:v>
                  </c:pt>
                  <c:pt idx="132">
                    <c:v>:02</c:v>
                  </c:pt>
                  <c:pt idx="133">
                    <c:v>:03</c:v>
                  </c:pt>
                  <c:pt idx="134">
                    <c:v>:12</c:v>
                  </c:pt>
                  <c:pt idx="135">
                    <c:v>:13</c:v>
                  </c:pt>
                  <c:pt idx="136">
                    <c:v>:28</c:v>
                  </c:pt>
                  <c:pt idx="137">
                    <c:v>:01</c:v>
                  </c:pt>
                  <c:pt idx="138">
                    <c:v>:07</c:v>
                  </c:pt>
                  <c:pt idx="139">
                    <c:v>:11</c:v>
                  </c:pt>
                  <c:pt idx="140">
                    <c:v>:59</c:v>
                  </c:pt>
                  <c:pt idx="141">
                    <c:v>:31</c:v>
                  </c:pt>
                  <c:pt idx="142">
                    <c:v>:44</c:v>
                  </c:pt>
                  <c:pt idx="143">
                    <c:v>:39</c:v>
                  </c:pt>
                  <c:pt idx="144">
                    <c:v>:44</c:v>
                  </c:pt>
                  <c:pt idx="145">
                    <c:v>:00</c:v>
                  </c:pt>
                  <c:pt idx="146">
                    <c:v>:13</c:v>
                  </c:pt>
                  <c:pt idx="147">
                    <c:v>:18</c:v>
                  </c:pt>
                  <c:pt idx="148">
                    <c:v>:20</c:v>
                  </c:pt>
                  <c:pt idx="149">
                    <c:v>:48</c:v>
                  </c:pt>
                  <c:pt idx="150">
                    <c:v>:52</c:v>
                  </c:pt>
                  <c:pt idx="151">
                    <c:v>:07</c:v>
                  </c:pt>
                  <c:pt idx="152">
                    <c:v>:18</c:v>
                  </c:pt>
                  <c:pt idx="153">
                    <c:v>:25</c:v>
                  </c:pt>
                  <c:pt idx="154">
                    <c:v>:44</c:v>
                  </c:pt>
                  <c:pt idx="155">
                    <c:v>:55</c:v>
                  </c:pt>
                  <c:pt idx="156">
                    <c:v>:54</c:v>
                  </c:pt>
                  <c:pt idx="157">
                    <c:v>:50</c:v>
                  </c:pt>
                  <c:pt idx="158">
                    <c:v>:56</c:v>
                  </c:pt>
                  <c:pt idx="159">
                    <c:v>:13</c:v>
                  </c:pt>
                  <c:pt idx="160">
                    <c:v>:14</c:v>
                  </c:pt>
                  <c:pt idx="161">
                    <c:v>:26</c:v>
                  </c:pt>
                  <c:pt idx="162">
                    <c:v>:48</c:v>
                  </c:pt>
                  <c:pt idx="163">
                    <c:v>:52</c:v>
                  </c:pt>
                  <c:pt idx="164">
                    <c:v>:09</c:v>
                  </c:pt>
                  <c:pt idx="165">
                    <c:v>:21</c:v>
                  </c:pt>
                  <c:pt idx="166">
                    <c:v>:42</c:v>
                  </c:pt>
                  <c:pt idx="167">
                    <c:v>:52</c:v>
                  </c:pt>
                  <c:pt idx="168">
                    <c:v>:02</c:v>
                  </c:pt>
                  <c:pt idx="169">
                    <c:v>:28</c:v>
                  </c:pt>
                  <c:pt idx="170">
                    <c:v>:47</c:v>
                  </c:pt>
                  <c:pt idx="171">
                    <c:v>:52</c:v>
                  </c:pt>
                  <c:pt idx="172">
                    <c:v>:14</c:v>
                  </c:pt>
                  <c:pt idx="173">
                    <c:v>:15</c:v>
                  </c:pt>
                  <c:pt idx="174">
                    <c:v>:42</c:v>
                  </c:pt>
                  <c:pt idx="175">
                    <c:v>:00</c:v>
                  </c:pt>
                  <c:pt idx="176">
                    <c:v>:16</c:v>
                  </c:pt>
                  <c:pt idx="177">
                    <c:v>:17</c:v>
                  </c:pt>
                  <c:pt idx="178">
                    <c:v>:31</c:v>
                  </c:pt>
                  <c:pt idx="179">
                    <c:v>:32</c:v>
                  </c:pt>
                  <c:pt idx="180">
                    <c:v>:45</c:v>
                  </c:pt>
                  <c:pt idx="181">
                    <c:v>:20</c:v>
                  </c:pt>
                  <c:pt idx="182">
                    <c:v>:36</c:v>
                  </c:pt>
                  <c:pt idx="183">
                    <c:v>:39</c:v>
                  </c:pt>
                  <c:pt idx="184">
                    <c:v>:57</c:v>
                  </c:pt>
                  <c:pt idx="185">
                    <c:v>:24</c:v>
                  </c:pt>
                  <c:pt idx="186">
                    <c:v>:50</c:v>
                  </c:pt>
                  <c:pt idx="187">
                    <c:v>:22</c:v>
                  </c:pt>
                  <c:pt idx="188">
                    <c:v>:32</c:v>
                  </c:pt>
                  <c:pt idx="189">
                    <c:v>:30</c:v>
                  </c:pt>
                  <c:pt idx="190">
                    <c:v>:42</c:v>
                  </c:pt>
                  <c:pt idx="191">
                    <c:v>:28</c:v>
                  </c:pt>
                  <c:pt idx="192">
                    <c:v>:30</c:v>
                  </c:pt>
                  <c:pt idx="193">
                    <c:v>:36</c:v>
                  </c:pt>
                  <c:pt idx="194">
                    <c:v>:51</c:v>
                  </c:pt>
                  <c:pt idx="195">
                    <c:v>:50</c:v>
                  </c:pt>
                  <c:pt idx="196">
                    <c:v>:52</c:v>
                  </c:pt>
                  <c:pt idx="197">
                    <c:v>:56</c:v>
                  </c:pt>
                  <c:pt idx="198">
                    <c:v>:17</c:v>
                  </c:pt>
                  <c:pt idx="199">
                    <c:v>:45</c:v>
                  </c:pt>
                  <c:pt idx="200">
                    <c:v>:20</c:v>
                  </c:pt>
                  <c:pt idx="201">
                    <c:v>:37</c:v>
                  </c:pt>
                  <c:pt idx="202">
                    <c:v>:47</c:v>
                  </c:pt>
                  <c:pt idx="203">
                    <c:v>:14</c:v>
                  </c:pt>
                  <c:pt idx="204">
                    <c:v>:24</c:v>
                  </c:pt>
                  <c:pt idx="205">
                    <c:v>:30</c:v>
                  </c:pt>
                  <c:pt idx="206">
                    <c:v>:04</c:v>
                  </c:pt>
                  <c:pt idx="207">
                    <c:v>:44</c:v>
                  </c:pt>
                  <c:pt idx="208">
                    <c:v>:21</c:v>
                  </c:pt>
                  <c:pt idx="209">
                    <c:v>:41</c:v>
                  </c:pt>
                  <c:pt idx="210">
                    <c:v>:49</c:v>
                  </c:pt>
                  <c:pt idx="211">
                    <c:v>:30</c:v>
                  </c:pt>
                  <c:pt idx="212">
                    <c:v>:50</c:v>
                  </c:pt>
                  <c:pt idx="213">
                    <c:v>:24</c:v>
                  </c:pt>
                  <c:pt idx="214">
                    <c:v>:29</c:v>
                  </c:pt>
                  <c:pt idx="215">
                    <c:v>:45</c:v>
                  </c:pt>
                  <c:pt idx="216">
                    <c:v>:42</c:v>
                  </c:pt>
                  <c:pt idx="217">
                    <c:v>:24</c:v>
                  </c:pt>
                  <c:pt idx="218">
                    <c:v>:43</c:v>
                  </c:pt>
                  <c:pt idx="219">
                    <c:v>:50</c:v>
                  </c:pt>
                  <c:pt idx="220">
                    <c:v>:01</c:v>
                  </c:pt>
                  <c:pt idx="221">
                    <c:v>:32</c:v>
                  </c:pt>
                  <c:pt idx="222">
                    <c:v>:37</c:v>
                  </c:pt>
                  <c:pt idx="223">
                    <c:v>:57</c:v>
                  </c:pt>
                  <c:pt idx="224">
                    <c:v>:33</c:v>
                  </c:pt>
                  <c:pt idx="225">
                    <c:v>:21</c:v>
                  </c:pt>
                  <c:pt idx="226">
                    <c:v>:22</c:v>
                  </c:pt>
                  <c:pt idx="227">
                    <c:v>:31</c:v>
                  </c:pt>
                  <c:pt idx="228">
                    <c:v>:48</c:v>
                  </c:pt>
                  <c:pt idx="229">
                    <c:v>:05</c:v>
                  </c:pt>
                  <c:pt idx="230">
                    <c:v>:31</c:v>
                  </c:pt>
                  <c:pt idx="231">
                    <c:v>:43</c:v>
                  </c:pt>
                  <c:pt idx="232">
                    <c:v>:56</c:v>
                  </c:pt>
                  <c:pt idx="233">
                    <c:v>:07</c:v>
                  </c:pt>
                  <c:pt idx="234">
                    <c:v>:34</c:v>
                  </c:pt>
                  <c:pt idx="235">
                    <c:v>:11</c:v>
                  </c:pt>
                  <c:pt idx="236">
                    <c:v>:40</c:v>
                  </c:pt>
                  <c:pt idx="237">
                    <c:v>:51</c:v>
                  </c:pt>
                  <c:pt idx="238">
                    <c:v>:32</c:v>
                  </c:pt>
                  <c:pt idx="239">
                    <c:v>:35</c:v>
                  </c:pt>
                  <c:pt idx="240">
                    <c:v>:12</c:v>
                  </c:pt>
                  <c:pt idx="241">
                    <c:v>:31</c:v>
                  </c:pt>
                  <c:pt idx="242">
                    <c:v>:48</c:v>
                  </c:pt>
                  <c:pt idx="243">
                    <c:v>:49</c:v>
                  </c:pt>
                  <c:pt idx="244">
                    <c:v>:51</c:v>
                  </c:pt>
                  <c:pt idx="245">
                    <c:v>:46</c:v>
                  </c:pt>
                  <c:pt idx="246">
                    <c:v>:22</c:v>
                  </c:pt>
                  <c:pt idx="247">
                    <c:v>:15</c:v>
                  </c:pt>
                  <c:pt idx="248">
                    <c:v>:47</c:v>
                  </c:pt>
                  <c:pt idx="249">
                    <c:v>:50</c:v>
                  </c:pt>
                  <c:pt idx="250">
                    <c:v>:08</c:v>
                  </c:pt>
                  <c:pt idx="251">
                    <c:v>:29</c:v>
                  </c:pt>
                  <c:pt idx="252">
                    <c:v>:39</c:v>
                  </c:pt>
                  <c:pt idx="253">
                    <c:v>:42</c:v>
                  </c:pt>
                  <c:pt idx="254">
                    <c:v>:01</c:v>
                  </c:pt>
                  <c:pt idx="255">
                    <c:v>:03</c:v>
                  </c:pt>
                  <c:pt idx="256">
                    <c:v>:11</c:v>
                  </c:pt>
                  <c:pt idx="257">
                    <c:v>:13</c:v>
                  </c:pt>
                  <c:pt idx="258">
                    <c:v>:24</c:v>
                  </c:pt>
                  <c:pt idx="259">
                    <c:v>:53</c:v>
                  </c:pt>
                  <c:pt idx="260">
                    <c:v>:57</c:v>
                  </c:pt>
                  <c:pt idx="261">
                    <c:v>:22</c:v>
                  </c:pt>
                  <c:pt idx="262">
                    <c:v>:48</c:v>
                  </c:pt>
                  <c:pt idx="263">
                    <c:v>:11</c:v>
                  </c:pt>
                  <c:pt idx="264">
                    <c:v>:22</c:v>
                  </c:pt>
                  <c:pt idx="265">
                    <c:v>:27</c:v>
                  </c:pt>
                  <c:pt idx="266">
                    <c:v>:32</c:v>
                  </c:pt>
                  <c:pt idx="267">
                    <c:v>:34</c:v>
                  </c:pt>
                  <c:pt idx="268">
                    <c:v>:44</c:v>
                  </c:pt>
                  <c:pt idx="269">
                    <c:v>:48</c:v>
                  </c:pt>
                  <c:pt idx="270">
                    <c:v>:58</c:v>
                  </c:pt>
                  <c:pt idx="271">
                    <c:v>:59</c:v>
                  </c:pt>
                  <c:pt idx="272">
                    <c:v>:50</c:v>
                  </c:pt>
                  <c:pt idx="273">
                    <c:v>:58</c:v>
                  </c:pt>
                  <c:pt idx="274">
                    <c:v>:25</c:v>
                  </c:pt>
                  <c:pt idx="275">
                    <c:v>:36</c:v>
                  </c:pt>
                  <c:pt idx="276">
                    <c:v>:54</c:v>
                  </c:pt>
                  <c:pt idx="277">
                    <c:v>:05</c:v>
                  </c:pt>
                  <c:pt idx="278">
                    <c:v>:07</c:v>
                  </c:pt>
                  <c:pt idx="279">
                    <c:v>:12</c:v>
                  </c:pt>
                  <c:pt idx="280">
                    <c:v>:44</c:v>
                  </c:pt>
                  <c:pt idx="281">
                    <c:v>:47</c:v>
                  </c:pt>
                  <c:pt idx="282">
                    <c:v>:06</c:v>
                  </c:pt>
                  <c:pt idx="283">
                    <c:v>:37</c:v>
                  </c:pt>
                  <c:pt idx="284">
                    <c:v>:50</c:v>
                  </c:pt>
                  <c:pt idx="285">
                    <c:v>:49</c:v>
                  </c:pt>
                  <c:pt idx="286">
                    <c:v>:31</c:v>
                  </c:pt>
                  <c:pt idx="287">
                    <c:v>:33</c:v>
                  </c:pt>
                  <c:pt idx="288">
                    <c:v>:45</c:v>
                  </c:pt>
                  <c:pt idx="289">
                    <c:v>:51</c:v>
                  </c:pt>
                  <c:pt idx="290">
                    <c:v>:02</c:v>
                  </c:pt>
                  <c:pt idx="291">
                    <c:v>:25</c:v>
                  </c:pt>
                  <c:pt idx="292">
                    <c:v>:28</c:v>
                  </c:pt>
                  <c:pt idx="293">
                    <c:v>:33</c:v>
                  </c:pt>
                  <c:pt idx="294">
                    <c:v>:34</c:v>
                  </c:pt>
                  <c:pt idx="295">
                    <c:v>:35</c:v>
                  </c:pt>
                  <c:pt idx="296">
                    <c:v>:06</c:v>
                  </c:pt>
                  <c:pt idx="297">
                    <c:v>:07</c:v>
                  </c:pt>
                  <c:pt idx="298">
                    <c:v>:16</c:v>
                  </c:pt>
                  <c:pt idx="299">
                    <c:v>:25</c:v>
                  </c:pt>
                  <c:pt idx="300">
                    <c:v>:10</c:v>
                  </c:pt>
                  <c:pt idx="301">
                    <c:v>:18</c:v>
                  </c:pt>
                  <c:pt idx="302">
                    <c:v>:30</c:v>
                  </c:pt>
                  <c:pt idx="303">
                    <c:v>:09</c:v>
                  </c:pt>
                  <c:pt idx="304">
                    <c:v>:30</c:v>
                  </c:pt>
                  <c:pt idx="305">
                    <c:v>:25</c:v>
                  </c:pt>
                  <c:pt idx="306">
                    <c:v>:27</c:v>
                  </c:pt>
                  <c:pt idx="307">
                    <c:v>:50</c:v>
                  </c:pt>
                  <c:pt idx="308">
                    <c:v>:55</c:v>
                  </c:pt>
                  <c:pt idx="309">
                    <c:v>:59</c:v>
                  </c:pt>
                  <c:pt idx="310">
                    <c:v>:29</c:v>
                  </c:pt>
                  <c:pt idx="311">
                    <c:v>:44</c:v>
                  </c:pt>
                  <c:pt idx="312">
                    <c:v>:20</c:v>
                  </c:pt>
                  <c:pt idx="313">
                    <c:v>:23</c:v>
                  </c:pt>
                  <c:pt idx="314">
                    <c:v>:30</c:v>
                  </c:pt>
                  <c:pt idx="315">
                    <c:v>:30</c:v>
                  </c:pt>
                  <c:pt idx="316">
                    <c:v>:50</c:v>
                  </c:pt>
                  <c:pt idx="317">
                    <c:v>:07</c:v>
                  </c:pt>
                  <c:pt idx="318">
                    <c:v>:26</c:v>
                  </c:pt>
                  <c:pt idx="319">
                    <c:v>:51</c:v>
                  </c:pt>
                  <c:pt idx="320">
                    <c:v>:39</c:v>
                  </c:pt>
                  <c:pt idx="321">
                    <c:v>:46</c:v>
                  </c:pt>
                  <c:pt idx="322">
                    <c:v>:48</c:v>
                  </c:pt>
                  <c:pt idx="323">
                    <c:v>:49</c:v>
                  </c:pt>
                  <c:pt idx="324">
                    <c:v>:53</c:v>
                  </c:pt>
                  <c:pt idx="325">
                    <c:v>:55</c:v>
                  </c:pt>
                  <c:pt idx="326">
                    <c:v>:57</c:v>
                  </c:pt>
                  <c:pt idx="327">
                    <c:v>:03</c:v>
                  </c:pt>
                  <c:pt idx="328">
                    <c:v>:13</c:v>
                  </c:pt>
                  <c:pt idx="329">
                    <c:v>:14</c:v>
                  </c:pt>
                  <c:pt idx="330">
                    <c:v>:40</c:v>
                  </c:pt>
                  <c:pt idx="331">
                    <c:v>:42</c:v>
                  </c:pt>
                  <c:pt idx="332">
                    <c:v>:02</c:v>
                  </c:pt>
                  <c:pt idx="333">
                    <c:v>:30</c:v>
                  </c:pt>
                  <c:pt idx="334">
                    <c:v>:50</c:v>
                  </c:pt>
                  <c:pt idx="335">
                    <c:v>:07</c:v>
                  </c:pt>
                  <c:pt idx="336">
                    <c:v>:37</c:v>
                  </c:pt>
                  <c:pt idx="337">
                    <c:v>:24</c:v>
                  </c:pt>
                  <c:pt idx="338">
                    <c:v>:56</c:v>
                  </c:pt>
                  <c:pt idx="339">
                    <c:v>:51</c:v>
                  </c:pt>
                  <c:pt idx="340">
                    <c:v>:38</c:v>
                  </c:pt>
                  <c:pt idx="341">
                    <c:v>:47</c:v>
                  </c:pt>
                  <c:pt idx="342">
                    <c:v>:35</c:v>
                  </c:pt>
                  <c:pt idx="343">
                    <c:v>:03</c:v>
                  </c:pt>
                  <c:pt idx="344">
                    <c:v>:07</c:v>
                  </c:pt>
                  <c:pt idx="345">
                    <c:v>:15</c:v>
                  </c:pt>
                  <c:pt idx="346">
                    <c:v>:05</c:v>
                  </c:pt>
                  <c:pt idx="347">
                    <c:v>:47</c:v>
                  </c:pt>
                  <c:pt idx="348">
                    <c:v>:49</c:v>
                  </c:pt>
                  <c:pt idx="349">
                    <c:v>:24</c:v>
                  </c:pt>
                  <c:pt idx="350">
                    <c:v>:58</c:v>
                  </c:pt>
                  <c:pt idx="351">
                    <c:v>:03</c:v>
                  </c:pt>
                  <c:pt idx="352">
                    <c:v>:13</c:v>
                  </c:pt>
                  <c:pt idx="353">
                    <c:v>:28</c:v>
                  </c:pt>
                  <c:pt idx="354">
                    <c:v>:59</c:v>
                  </c:pt>
                  <c:pt idx="355">
                    <c:v>:13</c:v>
                  </c:pt>
                  <c:pt idx="356">
                    <c:v>:16</c:v>
                  </c:pt>
                  <c:pt idx="357">
                    <c:v>:32</c:v>
                  </c:pt>
                  <c:pt idx="358">
                    <c:v>:39</c:v>
                  </c:pt>
                  <c:pt idx="359">
                    <c:v>:44</c:v>
                  </c:pt>
                  <c:pt idx="360">
                    <c:v>:47</c:v>
                  </c:pt>
                  <c:pt idx="361">
                    <c:v>:58</c:v>
                  </c:pt>
                  <c:pt idx="362">
                    <c:v>:00</c:v>
                  </c:pt>
                  <c:pt idx="363">
                    <c:v>:20</c:v>
                  </c:pt>
                  <c:pt idx="364">
                    <c:v>:10</c:v>
                  </c:pt>
                  <c:pt idx="365">
                    <c:v>:13</c:v>
                  </c:pt>
                  <c:pt idx="366">
                    <c:v>:30</c:v>
                  </c:pt>
                  <c:pt idx="367">
                    <c:v>:39</c:v>
                  </c:pt>
                  <c:pt idx="368">
                    <c:v>:51</c:v>
                  </c:pt>
                  <c:pt idx="369">
                    <c:v>:05</c:v>
                  </c:pt>
                  <c:pt idx="370">
                    <c:v>:17</c:v>
                  </c:pt>
                  <c:pt idx="371">
                    <c:v>:22</c:v>
                  </c:pt>
                  <c:pt idx="372">
                    <c:v>:49</c:v>
                  </c:pt>
                  <c:pt idx="373">
                    <c:v>:50</c:v>
                  </c:pt>
                  <c:pt idx="374">
                    <c:v>:14</c:v>
                  </c:pt>
                  <c:pt idx="375">
                    <c:v>:07</c:v>
                  </c:pt>
                  <c:pt idx="376">
                    <c:v>:19</c:v>
                  </c:pt>
                  <c:pt idx="377">
                    <c:v>:06</c:v>
                  </c:pt>
                  <c:pt idx="378">
                    <c:v>:15</c:v>
                  </c:pt>
                  <c:pt idx="379">
                    <c:v>:58</c:v>
                  </c:pt>
                  <c:pt idx="380">
                    <c:v>:15</c:v>
                  </c:pt>
                  <c:pt idx="381">
                    <c:v>:20</c:v>
                  </c:pt>
                  <c:pt idx="382">
                    <c:v>:30</c:v>
                  </c:pt>
                  <c:pt idx="383">
                    <c:v>:32</c:v>
                  </c:pt>
                  <c:pt idx="384">
                    <c:v>:36</c:v>
                  </c:pt>
                  <c:pt idx="385">
                    <c:v>:25</c:v>
                  </c:pt>
                  <c:pt idx="386">
                    <c:v>:47</c:v>
                  </c:pt>
                  <c:pt idx="387">
                    <c:v>:26</c:v>
                  </c:pt>
                  <c:pt idx="388">
                    <c:v>:40</c:v>
                  </c:pt>
                  <c:pt idx="389">
                    <c:v>:50</c:v>
                  </c:pt>
                  <c:pt idx="390">
                    <c:v>:52</c:v>
                  </c:pt>
                  <c:pt idx="391">
                    <c:v>:08</c:v>
                  </c:pt>
                  <c:pt idx="392">
                    <c:v>:11</c:v>
                  </c:pt>
                  <c:pt idx="393">
                    <c:v>:14</c:v>
                  </c:pt>
                  <c:pt idx="394">
                    <c:v>:21</c:v>
                  </c:pt>
                  <c:pt idx="395">
                    <c:v>:26</c:v>
                  </c:pt>
                  <c:pt idx="396">
                    <c:v>:37</c:v>
                  </c:pt>
                  <c:pt idx="397">
                    <c:v>:51</c:v>
                  </c:pt>
                  <c:pt idx="398">
                    <c:v>:53</c:v>
                  </c:pt>
                  <c:pt idx="399">
                    <c:v>:10</c:v>
                  </c:pt>
                  <c:pt idx="400">
                    <c:v>:12</c:v>
                  </c:pt>
                  <c:pt idx="401">
                    <c:v>:20</c:v>
                  </c:pt>
                  <c:pt idx="402">
                    <c:v>:22</c:v>
                  </c:pt>
                  <c:pt idx="403">
                    <c:v>:25</c:v>
                  </c:pt>
                  <c:pt idx="404">
                    <c:v>:30</c:v>
                  </c:pt>
                  <c:pt idx="405">
                    <c:v>:35</c:v>
                  </c:pt>
                  <c:pt idx="406">
                    <c:v>:06</c:v>
                  </c:pt>
                  <c:pt idx="407">
                    <c:v>:49</c:v>
                  </c:pt>
                  <c:pt idx="408">
                    <c:v>:56</c:v>
                  </c:pt>
                  <c:pt idx="409">
                    <c:v>:58</c:v>
                  </c:pt>
                  <c:pt idx="410">
                    <c:v>:04</c:v>
                  </c:pt>
                  <c:pt idx="411">
                    <c:v>:18</c:v>
                  </c:pt>
                  <c:pt idx="412">
                    <c:v>:23</c:v>
                  </c:pt>
                  <c:pt idx="413">
                    <c:v>:25</c:v>
                  </c:pt>
                  <c:pt idx="414">
                    <c:v>:29</c:v>
                  </c:pt>
                  <c:pt idx="415">
                    <c:v>:46</c:v>
                  </c:pt>
                  <c:pt idx="416">
                    <c:v>:56</c:v>
                  </c:pt>
                  <c:pt idx="417">
                    <c:v>:13</c:v>
                  </c:pt>
                  <c:pt idx="418">
                    <c:v>:43</c:v>
                  </c:pt>
                  <c:pt idx="419">
                    <c:v>:49</c:v>
                  </c:pt>
                  <c:pt idx="420">
                    <c:v>:26</c:v>
                  </c:pt>
                  <c:pt idx="421">
                    <c:v>:41</c:v>
                  </c:pt>
                  <c:pt idx="422">
                    <c:v>:21</c:v>
                  </c:pt>
                  <c:pt idx="423">
                    <c:v>:11</c:v>
                  </c:pt>
                  <c:pt idx="424">
                    <c:v>:49</c:v>
                  </c:pt>
                  <c:pt idx="425">
                    <c:v>:19</c:v>
                  </c:pt>
                  <c:pt idx="426">
                    <c:v>:49</c:v>
                  </c:pt>
                  <c:pt idx="427">
                    <c:v>:04</c:v>
                  </c:pt>
                  <c:pt idx="428">
                    <c:v>:18</c:v>
                  </c:pt>
                  <c:pt idx="429">
                    <c:v>:30</c:v>
                  </c:pt>
                  <c:pt idx="430">
                    <c:v>:01</c:v>
                  </c:pt>
                  <c:pt idx="431">
                    <c:v>:21</c:v>
                  </c:pt>
                  <c:pt idx="432">
                    <c:v>:55</c:v>
                  </c:pt>
                  <c:pt idx="433">
                    <c:v>:00</c:v>
                  </c:pt>
                  <c:pt idx="434">
                    <c:v>:09</c:v>
                  </c:pt>
                  <c:pt idx="435">
                    <c:v>:24</c:v>
                  </c:pt>
                  <c:pt idx="436">
                    <c:v>:33</c:v>
                  </c:pt>
                  <c:pt idx="437">
                    <c:v>:30</c:v>
                  </c:pt>
                  <c:pt idx="438">
                    <c:v>:46</c:v>
                  </c:pt>
                  <c:pt idx="439">
                    <c:v>:57</c:v>
                  </c:pt>
                  <c:pt idx="440">
                    <c:v>:35</c:v>
                  </c:pt>
                  <c:pt idx="441">
                    <c:v>:57</c:v>
                  </c:pt>
                  <c:pt idx="442">
                    <c:v>:18</c:v>
                  </c:pt>
                  <c:pt idx="443">
                    <c:v>:02</c:v>
                  </c:pt>
                  <c:pt idx="444">
                    <c:v>:23</c:v>
                  </c:pt>
                  <c:pt idx="445">
                    <c:v>:40</c:v>
                  </c:pt>
                  <c:pt idx="446">
                    <c:v>:11</c:v>
                  </c:pt>
                  <c:pt idx="447">
                    <c:v>:12</c:v>
                  </c:pt>
                  <c:pt idx="448">
                    <c:v>:04</c:v>
                  </c:pt>
                  <c:pt idx="449">
                    <c:v>:09</c:v>
                  </c:pt>
                  <c:pt idx="450">
                    <c:v>:27</c:v>
                  </c:pt>
                  <c:pt idx="451">
                    <c:v>:43</c:v>
                  </c:pt>
                  <c:pt idx="452">
                    <c:v>:44</c:v>
                  </c:pt>
                  <c:pt idx="453">
                    <c:v>:28</c:v>
                  </c:pt>
                  <c:pt idx="454">
                    <c:v>:30</c:v>
                  </c:pt>
                  <c:pt idx="455">
                    <c:v>:35</c:v>
                  </c:pt>
                  <c:pt idx="456">
                    <c:v>:41</c:v>
                  </c:pt>
                  <c:pt idx="457">
                    <c:v>:43</c:v>
                  </c:pt>
                  <c:pt idx="458">
                    <c:v>:40</c:v>
                  </c:pt>
                  <c:pt idx="459">
                    <c:v>:57</c:v>
                  </c:pt>
                  <c:pt idx="460">
                    <c:v>:02</c:v>
                  </c:pt>
                  <c:pt idx="461">
                    <c:v>:35</c:v>
                  </c:pt>
                  <c:pt idx="462">
                    <c:v>:20</c:v>
                  </c:pt>
                  <c:pt idx="463">
                    <c:v>:27</c:v>
                  </c:pt>
                  <c:pt idx="464">
                    <c:v>:30</c:v>
                  </c:pt>
                  <c:pt idx="465">
                    <c:v>:37</c:v>
                  </c:pt>
                  <c:pt idx="466">
                    <c:v>:43</c:v>
                  </c:pt>
                  <c:pt idx="467">
                    <c:v>:18</c:v>
                  </c:pt>
                  <c:pt idx="468">
                    <c:v>:24</c:v>
                  </c:pt>
                  <c:pt idx="469">
                    <c:v>:48</c:v>
                  </c:pt>
                  <c:pt idx="470">
                    <c:v>:53</c:v>
                  </c:pt>
                  <c:pt idx="471">
                    <c:v>:56</c:v>
                  </c:pt>
                  <c:pt idx="472">
                    <c:v>:18</c:v>
                  </c:pt>
                  <c:pt idx="473">
                    <c:v>:20</c:v>
                  </c:pt>
                  <c:pt idx="474">
                    <c:v>:29</c:v>
                  </c:pt>
                  <c:pt idx="475">
                    <c:v>:52</c:v>
                  </c:pt>
                  <c:pt idx="476">
                    <c:v>:59</c:v>
                  </c:pt>
                  <c:pt idx="477">
                    <c:v>:25</c:v>
                  </c:pt>
                  <c:pt idx="478">
                    <c:v>:35</c:v>
                  </c:pt>
                  <c:pt idx="479">
                    <c:v>:01</c:v>
                  </c:pt>
                  <c:pt idx="480">
                    <c:v>:23</c:v>
                  </c:pt>
                  <c:pt idx="481">
                    <c:v>:08</c:v>
                  </c:pt>
                  <c:pt idx="482">
                    <c:v>:31</c:v>
                  </c:pt>
                  <c:pt idx="483">
                    <c:v>:56</c:v>
                  </c:pt>
                  <c:pt idx="484">
                    <c:v>:28</c:v>
                  </c:pt>
                  <c:pt idx="485">
                    <c:v>:48</c:v>
                  </c:pt>
                  <c:pt idx="486">
                    <c:v>:07</c:v>
                  </c:pt>
                  <c:pt idx="487">
                    <c:v>:12</c:v>
                  </c:pt>
                  <c:pt idx="488">
                    <c:v>:41</c:v>
                  </c:pt>
                  <c:pt idx="489">
                    <c:v>:10</c:v>
                  </c:pt>
                  <c:pt idx="490">
                    <c:v>:31</c:v>
                  </c:pt>
                  <c:pt idx="491">
                    <c:v>:40</c:v>
                  </c:pt>
                  <c:pt idx="492">
                    <c:v>:45</c:v>
                  </c:pt>
                  <c:pt idx="493">
                    <c:v>:24</c:v>
                  </c:pt>
                  <c:pt idx="494">
                    <c:v>:45</c:v>
                  </c:pt>
                  <c:pt idx="495">
                    <c:v>:10</c:v>
                  </c:pt>
                  <c:pt idx="496">
                    <c:v>:12</c:v>
                  </c:pt>
                  <c:pt idx="497">
                    <c:v>:02</c:v>
                  </c:pt>
                  <c:pt idx="498">
                    <c:v>:20</c:v>
                  </c:pt>
                  <c:pt idx="499">
                    <c:v>:42</c:v>
                  </c:pt>
                  <c:pt idx="500">
                    <c:v>:49</c:v>
                  </c:pt>
                  <c:pt idx="501">
                    <c:v>:44</c:v>
                  </c:pt>
                  <c:pt idx="502">
                    <c:v>:04</c:v>
                  </c:pt>
                  <c:pt idx="503">
                    <c:v>:39</c:v>
                  </c:pt>
                  <c:pt idx="504">
                    <c:v>:13</c:v>
                  </c:pt>
                  <c:pt idx="505">
                    <c:v>:14</c:v>
                  </c:pt>
                  <c:pt idx="506">
                    <c:v>:16</c:v>
                  </c:pt>
                  <c:pt idx="507">
                    <c:v>:03</c:v>
                  </c:pt>
                  <c:pt idx="508">
                    <c:v>:51</c:v>
                  </c:pt>
                  <c:pt idx="509">
                    <c:v>:56</c:v>
                  </c:pt>
                  <c:pt idx="510">
                    <c:v>:58</c:v>
                  </c:pt>
                  <c:pt idx="511">
                    <c:v>:28</c:v>
                  </c:pt>
                  <c:pt idx="512">
                    <c:v>:39</c:v>
                  </c:pt>
                  <c:pt idx="513">
                    <c:v>:41</c:v>
                  </c:pt>
                  <c:pt idx="514">
                    <c:v>:25</c:v>
                  </c:pt>
                  <c:pt idx="515">
                    <c:v>:26</c:v>
                  </c:pt>
                  <c:pt idx="516">
                    <c:v>:08</c:v>
                  </c:pt>
                  <c:pt idx="517">
                    <c:v>:31</c:v>
                  </c:pt>
                  <c:pt idx="518">
                    <c:v>:50</c:v>
                  </c:pt>
                  <c:pt idx="519">
                    <c:v>:34</c:v>
                  </c:pt>
                  <c:pt idx="520">
                    <c:v>:45</c:v>
                  </c:pt>
                  <c:pt idx="521">
                    <c:v>:02</c:v>
                  </c:pt>
                  <c:pt idx="522">
                    <c:v>:06</c:v>
                  </c:pt>
                  <c:pt idx="523">
                    <c:v>:11</c:v>
                  </c:pt>
                  <c:pt idx="524">
                    <c:v>:12</c:v>
                  </c:pt>
                  <c:pt idx="525">
                    <c:v>:21</c:v>
                  </c:pt>
                  <c:pt idx="526">
                    <c:v>:54</c:v>
                  </c:pt>
                  <c:pt idx="527">
                    <c:v>:05</c:v>
                  </c:pt>
                  <c:pt idx="528">
                    <c:v>:40</c:v>
                  </c:pt>
                  <c:pt idx="529">
                    <c:v>:44</c:v>
                  </c:pt>
                  <c:pt idx="530">
                    <c:v>:45</c:v>
                  </c:pt>
                  <c:pt idx="531">
                    <c:v>:50</c:v>
                  </c:pt>
                  <c:pt idx="532">
                    <c:v>:04</c:v>
                  </c:pt>
                  <c:pt idx="533">
                    <c:v>:05</c:v>
                  </c:pt>
                  <c:pt idx="534">
                    <c:v>:40</c:v>
                  </c:pt>
                  <c:pt idx="535">
                    <c:v>:51</c:v>
                  </c:pt>
                  <c:pt idx="536">
                    <c:v>:40</c:v>
                  </c:pt>
                  <c:pt idx="537">
                    <c:v>:24</c:v>
                  </c:pt>
                  <c:pt idx="538">
                    <c:v>:25</c:v>
                  </c:pt>
                  <c:pt idx="539">
                    <c:v>:29</c:v>
                  </c:pt>
                  <c:pt idx="540">
                    <c:v>:50</c:v>
                  </c:pt>
                  <c:pt idx="541">
                    <c:v>:50</c:v>
                  </c:pt>
                  <c:pt idx="542">
                    <c:v>:55</c:v>
                  </c:pt>
                  <c:pt idx="543">
                    <c:v>:01</c:v>
                  </c:pt>
                  <c:pt idx="544">
                    <c:v>:07</c:v>
                  </c:pt>
                  <c:pt idx="545">
                    <c:v>:40</c:v>
                  </c:pt>
                  <c:pt idx="546">
                    <c:v>:50</c:v>
                  </c:pt>
                  <c:pt idx="547">
                    <c:v>:52</c:v>
                  </c:pt>
                  <c:pt idx="548">
                    <c:v>:14</c:v>
                  </c:pt>
                  <c:pt idx="549">
                    <c:v>:28</c:v>
                  </c:pt>
                  <c:pt idx="550">
                    <c:v>:10</c:v>
                  </c:pt>
                  <c:pt idx="551">
                    <c:v>:56</c:v>
                  </c:pt>
                  <c:pt idx="552">
                    <c:v>:12</c:v>
                  </c:pt>
                  <c:pt idx="553">
                    <c:v>:24</c:v>
                  </c:pt>
                  <c:pt idx="554">
                    <c:v>:39</c:v>
                  </c:pt>
                  <c:pt idx="555">
                    <c:v>:19</c:v>
                  </c:pt>
                  <c:pt idx="556">
                    <c:v>:33</c:v>
                  </c:pt>
                  <c:pt idx="557">
                    <c:v>:35</c:v>
                  </c:pt>
                  <c:pt idx="558">
                    <c:v>:37</c:v>
                  </c:pt>
                  <c:pt idx="559">
                    <c:v>:50</c:v>
                  </c:pt>
                  <c:pt idx="560">
                    <c:v>:47</c:v>
                  </c:pt>
                  <c:pt idx="561">
                    <c:v>:25</c:v>
                  </c:pt>
                  <c:pt idx="562">
                    <c:v>:37</c:v>
                  </c:pt>
                  <c:pt idx="563">
                    <c:v>:42</c:v>
                  </c:pt>
                  <c:pt idx="564">
                    <c:v>:16</c:v>
                  </c:pt>
                  <c:pt idx="565">
                    <c:v>:29</c:v>
                  </c:pt>
                  <c:pt idx="566">
                    <c:v>:35</c:v>
                  </c:pt>
                  <c:pt idx="567">
                    <c:v>:18</c:v>
                  </c:pt>
                  <c:pt idx="568">
                    <c:v>:57</c:v>
                  </c:pt>
                  <c:pt idx="569">
                    <c:v>:15</c:v>
                  </c:pt>
                  <c:pt idx="570">
                    <c:v>:18</c:v>
                  </c:pt>
                  <c:pt idx="571">
                    <c:v>:23</c:v>
                  </c:pt>
                  <c:pt idx="572">
                    <c:v>:51</c:v>
                  </c:pt>
                  <c:pt idx="573">
                    <c:v>:58</c:v>
                  </c:pt>
                  <c:pt idx="574">
                    <c:v>:04</c:v>
                  </c:pt>
                  <c:pt idx="575">
                    <c:v>:55</c:v>
                  </c:pt>
                  <c:pt idx="576">
                    <c:v>:56</c:v>
                  </c:pt>
                  <c:pt idx="577">
                    <c:v>:08</c:v>
                  </c:pt>
                  <c:pt idx="578">
                    <c:v>:16</c:v>
                  </c:pt>
                  <c:pt idx="579">
                    <c:v>:38</c:v>
                  </c:pt>
                  <c:pt idx="580">
                    <c:v>:01</c:v>
                  </c:pt>
                  <c:pt idx="581">
                    <c:v>:14</c:v>
                  </c:pt>
                  <c:pt idx="582">
                    <c:v>:21</c:v>
                  </c:pt>
                  <c:pt idx="583">
                    <c:v>:30</c:v>
                  </c:pt>
                  <c:pt idx="584">
                    <c:v>:41</c:v>
                  </c:pt>
                  <c:pt idx="585">
                    <c:v>:00</c:v>
                  </c:pt>
                  <c:pt idx="586">
                    <c:v>:01</c:v>
                  </c:pt>
                  <c:pt idx="587">
                    <c:v>:13</c:v>
                  </c:pt>
                  <c:pt idx="588">
                    <c:v>:15</c:v>
                  </c:pt>
                  <c:pt idx="589">
                    <c:v>:29</c:v>
                  </c:pt>
                  <c:pt idx="590">
                    <c:v>:36</c:v>
                  </c:pt>
                  <c:pt idx="591">
                    <c:v>:51</c:v>
                  </c:pt>
                  <c:pt idx="592">
                    <c:v>:04</c:v>
                  </c:pt>
                  <c:pt idx="593">
                    <c:v>:36</c:v>
                  </c:pt>
                  <c:pt idx="594">
                    <c:v>:43</c:v>
                  </c:pt>
                  <c:pt idx="595">
                    <c:v>:45</c:v>
                  </c:pt>
                  <c:pt idx="596">
                    <c:v>:22</c:v>
                  </c:pt>
                  <c:pt idx="597">
                    <c:v>:37</c:v>
                  </c:pt>
                  <c:pt idx="598">
                    <c:v>:48</c:v>
                  </c:pt>
                  <c:pt idx="599">
                    <c:v>:30</c:v>
                  </c:pt>
                  <c:pt idx="600">
                    <c:v>:56</c:v>
                  </c:pt>
                  <c:pt idx="601">
                    <c:v>:57</c:v>
                  </c:pt>
                  <c:pt idx="602">
                    <c:v>:58</c:v>
                  </c:pt>
                  <c:pt idx="603">
                    <c:v>:40</c:v>
                  </c:pt>
                  <c:pt idx="604">
                    <c:v>:48</c:v>
                  </c:pt>
                  <c:pt idx="605">
                    <c:v>:49</c:v>
                  </c:pt>
                  <c:pt idx="606">
                    <c:v>:32</c:v>
                  </c:pt>
                  <c:pt idx="607">
                    <c:v>:45</c:v>
                  </c:pt>
                  <c:pt idx="608">
                    <c:v>:06</c:v>
                  </c:pt>
                  <c:pt idx="609">
                    <c:v>:22</c:v>
                  </c:pt>
                  <c:pt idx="610">
                    <c:v>:34</c:v>
                  </c:pt>
                  <c:pt idx="611">
                    <c:v>:48</c:v>
                  </c:pt>
                  <c:pt idx="612">
                    <c:v>:59</c:v>
                  </c:pt>
                  <c:pt idx="613">
                    <c:v>:00</c:v>
                  </c:pt>
                  <c:pt idx="614">
                    <c:v>:34</c:v>
                  </c:pt>
                  <c:pt idx="615">
                    <c:v>:49</c:v>
                  </c:pt>
                  <c:pt idx="616">
                    <c:v>:13</c:v>
                  </c:pt>
                  <c:pt idx="617">
                    <c:v>:32</c:v>
                  </c:pt>
                  <c:pt idx="618">
                    <c:v>:43</c:v>
                  </c:pt>
                  <c:pt idx="619">
                    <c:v>:38</c:v>
                  </c:pt>
                  <c:pt idx="620">
                    <c:v>:15</c:v>
                  </c:pt>
                  <c:pt idx="621">
                    <c:v>:20</c:v>
                  </c:pt>
                  <c:pt idx="622">
                    <c:v>:58</c:v>
                  </c:pt>
                  <c:pt idx="623">
                    <c:v>:16</c:v>
                  </c:pt>
                  <c:pt idx="624">
                    <c:v>:23</c:v>
                  </c:pt>
                  <c:pt idx="625">
                    <c:v>:05</c:v>
                  </c:pt>
                  <c:pt idx="626">
                    <c:v>:10</c:v>
                  </c:pt>
                  <c:pt idx="627">
                    <c:v>:15</c:v>
                  </c:pt>
                  <c:pt idx="628">
                    <c:v>:31</c:v>
                  </c:pt>
                  <c:pt idx="629">
                    <c:v>:36</c:v>
                  </c:pt>
                  <c:pt idx="630">
                    <c:v>:38</c:v>
                  </c:pt>
                  <c:pt idx="631">
                    <c:v>:04</c:v>
                  </c:pt>
                  <c:pt idx="632">
                    <c:v>:15</c:v>
                  </c:pt>
                  <c:pt idx="633">
                    <c:v>:28</c:v>
                  </c:pt>
                  <c:pt idx="634">
                    <c:v>:15</c:v>
                  </c:pt>
                  <c:pt idx="635">
                    <c:v>:46</c:v>
                  </c:pt>
                  <c:pt idx="636">
                    <c:v>:05</c:v>
                  </c:pt>
                  <c:pt idx="637">
                    <c:v>:12</c:v>
                  </c:pt>
                  <c:pt idx="638">
                    <c:v>:58</c:v>
                  </c:pt>
                  <c:pt idx="639">
                    <c:v>:00</c:v>
                  </c:pt>
                  <c:pt idx="640">
                    <c:v>:08</c:v>
                  </c:pt>
                  <c:pt idx="641">
                    <c:v>:40</c:v>
                  </c:pt>
                  <c:pt idx="642">
                    <c:v>:46</c:v>
                  </c:pt>
                  <c:pt idx="643">
                    <c:v>:52</c:v>
                  </c:pt>
                  <c:pt idx="644">
                    <c:v>:12</c:v>
                  </c:pt>
                  <c:pt idx="645">
                    <c:v>:15</c:v>
                  </c:pt>
                  <c:pt idx="646">
                    <c:v>:18</c:v>
                  </c:pt>
                  <c:pt idx="647">
                    <c:v>:29</c:v>
                  </c:pt>
                  <c:pt idx="648">
                    <c:v>:37</c:v>
                  </c:pt>
                  <c:pt idx="649">
                    <c:v>:43</c:v>
                  </c:pt>
                  <c:pt idx="650">
                    <c:v>:55</c:v>
                  </c:pt>
                  <c:pt idx="651">
                    <c:v>:14</c:v>
                  </c:pt>
                  <c:pt idx="652">
                    <c:v>:32</c:v>
                  </c:pt>
                  <c:pt idx="653">
                    <c:v>:54</c:v>
                  </c:pt>
                  <c:pt idx="654">
                    <c:v>:33</c:v>
                  </c:pt>
                  <c:pt idx="655">
                    <c:v>:39</c:v>
                  </c:pt>
                  <c:pt idx="656">
                    <c:v>:54</c:v>
                  </c:pt>
                  <c:pt idx="657">
                    <c:v>:31</c:v>
                  </c:pt>
                  <c:pt idx="658">
                    <c:v>:49</c:v>
                  </c:pt>
                  <c:pt idx="659">
                    <c:v>:16</c:v>
                  </c:pt>
                  <c:pt idx="660">
                    <c:v>:35</c:v>
                  </c:pt>
                  <c:pt idx="661">
                    <c:v>:33</c:v>
                  </c:pt>
                  <c:pt idx="662">
                    <c:v>:15</c:v>
                  </c:pt>
                  <c:pt idx="663">
                    <c:v>:30</c:v>
                  </c:pt>
                </c:lvl>
                <c:lvl>
                  <c:pt idx="0">
                    <c:v>07</c:v>
                  </c:pt>
                  <c:pt idx="1">
                    <c:v>08</c:v>
                  </c:pt>
                  <c:pt idx="2">
                    <c:v>10</c:v>
                  </c:pt>
                  <c:pt idx="6">
                    <c:v>11</c:v>
                  </c:pt>
                  <c:pt idx="7">
                    <c:v>12</c:v>
                  </c:pt>
                  <c:pt idx="9">
                    <c:v>14</c:v>
                  </c:pt>
                  <c:pt idx="12">
                    <c:v>15</c:v>
                  </c:pt>
                  <c:pt idx="14">
                    <c:v>16</c:v>
                  </c:pt>
                  <c:pt idx="15">
                    <c:v>17</c:v>
                  </c:pt>
                  <c:pt idx="17">
                    <c:v>18</c:v>
                  </c:pt>
                  <c:pt idx="19">
                    <c:v>19</c:v>
                  </c:pt>
                  <c:pt idx="22">
                    <c:v>20</c:v>
                  </c:pt>
                  <c:pt idx="26">
                    <c:v>08</c:v>
                  </c:pt>
                  <c:pt idx="28">
                    <c:v>09</c:v>
                  </c:pt>
                  <c:pt idx="32">
                    <c:v>10</c:v>
                  </c:pt>
                  <c:pt idx="34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40">
                    <c:v>14</c:v>
                  </c:pt>
                  <c:pt idx="44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2">
                    <c:v>18</c:v>
                  </c:pt>
                  <c:pt idx="59">
                    <c:v>19</c:v>
                  </c:pt>
                  <c:pt idx="68">
                    <c:v>20</c:v>
                  </c:pt>
                  <c:pt idx="70">
                    <c:v>09</c:v>
                  </c:pt>
                  <c:pt idx="73">
                    <c:v>10</c:v>
                  </c:pt>
                  <c:pt idx="74">
                    <c:v>11</c:v>
                  </c:pt>
                  <c:pt idx="76">
                    <c:v>12</c:v>
                  </c:pt>
                  <c:pt idx="78">
                    <c:v>13</c:v>
                  </c:pt>
                  <c:pt idx="80">
                    <c:v>14</c:v>
                  </c:pt>
                  <c:pt idx="82">
                    <c:v>16</c:v>
                  </c:pt>
                  <c:pt idx="84">
                    <c:v>18</c:v>
                  </c:pt>
                  <c:pt idx="88">
                    <c:v>19</c:v>
                  </c:pt>
                  <c:pt idx="90">
                    <c:v>20</c:v>
                  </c:pt>
                  <c:pt idx="91">
                    <c:v>07</c:v>
                  </c:pt>
                  <c:pt idx="92">
                    <c:v>08</c:v>
                  </c:pt>
                  <c:pt idx="94">
                    <c:v>09</c:v>
                  </c:pt>
                  <c:pt idx="95">
                    <c:v>10</c:v>
                  </c:pt>
                  <c:pt idx="96">
                    <c:v>11</c:v>
                  </c:pt>
                  <c:pt idx="99">
                    <c:v>12</c:v>
                  </c:pt>
                  <c:pt idx="100">
                    <c:v>13</c:v>
                  </c:pt>
                  <c:pt idx="101">
                    <c:v>14</c:v>
                  </c:pt>
                  <c:pt idx="103">
                    <c:v>15</c:v>
                  </c:pt>
                  <c:pt idx="104">
                    <c:v>16</c:v>
                  </c:pt>
                  <c:pt idx="107">
                    <c:v>17</c:v>
                  </c:pt>
                  <c:pt idx="109">
                    <c:v>18</c:v>
                  </c:pt>
                  <c:pt idx="111">
                    <c:v>19</c:v>
                  </c:pt>
                  <c:pt idx="116">
                    <c:v>20</c:v>
                  </c:pt>
                  <c:pt idx="120">
                    <c:v>08</c:v>
                  </c:pt>
                  <c:pt idx="124">
                    <c:v>09</c:v>
                  </c:pt>
                  <c:pt idx="125">
                    <c:v>10</c:v>
                  </c:pt>
                  <c:pt idx="127">
                    <c:v>12</c:v>
                  </c:pt>
                  <c:pt idx="129">
                    <c:v>13</c:v>
                  </c:pt>
                  <c:pt idx="130">
                    <c:v>14</c:v>
                  </c:pt>
                  <c:pt idx="132">
                    <c:v>15</c:v>
                  </c:pt>
                  <c:pt idx="137">
                    <c:v>16</c:v>
                  </c:pt>
                  <c:pt idx="141">
                    <c:v>17</c:v>
                  </c:pt>
                  <c:pt idx="143">
                    <c:v>18</c:v>
                  </c:pt>
                  <c:pt idx="145">
                    <c:v>19</c:v>
                  </c:pt>
                  <c:pt idx="151">
                    <c:v>20</c:v>
                  </c:pt>
                  <c:pt idx="156">
                    <c:v>07</c:v>
                  </c:pt>
                  <c:pt idx="157">
                    <c:v>08</c:v>
                  </c:pt>
                  <c:pt idx="159">
                    <c:v>09</c:v>
                  </c:pt>
                  <c:pt idx="164">
                    <c:v>10</c:v>
                  </c:pt>
                  <c:pt idx="168">
                    <c:v>11</c:v>
                  </c:pt>
                  <c:pt idx="171">
                    <c:v>12</c:v>
                  </c:pt>
                  <c:pt idx="172">
                    <c:v>13</c:v>
                  </c:pt>
                  <c:pt idx="175">
                    <c:v>14</c:v>
                  </c:pt>
                  <c:pt idx="180">
                    <c:v>15</c:v>
                  </c:pt>
                  <c:pt idx="181">
                    <c:v>16</c:v>
                  </c:pt>
                  <c:pt idx="185">
                    <c:v>17</c:v>
                  </c:pt>
                  <c:pt idx="187">
                    <c:v>18</c:v>
                  </c:pt>
                  <c:pt idx="189">
                    <c:v>19</c:v>
                  </c:pt>
                  <c:pt idx="191">
                    <c:v>20</c:v>
                  </c:pt>
                  <c:pt idx="195">
                    <c:v>07</c:v>
                  </c:pt>
                  <c:pt idx="198">
                    <c:v>08</c:v>
                  </c:pt>
                  <c:pt idx="200">
                    <c:v>09</c:v>
                  </c:pt>
                  <c:pt idx="203">
                    <c:v>10</c:v>
                  </c:pt>
                  <c:pt idx="206">
                    <c:v>11</c:v>
                  </c:pt>
                  <c:pt idx="208">
                    <c:v>12</c:v>
                  </c:pt>
                  <c:pt idx="210">
                    <c:v>13</c:v>
                  </c:pt>
                  <c:pt idx="211">
                    <c:v>14</c:v>
                  </c:pt>
                  <c:pt idx="213">
                    <c:v>15</c:v>
                  </c:pt>
                  <c:pt idx="216">
                    <c:v>16</c:v>
                  </c:pt>
                  <c:pt idx="217">
                    <c:v>17</c:v>
                  </c:pt>
                  <c:pt idx="220">
                    <c:v>18</c:v>
                  </c:pt>
                  <c:pt idx="224">
                    <c:v>19</c:v>
                  </c:pt>
                  <c:pt idx="225">
                    <c:v>20</c:v>
                  </c:pt>
                  <c:pt idx="227">
                    <c:v>07</c:v>
                  </c:pt>
                  <c:pt idx="229">
                    <c:v>08</c:v>
                  </c:pt>
                  <c:pt idx="233">
                    <c:v>09</c:v>
                  </c:pt>
                  <c:pt idx="235">
                    <c:v>10</c:v>
                  </c:pt>
                  <c:pt idx="237">
                    <c:v>11</c:v>
                  </c:pt>
                  <c:pt idx="238">
                    <c:v>13</c:v>
                  </c:pt>
                  <c:pt idx="240">
                    <c:v>14</c:v>
                  </c:pt>
                  <c:pt idx="245">
                    <c:v>15</c:v>
                  </c:pt>
                  <c:pt idx="246">
                    <c:v>16</c:v>
                  </c:pt>
                  <c:pt idx="247">
                    <c:v>17</c:v>
                  </c:pt>
                  <c:pt idx="248">
                    <c:v>18</c:v>
                  </c:pt>
                  <c:pt idx="250">
                    <c:v>19</c:v>
                  </c:pt>
                  <c:pt idx="254">
                    <c:v>20</c:v>
                  </c:pt>
                  <c:pt idx="261">
                    <c:v>08</c:v>
                  </c:pt>
                  <c:pt idx="263">
                    <c:v>09</c:v>
                  </c:pt>
                  <c:pt idx="270">
                    <c:v>10</c:v>
                  </c:pt>
                  <c:pt idx="272">
                    <c:v>11</c:v>
                  </c:pt>
                  <c:pt idx="274">
                    <c:v>12</c:v>
                  </c:pt>
                  <c:pt idx="276">
                    <c:v>13</c:v>
                  </c:pt>
                  <c:pt idx="277">
                    <c:v>14</c:v>
                  </c:pt>
                  <c:pt idx="279">
                    <c:v>15</c:v>
                  </c:pt>
                  <c:pt idx="282">
                    <c:v>16</c:v>
                  </c:pt>
                  <c:pt idx="285">
                    <c:v>17</c:v>
                  </c:pt>
                  <c:pt idx="286">
                    <c:v>18</c:v>
                  </c:pt>
                  <c:pt idx="290">
                    <c:v>19</c:v>
                  </c:pt>
                  <c:pt idx="296">
                    <c:v>20</c:v>
                  </c:pt>
                  <c:pt idx="299">
                    <c:v>08</c:v>
                  </c:pt>
                  <c:pt idx="300">
                    <c:v>09</c:v>
                  </c:pt>
                  <c:pt idx="303">
                    <c:v>10</c:v>
                  </c:pt>
                  <c:pt idx="305">
                    <c:v>11</c:v>
                  </c:pt>
                  <c:pt idx="309">
                    <c:v>12</c:v>
                  </c:pt>
                  <c:pt idx="310">
                    <c:v>13</c:v>
                  </c:pt>
                  <c:pt idx="312">
                    <c:v>14</c:v>
                  </c:pt>
                  <c:pt idx="315">
                    <c:v>15</c:v>
                  </c:pt>
                  <c:pt idx="317">
                    <c:v>16</c:v>
                  </c:pt>
                  <c:pt idx="319">
                    <c:v>17</c:v>
                  </c:pt>
                  <c:pt idx="320">
                    <c:v>18</c:v>
                  </c:pt>
                  <c:pt idx="327">
                    <c:v>19</c:v>
                  </c:pt>
                  <c:pt idx="332">
                    <c:v>20</c:v>
                  </c:pt>
                  <c:pt idx="335">
                    <c:v>09</c:v>
                  </c:pt>
                  <c:pt idx="336">
                    <c:v>10</c:v>
                  </c:pt>
                  <c:pt idx="337">
                    <c:v>11</c:v>
                  </c:pt>
                  <c:pt idx="339">
                    <c:v>12</c:v>
                  </c:pt>
                  <c:pt idx="340">
                    <c:v>13</c:v>
                  </c:pt>
                  <c:pt idx="342">
                    <c:v>14</c:v>
                  </c:pt>
                  <c:pt idx="343">
                    <c:v>15</c:v>
                  </c:pt>
                  <c:pt idx="346">
                    <c:v>16</c:v>
                  </c:pt>
                  <c:pt idx="349">
                    <c:v>17</c:v>
                  </c:pt>
                  <c:pt idx="351">
                    <c:v>18</c:v>
                  </c:pt>
                  <c:pt idx="355">
                    <c:v>19</c:v>
                  </c:pt>
                  <c:pt idx="362">
                    <c:v>20</c:v>
                  </c:pt>
                  <c:pt idx="364">
                    <c:v>08</c:v>
                  </c:pt>
                  <c:pt idx="369">
                    <c:v>09</c:v>
                  </c:pt>
                  <c:pt idx="374">
                    <c:v>10</c:v>
                  </c:pt>
                  <c:pt idx="375">
                    <c:v>12</c:v>
                  </c:pt>
                  <c:pt idx="377">
                    <c:v>13</c:v>
                  </c:pt>
                  <c:pt idx="379">
                    <c:v>14</c:v>
                  </c:pt>
                  <c:pt idx="380">
                    <c:v>15</c:v>
                  </c:pt>
                  <c:pt idx="385">
                    <c:v>17</c:v>
                  </c:pt>
                  <c:pt idx="386">
                    <c:v>18</c:v>
                  </c:pt>
                  <c:pt idx="387">
                    <c:v>19</c:v>
                  </c:pt>
                  <c:pt idx="391">
                    <c:v>20</c:v>
                  </c:pt>
                  <c:pt idx="399">
                    <c:v>08</c:v>
                  </c:pt>
                  <c:pt idx="406">
                    <c:v>09</c:v>
                  </c:pt>
                  <c:pt idx="410">
                    <c:v>10</c:v>
                  </c:pt>
                  <c:pt idx="415">
                    <c:v>11</c:v>
                  </c:pt>
                  <c:pt idx="417">
                    <c:v>12</c:v>
                  </c:pt>
                  <c:pt idx="420">
                    <c:v>13</c:v>
                  </c:pt>
                  <c:pt idx="422">
                    <c:v>14</c:v>
                  </c:pt>
                  <c:pt idx="423">
                    <c:v>15</c:v>
                  </c:pt>
                  <c:pt idx="425">
                    <c:v>16</c:v>
                  </c:pt>
                  <c:pt idx="427">
                    <c:v>17</c:v>
                  </c:pt>
                  <c:pt idx="428">
                    <c:v>18</c:v>
                  </c:pt>
                  <c:pt idx="430">
                    <c:v>19</c:v>
                  </c:pt>
                  <c:pt idx="433">
                    <c:v>20</c:v>
                  </c:pt>
                  <c:pt idx="437">
                    <c:v>08</c:v>
                  </c:pt>
                  <c:pt idx="439">
                    <c:v>09</c:v>
                  </c:pt>
                  <c:pt idx="440">
                    <c:v>10</c:v>
                  </c:pt>
                  <c:pt idx="442">
                    <c:v>11</c:v>
                  </c:pt>
                  <c:pt idx="443">
                    <c:v>12</c:v>
                  </c:pt>
                  <c:pt idx="446">
                    <c:v>13</c:v>
                  </c:pt>
                  <c:pt idx="448">
                    <c:v>14</c:v>
                  </c:pt>
                  <c:pt idx="452">
                    <c:v>15</c:v>
                  </c:pt>
                  <c:pt idx="453">
                    <c:v>16</c:v>
                  </c:pt>
                  <c:pt idx="458">
                    <c:v>17</c:v>
                  </c:pt>
                  <c:pt idx="460">
                    <c:v>18</c:v>
                  </c:pt>
                  <c:pt idx="462">
                    <c:v>19</c:v>
                  </c:pt>
                  <c:pt idx="467">
                    <c:v>20</c:v>
                  </c:pt>
                  <c:pt idx="468">
                    <c:v>08</c:v>
                  </c:pt>
                  <c:pt idx="471">
                    <c:v>09</c:v>
                  </c:pt>
                  <c:pt idx="472">
                    <c:v>10</c:v>
                  </c:pt>
                  <c:pt idx="476">
                    <c:v>11</c:v>
                  </c:pt>
                  <c:pt idx="477">
                    <c:v>12</c:v>
                  </c:pt>
                  <c:pt idx="479">
                    <c:v>14</c:v>
                  </c:pt>
                  <c:pt idx="481">
                    <c:v>15</c:v>
                  </c:pt>
                  <c:pt idx="482">
                    <c:v>16</c:v>
                  </c:pt>
                  <c:pt idx="484">
                    <c:v>18</c:v>
                  </c:pt>
                  <c:pt idx="486">
                    <c:v>19</c:v>
                  </c:pt>
                  <c:pt idx="489">
                    <c:v>20</c:v>
                  </c:pt>
                  <c:pt idx="491">
                    <c:v>07</c:v>
                  </c:pt>
                  <c:pt idx="493">
                    <c:v>08</c:v>
                  </c:pt>
                  <c:pt idx="495">
                    <c:v>09</c:v>
                  </c:pt>
                  <c:pt idx="497">
                    <c:v>10</c:v>
                  </c:pt>
                  <c:pt idx="501">
                    <c:v>11</c:v>
                  </c:pt>
                  <c:pt idx="502">
                    <c:v>12</c:v>
                  </c:pt>
                  <c:pt idx="504">
                    <c:v>13</c:v>
                  </c:pt>
                  <c:pt idx="507">
                    <c:v>14</c:v>
                  </c:pt>
                  <c:pt idx="508">
                    <c:v>17</c:v>
                  </c:pt>
                  <c:pt idx="511">
                    <c:v>18</c:v>
                  </c:pt>
                  <c:pt idx="514">
                    <c:v>19</c:v>
                  </c:pt>
                  <c:pt idx="516">
                    <c:v>20</c:v>
                  </c:pt>
                  <c:pt idx="518">
                    <c:v>07</c:v>
                  </c:pt>
                  <c:pt idx="519">
                    <c:v>08</c:v>
                  </c:pt>
                  <c:pt idx="521">
                    <c:v>10</c:v>
                  </c:pt>
                  <c:pt idx="523">
                    <c:v>11</c:v>
                  </c:pt>
                  <c:pt idx="527">
                    <c:v>12</c:v>
                  </c:pt>
                  <c:pt idx="532">
                    <c:v>13</c:v>
                  </c:pt>
                  <c:pt idx="533">
                    <c:v>14</c:v>
                  </c:pt>
                  <c:pt idx="536">
                    <c:v>15</c:v>
                  </c:pt>
                  <c:pt idx="537">
                    <c:v>16</c:v>
                  </c:pt>
                  <c:pt idx="541">
                    <c:v>17</c:v>
                  </c:pt>
                  <c:pt idx="543">
                    <c:v>18</c:v>
                  </c:pt>
                  <c:pt idx="548">
                    <c:v>19</c:v>
                  </c:pt>
                  <c:pt idx="550">
                    <c:v>20</c:v>
                  </c:pt>
                  <c:pt idx="551">
                    <c:v>07</c:v>
                  </c:pt>
                  <c:pt idx="552">
                    <c:v>08</c:v>
                  </c:pt>
                  <c:pt idx="555">
                    <c:v>09</c:v>
                  </c:pt>
                  <c:pt idx="560">
                    <c:v>10</c:v>
                  </c:pt>
                  <c:pt idx="561">
                    <c:v>11</c:v>
                  </c:pt>
                  <c:pt idx="563">
                    <c:v>12</c:v>
                  </c:pt>
                  <c:pt idx="564">
                    <c:v>13</c:v>
                  </c:pt>
                  <c:pt idx="567">
                    <c:v>14</c:v>
                  </c:pt>
                  <c:pt idx="569">
                    <c:v>15</c:v>
                  </c:pt>
                  <c:pt idx="574">
                    <c:v>16</c:v>
                  </c:pt>
                  <c:pt idx="577">
                    <c:v>17</c:v>
                  </c:pt>
                  <c:pt idx="580">
                    <c:v>18</c:v>
                  </c:pt>
                  <c:pt idx="585">
                    <c:v>19</c:v>
                  </c:pt>
                  <c:pt idx="592">
                    <c:v>20</c:v>
                  </c:pt>
                  <c:pt idx="594">
                    <c:v>01</c:v>
                  </c:pt>
                  <c:pt idx="596">
                    <c:v>08</c:v>
                  </c:pt>
                  <c:pt idx="599">
                    <c:v>09</c:v>
                  </c:pt>
                  <c:pt idx="603">
                    <c:v>10</c:v>
                  </c:pt>
                  <c:pt idx="604">
                    <c:v>11</c:v>
                  </c:pt>
                  <c:pt idx="606">
                    <c:v>12</c:v>
                  </c:pt>
                  <c:pt idx="607">
                    <c:v>13</c:v>
                  </c:pt>
                  <c:pt idx="608">
                    <c:v>14</c:v>
                  </c:pt>
                  <c:pt idx="613">
                    <c:v>15</c:v>
                  </c:pt>
                  <c:pt idx="614">
                    <c:v>16</c:v>
                  </c:pt>
                  <c:pt idx="616">
                    <c:v>17</c:v>
                  </c:pt>
                  <c:pt idx="619">
                    <c:v>18</c:v>
                  </c:pt>
                  <c:pt idx="620">
                    <c:v>19</c:v>
                  </c:pt>
                  <c:pt idx="623">
                    <c:v>20</c:v>
                  </c:pt>
                  <c:pt idx="625">
                    <c:v>08</c:v>
                  </c:pt>
                  <c:pt idx="631">
                    <c:v>09</c:v>
                  </c:pt>
                  <c:pt idx="634">
                    <c:v>10</c:v>
                  </c:pt>
                  <c:pt idx="636">
                    <c:v>11</c:v>
                  </c:pt>
                  <c:pt idx="639">
                    <c:v>12</c:v>
                  </c:pt>
                  <c:pt idx="644">
                    <c:v>13</c:v>
                  </c:pt>
                  <c:pt idx="651">
                    <c:v>14</c:v>
                  </c:pt>
                  <c:pt idx="653">
                    <c:v>15</c:v>
                  </c:pt>
                  <c:pt idx="654">
                    <c:v>16</c:v>
                  </c:pt>
                  <c:pt idx="657">
                    <c:v>17</c:v>
                  </c:pt>
                  <c:pt idx="659">
                    <c:v>18</c:v>
                  </c:pt>
                  <c:pt idx="661">
                    <c:v>19</c:v>
                  </c:pt>
                  <c:pt idx="662">
                    <c:v>20</c:v>
                  </c:pt>
                </c:lvl>
                <c:lvl>
                  <c:pt idx="0">
                    <c:v>15/07/2024</c:v>
                  </c:pt>
                  <c:pt idx="26">
                    <c:v>16/07/2024</c:v>
                  </c:pt>
                  <c:pt idx="70">
                    <c:v>17/07/2024</c:v>
                  </c:pt>
                  <c:pt idx="91">
                    <c:v>18/07/2024</c:v>
                  </c:pt>
                  <c:pt idx="120">
                    <c:v>19/07/2024</c:v>
                  </c:pt>
                  <c:pt idx="156">
                    <c:v>20/07/2024</c:v>
                  </c:pt>
                  <c:pt idx="195">
                    <c:v>21/07/2024</c:v>
                  </c:pt>
                  <c:pt idx="227">
                    <c:v>22/07/2024</c:v>
                  </c:pt>
                  <c:pt idx="261">
                    <c:v>23/07/2024</c:v>
                  </c:pt>
                  <c:pt idx="299">
                    <c:v>24/07/2024</c:v>
                  </c:pt>
                  <c:pt idx="335">
                    <c:v>25/07/2024</c:v>
                  </c:pt>
                  <c:pt idx="364">
                    <c:v>26/07/2024</c:v>
                  </c:pt>
                  <c:pt idx="399">
                    <c:v>27/07/2024</c:v>
                  </c:pt>
                  <c:pt idx="437">
                    <c:v>28/07/2024</c:v>
                  </c:pt>
                  <c:pt idx="468">
                    <c:v>29/07/2024</c:v>
                  </c:pt>
                  <c:pt idx="491">
                    <c:v>30/07/2024</c:v>
                  </c:pt>
                  <c:pt idx="518">
                    <c:v>31/07/2024</c:v>
                  </c:pt>
                  <c:pt idx="551">
                    <c:v>01/08/2024</c:v>
                  </c:pt>
                  <c:pt idx="594">
                    <c:v>02/08/2024</c:v>
                  </c:pt>
                  <c:pt idx="625">
                    <c:v>03/08/2024</c:v>
                  </c:pt>
                </c:lvl>
              </c:multiLvlStrCache>
            </c:multiLvlStrRef>
          </c:cat>
          <c:val>
            <c:numRef>
              <c:f>'Time vs item sold'!$D$4:$D$921</c:f>
              <c:numCache>
                <c:formatCode>General</c:formatCode>
                <c:ptCount val="664"/>
                <c:pt idx="0">
                  <c:v>6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1</c:v>
                </c:pt>
                <c:pt idx="11">
                  <c:v>6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3.25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7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10</c:v>
                </c:pt>
                <c:pt idx="28">
                  <c:v>1</c:v>
                </c:pt>
                <c:pt idx="29">
                  <c:v>4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2</c:v>
                </c:pt>
                <c:pt idx="42">
                  <c:v>9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2</c:v>
                </c:pt>
                <c:pt idx="48">
                  <c:v>10</c:v>
                </c:pt>
                <c:pt idx="49">
                  <c:v>2</c:v>
                </c:pt>
                <c:pt idx="50">
                  <c:v>3</c:v>
                </c:pt>
                <c:pt idx="51">
                  <c:v>1</c:v>
                </c:pt>
                <c:pt idx="52">
                  <c:v>4</c:v>
                </c:pt>
                <c:pt idx="53">
                  <c:v>1</c:v>
                </c:pt>
                <c:pt idx="54">
                  <c:v>4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4</c:v>
                </c:pt>
                <c:pt idx="63">
                  <c:v>4</c:v>
                </c:pt>
                <c:pt idx="64">
                  <c:v>1</c:v>
                </c:pt>
                <c:pt idx="65">
                  <c:v>2</c:v>
                </c:pt>
                <c:pt idx="66">
                  <c:v>9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4</c:v>
                </c:pt>
                <c:pt idx="77">
                  <c:v>1</c:v>
                </c:pt>
                <c:pt idx="78">
                  <c:v>7.25</c:v>
                </c:pt>
                <c:pt idx="79">
                  <c:v>3</c:v>
                </c:pt>
                <c:pt idx="80">
                  <c:v>1</c:v>
                </c:pt>
                <c:pt idx="81">
                  <c:v>0.25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1.75</c:v>
                </c:pt>
                <c:pt idx="90">
                  <c:v>1</c:v>
                </c:pt>
                <c:pt idx="91">
                  <c:v>4</c:v>
                </c:pt>
                <c:pt idx="92">
                  <c:v>3</c:v>
                </c:pt>
                <c:pt idx="93">
                  <c:v>4</c:v>
                </c:pt>
                <c:pt idx="94">
                  <c:v>4.2</c:v>
                </c:pt>
                <c:pt idx="95">
                  <c:v>6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1.5</c:v>
                </c:pt>
                <c:pt idx="103">
                  <c:v>11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9.5</c:v>
                </c:pt>
                <c:pt idx="110">
                  <c:v>2</c:v>
                </c:pt>
                <c:pt idx="111">
                  <c:v>6.5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3</c:v>
                </c:pt>
                <c:pt idx="127">
                  <c:v>2</c:v>
                </c:pt>
                <c:pt idx="128">
                  <c:v>0.25</c:v>
                </c:pt>
                <c:pt idx="129">
                  <c:v>8</c:v>
                </c:pt>
                <c:pt idx="130">
                  <c:v>3</c:v>
                </c:pt>
                <c:pt idx="131">
                  <c:v>3</c:v>
                </c:pt>
                <c:pt idx="132">
                  <c:v>1</c:v>
                </c:pt>
                <c:pt idx="133">
                  <c:v>3</c:v>
                </c:pt>
                <c:pt idx="134">
                  <c:v>2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2</c:v>
                </c:pt>
                <c:pt idx="139">
                  <c:v>3</c:v>
                </c:pt>
                <c:pt idx="140">
                  <c:v>2</c:v>
                </c:pt>
                <c:pt idx="141">
                  <c:v>2</c:v>
                </c:pt>
                <c:pt idx="142">
                  <c:v>7.25</c:v>
                </c:pt>
                <c:pt idx="143">
                  <c:v>2</c:v>
                </c:pt>
                <c:pt idx="144">
                  <c:v>2.5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5</c:v>
                </c:pt>
                <c:pt idx="149">
                  <c:v>0.25</c:v>
                </c:pt>
                <c:pt idx="150">
                  <c:v>1</c:v>
                </c:pt>
                <c:pt idx="151">
                  <c:v>1.25</c:v>
                </c:pt>
                <c:pt idx="152">
                  <c:v>1</c:v>
                </c:pt>
                <c:pt idx="153">
                  <c:v>3</c:v>
                </c:pt>
                <c:pt idx="154">
                  <c:v>2</c:v>
                </c:pt>
                <c:pt idx="155">
                  <c:v>2</c:v>
                </c:pt>
                <c:pt idx="156">
                  <c:v>4</c:v>
                </c:pt>
                <c:pt idx="157">
                  <c:v>1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6</c:v>
                </c:pt>
                <c:pt idx="172">
                  <c:v>1</c:v>
                </c:pt>
                <c:pt idx="173">
                  <c:v>3</c:v>
                </c:pt>
                <c:pt idx="174">
                  <c:v>1.5</c:v>
                </c:pt>
                <c:pt idx="175">
                  <c:v>2</c:v>
                </c:pt>
                <c:pt idx="176">
                  <c:v>7</c:v>
                </c:pt>
                <c:pt idx="177">
                  <c:v>8</c:v>
                </c:pt>
                <c:pt idx="178">
                  <c:v>6</c:v>
                </c:pt>
                <c:pt idx="179">
                  <c:v>1</c:v>
                </c:pt>
                <c:pt idx="180">
                  <c:v>0.5</c:v>
                </c:pt>
                <c:pt idx="181">
                  <c:v>4</c:v>
                </c:pt>
                <c:pt idx="182">
                  <c:v>2</c:v>
                </c:pt>
                <c:pt idx="183">
                  <c:v>1</c:v>
                </c:pt>
                <c:pt idx="184">
                  <c:v>3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33.5</c:v>
                </c:pt>
                <c:pt idx="190">
                  <c:v>7</c:v>
                </c:pt>
                <c:pt idx="191">
                  <c:v>0.5</c:v>
                </c:pt>
                <c:pt idx="192">
                  <c:v>5</c:v>
                </c:pt>
                <c:pt idx="193">
                  <c:v>2</c:v>
                </c:pt>
                <c:pt idx="194">
                  <c:v>2</c:v>
                </c:pt>
                <c:pt idx="195">
                  <c:v>3</c:v>
                </c:pt>
                <c:pt idx="196">
                  <c:v>5</c:v>
                </c:pt>
                <c:pt idx="197">
                  <c:v>2</c:v>
                </c:pt>
                <c:pt idx="198">
                  <c:v>1</c:v>
                </c:pt>
                <c:pt idx="199">
                  <c:v>1</c:v>
                </c:pt>
                <c:pt idx="200">
                  <c:v>3</c:v>
                </c:pt>
                <c:pt idx="201">
                  <c:v>6</c:v>
                </c:pt>
                <c:pt idx="202">
                  <c:v>6</c:v>
                </c:pt>
                <c:pt idx="203">
                  <c:v>2</c:v>
                </c:pt>
                <c:pt idx="204">
                  <c:v>8</c:v>
                </c:pt>
                <c:pt idx="205">
                  <c:v>2</c:v>
                </c:pt>
                <c:pt idx="206">
                  <c:v>2</c:v>
                </c:pt>
                <c:pt idx="207">
                  <c:v>1</c:v>
                </c:pt>
                <c:pt idx="208">
                  <c:v>4</c:v>
                </c:pt>
                <c:pt idx="209">
                  <c:v>2</c:v>
                </c:pt>
                <c:pt idx="210">
                  <c:v>1</c:v>
                </c:pt>
                <c:pt idx="211">
                  <c:v>4</c:v>
                </c:pt>
                <c:pt idx="212">
                  <c:v>1</c:v>
                </c:pt>
                <c:pt idx="213">
                  <c:v>9</c:v>
                </c:pt>
                <c:pt idx="214">
                  <c:v>4</c:v>
                </c:pt>
                <c:pt idx="215">
                  <c:v>1</c:v>
                </c:pt>
                <c:pt idx="216">
                  <c:v>2.25</c:v>
                </c:pt>
                <c:pt idx="217">
                  <c:v>3</c:v>
                </c:pt>
                <c:pt idx="218">
                  <c:v>2</c:v>
                </c:pt>
                <c:pt idx="219">
                  <c:v>5</c:v>
                </c:pt>
                <c:pt idx="220">
                  <c:v>0.25</c:v>
                </c:pt>
                <c:pt idx="221">
                  <c:v>8</c:v>
                </c:pt>
                <c:pt idx="222">
                  <c:v>4</c:v>
                </c:pt>
                <c:pt idx="223">
                  <c:v>3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3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2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2</c:v>
                </c:pt>
                <c:pt idx="237">
                  <c:v>0.5</c:v>
                </c:pt>
                <c:pt idx="238">
                  <c:v>10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3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8</c:v>
                </c:pt>
                <c:pt idx="250">
                  <c:v>1</c:v>
                </c:pt>
                <c:pt idx="251">
                  <c:v>1</c:v>
                </c:pt>
                <c:pt idx="252">
                  <c:v>2</c:v>
                </c:pt>
                <c:pt idx="253">
                  <c:v>1</c:v>
                </c:pt>
                <c:pt idx="254">
                  <c:v>16</c:v>
                </c:pt>
                <c:pt idx="255">
                  <c:v>0.25</c:v>
                </c:pt>
                <c:pt idx="256">
                  <c:v>1</c:v>
                </c:pt>
                <c:pt idx="257">
                  <c:v>5</c:v>
                </c:pt>
                <c:pt idx="258">
                  <c:v>1</c:v>
                </c:pt>
                <c:pt idx="259">
                  <c:v>2</c:v>
                </c:pt>
                <c:pt idx="261">
                  <c:v>1</c:v>
                </c:pt>
                <c:pt idx="262">
                  <c:v>2</c:v>
                </c:pt>
                <c:pt idx="263">
                  <c:v>4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7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1</c:v>
                </c:pt>
                <c:pt idx="275">
                  <c:v>2</c:v>
                </c:pt>
                <c:pt idx="276">
                  <c:v>3</c:v>
                </c:pt>
                <c:pt idx="277">
                  <c:v>2</c:v>
                </c:pt>
                <c:pt idx="278">
                  <c:v>4</c:v>
                </c:pt>
                <c:pt idx="279">
                  <c:v>4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4</c:v>
                </c:pt>
                <c:pt idx="284">
                  <c:v>3</c:v>
                </c:pt>
                <c:pt idx="285">
                  <c:v>2</c:v>
                </c:pt>
                <c:pt idx="286">
                  <c:v>4</c:v>
                </c:pt>
                <c:pt idx="287">
                  <c:v>2</c:v>
                </c:pt>
                <c:pt idx="288">
                  <c:v>4</c:v>
                </c:pt>
                <c:pt idx="289">
                  <c:v>3</c:v>
                </c:pt>
                <c:pt idx="291">
                  <c:v>12</c:v>
                </c:pt>
                <c:pt idx="292">
                  <c:v>2</c:v>
                </c:pt>
                <c:pt idx="293">
                  <c:v>2</c:v>
                </c:pt>
                <c:pt idx="294">
                  <c:v>1</c:v>
                </c:pt>
                <c:pt idx="295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4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4</c:v>
                </c:pt>
                <c:pt idx="308">
                  <c:v>3</c:v>
                </c:pt>
                <c:pt idx="309">
                  <c:v>2</c:v>
                </c:pt>
                <c:pt idx="310">
                  <c:v>1</c:v>
                </c:pt>
                <c:pt idx="311">
                  <c:v>15</c:v>
                </c:pt>
                <c:pt idx="312">
                  <c:v>2</c:v>
                </c:pt>
                <c:pt idx="313">
                  <c:v>7</c:v>
                </c:pt>
                <c:pt idx="314">
                  <c:v>4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2</c:v>
                </c:pt>
                <c:pt idx="319">
                  <c:v>8</c:v>
                </c:pt>
                <c:pt idx="320">
                  <c:v>1</c:v>
                </c:pt>
                <c:pt idx="321">
                  <c:v>3</c:v>
                </c:pt>
                <c:pt idx="322">
                  <c:v>10</c:v>
                </c:pt>
                <c:pt idx="323">
                  <c:v>11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0.25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3</c:v>
                </c:pt>
                <c:pt idx="335">
                  <c:v>2</c:v>
                </c:pt>
                <c:pt idx="336">
                  <c:v>1</c:v>
                </c:pt>
                <c:pt idx="337">
                  <c:v>3</c:v>
                </c:pt>
                <c:pt idx="338">
                  <c:v>2</c:v>
                </c:pt>
                <c:pt idx="340">
                  <c:v>7</c:v>
                </c:pt>
                <c:pt idx="341">
                  <c:v>6</c:v>
                </c:pt>
                <c:pt idx="342">
                  <c:v>3</c:v>
                </c:pt>
                <c:pt idx="343">
                  <c:v>3</c:v>
                </c:pt>
                <c:pt idx="344">
                  <c:v>2</c:v>
                </c:pt>
                <c:pt idx="345">
                  <c:v>4</c:v>
                </c:pt>
                <c:pt idx="346">
                  <c:v>3</c:v>
                </c:pt>
                <c:pt idx="347">
                  <c:v>11</c:v>
                </c:pt>
                <c:pt idx="348">
                  <c:v>1</c:v>
                </c:pt>
                <c:pt idx="349">
                  <c:v>3</c:v>
                </c:pt>
                <c:pt idx="350">
                  <c:v>22</c:v>
                </c:pt>
                <c:pt idx="351">
                  <c:v>3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6</c:v>
                </c:pt>
                <c:pt idx="360">
                  <c:v>1</c:v>
                </c:pt>
                <c:pt idx="361">
                  <c:v>4</c:v>
                </c:pt>
                <c:pt idx="362">
                  <c:v>2</c:v>
                </c:pt>
                <c:pt idx="363">
                  <c:v>3.25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3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0.5</c:v>
                </c:pt>
                <c:pt idx="378">
                  <c:v>2</c:v>
                </c:pt>
                <c:pt idx="379">
                  <c:v>2.5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3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1</c:v>
                </c:pt>
                <c:pt idx="391">
                  <c:v>3</c:v>
                </c:pt>
                <c:pt idx="392">
                  <c:v>0.5</c:v>
                </c:pt>
                <c:pt idx="393">
                  <c:v>1</c:v>
                </c:pt>
                <c:pt idx="394">
                  <c:v>8</c:v>
                </c:pt>
                <c:pt idx="395">
                  <c:v>2</c:v>
                </c:pt>
                <c:pt idx="396">
                  <c:v>2</c:v>
                </c:pt>
                <c:pt idx="397">
                  <c:v>5</c:v>
                </c:pt>
                <c:pt idx="398">
                  <c:v>4</c:v>
                </c:pt>
                <c:pt idx="399">
                  <c:v>1</c:v>
                </c:pt>
                <c:pt idx="400">
                  <c:v>6</c:v>
                </c:pt>
                <c:pt idx="401">
                  <c:v>1</c:v>
                </c:pt>
                <c:pt idx="402">
                  <c:v>4</c:v>
                </c:pt>
                <c:pt idx="403">
                  <c:v>3</c:v>
                </c:pt>
                <c:pt idx="404">
                  <c:v>1</c:v>
                </c:pt>
                <c:pt idx="405">
                  <c:v>2</c:v>
                </c:pt>
                <c:pt idx="406">
                  <c:v>4</c:v>
                </c:pt>
                <c:pt idx="407">
                  <c:v>1.2</c:v>
                </c:pt>
                <c:pt idx="408">
                  <c:v>10</c:v>
                </c:pt>
                <c:pt idx="409">
                  <c:v>1</c:v>
                </c:pt>
                <c:pt idx="410">
                  <c:v>3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4</c:v>
                </c:pt>
                <c:pt idx="415">
                  <c:v>1</c:v>
                </c:pt>
                <c:pt idx="416">
                  <c:v>1</c:v>
                </c:pt>
                <c:pt idx="417">
                  <c:v>3</c:v>
                </c:pt>
                <c:pt idx="418">
                  <c:v>2.5</c:v>
                </c:pt>
                <c:pt idx="419">
                  <c:v>1</c:v>
                </c:pt>
                <c:pt idx="420">
                  <c:v>7</c:v>
                </c:pt>
                <c:pt idx="421">
                  <c:v>7</c:v>
                </c:pt>
                <c:pt idx="422">
                  <c:v>8</c:v>
                </c:pt>
                <c:pt idx="423">
                  <c:v>0.5</c:v>
                </c:pt>
                <c:pt idx="424">
                  <c:v>4</c:v>
                </c:pt>
                <c:pt idx="426">
                  <c:v>12</c:v>
                </c:pt>
                <c:pt idx="427">
                  <c:v>2</c:v>
                </c:pt>
                <c:pt idx="428">
                  <c:v>3</c:v>
                </c:pt>
                <c:pt idx="430">
                  <c:v>1</c:v>
                </c:pt>
                <c:pt idx="431">
                  <c:v>1</c:v>
                </c:pt>
                <c:pt idx="432">
                  <c:v>11</c:v>
                </c:pt>
                <c:pt idx="433">
                  <c:v>4</c:v>
                </c:pt>
                <c:pt idx="434">
                  <c:v>1</c:v>
                </c:pt>
                <c:pt idx="435">
                  <c:v>9</c:v>
                </c:pt>
                <c:pt idx="436">
                  <c:v>3</c:v>
                </c:pt>
                <c:pt idx="437">
                  <c:v>8</c:v>
                </c:pt>
                <c:pt idx="438">
                  <c:v>1</c:v>
                </c:pt>
                <c:pt idx="439">
                  <c:v>3</c:v>
                </c:pt>
                <c:pt idx="440">
                  <c:v>1</c:v>
                </c:pt>
                <c:pt idx="441">
                  <c:v>2</c:v>
                </c:pt>
                <c:pt idx="442">
                  <c:v>14</c:v>
                </c:pt>
                <c:pt idx="443">
                  <c:v>1</c:v>
                </c:pt>
                <c:pt idx="444">
                  <c:v>3</c:v>
                </c:pt>
                <c:pt idx="445">
                  <c:v>1</c:v>
                </c:pt>
                <c:pt idx="446">
                  <c:v>7.2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5</c:v>
                </c:pt>
                <c:pt idx="451">
                  <c:v>5</c:v>
                </c:pt>
                <c:pt idx="452">
                  <c:v>3</c:v>
                </c:pt>
                <c:pt idx="453">
                  <c:v>2</c:v>
                </c:pt>
                <c:pt idx="454">
                  <c:v>1</c:v>
                </c:pt>
                <c:pt idx="455">
                  <c:v>15</c:v>
                </c:pt>
                <c:pt idx="456">
                  <c:v>1</c:v>
                </c:pt>
                <c:pt idx="457">
                  <c:v>4</c:v>
                </c:pt>
                <c:pt idx="458">
                  <c:v>3</c:v>
                </c:pt>
                <c:pt idx="459">
                  <c:v>3</c:v>
                </c:pt>
                <c:pt idx="460">
                  <c:v>1</c:v>
                </c:pt>
                <c:pt idx="461">
                  <c:v>1</c:v>
                </c:pt>
                <c:pt idx="462">
                  <c:v>0.25</c:v>
                </c:pt>
                <c:pt idx="463">
                  <c:v>1</c:v>
                </c:pt>
                <c:pt idx="464">
                  <c:v>8</c:v>
                </c:pt>
                <c:pt idx="465">
                  <c:v>3</c:v>
                </c:pt>
                <c:pt idx="466">
                  <c:v>2</c:v>
                </c:pt>
                <c:pt idx="467">
                  <c:v>4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1</c:v>
                </c:pt>
                <c:pt idx="472">
                  <c:v>2</c:v>
                </c:pt>
                <c:pt idx="473">
                  <c:v>1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5</c:v>
                </c:pt>
                <c:pt idx="478">
                  <c:v>4.5</c:v>
                </c:pt>
                <c:pt idx="479">
                  <c:v>7</c:v>
                </c:pt>
                <c:pt idx="480">
                  <c:v>2</c:v>
                </c:pt>
                <c:pt idx="481">
                  <c:v>1</c:v>
                </c:pt>
                <c:pt idx="482">
                  <c:v>1</c:v>
                </c:pt>
                <c:pt idx="483">
                  <c:v>4</c:v>
                </c:pt>
                <c:pt idx="484">
                  <c:v>2</c:v>
                </c:pt>
                <c:pt idx="485">
                  <c:v>8</c:v>
                </c:pt>
                <c:pt idx="486">
                  <c:v>2</c:v>
                </c:pt>
                <c:pt idx="487">
                  <c:v>2</c:v>
                </c:pt>
                <c:pt idx="488">
                  <c:v>4</c:v>
                </c:pt>
                <c:pt idx="489">
                  <c:v>5</c:v>
                </c:pt>
                <c:pt idx="490">
                  <c:v>2</c:v>
                </c:pt>
                <c:pt idx="491">
                  <c:v>1</c:v>
                </c:pt>
                <c:pt idx="492">
                  <c:v>6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3</c:v>
                </c:pt>
                <c:pt idx="497">
                  <c:v>1</c:v>
                </c:pt>
                <c:pt idx="498">
                  <c:v>1</c:v>
                </c:pt>
                <c:pt idx="499">
                  <c:v>7</c:v>
                </c:pt>
                <c:pt idx="500">
                  <c:v>1</c:v>
                </c:pt>
                <c:pt idx="501">
                  <c:v>2</c:v>
                </c:pt>
                <c:pt idx="502">
                  <c:v>8</c:v>
                </c:pt>
                <c:pt idx="503">
                  <c:v>5</c:v>
                </c:pt>
                <c:pt idx="504">
                  <c:v>2</c:v>
                </c:pt>
                <c:pt idx="505">
                  <c:v>2</c:v>
                </c:pt>
                <c:pt idx="506">
                  <c:v>31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8</c:v>
                </c:pt>
                <c:pt idx="511">
                  <c:v>9</c:v>
                </c:pt>
                <c:pt idx="512">
                  <c:v>0.25</c:v>
                </c:pt>
                <c:pt idx="513">
                  <c:v>4</c:v>
                </c:pt>
                <c:pt idx="514">
                  <c:v>1</c:v>
                </c:pt>
                <c:pt idx="515">
                  <c:v>4</c:v>
                </c:pt>
                <c:pt idx="516">
                  <c:v>15</c:v>
                </c:pt>
                <c:pt idx="517">
                  <c:v>9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2</c:v>
                </c:pt>
                <c:pt idx="525">
                  <c:v>1</c:v>
                </c:pt>
                <c:pt idx="526">
                  <c:v>2</c:v>
                </c:pt>
                <c:pt idx="527">
                  <c:v>14</c:v>
                </c:pt>
                <c:pt idx="528">
                  <c:v>2</c:v>
                </c:pt>
                <c:pt idx="529">
                  <c:v>6</c:v>
                </c:pt>
                <c:pt idx="530">
                  <c:v>2</c:v>
                </c:pt>
                <c:pt idx="531">
                  <c:v>7</c:v>
                </c:pt>
                <c:pt idx="532">
                  <c:v>5</c:v>
                </c:pt>
                <c:pt idx="533">
                  <c:v>15</c:v>
                </c:pt>
                <c:pt idx="534">
                  <c:v>3</c:v>
                </c:pt>
                <c:pt idx="535">
                  <c:v>2</c:v>
                </c:pt>
                <c:pt idx="536">
                  <c:v>2</c:v>
                </c:pt>
                <c:pt idx="537">
                  <c:v>1</c:v>
                </c:pt>
                <c:pt idx="538">
                  <c:v>1</c:v>
                </c:pt>
                <c:pt idx="539">
                  <c:v>4</c:v>
                </c:pt>
                <c:pt idx="540">
                  <c:v>2</c:v>
                </c:pt>
                <c:pt idx="541">
                  <c:v>6</c:v>
                </c:pt>
                <c:pt idx="542">
                  <c:v>2</c:v>
                </c:pt>
                <c:pt idx="543">
                  <c:v>12</c:v>
                </c:pt>
                <c:pt idx="544">
                  <c:v>1</c:v>
                </c:pt>
                <c:pt idx="545">
                  <c:v>2</c:v>
                </c:pt>
                <c:pt idx="546">
                  <c:v>8</c:v>
                </c:pt>
                <c:pt idx="547">
                  <c:v>3</c:v>
                </c:pt>
                <c:pt idx="548">
                  <c:v>5</c:v>
                </c:pt>
                <c:pt idx="549">
                  <c:v>2.2000000000000002</c:v>
                </c:pt>
                <c:pt idx="550">
                  <c:v>6.25</c:v>
                </c:pt>
                <c:pt idx="551">
                  <c:v>1</c:v>
                </c:pt>
                <c:pt idx="552">
                  <c:v>5</c:v>
                </c:pt>
                <c:pt idx="553">
                  <c:v>3</c:v>
                </c:pt>
                <c:pt idx="554">
                  <c:v>4</c:v>
                </c:pt>
                <c:pt idx="555">
                  <c:v>41</c:v>
                </c:pt>
                <c:pt idx="556">
                  <c:v>1</c:v>
                </c:pt>
                <c:pt idx="557">
                  <c:v>1</c:v>
                </c:pt>
                <c:pt idx="558">
                  <c:v>1.5</c:v>
                </c:pt>
                <c:pt idx="559">
                  <c:v>2</c:v>
                </c:pt>
                <c:pt idx="560">
                  <c:v>3</c:v>
                </c:pt>
                <c:pt idx="561">
                  <c:v>1</c:v>
                </c:pt>
                <c:pt idx="562">
                  <c:v>0.5</c:v>
                </c:pt>
                <c:pt idx="563">
                  <c:v>1</c:v>
                </c:pt>
                <c:pt idx="564">
                  <c:v>3</c:v>
                </c:pt>
                <c:pt idx="565">
                  <c:v>2</c:v>
                </c:pt>
                <c:pt idx="566">
                  <c:v>1</c:v>
                </c:pt>
                <c:pt idx="567">
                  <c:v>6.25</c:v>
                </c:pt>
                <c:pt idx="568">
                  <c:v>4</c:v>
                </c:pt>
                <c:pt idx="569">
                  <c:v>13</c:v>
                </c:pt>
                <c:pt idx="570">
                  <c:v>2</c:v>
                </c:pt>
                <c:pt idx="572">
                  <c:v>13</c:v>
                </c:pt>
                <c:pt idx="574">
                  <c:v>3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2</c:v>
                </c:pt>
                <c:pt idx="579">
                  <c:v>20</c:v>
                </c:pt>
                <c:pt idx="580">
                  <c:v>4</c:v>
                </c:pt>
                <c:pt idx="581">
                  <c:v>5</c:v>
                </c:pt>
                <c:pt idx="582">
                  <c:v>3</c:v>
                </c:pt>
                <c:pt idx="583">
                  <c:v>1</c:v>
                </c:pt>
                <c:pt idx="584">
                  <c:v>3</c:v>
                </c:pt>
                <c:pt idx="585">
                  <c:v>4</c:v>
                </c:pt>
                <c:pt idx="586">
                  <c:v>1</c:v>
                </c:pt>
                <c:pt idx="587">
                  <c:v>10</c:v>
                </c:pt>
                <c:pt idx="588">
                  <c:v>2</c:v>
                </c:pt>
                <c:pt idx="589">
                  <c:v>1</c:v>
                </c:pt>
                <c:pt idx="590">
                  <c:v>1</c:v>
                </c:pt>
                <c:pt idx="591">
                  <c:v>5</c:v>
                </c:pt>
                <c:pt idx="592">
                  <c:v>3</c:v>
                </c:pt>
                <c:pt idx="593">
                  <c:v>0.25</c:v>
                </c:pt>
                <c:pt idx="594">
                  <c:v>2</c:v>
                </c:pt>
                <c:pt idx="595">
                  <c:v>2</c:v>
                </c:pt>
                <c:pt idx="596">
                  <c:v>1</c:v>
                </c:pt>
                <c:pt idx="597">
                  <c:v>3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4</c:v>
                </c:pt>
                <c:pt idx="602">
                  <c:v>1</c:v>
                </c:pt>
                <c:pt idx="603">
                  <c:v>4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6</c:v>
                </c:pt>
                <c:pt idx="610">
                  <c:v>3</c:v>
                </c:pt>
                <c:pt idx="611">
                  <c:v>1</c:v>
                </c:pt>
                <c:pt idx="612">
                  <c:v>1</c:v>
                </c:pt>
                <c:pt idx="613">
                  <c:v>4</c:v>
                </c:pt>
                <c:pt idx="614">
                  <c:v>1</c:v>
                </c:pt>
                <c:pt idx="615">
                  <c:v>25</c:v>
                </c:pt>
                <c:pt idx="616">
                  <c:v>17</c:v>
                </c:pt>
                <c:pt idx="617">
                  <c:v>2</c:v>
                </c:pt>
                <c:pt idx="618">
                  <c:v>4.75</c:v>
                </c:pt>
                <c:pt idx="619">
                  <c:v>9</c:v>
                </c:pt>
                <c:pt idx="622">
                  <c:v>3</c:v>
                </c:pt>
                <c:pt idx="623">
                  <c:v>1</c:v>
                </c:pt>
                <c:pt idx="624">
                  <c:v>3</c:v>
                </c:pt>
                <c:pt idx="625">
                  <c:v>2</c:v>
                </c:pt>
                <c:pt idx="626">
                  <c:v>6</c:v>
                </c:pt>
                <c:pt idx="627">
                  <c:v>2.2000000000000002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2</c:v>
                </c:pt>
                <c:pt idx="635">
                  <c:v>8</c:v>
                </c:pt>
                <c:pt idx="636">
                  <c:v>1</c:v>
                </c:pt>
                <c:pt idx="637">
                  <c:v>1</c:v>
                </c:pt>
                <c:pt idx="638">
                  <c:v>3</c:v>
                </c:pt>
                <c:pt idx="639">
                  <c:v>3</c:v>
                </c:pt>
                <c:pt idx="640">
                  <c:v>7</c:v>
                </c:pt>
                <c:pt idx="641">
                  <c:v>4</c:v>
                </c:pt>
                <c:pt idx="642">
                  <c:v>5</c:v>
                </c:pt>
                <c:pt idx="643">
                  <c:v>5</c:v>
                </c:pt>
                <c:pt idx="644">
                  <c:v>2</c:v>
                </c:pt>
                <c:pt idx="645">
                  <c:v>2.5</c:v>
                </c:pt>
                <c:pt idx="646">
                  <c:v>3</c:v>
                </c:pt>
                <c:pt idx="647">
                  <c:v>5</c:v>
                </c:pt>
                <c:pt idx="648">
                  <c:v>7</c:v>
                </c:pt>
                <c:pt idx="649">
                  <c:v>3</c:v>
                </c:pt>
                <c:pt idx="650">
                  <c:v>7</c:v>
                </c:pt>
                <c:pt idx="651">
                  <c:v>6</c:v>
                </c:pt>
                <c:pt idx="652">
                  <c:v>3</c:v>
                </c:pt>
                <c:pt idx="653">
                  <c:v>1</c:v>
                </c:pt>
                <c:pt idx="654">
                  <c:v>0.75</c:v>
                </c:pt>
                <c:pt idx="655">
                  <c:v>5.75</c:v>
                </c:pt>
                <c:pt idx="656">
                  <c:v>2</c:v>
                </c:pt>
                <c:pt idx="657">
                  <c:v>14</c:v>
                </c:pt>
                <c:pt idx="658">
                  <c:v>7</c:v>
                </c:pt>
                <c:pt idx="659">
                  <c:v>1</c:v>
                </c:pt>
                <c:pt idx="660">
                  <c:v>3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21-40EB-AADE-8C1F5E08C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2958799"/>
        <c:axId val="1582960879"/>
      </c:barChart>
      <c:catAx>
        <c:axId val="158295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582960879"/>
        <c:crosses val="autoZero"/>
        <c:auto val="1"/>
        <c:lblAlgn val="ctr"/>
        <c:lblOffset val="100"/>
        <c:noMultiLvlLbl val="0"/>
      </c:catAx>
      <c:valAx>
        <c:axId val="158296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582958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2435040</xdr:colOff>
      <xdr:row>63</xdr:row>
      <xdr:rowOff>83970</xdr:rowOff>
    </xdr:from>
    <xdr:to>
      <xdr:col>2</xdr:col>
      <xdr:colOff>80950</xdr:colOff>
      <xdr:row>73</xdr:row>
      <xdr:rowOff>181430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56045C35-F37F-4F24-A4DC-F9149B8463ED}"/>
                </a:ext>
              </a:extLst>
            </xdr14:cNvPr>
            <xdr14:cNvContentPartPr/>
          </xdr14:nvContentPartPr>
          <xdr14:nvPr macro=""/>
          <xdr14:xfrm>
            <a:off x="2435040" y="11685420"/>
            <a:ext cx="966960" cy="19389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56045C35-F37F-4F24-A4DC-F9149B8463E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26400" y="11676420"/>
              <a:ext cx="984600" cy="19566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0</xdr:row>
      <xdr:rowOff>0</xdr:rowOff>
    </xdr:from>
    <xdr:to>
      <xdr:col>16</xdr:col>
      <xdr:colOff>323850</xdr:colOff>
      <xdr:row>14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B211D8-C697-48FB-9CE8-9D11E3ED2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304800</xdr:colOff>
      <xdr:row>13</xdr:row>
      <xdr:rowOff>0</xdr:rowOff>
    </xdr:from>
    <xdr:to>
      <xdr:col>17</xdr:col>
      <xdr:colOff>247649</xdr:colOff>
      <xdr:row>29</xdr:row>
      <xdr:rowOff>66674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D5AF95-8D37-4F39-B346-21F7D574C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38098</xdr:colOff>
      <xdr:row>1</xdr:row>
      <xdr:rowOff>161925</xdr:rowOff>
    </xdr:from>
    <xdr:to>
      <xdr:col>38</xdr:col>
      <xdr:colOff>485774</xdr:colOff>
      <xdr:row>30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DFDC4-359C-4480-9B93-742D365E8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05T11:34:09.5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18 5386 4626,'-16'-9'2417,"15"4"-2437,1 1 1,0-1-1,0 1 0,0-1 0,1 1 0,-1-1 1,1 1-1,0-1 0,0 1 0,1 0 0,-1 0 1,1-1-1,0 1 0,0 0 0,0 0 1,1 1-1,0-1 0,-1 0 0,1 1 0,0 0 1,1 0-1,-1-1 0,0 2 0,1-1 0,0 0 1,2 0 19,-3-1-6,89-86-138,-5-5 0,68-95 144,-105 113 527,-4-3 0,-3-2-1,-4-1 1,27-84-527,-27 69 411,195-565 840,-102 271-986,58-116-540,139-240 275,22 58-4421,226-304 4421,-378 683-1683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8.606980439814" createdVersion="7" refreshedVersion="7" minRefreshableVersion="3" recordCount="1249" xr:uid="{80B1F099-CDFE-4920-9EE3-351B14FEAB78}">
  <cacheSource type="worksheet">
    <worksheetSource name="Table4"/>
  </cacheSource>
  <cacheFields count="13">
    <cacheField name="date" numFmtId="14">
      <sharedItems containsSemiMixedTypes="0" containsNonDate="0" containsDate="1" containsString="0" minDate="2024-07-15T00:00:00" maxDate="2024-08-04T00:00:00" count="20"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</sharedItems>
    </cacheField>
    <cacheField name="time" numFmtId="18">
      <sharedItems containsSemiMixedTypes="0" containsNonDate="0" containsDate="1" containsString="0" minDate="1899-12-30T01:43:00" maxDate="1899-12-30T20:57:00" count="448">
        <d v="1899-12-30T07:38:00"/>
        <d v="1899-12-30T10:32:00"/>
        <d v="1899-12-30T10:39:00"/>
        <d v="1899-12-30T10:40:00"/>
        <d v="1899-12-30T10:47:00"/>
        <d v="1899-12-30T11:41:00"/>
        <d v="1899-12-30T12:41:00"/>
        <d v="1899-12-30T12:26:00"/>
        <d v="1899-12-30T14:05:00"/>
        <d v="1899-12-30T14:22:00"/>
        <d v="1899-12-30T14:45:00"/>
        <d v="1899-12-30T15:30:00"/>
        <d v="1899-12-30T15:35:00"/>
        <d v="1899-12-30T16:23:00"/>
        <d v="1899-12-30T17:30:00"/>
        <d v="1899-12-30T17:55:00"/>
        <d v="1899-12-30T18:10:00"/>
        <d v="1899-12-30T18:38:00"/>
        <d v="1899-12-30T19:07:00"/>
        <d v="1899-12-30T19:30:00"/>
        <d v="1899-12-30T19:36:00"/>
        <d v="1899-12-30T20:02:00"/>
        <d v="1899-12-30T08:02:00"/>
        <d v="1899-12-30T20:08:00"/>
        <d v="1899-12-30T20:10:00"/>
        <d v="1899-12-30T20:13:00"/>
        <d v="1899-12-30T08:00:00"/>
        <d v="1899-12-30T08:16:00"/>
        <d v="1899-12-30T09:02:00"/>
        <d v="1899-12-30T09:28:00"/>
        <d v="1899-12-30T09:29:00"/>
        <d v="1899-12-30T09:56:00"/>
        <d v="1899-12-30T10:13:00"/>
        <d v="1899-12-30T10:36:00"/>
        <d v="1899-12-30T11:44:00"/>
        <d v="1899-12-30T11:45:00"/>
        <d v="1899-12-30T12:46:00"/>
        <d v="1899-12-30T13:35:00"/>
        <d v="1899-12-30T13:53:00"/>
        <d v="1899-12-30T13:59:00"/>
        <d v="1899-12-30T14:26:00"/>
        <d v="1899-12-30T14:34:00"/>
        <d v="1899-12-30T14:35:00"/>
        <d v="1899-12-30T14:56:00"/>
        <d v="1899-12-30T15:40:00"/>
        <d v="1899-12-30T16:17:00"/>
        <d v="1899-12-30T16:49:00"/>
        <d v="1899-12-30T16:50:00"/>
        <d v="1899-12-30T17:21:00"/>
        <d v="1899-12-30T17:33:00"/>
        <d v="1899-12-30T17:45:00"/>
        <d v="1899-12-30T17:46:00"/>
        <d v="1899-12-30T18:24:00"/>
        <d v="1899-12-30T18:30:00"/>
        <d v="1899-12-30T18:33:00"/>
        <d v="1899-12-30T18:35:00"/>
        <d v="1899-12-30T18:36:00"/>
        <d v="1899-12-30T18:37:00"/>
        <d v="1899-12-30T19:00:00"/>
        <d v="1899-12-30T19:01:00"/>
        <d v="1899-12-30T19:04:00"/>
        <d v="1899-12-30T19:08:00"/>
        <d v="1899-12-30T19:09:00"/>
        <d v="1899-12-30T19:19:00"/>
        <d v="1899-12-30T19:25:00"/>
        <d v="1899-12-30T19:47:00"/>
        <d v="1899-12-30T20:30:00"/>
        <d v="1899-12-30T09:19:00"/>
        <d v="1899-12-30T09:27:00"/>
        <d v="1899-12-30T09:37:00"/>
        <d v="1899-12-30T10:50:00"/>
        <d v="1899-12-30T11:20:00"/>
        <d v="1899-12-30T11:43:00"/>
        <d v="1899-12-30T12:11:00"/>
        <d v="1899-12-30T12:23:00"/>
        <d v="1899-12-30T13:34:00"/>
        <d v="1899-12-30T13:50:00"/>
        <d v="1899-12-30T14:46:00"/>
        <d v="1899-12-30T16:14:00"/>
        <d v="1899-12-30T16:24:00"/>
        <d v="1899-12-30T18:07:00"/>
        <d v="1899-12-30T18:23:00"/>
        <d v="1899-12-30T18:25:00"/>
        <d v="1899-12-30T19:26:00"/>
        <d v="1899-12-30T19:52:00"/>
        <d v="1899-12-30T20:20:00"/>
        <d v="1899-12-30T07:37:00"/>
        <d v="1899-12-30T08:26:00"/>
        <d v="1899-12-30T08:50:00"/>
        <d v="1899-12-30T10:55:00"/>
        <d v="1899-12-30T11:55:00"/>
        <d v="1899-12-30T11:02:00"/>
        <d v="1899-12-30T11:35:00"/>
        <d v="1899-12-30T12:52:00"/>
        <d v="1899-12-30T13:27:00"/>
        <d v="1899-12-30T14:00:00"/>
        <d v="1899-12-30T14:32:00"/>
        <d v="1899-12-30T15:29:00"/>
        <d v="1899-12-30T16:05:00"/>
        <d v="1899-12-30T16:27:00"/>
        <d v="1899-12-30T16:37:00"/>
        <d v="1899-12-30T17:02:00"/>
        <d v="1899-12-30T17:03:00"/>
        <d v="1899-12-30T18:03:00"/>
        <d v="1899-12-30T18:43:00"/>
        <d v="1899-12-30T19:02:00"/>
        <d v="1899-12-30T19:20:00"/>
        <d v="1899-12-30T19:22:00"/>
        <d v="1899-12-30T19:40:00"/>
        <d v="1899-12-30T20:36:00"/>
        <d v="1899-12-30T20:37:00"/>
        <d v="1899-12-30T20:44:00"/>
        <d v="1899-12-30T20:53:00"/>
        <d v="1899-12-30T08:09:00"/>
        <d v="1899-12-30T08:27:00"/>
        <d v="1899-12-30T08:53:00"/>
        <d v="1899-12-30T09:11:00"/>
        <d v="1899-12-30T10:22:00"/>
        <d v="1899-12-30T10:57:00"/>
        <d v="1899-12-30T12:09:00"/>
        <d v="1899-12-30T12:48:00"/>
        <d v="1899-12-30T13:32:00"/>
        <d v="1899-12-30T14:21:00"/>
        <d v="1899-12-30T14:30:00"/>
        <d v="1899-12-30T15:02:00"/>
        <d v="1899-12-30T15:03:00"/>
        <d v="1899-12-30T15:12:00"/>
        <d v="1899-12-30T15:13:00"/>
        <d v="1899-12-30T15:28:00"/>
        <d v="1899-12-30T16:01:00"/>
        <d v="1899-12-30T16:07:00"/>
        <d v="1899-12-30T16:11:00"/>
        <d v="1899-12-30T16:59:00"/>
        <d v="1899-12-30T17:31:00"/>
        <d v="1899-12-30T17:44:00"/>
        <d v="1899-12-30T18:39:00"/>
        <d v="1899-12-30T18:44:00"/>
        <d v="1899-12-30T19:13:00"/>
        <d v="1899-12-30T19:18:00"/>
        <d v="1899-12-30T19:48:00"/>
        <d v="1899-12-30T20:07:00"/>
        <d v="1899-12-30T20:18:00"/>
        <d v="1899-12-30T20:25:00"/>
        <d v="1899-12-30T20:55:00"/>
        <d v="1899-12-30T07:54:00"/>
        <d v="1899-12-30T08:56:00"/>
        <d v="1899-12-30T09:13:00"/>
        <d v="1899-12-30T09:14:00"/>
        <d v="1899-12-30T09:48:00"/>
        <d v="1899-12-30T09:52:00"/>
        <d v="1899-12-30T09:26:00"/>
        <d v="1899-12-30T10:09:00"/>
        <d v="1899-12-30T10:21:00"/>
        <d v="1899-12-30T10:42:00"/>
        <d v="1899-12-30T10:52:00"/>
        <d v="1899-12-30T11:28:00"/>
        <d v="1899-12-30T11:47:00"/>
        <d v="1899-12-30T13:14:00"/>
        <d v="1899-12-30T13:15:00"/>
        <d v="1899-12-30T13:42:00"/>
        <d v="1899-12-30T14:16:00"/>
        <d v="1899-12-30T14:17:00"/>
        <d v="1899-12-30T14:31:00"/>
        <d v="1899-12-30T15:45:00"/>
        <d v="1899-12-30T16:20:00"/>
        <d v="1899-12-30T16:39:00"/>
        <d v="1899-12-30T16:36:00"/>
        <d v="1899-12-30T16:57:00"/>
        <d v="1899-12-30T17:24:00"/>
        <d v="1899-12-30T17:50:00"/>
        <d v="1899-12-30T18:22:00"/>
        <d v="1899-12-30T18:32:00"/>
        <d v="1899-12-30T19:42:00"/>
        <d v="1899-12-30T20:28:00"/>
        <d v="1899-12-30T20:51:00"/>
        <d v="1899-12-30T07:50:00"/>
        <d v="1899-12-30T07:52:00"/>
        <d v="1899-12-30T07:56:00"/>
        <d v="1899-12-30T08:17:00"/>
        <d v="1899-12-30T08:45:00"/>
        <d v="1899-12-30T09:20:00"/>
        <d v="1899-12-30T09:47:00"/>
        <d v="1899-12-30T10:14:00"/>
        <d v="1899-12-30T10:24:00"/>
        <d v="1899-12-30T10:30:00"/>
        <d v="1899-12-30T11:04:00"/>
        <d v="1899-12-30T12:21:00"/>
        <d v="1899-12-30T13:49:00"/>
        <d v="1899-12-30T14:50:00"/>
        <d v="1899-12-30T15:24:00"/>
        <d v="1899-12-30T16:42:00"/>
        <d v="1899-12-30T17:43:00"/>
        <d v="1899-12-30T18:01:00"/>
        <d v="1899-12-30T18:57:00"/>
        <d v="1899-12-30T19:33:00"/>
        <d v="1899-12-30T20:21:00"/>
        <d v="1899-12-30T20:22:00"/>
        <d v="1899-12-30T07:31:00"/>
        <d v="1899-12-30T07:48:00"/>
        <d v="1899-12-30T08:05:00"/>
        <d v="1899-12-30T08:31:00"/>
        <d v="1899-12-30T08:43:00"/>
        <d v="1899-12-30T09:07:00"/>
        <d v="1899-12-30T09:34:00"/>
        <d v="1899-12-30T10:11:00"/>
        <d v="1899-12-30T11:51:00"/>
        <d v="1899-12-30T14:12:00"/>
        <d v="1899-12-30T14:48:00"/>
        <d v="1899-12-30T14:49:00"/>
        <d v="1899-12-30T14:51:00"/>
        <d v="1899-12-30T15:46:00"/>
        <d v="1899-12-30T16:22:00"/>
        <d v="1899-12-30T17:15:00"/>
        <d v="1899-12-30T18:47:00"/>
        <d v="1899-12-30T18:50:00"/>
        <d v="1899-12-30T19:29:00"/>
        <d v="1899-12-30T19:39:00"/>
        <d v="1899-12-30T20:01:00"/>
        <d v="1899-12-30T20:03:00"/>
        <d v="1899-12-30T20:11:00"/>
        <d v="1899-12-30T20:24:00"/>
        <d v="1899-12-30T20:57:00"/>
        <d v="1899-12-30T08:22:00"/>
        <d v="1899-12-30T08:48:00"/>
        <d v="1899-12-30T09:22:00"/>
        <d v="1899-12-30T09:32:00"/>
        <d v="1899-12-30T09:44:00"/>
        <d v="1899-12-30T10:58:00"/>
        <d v="1899-12-30T10:59:00"/>
        <d v="1899-12-30T11:50:00"/>
        <d v="1899-12-30T11:58:00"/>
        <d v="1899-12-30T12:25:00"/>
        <d v="1899-12-30T12:36:00"/>
        <d v="1899-12-30T13:54:00"/>
        <d v="1899-12-30T14:07:00"/>
        <d v="1899-12-30T15:44:00"/>
        <d v="1899-12-30T15:47:00"/>
        <d v="1899-12-30T16:06:00"/>
        <d v="1899-12-30T17:49:00"/>
        <d v="1899-12-30T18:31:00"/>
        <d v="1899-12-30T18:45:00"/>
        <d v="1899-12-30T18:51:00"/>
        <d v="1899-12-30T19:34:00"/>
        <d v="1899-12-30T19:35:00"/>
        <d v="1899-12-30T19:28:00"/>
        <d v="1899-12-30T20:06:00"/>
        <d v="1899-12-30T20:16:00"/>
        <d v="1899-12-30T08:25:00"/>
        <d v="1899-12-30T09:10:00"/>
        <d v="1899-12-30T09:18:00"/>
        <d v="1899-12-30T09:30:00"/>
        <d v="1899-12-30T11:25:00"/>
        <d v="1899-12-30T11:27:00"/>
        <d v="1899-12-30T12:59:00"/>
        <d v="1899-12-30T13:29:00"/>
        <d v="1899-12-30T13:44:00"/>
        <d v="1899-12-30T14:20:00"/>
        <d v="1899-12-30T14:23:00"/>
        <d v="1899-12-30T15:50:00"/>
        <d v="1899-12-30T16:26:00"/>
        <d v="1899-12-30T17:51:00"/>
        <d v="1899-12-30T18:46:00"/>
        <d v="1899-12-30T18:48:00"/>
        <d v="1899-12-30T18:49:00"/>
        <d v="1899-12-30T18:53:00"/>
        <d v="1899-12-30T18:55:00"/>
        <d v="1899-12-30T19:03:00"/>
        <d v="1899-12-30T19:14:00"/>
        <d v="1899-12-30T20:50:00"/>
        <d v="1899-12-30T10:37:00"/>
        <d v="1899-12-30T11:24:00"/>
        <d v="1899-12-30T11:56:00"/>
        <d v="1899-12-30T12:51:00"/>
        <d v="1899-12-30T13:38:00"/>
        <d v="1899-12-30T13:47:00"/>
        <d v="1899-12-30T15:07:00"/>
        <d v="1899-12-30T15:15:00"/>
        <d v="1899-12-30T16:47:00"/>
        <d v="1899-12-30T17:58:00"/>
        <d v="1899-12-30T18:13:00"/>
        <d v="1899-12-30T18:28:00"/>
        <d v="1899-12-30T18:59:00"/>
        <d v="1899-12-30T19:16:00"/>
        <d v="1899-12-30T19:32:00"/>
        <d v="1899-12-30T19:44:00"/>
        <d v="1899-12-30T19:58:00"/>
        <d v="1899-12-30T20:00:00"/>
        <d v="1899-12-30T08:10:00"/>
        <d v="1899-12-30T08:13:00"/>
        <d v="1899-12-30T08:30:00"/>
        <d v="1899-12-30T08:39:00"/>
        <d v="1899-12-30T08:51:00"/>
        <d v="1899-12-30T09:05:00"/>
        <d v="1899-12-30T09:17:00"/>
        <d v="1899-12-30T09:49:00"/>
        <d v="1899-12-30T09:50:00"/>
        <d v="1899-12-30T12:07:00"/>
        <d v="1899-12-30T12:19:00"/>
        <d v="1899-12-30T13:06:00"/>
        <d v="1899-12-30T14:58:00"/>
        <d v="1899-12-30T15:20:00"/>
        <d v="1899-12-30T15:32:00"/>
        <d v="1899-12-30T15:36:00"/>
        <d v="1899-12-30T17:25:00"/>
        <d v="1899-12-30T19:50:00"/>
        <d v="1899-12-30T20:14:00"/>
        <d v="1899-12-30T20:26:00"/>
        <d v="1899-12-30T08:12:00"/>
        <d v="1899-12-30T08:20:00"/>
        <d v="1899-12-30T08:35:00"/>
        <d v="1899-12-30T09:06:00"/>
        <d v="1899-12-30T09:58:00"/>
        <d v="1899-12-30T10:04:00"/>
        <d v="1899-12-30T10:18:00"/>
        <d v="1899-12-30T10:23:00"/>
        <d v="1899-12-30T10:25:00"/>
        <d v="1899-12-30T10:29:00"/>
        <d v="1899-12-30T11:46:00"/>
        <d v="1899-12-30T12:13:00"/>
        <d v="1899-12-30T12:43:00"/>
        <d v="1899-12-30T12:49:00"/>
        <d v="1899-12-30T13:26:00"/>
        <d v="1899-12-30T13:41:00"/>
        <d v="1899-12-30T15:11:00"/>
        <d v="1899-12-30T15:49:00"/>
        <d v="1899-12-30T16:19:00"/>
        <d v="1899-12-30T17:04:00"/>
        <d v="1899-12-30T18:18:00"/>
        <d v="1899-12-30T19:21:00"/>
        <d v="1899-12-30T19:55:00"/>
        <d v="1899-12-30T20:09:00"/>
        <d v="1899-12-30T20:33:00"/>
        <d v="1899-12-30T08:46:00"/>
        <d v="1899-12-30T09:57:00"/>
        <d v="1899-12-30T10:35:00"/>
        <d v="1899-12-30T11:18:00"/>
        <d v="1899-12-30T12:02:00"/>
        <d v="1899-12-30T12:40:00"/>
        <d v="1899-12-30T13:11:00"/>
        <d v="1899-12-30T13:12:00"/>
        <d v="1899-12-30T14:04:00"/>
        <d v="1899-12-30T14:09:00"/>
        <d v="1899-12-30T14:27:00"/>
        <d v="1899-12-30T14:43:00"/>
        <d v="1899-12-30T16:30:00"/>
        <d v="1899-12-30T16:35:00"/>
        <d v="1899-12-30T16:28:00"/>
        <d v="1899-12-30T16:41:00"/>
        <d v="1899-12-30T16:43:00"/>
        <d v="1899-12-30T17:40:00"/>
        <d v="1899-12-30T17:57:00"/>
        <d v="1899-12-30T18:02:00"/>
        <d v="1899-12-30T19:27:00"/>
        <d v="1899-12-30T19:37:00"/>
        <d v="1899-12-30T19:43:00"/>
        <d v="1899-12-30T08:24:00"/>
        <d v="1899-12-30T10:20:00"/>
        <d v="1899-12-30T11:59:00"/>
        <d v="1899-12-30T12:35:00"/>
        <d v="1899-12-30T14:01:00"/>
        <d v="1899-12-30T15:08:00"/>
        <d v="1899-12-30T16:31:00"/>
        <d v="1899-12-30T16:56:00"/>
        <d v="1899-12-30T19:12:00"/>
        <d v="1899-12-30T19:41:00"/>
        <d v="1899-12-30T20:31:00"/>
        <d v="1899-12-30T07:40:00"/>
        <d v="1899-12-30T07:45:00"/>
        <d v="1899-12-30T09:12:00"/>
        <d v="1899-12-30T10:02:00"/>
        <d v="1899-12-30T10:49:00"/>
        <d v="1899-12-30T12:04:00"/>
        <d v="1899-12-30T12:39:00"/>
        <d v="1899-12-30T13:13:00"/>
        <d v="1899-12-30T13:16:00"/>
        <d v="1899-12-30T14:03:00"/>
        <d v="1899-12-30T17:56:00"/>
        <d v="1899-12-30T18:41:00"/>
        <d v="1899-12-30T08:34:00"/>
        <d v="1899-12-30T10:06:00"/>
        <d v="1899-12-30T11:11:00"/>
        <d v="1899-12-30T11:12:00"/>
        <d v="1899-12-30T11:21:00"/>
        <d v="1899-12-30T11:54:00"/>
        <d v="1899-12-30T12:05:00"/>
        <d v="1899-12-30T12:44:00"/>
        <d v="1899-12-30T12:45:00"/>
        <d v="1899-12-30T12:50:00"/>
        <d v="1899-12-30T13:04:00"/>
        <d v="1899-12-30T14:40:00"/>
        <d v="1899-12-30T16:25:00"/>
        <d v="1899-12-30T16:29:00"/>
        <d v="1899-12-30T18:40:00"/>
        <d v="1899-12-30T18:52:00"/>
        <d v="1899-12-30T09:33:00"/>
        <d v="1899-12-30T09:35:00"/>
        <d v="1899-12-30T11:37:00"/>
        <d v="1899-12-30T12:42:00"/>
        <d v="1899-12-30T14:18:00"/>
        <d v="1899-12-30T14:57:00"/>
        <d v="1899-12-30T15:18:00"/>
        <d v="1899-12-30T15:23:00"/>
        <d v="1899-12-30T15:51:00"/>
        <d v="1899-12-30T15:58:00"/>
        <d v="1899-12-30T16:04:00"/>
        <d v="1899-12-30T16:55:00"/>
        <d v="1899-12-30T17:08:00"/>
        <d v="1899-12-30T17:16:00"/>
        <d v="1899-12-30T17:38:00"/>
        <d v="1899-12-30T18:14:00"/>
        <d v="1899-12-30T18:21:00"/>
        <d v="1899-12-30T19:15:00"/>
        <d v="1899-12-30T19:51:00"/>
        <d v="1899-12-30T20:04:00"/>
        <d v="1899-12-30T08:37:00"/>
        <d v="1899-12-30T11:48:00"/>
        <d v="1899-12-30T11:49:00"/>
        <d v="1899-12-30T12:32:00"/>
        <d v="1899-12-30T01:43:00"/>
        <d v="1899-12-30T01:45:00"/>
        <d v="1899-12-30T13:45:00"/>
        <d v="1899-12-30T14:06:00"/>
        <d v="1899-12-30T14:59:00"/>
        <d v="1899-12-30T15:00:00"/>
        <d v="1899-12-30T16:34:00"/>
        <d v="1899-12-30T17:13:00"/>
        <d v="1899-12-30T17:32:00"/>
        <d v="1899-12-30T20:23:00"/>
        <d v="1899-12-30T08:15:00"/>
        <d v="1899-12-30T08:36:00"/>
        <d v="1899-12-30T08:38:00"/>
        <d v="1899-12-30T09:04:00"/>
        <d v="1899-12-30T09:15:00"/>
        <d v="1899-12-30T10:15:00"/>
        <d v="1899-12-30T10:46:00"/>
        <d v="1899-12-30T11:05:00"/>
        <d v="1899-12-30T12:00:00"/>
        <d v="1899-12-30T12:08:00"/>
        <d v="1899-12-30T13:18:00"/>
        <d v="1899-12-30T13:37:00"/>
        <d v="1899-12-30T13:43:00"/>
        <d v="1899-12-30T13:55:00"/>
        <d v="1899-12-30T14:14:00"/>
        <d v="1899-12-30T15:54:00"/>
        <d v="1899-12-30T16:54:00"/>
        <d v="1899-12-30T16:33:00"/>
        <d v="1899-12-30T18:16:00"/>
        <d v="1899-12-30T20:15:00"/>
      </sharedItems>
      <fieldGroup par="12" base="1">
        <rangePr groupBy="minutes" startDate="1899-12-30T01:43:00" endDate="1899-12-30T20:57:00"/>
        <groupItems count="62">
          <s v="&lt;0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item_sold" numFmtId="0">
      <sharedItems containsBlank="1"/>
    </cacheField>
    <cacheField name="qty" numFmtId="0">
      <sharedItems containsString="0" containsBlank="1" containsNumber="1" minValue="0.2" maxValue="30"/>
    </cacheField>
    <cacheField name="Total_sold" numFmtId="0">
      <sharedItems containsString="0" containsBlank="1" containsNumber="1" containsInteger="1" minValue="5" maxValue="600"/>
    </cacheField>
    <cacheField name="Total_bp" numFmtId="0">
      <sharedItems containsString="0" containsBlank="1" containsNumber="1" minValue="1.5" maxValue="430"/>
    </cacheField>
    <cacheField name="profit" numFmtId="0">
      <sharedItems containsString="0" containsBlank="1" containsNumber="1" minValue="-37.5" maxValue="170"/>
    </cacheField>
    <cacheField name="Transaction_mode" numFmtId="0">
      <sharedItems containsBlank="1"/>
    </cacheField>
    <cacheField name="person_if_credit" numFmtId="0">
      <sharedItems containsBlank="1"/>
    </cacheField>
    <cacheField name="person_paid_if_credit" numFmtId="0">
      <sharedItems containsBlank="1"/>
    </cacheField>
    <cacheField name="how_much_paid_if_credit" numFmtId="0">
      <sharedItems containsString="0" containsBlank="1" containsNumber="1" containsInteger="1" minValue="10" maxValue="2215"/>
    </cacheField>
    <cacheField name="payment_mode_if_paid_in_credit" numFmtId="0">
      <sharedItems containsBlank="1"/>
    </cacheField>
    <cacheField name="Hours" numFmtId="0" databaseField="0">
      <fieldGroup base="1">
        <rangePr groupBy="hours" startDate="1899-12-30T01:43:00" endDate="1899-12-30T20:57:00"/>
        <groupItems count="26">
          <s v="&lt;00/01/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/01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62.626526273147" createdVersion="7" refreshedVersion="7" minRefreshableVersion="3" recordCount="4718" xr:uid="{BC66C3C8-82C6-443F-AA6F-10B623DDE266}">
  <cacheSource type="worksheet">
    <worksheetSource name="Table4"/>
  </cacheSource>
  <cacheFields count="12">
    <cacheField name="date" numFmtId="0">
      <sharedItems containsDate="1" containsMixedTypes="1" minDate="2024-07-15T00:00:00" maxDate="2024-09-25T00:00:00"/>
    </cacheField>
    <cacheField name="time" numFmtId="0">
      <sharedItems containsNonDate="0" containsDate="1" containsString="0" containsBlank="1" minDate="1899-12-30T01:41:00" maxDate="1899-12-30T22:41:00"/>
    </cacheField>
    <cacheField name="item_sold" numFmtId="0">
      <sharedItems containsBlank="1"/>
    </cacheField>
    <cacheField name="qty" numFmtId="0">
      <sharedItems containsString="0" containsBlank="1" containsNumber="1" minValue="0.2" maxValue="40"/>
    </cacheField>
    <cacheField name="Total_sold" numFmtId="0">
      <sharedItems containsBlank="1" containsMixedTypes="1" containsNumber="1" minValue="0" maxValue="900"/>
    </cacheField>
    <cacheField name="Total_bp" numFmtId="0">
      <sharedItems containsBlank="1" containsMixedTypes="1" containsNumber="1" minValue="0" maxValue="600"/>
    </cacheField>
    <cacheField name="profit" numFmtId="0">
      <sharedItems containsBlank="1" containsMixedTypes="1" containsNumber="1" minValue="-37.5" maxValue="300"/>
    </cacheField>
    <cacheField name="Transaction_mode" numFmtId="0">
      <sharedItems containsBlank="1"/>
    </cacheField>
    <cacheField name="person_if_credit" numFmtId="0">
      <sharedItems containsBlank="1" count="64">
        <s v="Jayden"/>
        <s v="Irene"/>
        <m/>
        <s v="Faith"/>
        <s v="Shariffa"/>
        <s v="Grace"/>
        <s v="Vivian"/>
        <s v="Mum Victor"/>
        <s v="Ruth"/>
        <s v="Masaku"/>
        <s v="Lucy"/>
        <s v="Gladys"/>
        <s v="Pauline"/>
        <s v="Mark"/>
        <s v="Cate"/>
        <s v="Mum Worship"/>
        <s v="Milly"/>
        <s v="Oburu"/>
        <s v="Tracy"/>
        <s v="Titus"/>
        <s v="Jescah"/>
        <s v="Florence"/>
        <s v="Moureen"/>
        <s v="Ken"/>
        <s v="Rosemary"/>
        <s v="Janet Mkale"/>
        <s v="Haston"/>
        <s v="juliana"/>
        <s v="Shop"/>
        <s v="Zueda"/>
        <s v="Aunt Shawn"/>
        <s v="Erick"/>
        <s v="Mwende"/>
        <s v="Msanii"/>
        <s v="Fredy"/>
        <s v="Millicent C2"/>
        <s v="new customer"/>
        <s v="Janet Kabiti"/>
        <s v="Geofrey"/>
        <s v="Fanis"/>
        <s v="Janet"/>
        <s v="Winfred"/>
        <s v="Meltus"/>
        <s v="lemox"/>
        <s v="Aunty mum victor"/>
        <s v="Japhet"/>
        <s v="mkamba"/>
        <s v="Morine"/>
        <s v="Towet"/>
        <s v="Kipkor"/>
        <s v="Boniface"/>
        <s v="Fredrick"/>
        <s v="Judy"/>
        <s v="Aron"/>
        <s v="Lydia"/>
        <s v="Meline"/>
        <s v="Mwangi"/>
        <s v="Baba Victor"/>
        <s v="Mama Victor"/>
        <s v="Robert"/>
        <s v="Janet M"/>
        <s v="Mama Zawadi"/>
        <s v="Haron"/>
        <s v="B Faith"/>
      </sharedItems>
    </cacheField>
    <cacheField name="person_paid_if_credit" numFmtId="0">
      <sharedItems containsBlank="1" containsMixedTypes="1" containsNumber="1" containsInteger="1" minValue="0" maxValue="0"/>
    </cacheField>
    <cacheField name="how_much_paid_if_credit" numFmtId="0">
      <sharedItems containsString="0" containsBlank="1" containsNumber="1" containsInteger="1" minValue="5" maxValue="2215"/>
    </cacheField>
    <cacheField name="payment_mode_if_paid_in_credi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9">
  <r>
    <x v="0"/>
    <x v="0"/>
    <s v="Festive Bread 400g"/>
    <n v="2"/>
    <n v="130"/>
    <n v="120"/>
    <n v="10"/>
    <s v="Credit"/>
    <s v="Jayden"/>
    <m/>
    <m/>
    <m/>
  </r>
  <r>
    <x v="0"/>
    <x v="0"/>
    <s v="BB Bread 400g"/>
    <n v="1"/>
    <n v="65"/>
    <n v="60"/>
    <n v="5"/>
    <s v="Credit"/>
    <s v="Irene"/>
    <m/>
    <m/>
    <m/>
  </r>
  <r>
    <x v="0"/>
    <x v="0"/>
    <s v="Mt kenya milk 500ml"/>
    <n v="1"/>
    <n v="65"/>
    <n v="48.333333333333336"/>
    <n v="16.666666666666664"/>
    <s v="Credit"/>
    <s v="Irene"/>
    <m/>
    <m/>
    <m/>
  </r>
  <r>
    <x v="0"/>
    <x v="0"/>
    <s v="kensalt 200g"/>
    <n v="1"/>
    <n v="15"/>
    <n v="5.5"/>
    <n v="9.5"/>
    <s v="Credit"/>
    <s v="Irene"/>
    <m/>
    <m/>
    <m/>
  </r>
  <r>
    <x v="0"/>
    <x v="0"/>
    <s v="BB Bread 400g"/>
    <n v="1"/>
    <n v="65"/>
    <n v="60"/>
    <n v="5"/>
    <s v="Mpesa"/>
    <m/>
    <m/>
    <m/>
    <m/>
  </r>
  <r>
    <x v="0"/>
    <x v="1"/>
    <s v="Mt kenya milk 500ml"/>
    <n v="1"/>
    <n v="65"/>
    <n v="48.333333333333336"/>
    <n v="16.666666666666664"/>
    <s v="Credit"/>
    <s v="Faith"/>
    <m/>
    <m/>
    <m/>
  </r>
  <r>
    <x v="0"/>
    <x v="2"/>
    <s v="Maramoja"/>
    <n v="1"/>
    <n v="10"/>
    <n v="7"/>
    <n v="3"/>
    <s v="Cash"/>
    <m/>
    <m/>
    <m/>
    <m/>
  </r>
  <r>
    <x v="0"/>
    <x v="3"/>
    <s v="Festive 600g"/>
    <n v="1"/>
    <n v="100"/>
    <n v="90"/>
    <n v="10"/>
    <s v="Credit"/>
    <s v="Faith"/>
    <m/>
    <m/>
    <m/>
  </r>
  <r>
    <x v="0"/>
    <x v="4"/>
    <s v="Toss 500g"/>
    <n v="1"/>
    <n v="250"/>
    <n v="175"/>
    <n v="75"/>
    <s v="Credit"/>
    <s v="Shariffa"/>
    <m/>
    <m/>
    <m/>
  </r>
  <r>
    <x v="0"/>
    <x v="5"/>
    <s v="Ginger Bisquit"/>
    <n v="2"/>
    <n v="10"/>
    <n v="8.6666666666666661"/>
    <n v="1.3333333333333339"/>
    <s v="Cash"/>
    <m/>
    <m/>
    <m/>
    <m/>
  </r>
  <r>
    <x v="0"/>
    <x v="6"/>
    <s v="Onion"/>
    <n v="1"/>
    <n v="10"/>
    <n v="8"/>
    <n v="2"/>
    <s v="Mpesa"/>
    <m/>
    <m/>
    <m/>
    <m/>
  </r>
  <r>
    <x v="0"/>
    <x v="6"/>
    <s v="Tomatoes"/>
    <n v="1"/>
    <n v="10"/>
    <n v="5"/>
    <n v="5"/>
    <s v="Mpesa"/>
    <m/>
    <m/>
    <m/>
    <m/>
  </r>
  <r>
    <x v="0"/>
    <x v="6"/>
    <s v="eggs"/>
    <n v="1"/>
    <n v="20"/>
    <n v="14.333333333333334"/>
    <n v="5.6666666666666661"/>
    <s v="Mpesa"/>
    <m/>
    <m/>
    <m/>
    <m/>
  </r>
  <r>
    <x v="0"/>
    <x v="7"/>
    <s v="Ginger Bisquit"/>
    <n v="2"/>
    <n v="10"/>
    <n v="8.6666666666666661"/>
    <n v="1.3333333333333339"/>
    <s v="Credit"/>
    <s v="Shariffa"/>
    <m/>
    <m/>
    <m/>
  </r>
  <r>
    <x v="0"/>
    <x v="8"/>
    <s v="eggs"/>
    <n v="2"/>
    <n v="40"/>
    <n v="28.666666666666668"/>
    <n v="11.333333333333332"/>
    <s v="Credit"/>
    <s v="Irene"/>
    <m/>
    <m/>
    <m/>
  </r>
  <r>
    <x v="0"/>
    <x v="8"/>
    <s v="Tomatoes"/>
    <n v="1"/>
    <n v="10"/>
    <n v="5"/>
    <n v="5"/>
    <s v="Credit"/>
    <s v="Irene"/>
    <m/>
    <m/>
    <m/>
  </r>
  <r>
    <x v="0"/>
    <x v="9"/>
    <s v="predator"/>
    <n v="1"/>
    <n v="70"/>
    <n v="54.166666666666664"/>
    <n v="15.833333333333336"/>
    <s v="Mpesa"/>
    <m/>
    <m/>
    <m/>
    <m/>
  </r>
  <r>
    <x v="0"/>
    <x v="10"/>
    <s v="Indomie chicken"/>
    <n v="3"/>
    <n v="150"/>
    <n v="112.5"/>
    <n v="37.5"/>
    <s v="Mpesa"/>
    <m/>
    <m/>
    <m/>
    <m/>
  </r>
  <r>
    <x v="0"/>
    <x v="10"/>
    <s v="eggs"/>
    <n v="3"/>
    <n v="60"/>
    <n v="43"/>
    <n v="17"/>
    <s v="Mpesa"/>
    <m/>
    <m/>
    <m/>
    <m/>
  </r>
  <r>
    <x v="0"/>
    <x v="11"/>
    <s v="Kdf"/>
    <n v="2"/>
    <n v="20"/>
    <n v="16.666666666666668"/>
    <n v="3.3333333333333321"/>
    <s v="Cash"/>
    <m/>
    <m/>
    <m/>
    <m/>
  </r>
  <r>
    <x v="0"/>
    <x v="12"/>
    <s v="Downy lavender"/>
    <n v="2"/>
    <n v="40"/>
    <n v="34.666666666666664"/>
    <n v="5.3333333333333357"/>
    <s v="Mpesa"/>
    <m/>
    <m/>
    <m/>
    <m/>
  </r>
  <r>
    <x v="0"/>
    <x v="13"/>
    <s v="Fresh Blue"/>
    <n v="1"/>
    <n v="10"/>
    <n v="5"/>
    <n v="5"/>
    <s v="Mpesa"/>
    <m/>
    <m/>
    <m/>
    <m/>
  </r>
  <r>
    <x v="0"/>
    <x v="14"/>
    <s v="Cooking Oil Measured"/>
    <n v="0.25"/>
    <n v="70"/>
    <n v="50"/>
    <n v="20"/>
    <s v="Cash"/>
    <m/>
    <m/>
    <m/>
    <m/>
  </r>
  <r>
    <x v="0"/>
    <x v="14"/>
    <s v="eggs"/>
    <n v="3"/>
    <n v="60"/>
    <n v="43"/>
    <n v="17"/>
    <s v="Cash"/>
    <m/>
    <m/>
    <m/>
    <m/>
  </r>
  <r>
    <x v="0"/>
    <x v="15"/>
    <s v="Jik"/>
    <n v="1"/>
    <n v="50"/>
    <n v="38.333333333333336"/>
    <n v="11.666666666666664"/>
    <s v="Mpesa"/>
    <m/>
    <m/>
    <m/>
    <m/>
  </r>
  <r>
    <x v="0"/>
    <x v="16"/>
    <s v="Panadol Extra"/>
    <n v="1"/>
    <n v="20"/>
    <n v="13"/>
    <n v="7"/>
    <s v="Mpesa"/>
    <m/>
    <m/>
    <m/>
    <m/>
  </r>
  <r>
    <x v="0"/>
    <x v="17"/>
    <s v="Maramoja"/>
    <n v="1"/>
    <n v="10"/>
    <n v="7"/>
    <n v="3"/>
    <s v="Mpesa"/>
    <m/>
    <m/>
    <m/>
    <m/>
  </r>
  <r>
    <x v="0"/>
    <x v="17"/>
    <s v="Magadi"/>
    <n v="1"/>
    <n v="5"/>
    <n v="3"/>
    <n v="2"/>
    <s v="Mpesa"/>
    <m/>
    <m/>
    <m/>
    <m/>
  </r>
  <r>
    <x v="0"/>
    <x v="18"/>
    <s v="Softcare pads"/>
    <n v="1"/>
    <n v="85"/>
    <n v="66"/>
    <n v="19"/>
    <s v="Mpesa"/>
    <m/>
    <m/>
    <m/>
    <m/>
  </r>
  <r>
    <x v="0"/>
    <x v="19"/>
    <s v="Icepop"/>
    <n v="1"/>
    <n v="15"/>
    <n v="7.5"/>
    <n v="7.5"/>
    <s v="Cash"/>
    <m/>
    <m/>
    <m/>
    <m/>
  </r>
  <r>
    <x v="0"/>
    <x v="19"/>
    <s v="Tropical"/>
    <n v="1"/>
    <n v="5"/>
    <n v="1.5"/>
    <n v="3.5"/>
    <s v="Cash"/>
    <m/>
    <m/>
    <m/>
    <m/>
  </r>
  <r>
    <x v="0"/>
    <x v="20"/>
    <s v="Crown Gold Milk 500ml"/>
    <n v="1"/>
    <n v="65"/>
    <n v="54.166666666666664"/>
    <n v="10.833333333333336"/>
    <s v="Credit"/>
    <s v="Grace"/>
    <m/>
    <m/>
    <m/>
  </r>
  <r>
    <x v="0"/>
    <x v="21"/>
    <s v="Crown Gold Milk 500ml"/>
    <n v="1"/>
    <n v="65"/>
    <n v="54.166666666666664"/>
    <n v="10.833333333333336"/>
    <s v="Credit"/>
    <s v="Faith"/>
    <m/>
    <m/>
    <m/>
  </r>
  <r>
    <x v="0"/>
    <x v="22"/>
    <s v="Brookside milk 500ml"/>
    <n v="1"/>
    <n v="70"/>
    <n v="59"/>
    <n v="11"/>
    <s v="Credit"/>
    <s v="Faith"/>
    <m/>
    <m/>
    <m/>
  </r>
  <r>
    <x v="0"/>
    <x v="23"/>
    <s v="BB Bread 400g"/>
    <n v="1"/>
    <n v="65"/>
    <n v="60"/>
    <n v="5"/>
    <s v="Cash"/>
    <m/>
    <m/>
    <m/>
    <m/>
  </r>
  <r>
    <x v="0"/>
    <x v="23"/>
    <s v="eggs"/>
    <n v="2"/>
    <n v="40"/>
    <n v="28.666666666666668"/>
    <n v="11.333333333333332"/>
    <s v="Cash"/>
    <m/>
    <m/>
    <m/>
    <m/>
  </r>
  <r>
    <x v="0"/>
    <x v="23"/>
    <s v="Banana"/>
    <n v="3"/>
    <n v="30"/>
    <n v="25"/>
    <n v="5"/>
    <s v="Cash"/>
    <m/>
    <m/>
    <m/>
    <m/>
  </r>
  <r>
    <x v="0"/>
    <x v="24"/>
    <s v="Kdf"/>
    <n v="2"/>
    <n v="20"/>
    <n v="16.666666666666668"/>
    <n v="3.3333333333333321"/>
    <s v="Credit"/>
    <s v="Vivian"/>
    <m/>
    <m/>
    <m/>
  </r>
  <r>
    <x v="0"/>
    <x v="23"/>
    <s v="Banana"/>
    <n v="1"/>
    <n v="10"/>
    <n v="8.3333333333333339"/>
    <n v="1.6666666666666661"/>
    <s v="Credit"/>
    <s v="Vivian"/>
    <m/>
    <m/>
    <m/>
  </r>
  <r>
    <x v="0"/>
    <x v="25"/>
    <s v="Brookside milk 500ml"/>
    <n v="1"/>
    <n v="70"/>
    <n v="59"/>
    <n v="11"/>
    <s v="Credit"/>
    <s v="Mum Victor"/>
    <m/>
    <m/>
    <m/>
  </r>
  <r>
    <x v="1"/>
    <x v="26"/>
    <s v="Mt kenya milk 500ml"/>
    <n v="1"/>
    <n v="65"/>
    <n v="48.333333333333336"/>
    <n v="16.666666666666664"/>
    <s v="Cash"/>
    <m/>
    <m/>
    <m/>
    <m/>
  </r>
  <r>
    <x v="1"/>
    <x v="26"/>
    <s v="Mt kenya milk 500ml"/>
    <n v="1"/>
    <n v="65"/>
    <n v="48.333333333333336"/>
    <n v="16.666666666666664"/>
    <s v="Cash"/>
    <m/>
    <m/>
    <m/>
    <m/>
  </r>
  <r>
    <x v="1"/>
    <x v="26"/>
    <s v="Crown Gold Milk 500ml"/>
    <n v="1"/>
    <n v="65"/>
    <n v="54.166666666666664"/>
    <n v="10.833333333333336"/>
    <s v="Cash"/>
    <m/>
    <m/>
    <m/>
    <m/>
  </r>
  <r>
    <x v="1"/>
    <x v="27"/>
    <s v="soda 300ml glass"/>
    <n v="1"/>
    <n v="40"/>
    <n v="32.5"/>
    <n v="7.5"/>
    <s v="Mpesa"/>
    <m/>
    <m/>
    <m/>
    <m/>
  </r>
  <r>
    <x v="1"/>
    <x v="27"/>
    <s v="Ngumu"/>
    <n v="1"/>
    <n v="10"/>
    <n v="8.3333333333333339"/>
    <n v="1.6666666666666661"/>
    <s v="Mpesa"/>
    <m/>
    <m/>
    <m/>
    <m/>
  </r>
  <r>
    <x v="1"/>
    <x v="27"/>
    <s v="Kinangop Fresh Milk 500ml"/>
    <n v="2"/>
    <n v="120"/>
    <n v="110"/>
    <n v="10"/>
    <s v="Cash"/>
    <m/>
    <m/>
    <m/>
    <m/>
  </r>
  <r>
    <x v="1"/>
    <x v="27"/>
    <s v="eggs"/>
    <n v="6"/>
    <n v="120"/>
    <n v="86"/>
    <n v="34"/>
    <s v="Cash"/>
    <m/>
    <m/>
    <m/>
    <m/>
  </r>
  <r>
    <x v="1"/>
    <x v="28"/>
    <s v="Festive 800g"/>
    <n v="1"/>
    <n v="130"/>
    <n v="120"/>
    <n v="10"/>
    <s v="Mpesa"/>
    <m/>
    <m/>
    <m/>
    <m/>
  </r>
  <r>
    <x v="1"/>
    <x v="29"/>
    <s v="eggs"/>
    <n v="4"/>
    <n v="80"/>
    <n v="57.333333333333336"/>
    <n v="22.666666666666664"/>
    <s v="Cash"/>
    <m/>
    <m/>
    <m/>
    <m/>
  </r>
  <r>
    <x v="1"/>
    <x v="30"/>
    <s v="BB Bread 400g"/>
    <n v="2"/>
    <n v="130"/>
    <n v="120"/>
    <n v="10"/>
    <s v="Mpesa"/>
    <m/>
    <m/>
    <m/>
    <m/>
  </r>
  <r>
    <x v="1"/>
    <x v="30"/>
    <s v="Banana"/>
    <n v="2"/>
    <n v="20"/>
    <n v="16.666666666666668"/>
    <n v="3.3333333333333321"/>
    <s v="Mpesa"/>
    <m/>
    <m/>
    <m/>
    <m/>
  </r>
  <r>
    <x v="1"/>
    <x v="31"/>
    <s v="Kdf"/>
    <n v="1"/>
    <n v="10"/>
    <n v="8.3333333333333339"/>
    <n v="1.6666666666666661"/>
    <s v="Mpesa"/>
    <m/>
    <m/>
    <m/>
    <m/>
  </r>
  <r>
    <x v="1"/>
    <x v="32"/>
    <s v="Njugu"/>
    <n v="1"/>
    <n v="20"/>
    <n v="10.666666666666666"/>
    <n v="9.3333333333333339"/>
    <s v="Mpesa"/>
    <m/>
    <m/>
    <m/>
    <m/>
  </r>
  <r>
    <x v="1"/>
    <x v="33"/>
    <s v="Whitewash "/>
    <n v="1"/>
    <n v="50"/>
    <n v="33.75"/>
    <n v="16.25"/>
    <s v="Cash"/>
    <m/>
    <m/>
    <m/>
    <m/>
  </r>
  <r>
    <x v="1"/>
    <x v="33"/>
    <s v="omo 75g"/>
    <n v="1"/>
    <n v="35"/>
    <n v="27.5"/>
    <n v="7.5"/>
    <s v="Cash"/>
    <m/>
    <m/>
    <m/>
    <m/>
  </r>
  <r>
    <x v="1"/>
    <x v="33"/>
    <s v="Mt Kenya milk 200ml"/>
    <n v="1"/>
    <n v="35"/>
    <n v="24.285714285714285"/>
    <n v="10.714285714285715"/>
    <s v="Cash"/>
    <m/>
    <m/>
    <m/>
    <m/>
  </r>
  <r>
    <x v="1"/>
    <x v="34"/>
    <s v="Scones"/>
    <n v="2"/>
    <n v="20"/>
    <n v="16.666666666666668"/>
    <n v="3.3333333333333321"/>
    <s v="Mpesa"/>
    <m/>
    <m/>
    <m/>
    <m/>
  </r>
  <r>
    <x v="1"/>
    <x v="35"/>
    <s v="Downy lavender"/>
    <n v="1"/>
    <n v="20"/>
    <n v="17.333333333333332"/>
    <n v="2.6666666666666679"/>
    <s v="Mpesa"/>
    <m/>
    <m/>
    <m/>
    <m/>
  </r>
  <r>
    <x v="1"/>
    <x v="35"/>
    <s v="Bella Tissue"/>
    <n v="1"/>
    <n v="45"/>
    <n v="35"/>
    <n v="10"/>
    <s v="Mpesa"/>
    <m/>
    <m/>
    <m/>
    <m/>
  </r>
  <r>
    <x v="1"/>
    <x v="36"/>
    <s v="1.5ltrs water"/>
    <n v="1"/>
    <n v="70"/>
    <n v="25"/>
    <n v="45"/>
    <s v="Credit"/>
    <s v="Shariffa"/>
    <m/>
    <m/>
    <m/>
  </r>
  <r>
    <x v="1"/>
    <x v="36"/>
    <s v="Glucose 50g"/>
    <n v="1"/>
    <n v="30"/>
    <n v="15.833333333333334"/>
    <n v="14.166666666666666"/>
    <s v="Credit"/>
    <s v="Shariffa"/>
    <m/>
    <m/>
    <m/>
  </r>
  <r>
    <x v="1"/>
    <x v="37"/>
    <s v="Tomatoes"/>
    <n v="3"/>
    <n v="30"/>
    <n v="15"/>
    <n v="15"/>
    <s v="Mpesa"/>
    <m/>
    <m/>
    <m/>
    <m/>
  </r>
  <r>
    <x v="1"/>
    <x v="37"/>
    <s v="Dhania"/>
    <n v="1"/>
    <n v="5"/>
    <n v="3.3333333333333335"/>
    <n v="1.6666666666666665"/>
    <s v="Mpesa"/>
    <m/>
    <m/>
    <m/>
    <m/>
  </r>
  <r>
    <x v="1"/>
    <x v="37"/>
    <s v="Onion"/>
    <n v="1"/>
    <n v="10"/>
    <n v="8"/>
    <n v="2"/>
    <s v="Mpesa"/>
    <m/>
    <m/>
    <m/>
    <m/>
  </r>
  <r>
    <x v="1"/>
    <x v="37"/>
    <s v="Safari"/>
    <n v="2"/>
    <n v="30"/>
    <n v="17"/>
    <n v="13"/>
    <s v="Mpesa"/>
    <m/>
    <m/>
    <m/>
    <m/>
  </r>
  <r>
    <x v="1"/>
    <x v="38"/>
    <s v="Royco cubes"/>
    <n v="4"/>
    <n v="20"/>
    <n v="12"/>
    <n v="8"/>
    <s v="Cash"/>
    <m/>
    <m/>
    <m/>
    <m/>
  </r>
  <r>
    <x v="1"/>
    <x v="39"/>
    <s v="Pembe 2kg"/>
    <n v="1"/>
    <n v="160"/>
    <n v="123.33333333333333"/>
    <n v="36.666666666666671"/>
    <s v="Cash"/>
    <m/>
    <m/>
    <m/>
    <m/>
  </r>
  <r>
    <x v="1"/>
    <x v="39"/>
    <s v="Magadi"/>
    <n v="1"/>
    <n v="5"/>
    <n v="3"/>
    <n v="2"/>
    <s v="Cash"/>
    <m/>
    <m/>
    <m/>
    <m/>
  </r>
  <r>
    <x v="1"/>
    <x v="39"/>
    <s v="Royco cubes"/>
    <n v="3"/>
    <n v="15"/>
    <n v="9"/>
    <n v="6"/>
    <s v="Cash"/>
    <m/>
    <m/>
    <m/>
    <m/>
  </r>
  <r>
    <x v="1"/>
    <x v="40"/>
    <s v="predator"/>
    <n v="1"/>
    <n v="70"/>
    <n v="54.166666666666664"/>
    <n v="15.833333333333336"/>
    <s v="Cash"/>
    <m/>
    <m/>
    <m/>
    <m/>
  </r>
  <r>
    <x v="1"/>
    <x v="40"/>
    <s v="Donuts"/>
    <n v="4"/>
    <n v="20"/>
    <n v="16.666666666666668"/>
    <n v="3.3333333333333321"/>
    <s v="Cash"/>
    <m/>
    <m/>
    <m/>
    <m/>
  </r>
  <r>
    <x v="1"/>
    <x v="41"/>
    <s v="Banana"/>
    <n v="2"/>
    <n v="20"/>
    <n v="16.666666666666668"/>
    <n v="3.3333333333333321"/>
    <s v="Mpesa"/>
    <m/>
    <m/>
    <m/>
    <m/>
  </r>
  <r>
    <x v="1"/>
    <x v="42"/>
    <s v="Scones"/>
    <n v="4"/>
    <n v="40"/>
    <n v="33.333333333333336"/>
    <n v="6.6666666666666643"/>
    <s v="Credit"/>
    <s v="Shariffa"/>
    <m/>
    <m/>
    <m/>
  </r>
  <r>
    <x v="1"/>
    <x v="42"/>
    <s v="Mt Kenya milk 200ml"/>
    <n v="4"/>
    <n v="140"/>
    <n v="97.142857142857139"/>
    <n v="42.857142857142861"/>
    <s v="Credit"/>
    <s v="Shariffa"/>
    <m/>
    <m/>
    <m/>
  </r>
  <r>
    <x v="1"/>
    <x v="42"/>
    <s v="Carrier bag small"/>
    <n v="1"/>
    <n v="10"/>
    <n v="3"/>
    <n v="7"/>
    <s v="Credit"/>
    <s v="Shariffa"/>
    <m/>
    <m/>
    <m/>
  </r>
  <r>
    <x v="1"/>
    <x v="43"/>
    <s v="Black Shampoo"/>
    <n v="1"/>
    <n v="50"/>
    <n v="28"/>
    <n v="22"/>
    <s v="Mpesa"/>
    <m/>
    <m/>
    <m/>
    <m/>
  </r>
  <r>
    <x v="1"/>
    <x v="44"/>
    <s v="Bigboss"/>
    <n v="1"/>
    <n v="5"/>
    <n v="3.5"/>
    <n v="1.5"/>
    <s v="Cash"/>
    <m/>
    <m/>
    <m/>
    <m/>
  </r>
  <r>
    <x v="1"/>
    <x v="45"/>
    <s v="soda 2lts"/>
    <n v="1"/>
    <n v="200"/>
    <n v="176.66666666666666"/>
    <n v="23.333333333333343"/>
    <s v="Mpesa"/>
    <m/>
    <m/>
    <m/>
    <m/>
  </r>
  <r>
    <x v="1"/>
    <x v="46"/>
    <s v="Brookside milk 500ml"/>
    <n v="2"/>
    <n v="140"/>
    <n v="118"/>
    <n v="22"/>
    <s v="Cash"/>
    <m/>
    <m/>
    <m/>
    <m/>
  </r>
  <r>
    <x v="1"/>
    <x v="46"/>
    <s v="Bitez"/>
    <n v="1"/>
    <n v="15"/>
    <n v="8.8000000000000007"/>
    <n v="6.1999999999999993"/>
    <s v="Cash"/>
    <m/>
    <m/>
    <m/>
    <m/>
  </r>
  <r>
    <x v="1"/>
    <x v="47"/>
    <s v="Indomie chicken"/>
    <n v="1"/>
    <n v="50"/>
    <n v="37.5"/>
    <n v="12.5"/>
    <s v="Cash"/>
    <m/>
    <m/>
    <m/>
    <m/>
  </r>
  <r>
    <x v="1"/>
    <x v="47"/>
    <s v="Dhania"/>
    <n v="1"/>
    <n v="5"/>
    <n v="3.3333333333333335"/>
    <n v="1.6666666666666665"/>
    <s v="Cash"/>
    <m/>
    <m/>
    <m/>
    <m/>
  </r>
  <r>
    <x v="1"/>
    <x v="48"/>
    <s v="Hanaan Tissue"/>
    <n v="2"/>
    <n v="100"/>
    <n v="86"/>
    <n v="14"/>
    <s v="Cash"/>
    <m/>
    <m/>
    <m/>
    <m/>
  </r>
  <r>
    <x v="1"/>
    <x v="48"/>
    <s v="Whitewash "/>
    <n v="1"/>
    <n v="50"/>
    <n v="33.75"/>
    <n v="16.25"/>
    <s v="Cash"/>
    <m/>
    <m/>
    <m/>
    <m/>
  </r>
  <r>
    <x v="1"/>
    <x v="48"/>
    <s v="Colgate 15g"/>
    <n v="1"/>
    <n v="50"/>
    <n v="36.25"/>
    <n v="13.75"/>
    <s v="Cash"/>
    <m/>
    <m/>
    <m/>
    <m/>
  </r>
  <r>
    <x v="1"/>
    <x v="48"/>
    <s v="Tomatoes"/>
    <n v="5"/>
    <n v="50"/>
    <n v="25"/>
    <n v="25"/>
    <s v="Cash"/>
    <m/>
    <m/>
    <m/>
    <m/>
  </r>
  <r>
    <x v="1"/>
    <x v="48"/>
    <s v="Dhania"/>
    <n v="1"/>
    <n v="5"/>
    <n v="3.3333333333333335"/>
    <n v="1.6666666666666665"/>
    <s v="Cash"/>
    <m/>
    <m/>
    <m/>
    <m/>
  </r>
  <r>
    <x v="1"/>
    <x v="49"/>
    <s v="BB Bread 200g"/>
    <n v="1"/>
    <n v="40"/>
    <n v="35"/>
    <n v="5"/>
    <s v="Mpesa"/>
    <m/>
    <m/>
    <m/>
    <m/>
  </r>
  <r>
    <x v="1"/>
    <x v="49"/>
    <s v="Mt kenya milk 500ml"/>
    <n v="1"/>
    <n v="65"/>
    <n v="48.333333333333336"/>
    <n v="16.666666666666664"/>
    <s v="Mpesa"/>
    <m/>
    <m/>
    <m/>
    <m/>
  </r>
  <r>
    <x v="1"/>
    <x v="50"/>
    <s v="Bigdaddy"/>
    <n v="3"/>
    <n v="30"/>
    <n v="18"/>
    <n v="12"/>
    <s v="Mpesa"/>
    <m/>
    <m/>
    <m/>
    <m/>
  </r>
  <r>
    <x v="1"/>
    <x v="51"/>
    <s v="Icepop"/>
    <n v="1"/>
    <n v="15"/>
    <n v="7.5"/>
    <n v="7.5"/>
    <s v="Mpesa"/>
    <m/>
    <m/>
    <m/>
    <m/>
  </r>
  <r>
    <x v="1"/>
    <x v="52"/>
    <s v="Patco"/>
    <n v="4"/>
    <n v="10"/>
    <n v="4.8"/>
    <n v="5.2"/>
    <s v="Mpesa"/>
    <m/>
    <m/>
    <m/>
    <m/>
  </r>
  <r>
    <x v="1"/>
    <x v="53"/>
    <s v="BB Bread 400g"/>
    <n v="1"/>
    <n v="65"/>
    <n v="60"/>
    <n v="5"/>
    <s v="Cash"/>
    <m/>
    <m/>
    <m/>
    <m/>
  </r>
  <r>
    <x v="1"/>
    <x v="54"/>
    <s v="eggs"/>
    <n v="3"/>
    <n v="60"/>
    <n v="43"/>
    <n v="17"/>
    <s v="Mpesa"/>
    <m/>
    <m/>
    <m/>
    <m/>
  </r>
  <r>
    <x v="1"/>
    <x v="54"/>
    <s v="Brookside Lala Sweetened"/>
    <n v="1"/>
    <n v="110"/>
    <n v="93"/>
    <n v="17"/>
    <s v="Mpesa"/>
    <m/>
    <m/>
    <m/>
    <m/>
  </r>
  <r>
    <x v="1"/>
    <x v="55"/>
    <s v="eggs"/>
    <n v="2"/>
    <n v="40"/>
    <n v="28.666666666666668"/>
    <n v="11.333333333333332"/>
    <s v="Mpesa"/>
    <m/>
    <m/>
    <m/>
    <m/>
  </r>
  <r>
    <x v="1"/>
    <x v="56"/>
    <s v="kinangop250g youghurt"/>
    <n v="1"/>
    <n v="60"/>
    <n v="48.333333333333336"/>
    <n v="11.666666666666664"/>
    <s v="Mpesa"/>
    <m/>
    <m/>
    <m/>
    <m/>
  </r>
  <r>
    <x v="1"/>
    <x v="56"/>
    <s v="minutemaid 400ml"/>
    <n v="1"/>
    <n v="85"/>
    <n v="62.5"/>
    <n v="22.5"/>
    <s v="Mpesa"/>
    <m/>
    <m/>
    <m/>
    <m/>
  </r>
  <r>
    <x v="1"/>
    <x v="57"/>
    <s v="eggs"/>
    <n v="2"/>
    <n v="40"/>
    <n v="28.666666666666668"/>
    <n v="11.333333333333332"/>
    <s v="Mpesa"/>
    <m/>
    <m/>
    <m/>
    <m/>
  </r>
  <r>
    <x v="1"/>
    <x v="17"/>
    <s v="Freshfry"/>
    <n v="1"/>
    <n v="350"/>
    <n v="290"/>
    <n v="60"/>
    <s v="Mpesa"/>
    <m/>
    <m/>
    <m/>
    <m/>
  </r>
  <r>
    <x v="1"/>
    <x v="58"/>
    <s v="Festive Bread 400g"/>
    <n v="1"/>
    <n v="65"/>
    <n v="60"/>
    <n v="5"/>
    <s v="Credit"/>
    <s v="Ruth"/>
    <m/>
    <m/>
    <m/>
  </r>
  <r>
    <x v="1"/>
    <x v="59"/>
    <s v="BB Bread 400g"/>
    <n v="1"/>
    <n v="65"/>
    <n v="60"/>
    <n v="5"/>
    <s v="Credit"/>
    <s v="Shariffa"/>
    <m/>
    <m/>
    <m/>
  </r>
  <r>
    <x v="1"/>
    <x v="59"/>
    <s v="Kinangop Fresh Milk 500ml"/>
    <n v="1"/>
    <n v="60"/>
    <n v="17.333333333333332"/>
    <n v="42.666666666666671"/>
    <s v="Credit"/>
    <s v="Shariffa"/>
    <m/>
    <m/>
    <m/>
  </r>
  <r>
    <x v="1"/>
    <x v="60"/>
    <s v="Tukuza 1kg"/>
    <n v="1"/>
    <n v="90"/>
    <n v="61.25"/>
    <n v="28.75"/>
    <s v="Mpesa"/>
    <m/>
    <m/>
    <m/>
    <m/>
  </r>
  <r>
    <x v="1"/>
    <x v="61"/>
    <s v="Mt kenya milk 500ml"/>
    <n v="3"/>
    <n v="195"/>
    <n v="145"/>
    <n v="50"/>
    <s v="Cash"/>
    <m/>
    <m/>
    <m/>
    <m/>
  </r>
  <r>
    <x v="1"/>
    <x v="61"/>
    <s v="Festive Bread 400g"/>
    <n v="1"/>
    <n v="65"/>
    <n v="60"/>
    <n v="5"/>
    <s v="Cash"/>
    <m/>
    <m/>
    <m/>
    <m/>
  </r>
  <r>
    <x v="1"/>
    <x v="62"/>
    <s v="Icepop"/>
    <n v="3"/>
    <n v="45"/>
    <n v="22.5"/>
    <n v="22.5"/>
    <s v="Mpesa"/>
    <m/>
    <m/>
    <m/>
    <m/>
  </r>
  <r>
    <x v="1"/>
    <x v="62"/>
    <s v="Pencil"/>
    <n v="1"/>
    <n v="10"/>
    <n v="7.5"/>
    <n v="2.5"/>
    <s v="Mpesa"/>
    <m/>
    <m/>
    <m/>
    <m/>
  </r>
  <r>
    <x v="1"/>
    <x v="63"/>
    <s v="kinangop 500g youghurt"/>
    <n v="1"/>
    <n v="120"/>
    <n v="92.5"/>
    <n v="27.5"/>
    <s v="Mpesa"/>
    <m/>
    <m/>
    <m/>
    <m/>
  </r>
  <r>
    <x v="1"/>
    <x v="64"/>
    <s v="Brookside Lala Natural"/>
    <n v="1"/>
    <n v="100"/>
    <n v="87"/>
    <n v="13"/>
    <s v="Credit"/>
    <s v="Mum Victor"/>
    <m/>
    <m/>
    <m/>
  </r>
  <r>
    <x v="1"/>
    <x v="64"/>
    <s v="Kinangop Fresh Milk 500ml"/>
    <n v="1"/>
    <n v="60"/>
    <n v="55"/>
    <n v="5"/>
    <s v="Credit"/>
    <s v="Mum Victor"/>
    <m/>
    <m/>
    <m/>
  </r>
  <r>
    <x v="1"/>
    <x v="19"/>
    <s v="Bitez"/>
    <n v="2"/>
    <n v="30"/>
    <n v="17.600000000000001"/>
    <n v="12.399999999999999"/>
    <s v="Mpesa"/>
    <m/>
    <m/>
    <m/>
    <m/>
  </r>
  <r>
    <x v="1"/>
    <x v="19"/>
    <s v="Tamu  Tamu Green"/>
    <n v="1"/>
    <n v="15"/>
    <n v="8.6"/>
    <n v="6.4"/>
    <s v="Mpesa"/>
    <m/>
    <m/>
    <m/>
    <m/>
  </r>
  <r>
    <x v="1"/>
    <x v="19"/>
    <s v="Tamu Tamu Red"/>
    <n v="1"/>
    <n v="15"/>
    <n v="8.6"/>
    <n v="6.4"/>
    <s v="Mpesa"/>
    <m/>
    <m/>
    <m/>
    <m/>
  </r>
  <r>
    <x v="1"/>
    <x v="19"/>
    <s v="Baloon"/>
    <n v="1"/>
    <n v="10"/>
    <n v="6"/>
    <n v="4"/>
    <s v="Mpesa"/>
    <m/>
    <m/>
    <m/>
    <m/>
  </r>
  <r>
    <x v="1"/>
    <x v="19"/>
    <s v="Gomba"/>
    <n v="2"/>
    <n v="5"/>
    <n v="3.6"/>
    <n v="1.4"/>
    <s v="Mpesa"/>
    <m/>
    <m/>
    <m/>
    <m/>
  </r>
  <r>
    <x v="1"/>
    <x v="19"/>
    <s v="Sodacans"/>
    <n v="2"/>
    <n v="40"/>
    <n v="30"/>
    <n v="10"/>
    <s v="Mpesa"/>
    <m/>
    <m/>
    <m/>
    <m/>
  </r>
  <r>
    <x v="1"/>
    <x v="65"/>
    <s v="minutemaid 400ml"/>
    <n v="1"/>
    <n v="85"/>
    <n v="62.5"/>
    <n v="22.5"/>
    <s v="Mpesa"/>
    <m/>
    <m/>
    <m/>
    <m/>
  </r>
  <r>
    <x v="1"/>
    <x v="21"/>
    <s v="Festive Bread 400g"/>
    <n v="1"/>
    <n v="65"/>
    <n v="60"/>
    <n v="5"/>
    <s v="Mpesa"/>
    <m/>
    <m/>
    <m/>
    <m/>
  </r>
  <r>
    <x v="1"/>
    <x v="21"/>
    <s v="Banana"/>
    <n v="1"/>
    <n v="10"/>
    <n v="8.3333333333333339"/>
    <n v="1.6666666666666661"/>
    <s v="Mpesa"/>
    <m/>
    <m/>
    <m/>
    <m/>
  </r>
  <r>
    <x v="1"/>
    <x v="66"/>
    <s v="5ltrs water"/>
    <n v="1"/>
    <n v="120"/>
    <n v="75"/>
    <n v="45"/>
    <s v="Credit"/>
    <s v="Masaku"/>
    <m/>
    <m/>
    <m/>
  </r>
  <r>
    <x v="1"/>
    <x v="66"/>
    <s v="Mt Kenya milk 200ml"/>
    <n v="1"/>
    <n v="60"/>
    <n v="55"/>
    <n v="5"/>
    <s v="Credit"/>
    <s v="Faith"/>
    <m/>
    <m/>
    <m/>
  </r>
  <r>
    <x v="2"/>
    <x v="67"/>
    <s v="Safari"/>
    <n v="1"/>
    <n v="15"/>
    <n v="8.5"/>
    <n v="6.5"/>
    <s v="Cash"/>
    <m/>
    <m/>
    <m/>
    <m/>
  </r>
  <r>
    <x v="2"/>
    <x v="68"/>
    <s v="Half pound cake"/>
    <n v="1"/>
    <n v="100"/>
    <n v="90"/>
    <n v="10"/>
    <s v="Mpesa"/>
    <m/>
    <m/>
    <m/>
    <m/>
  </r>
  <r>
    <x v="2"/>
    <x v="69"/>
    <s v="Safaricom 20 Credit"/>
    <n v="1"/>
    <n v="20"/>
    <n v="18"/>
    <n v="2"/>
    <s v="Cash"/>
    <m/>
    <m/>
    <m/>
    <m/>
  </r>
  <r>
    <x v="2"/>
    <x v="69"/>
    <s v="Tropical"/>
    <n v="2"/>
    <n v="10"/>
    <n v="3"/>
    <n v="7"/>
    <s v="Cash"/>
    <m/>
    <m/>
    <m/>
    <m/>
  </r>
  <r>
    <x v="2"/>
    <x v="70"/>
    <s v="Festive Bread 400g"/>
    <n v="1"/>
    <n v="65"/>
    <n v="60"/>
    <n v="5"/>
    <s v="Mpesa"/>
    <m/>
    <m/>
    <m/>
    <m/>
  </r>
  <r>
    <x v="2"/>
    <x v="71"/>
    <s v="Mt kenya milk 500ml"/>
    <n v="1"/>
    <n v="65"/>
    <n v="48.333333333333336"/>
    <n v="16.666666666666664"/>
    <s v="Credit"/>
    <s v="Faith"/>
    <m/>
    <m/>
    <m/>
  </r>
  <r>
    <x v="2"/>
    <x v="72"/>
    <s v="soda 300ml glass"/>
    <n v="1"/>
    <n v="40"/>
    <n v="32.5"/>
    <n v="7.5"/>
    <s v="Cash"/>
    <m/>
    <m/>
    <m/>
    <m/>
  </r>
  <r>
    <x v="2"/>
    <x v="72"/>
    <s v="Mandazi"/>
    <n v="1"/>
    <n v="5"/>
    <n v="4.166666666666667"/>
    <n v="0.83333333333333304"/>
    <s v="Cash"/>
    <m/>
    <m/>
    <m/>
    <m/>
  </r>
  <r>
    <x v="2"/>
    <x v="73"/>
    <s v="Peanut Cookies"/>
    <n v="1"/>
    <n v="35"/>
    <n v="25"/>
    <n v="10"/>
    <s v="Cash"/>
    <m/>
    <m/>
    <m/>
    <m/>
  </r>
  <r>
    <x v="2"/>
    <x v="73"/>
    <s v="Peanut Cookies"/>
    <n v="1"/>
    <n v="35"/>
    <n v="25"/>
    <n v="10"/>
    <s v="Mpesa"/>
    <m/>
    <m/>
    <m/>
    <m/>
  </r>
  <r>
    <x v="2"/>
    <x v="73"/>
    <s v="Onion"/>
    <n v="1"/>
    <n v="10"/>
    <n v="8"/>
    <n v="2"/>
    <s v="Mpesa"/>
    <m/>
    <m/>
    <m/>
    <m/>
  </r>
  <r>
    <x v="2"/>
    <x v="73"/>
    <s v="Tomatoes"/>
    <n v="1"/>
    <n v="10"/>
    <n v="5"/>
    <n v="5"/>
    <s v="Mpesa"/>
    <m/>
    <m/>
    <m/>
    <m/>
  </r>
  <r>
    <x v="2"/>
    <x v="74"/>
    <s v="Jumbo Tissue"/>
    <n v="1"/>
    <n v="120"/>
    <n v="90"/>
    <n v="30"/>
    <s v="Cash"/>
    <m/>
    <m/>
    <m/>
    <m/>
  </r>
  <r>
    <x v="2"/>
    <x v="75"/>
    <s v="Ndengu"/>
    <n v="0.25"/>
    <n v="40"/>
    <n v="30"/>
    <n v="10"/>
    <s v="Credit"/>
    <s v="Shariffa"/>
    <m/>
    <m/>
    <m/>
  </r>
  <r>
    <x v="2"/>
    <x v="75"/>
    <s v="Tomatoes"/>
    <n v="4"/>
    <n v="40"/>
    <n v="20"/>
    <n v="20"/>
    <s v="Credit"/>
    <s v="Shariffa"/>
    <m/>
    <m/>
    <m/>
  </r>
  <r>
    <x v="2"/>
    <x v="75"/>
    <s v="Onion"/>
    <n v="2"/>
    <n v="20"/>
    <n v="16"/>
    <n v="4"/>
    <s v="Credit"/>
    <s v="Shariffa"/>
    <m/>
    <m/>
    <m/>
  </r>
  <r>
    <x v="2"/>
    <x v="75"/>
    <s v="Dhania"/>
    <n v="1"/>
    <n v="5"/>
    <n v="3.3333333333333335"/>
    <n v="1.6666666666666665"/>
    <s v="Credit"/>
    <s v="Shariffa"/>
    <m/>
    <m/>
    <m/>
  </r>
  <r>
    <x v="2"/>
    <x v="76"/>
    <s v="soda 300ml glass"/>
    <n v="1"/>
    <n v="40"/>
    <n v="32.5"/>
    <n v="7.5"/>
    <s v="Mpesa"/>
    <m/>
    <m/>
    <m/>
    <m/>
  </r>
  <r>
    <x v="2"/>
    <x v="76"/>
    <s v="Ngumu"/>
    <n v="2"/>
    <n v="20"/>
    <n v="16.666666666666668"/>
    <n v="3.3333333333333321"/>
    <s v="Mpesa"/>
    <m/>
    <m/>
    <m/>
    <m/>
  </r>
  <r>
    <x v="2"/>
    <x v="8"/>
    <s v="Airtel 50 Credit"/>
    <n v="1"/>
    <n v="50"/>
    <n v="47"/>
    <n v="3"/>
    <s v="Cash"/>
    <m/>
    <m/>
    <m/>
    <m/>
  </r>
  <r>
    <x v="2"/>
    <x v="77"/>
    <s v="Cooking Oil Measured"/>
    <n v="0.25"/>
    <n v="70"/>
    <n v="50"/>
    <n v="20"/>
    <s v="Credit"/>
    <s v="Shariffa"/>
    <m/>
    <m/>
    <m/>
  </r>
  <r>
    <x v="2"/>
    <x v="78"/>
    <s v="Steel Wire"/>
    <n v="2"/>
    <n v="40"/>
    <n v="20.833333333333332"/>
    <n v="19.166666666666668"/>
    <s v="Credit"/>
    <s v="Shariffa"/>
    <m/>
    <m/>
    <m/>
  </r>
  <r>
    <x v="2"/>
    <x v="79"/>
    <s v="kensalt 500g"/>
    <n v="1"/>
    <n v="25"/>
    <n v="14"/>
    <n v="11"/>
    <s v="Mpesa"/>
    <m/>
    <m/>
    <m/>
    <m/>
  </r>
  <r>
    <x v="2"/>
    <x v="80"/>
    <s v="Festive 800g"/>
    <n v="1"/>
    <n v="130"/>
    <n v="120"/>
    <n v="10"/>
    <s v="Mpesa"/>
    <m/>
    <m/>
    <m/>
    <m/>
  </r>
  <r>
    <x v="2"/>
    <x v="81"/>
    <s v="Tomatoes"/>
    <n v="10"/>
    <n v="100"/>
    <n v="50"/>
    <n v="50"/>
    <s v="Cash"/>
    <m/>
    <m/>
    <m/>
    <m/>
  </r>
  <r>
    <x v="2"/>
    <x v="81"/>
    <s v="Dhania"/>
    <n v="1"/>
    <n v="5"/>
    <n v="3.3333333333333335"/>
    <n v="1.6666666666666665"/>
    <s v="Cash"/>
    <m/>
    <m/>
    <m/>
    <m/>
  </r>
  <r>
    <x v="2"/>
    <x v="81"/>
    <s v="Mt kenya milk 500ml"/>
    <n v="1"/>
    <n v="65"/>
    <n v="48.333333333333336"/>
    <n v="16.666666666666664"/>
    <s v="Cash"/>
    <m/>
    <m/>
    <m/>
    <m/>
  </r>
  <r>
    <x v="2"/>
    <x v="82"/>
    <s v="Steel Wire"/>
    <n v="1"/>
    <n v="10"/>
    <n v="6"/>
    <n v="4"/>
    <s v="Credit"/>
    <s v="Lucy"/>
    <m/>
    <m/>
    <m/>
  </r>
  <r>
    <x v="2"/>
    <x v="53"/>
    <s v="Rope"/>
    <n v="1"/>
    <n v="50"/>
    <n v="37.5"/>
    <n v="12.5"/>
    <s v="Credit"/>
    <s v="Gladys"/>
    <m/>
    <m/>
    <m/>
  </r>
  <r>
    <x v="2"/>
    <x v="83"/>
    <s v="Brookside milk 500ml"/>
    <n v="1"/>
    <n v="70"/>
    <n v="59"/>
    <n v="11"/>
    <s v="Credit"/>
    <s v="Lucy"/>
    <m/>
    <m/>
    <m/>
  </r>
  <r>
    <x v="2"/>
    <x v="84"/>
    <s v="Kinangop Fresh Milk 500ml"/>
    <n v="1"/>
    <n v="60"/>
    <n v="55"/>
    <n v="5"/>
    <s v="Cash"/>
    <m/>
    <m/>
    <m/>
    <m/>
  </r>
  <r>
    <x v="2"/>
    <x v="84"/>
    <s v="Cooking Oil Measured"/>
    <n v="0.25"/>
    <n v="70"/>
    <n v="50"/>
    <n v="20"/>
    <s v="Cash"/>
    <m/>
    <m/>
    <m/>
    <m/>
  </r>
  <r>
    <x v="2"/>
    <x v="84"/>
    <s v="Sugar"/>
    <n v="0.5"/>
    <n v="90"/>
    <n v="65"/>
    <n v="25"/>
    <s v="Credit"/>
    <s v="Pauline"/>
    <m/>
    <m/>
    <m/>
  </r>
  <r>
    <x v="2"/>
    <x v="85"/>
    <s v="Cabbage"/>
    <n v="1"/>
    <n v="180"/>
    <n v="120"/>
    <n v="60"/>
    <s v="Credit"/>
    <s v="Ruth"/>
    <m/>
    <m/>
    <m/>
  </r>
  <r>
    <x v="3"/>
    <x v="86"/>
    <s v="eggs"/>
    <n v="3"/>
    <n v="60"/>
    <n v="43"/>
    <n v="17"/>
    <s v="Mpesa"/>
    <m/>
    <m/>
    <m/>
    <m/>
  </r>
  <r>
    <x v="3"/>
    <x v="86"/>
    <s v="Festive Bread 400g"/>
    <n v="1"/>
    <n v="65"/>
    <n v="60"/>
    <n v="5"/>
    <s v="Mpesa"/>
    <m/>
    <m/>
    <m/>
    <m/>
  </r>
  <r>
    <x v="3"/>
    <x v="87"/>
    <s v="Mt kenya milk 500ml"/>
    <n v="1"/>
    <n v="65"/>
    <n v="48.333333333333336"/>
    <n v="16.666666666666664"/>
    <s v="Credit"/>
    <s v="Irene"/>
    <m/>
    <m/>
    <m/>
  </r>
  <r>
    <x v="3"/>
    <x v="87"/>
    <s v="BB Bread 400g"/>
    <n v="1"/>
    <n v="65"/>
    <n v="60"/>
    <n v="5"/>
    <s v="Credit"/>
    <s v="Irene"/>
    <m/>
    <m/>
    <m/>
  </r>
  <r>
    <x v="3"/>
    <x v="87"/>
    <s v="Sunny girl pad"/>
    <n v="1"/>
    <n v="70"/>
    <n v="56.666666666666664"/>
    <n v="13.333333333333336"/>
    <s v="Credit"/>
    <s v="Irene"/>
    <m/>
    <m/>
    <m/>
  </r>
  <r>
    <x v="3"/>
    <x v="88"/>
    <s v="Mt Kenya milk 200ml"/>
    <n v="1"/>
    <n v="35"/>
    <n v="24.285714285714285"/>
    <n v="10.714285714285715"/>
    <s v="Mpesa"/>
    <m/>
    <m/>
    <m/>
    <m/>
  </r>
  <r>
    <x v="3"/>
    <x v="88"/>
    <s v="Banana"/>
    <n v="2"/>
    <n v="20"/>
    <n v="16.666666666666668"/>
    <n v="3.3333333333333321"/>
    <s v="Mpesa"/>
    <m/>
    <m/>
    <m/>
    <m/>
  </r>
  <r>
    <x v="3"/>
    <x v="88"/>
    <s v="Banana"/>
    <n v="1"/>
    <n v="10"/>
    <n v="8.3333333333333339"/>
    <n v="1.6666666666666661"/>
    <s v="Cash"/>
    <m/>
    <m/>
    <m/>
    <m/>
  </r>
  <r>
    <x v="3"/>
    <x v="31"/>
    <s v="omo 75g"/>
    <n v="2"/>
    <n v="70"/>
    <n v="55"/>
    <n v="15"/>
    <s v="Credit"/>
    <s v="Mark"/>
    <m/>
    <m/>
    <m/>
  </r>
  <r>
    <x v="3"/>
    <x v="31"/>
    <s v="Downy lavender"/>
    <n v="2"/>
    <n v="40"/>
    <n v="34.666666666666664"/>
    <n v="5.3333333333333357"/>
    <s v="Credit"/>
    <s v="Mark"/>
    <m/>
    <m/>
    <m/>
  </r>
  <r>
    <x v="3"/>
    <x v="31"/>
    <s v="Menengai Bar 1kg"/>
    <n v="0.2"/>
    <n v="50"/>
    <n v="38"/>
    <n v="12"/>
    <s v="Credit"/>
    <s v="Mark"/>
    <m/>
    <m/>
    <m/>
  </r>
  <r>
    <x v="3"/>
    <x v="89"/>
    <s v="Kdf"/>
    <n v="6"/>
    <n v="60"/>
    <n v="50"/>
    <n v="10"/>
    <s v="Mpesa"/>
    <m/>
    <m/>
    <m/>
    <m/>
  </r>
  <r>
    <x v="3"/>
    <x v="90"/>
    <s v="Bigdaddy"/>
    <n v="2"/>
    <n v="20"/>
    <n v="12"/>
    <n v="8"/>
    <s v="Mpesa"/>
    <m/>
    <m/>
    <m/>
    <m/>
  </r>
  <r>
    <x v="3"/>
    <x v="90"/>
    <s v="Bigboss"/>
    <n v="1"/>
    <n v="5"/>
    <n v="3.5"/>
    <n v="1.5"/>
    <s v="Mpesa"/>
    <m/>
    <m/>
    <m/>
    <m/>
  </r>
  <r>
    <x v="3"/>
    <x v="91"/>
    <s v="eggs"/>
    <n v="2"/>
    <n v="40"/>
    <n v="28.666666666666668"/>
    <n v="11.333333333333332"/>
    <s v="Mpesa"/>
    <m/>
    <m/>
    <m/>
    <m/>
  </r>
  <r>
    <x v="3"/>
    <x v="92"/>
    <s v="soda 500ml glass"/>
    <n v="1"/>
    <n v="55"/>
    <n v="50"/>
    <n v="5"/>
    <s v="Cash"/>
    <m/>
    <m/>
    <m/>
    <m/>
  </r>
  <r>
    <x v="3"/>
    <x v="92"/>
    <s v="Half pound cake"/>
    <n v="1"/>
    <n v="100"/>
    <n v="90"/>
    <n v="10"/>
    <s v="Cash"/>
    <m/>
    <m/>
    <m/>
    <m/>
  </r>
  <r>
    <x v="3"/>
    <x v="93"/>
    <s v="300ml water"/>
    <n v="1"/>
    <n v="30"/>
    <n v="12.5"/>
    <n v="17.5"/>
    <s v="Credit"/>
    <s v="Shariffa"/>
    <m/>
    <m/>
    <m/>
  </r>
  <r>
    <x v="3"/>
    <x v="94"/>
    <s v="Indomie chicken"/>
    <n v="1"/>
    <n v="50"/>
    <n v="37.5"/>
    <n v="12.5"/>
    <s v="Mpesa"/>
    <m/>
    <m/>
    <m/>
    <m/>
  </r>
  <r>
    <x v="3"/>
    <x v="94"/>
    <s v="Sonaplast"/>
    <n v="1"/>
    <n v="10"/>
    <n v="7"/>
    <n v="3"/>
    <s v="Mpesa"/>
    <m/>
    <m/>
    <m/>
    <m/>
  </r>
  <r>
    <x v="3"/>
    <x v="95"/>
    <s v="Steel Wire"/>
    <n v="1"/>
    <n v="10"/>
    <n v="6"/>
    <n v="4"/>
    <s v="Credit"/>
    <s v="Irene"/>
    <m/>
    <m/>
    <m/>
  </r>
  <r>
    <x v="3"/>
    <x v="96"/>
    <s v="Cooking Oil Measured"/>
    <n v="0.5"/>
    <n v="140"/>
    <n v="100"/>
    <n v="40"/>
    <s v="Mpesa"/>
    <m/>
    <m/>
    <m/>
    <m/>
  </r>
  <r>
    <x v="3"/>
    <x v="96"/>
    <s v="Mt Kenya milk 200ml"/>
    <n v="1"/>
    <n v="35"/>
    <n v="24.285714285714285"/>
    <n v="10.714285714285715"/>
    <s v="Mpesa"/>
    <m/>
    <m/>
    <m/>
    <m/>
  </r>
  <r>
    <x v="3"/>
    <x v="97"/>
    <s v="soda 500ml glass"/>
    <n v="1"/>
    <n v="55"/>
    <n v="50"/>
    <n v="5"/>
    <s v="Mpesa"/>
    <m/>
    <m/>
    <m/>
    <m/>
  </r>
  <r>
    <x v="3"/>
    <x v="97"/>
    <s v="Mandazi"/>
    <n v="10"/>
    <n v="50"/>
    <n v="41.666666666666671"/>
    <n v="8.3333333333333286"/>
    <s v="Mpesa"/>
    <m/>
    <m/>
    <m/>
    <m/>
  </r>
  <r>
    <x v="3"/>
    <x v="98"/>
    <s v="Airtel 50 Credit"/>
    <n v="1"/>
    <n v="50"/>
    <n v="47"/>
    <n v="3"/>
    <s v="Cash"/>
    <m/>
    <m/>
    <m/>
    <m/>
  </r>
  <r>
    <x v="3"/>
    <x v="98"/>
    <s v="Airtel 10 Credit"/>
    <n v="1"/>
    <n v="10"/>
    <n v="9"/>
    <n v="1"/>
    <s v="Cash"/>
    <m/>
    <m/>
    <m/>
    <m/>
  </r>
  <r>
    <x v="3"/>
    <x v="99"/>
    <s v="Ngumu"/>
    <n v="1"/>
    <n v="10"/>
    <n v="8.3333333333333339"/>
    <n v="1.6666666666666661"/>
    <s v="Credit"/>
    <s v="Cate"/>
    <m/>
    <m/>
    <m/>
  </r>
  <r>
    <x v="3"/>
    <x v="100"/>
    <s v="Indomie chicken"/>
    <n v="1"/>
    <n v="50"/>
    <n v="37.5"/>
    <n v="12.5"/>
    <s v="Cash"/>
    <m/>
    <m/>
    <m/>
    <m/>
  </r>
  <r>
    <x v="3"/>
    <x v="101"/>
    <s v="Brookside milk 500ml"/>
    <n v="1"/>
    <n v="70"/>
    <n v="59"/>
    <n v="11"/>
    <s v="Credit"/>
    <s v="Lucy"/>
    <m/>
    <m/>
    <m/>
  </r>
  <r>
    <x v="3"/>
    <x v="101"/>
    <s v="BB Bread 400g"/>
    <n v="1"/>
    <n v="65"/>
    <n v="60"/>
    <n v="5"/>
    <s v="Credit"/>
    <s v="Lucy"/>
    <m/>
    <m/>
    <m/>
  </r>
  <r>
    <x v="3"/>
    <x v="102"/>
    <s v="kensalt 500g"/>
    <n v="1"/>
    <n v="25"/>
    <n v="14"/>
    <n v="11"/>
    <s v="Credit"/>
    <s v="Pauline"/>
    <s v="Pauline"/>
    <n v="20"/>
    <s v="Cash"/>
  </r>
  <r>
    <x v="3"/>
    <x v="103"/>
    <s v="Cooking Oil Measured"/>
    <n v="0.5"/>
    <n v="140"/>
    <n v="100"/>
    <n v="40"/>
    <s v="Credit"/>
    <s v="Masaku"/>
    <m/>
    <m/>
    <m/>
  </r>
  <r>
    <x v="3"/>
    <x v="103"/>
    <s v="eggs"/>
    <n v="4"/>
    <n v="80"/>
    <n v="57.333333333333336"/>
    <n v="22.666666666666664"/>
    <s v="Credit"/>
    <s v="Masaku"/>
    <m/>
    <m/>
    <m/>
  </r>
  <r>
    <x v="3"/>
    <x v="103"/>
    <s v="Tomatoes"/>
    <n v="1"/>
    <n v="10"/>
    <n v="5"/>
    <n v="5"/>
    <s v="Credit"/>
    <s v="Masaku"/>
    <m/>
    <m/>
    <m/>
  </r>
  <r>
    <x v="3"/>
    <x v="103"/>
    <s v="Onion"/>
    <n v="1"/>
    <n v="10"/>
    <n v="8"/>
    <n v="2"/>
    <s v="Credit"/>
    <s v="Masaku"/>
    <m/>
    <m/>
    <m/>
  </r>
  <r>
    <x v="3"/>
    <x v="103"/>
    <s v="Safari"/>
    <n v="3"/>
    <n v="45"/>
    <n v="25.5"/>
    <n v="19.5"/>
    <s v="Credit"/>
    <s v="Masaku"/>
    <m/>
    <m/>
    <m/>
  </r>
  <r>
    <x v="3"/>
    <x v="104"/>
    <s v="Brookside milk 500ml"/>
    <n v="2"/>
    <n v="140"/>
    <n v="118"/>
    <n v="22"/>
    <s v="Cash"/>
    <m/>
    <m/>
    <m/>
    <m/>
  </r>
  <r>
    <x v="3"/>
    <x v="58"/>
    <s v="Cooking Oil Measured"/>
    <n v="0.5"/>
    <n v="140"/>
    <n v="100"/>
    <n v="40"/>
    <s v="Credit"/>
    <s v="Mum Worship"/>
    <m/>
    <m/>
    <m/>
  </r>
  <r>
    <x v="3"/>
    <x v="58"/>
    <s v="eggs"/>
    <n v="5"/>
    <n v="100"/>
    <n v="71.666666666666671"/>
    <n v="28.333333333333329"/>
    <s v="Credit"/>
    <s v="Mum Worship"/>
    <s v="Mum Worship"/>
    <n v="200"/>
    <s v="Cash"/>
  </r>
  <r>
    <x v="3"/>
    <x v="58"/>
    <s v="Mt kenya milk 500ml"/>
    <n v="1"/>
    <n v="65"/>
    <n v="48.333333333333336"/>
    <n v="16.666666666666664"/>
    <s v="Credit"/>
    <s v="Mum Worship"/>
    <m/>
    <m/>
    <m/>
  </r>
  <r>
    <x v="3"/>
    <x v="105"/>
    <s v="Tomatoes"/>
    <n v="3"/>
    <n v="30"/>
    <n v="15"/>
    <n v="15"/>
    <s v="Cash"/>
    <m/>
    <m/>
    <m/>
    <m/>
  </r>
  <r>
    <x v="3"/>
    <x v="106"/>
    <s v="coo"/>
    <n v="2"/>
    <n v="5"/>
    <n v="2.4"/>
    <n v="2.6"/>
    <s v="Cash"/>
    <m/>
    <m/>
    <m/>
    <m/>
  </r>
  <r>
    <x v="3"/>
    <x v="107"/>
    <s v="Kaluma Pain Balm Small"/>
    <n v="1"/>
    <n v="30"/>
    <n v="23.333333333333332"/>
    <n v="6.6666666666666679"/>
    <s v="Mpesa"/>
    <m/>
    <m/>
    <m/>
    <m/>
  </r>
  <r>
    <x v="3"/>
    <x v="108"/>
    <s v="minutemaid 400ml"/>
    <n v="1"/>
    <n v="85"/>
    <n v="62.5"/>
    <n v="22.5"/>
    <s v="Mpesa"/>
    <m/>
    <m/>
    <m/>
    <m/>
  </r>
  <r>
    <x v="3"/>
    <x v="108"/>
    <s v="Ring Cake"/>
    <n v="1"/>
    <n v="50"/>
    <n v="45"/>
    <n v="5"/>
    <s v="Mpesa"/>
    <m/>
    <m/>
    <m/>
    <m/>
  </r>
  <r>
    <x v="3"/>
    <x v="109"/>
    <s v="kabras sugar 1kg"/>
    <n v="1"/>
    <n v="180"/>
    <n v="140"/>
    <n v="40"/>
    <s v="Credit"/>
    <s v="Milly"/>
    <m/>
    <m/>
    <m/>
  </r>
  <r>
    <x v="3"/>
    <x v="109"/>
    <s v="Mt kenya milk 500ml"/>
    <n v="1"/>
    <n v="65"/>
    <n v="48.333333333333336"/>
    <n v="16.666666666666664"/>
    <s v="Credit"/>
    <s v="Milly"/>
    <m/>
    <m/>
    <m/>
  </r>
  <r>
    <x v="3"/>
    <x v="109"/>
    <s v="Indomie chicken"/>
    <n v="1"/>
    <n v="50"/>
    <n v="37.5"/>
    <n v="12.5"/>
    <s v="Credit"/>
    <s v="Milly"/>
    <m/>
    <m/>
    <m/>
  </r>
  <r>
    <x v="3"/>
    <x v="110"/>
    <s v="Kinangop Fresh Milk 500ml"/>
    <n v="1"/>
    <n v="60"/>
    <n v="55"/>
    <n v="5"/>
    <s v="Mpesa"/>
    <m/>
    <m/>
    <m/>
    <m/>
  </r>
  <r>
    <x v="3"/>
    <x v="111"/>
    <s v="Hanaan Tissue"/>
    <n v="1"/>
    <n v="50"/>
    <n v="43"/>
    <n v="7"/>
    <s v="Credit"/>
    <s v="Irene"/>
    <m/>
    <m/>
    <m/>
  </r>
  <r>
    <x v="3"/>
    <x v="112"/>
    <s v="Poa Pekee Tissue"/>
    <n v="1"/>
    <n v="30"/>
    <n v="13.333333333333334"/>
    <n v="16.666666666666664"/>
    <s v="Cash"/>
    <m/>
    <m/>
    <m/>
    <m/>
  </r>
  <r>
    <x v="4"/>
    <x v="26"/>
    <s v="Kdf"/>
    <n v="3"/>
    <n v="30"/>
    <n v="25"/>
    <n v="5"/>
    <s v="Cash"/>
    <m/>
    <m/>
    <m/>
    <m/>
  </r>
  <r>
    <x v="4"/>
    <x v="113"/>
    <s v="Kinangop Fresh Milk 500ml"/>
    <n v="1"/>
    <n v="60"/>
    <n v="55"/>
    <n v="5"/>
    <s v="Credit"/>
    <s v="Faith"/>
    <m/>
    <m/>
    <m/>
  </r>
  <r>
    <x v="4"/>
    <x v="114"/>
    <s v="BB Bread 400g"/>
    <n v="1"/>
    <n v="65"/>
    <n v="60"/>
    <n v="5"/>
    <s v="Credit"/>
    <s v="Faith"/>
    <m/>
    <m/>
    <m/>
  </r>
  <r>
    <x v="4"/>
    <x v="115"/>
    <s v="Safari"/>
    <n v="1"/>
    <n v="15"/>
    <n v="8.5"/>
    <n v="6.5"/>
    <s v="Cash"/>
    <m/>
    <m/>
    <m/>
    <m/>
  </r>
  <r>
    <x v="4"/>
    <x v="116"/>
    <s v="Battery AAA"/>
    <n v="1"/>
    <n v="15"/>
    <n v="10"/>
    <n v="5"/>
    <s v="Cash"/>
    <m/>
    <m/>
    <m/>
    <m/>
  </r>
  <r>
    <x v="4"/>
    <x v="117"/>
    <s v="predator"/>
    <n v="1"/>
    <n v="70"/>
    <n v="54.166666666666664"/>
    <n v="15.833333333333336"/>
    <s v="Cash"/>
    <m/>
    <m/>
    <m/>
    <m/>
  </r>
  <r>
    <x v="4"/>
    <x v="117"/>
    <s v="Peanut Cookies"/>
    <n v="1"/>
    <n v="35"/>
    <n v="25"/>
    <n v="10"/>
    <s v="Cash"/>
    <m/>
    <m/>
    <m/>
    <m/>
  </r>
  <r>
    <x v="4"/>
    <x v="118"/>
    <s v="Airtel 50 Credit"/>
    <n v="1"/>
    <n v="50"/>
    <n v="47"/>
    <n v="3"/>
    <s v="Cash"/>
    <m/>
    <m/>
    <m/>
    <m/>
  </r>
  <r>
    <x v="4"/>
    <x v="118"/>
    <s v="Airtel 10 Credit"/>
    <n v="1"/>
    <n v="10"/>
    <n v="9"/>
    <n v="1"/>
    <s v="Cash"/>
    <m/>
    <m/>
    <m/>
    <m/>
  </r>
  <r>
    <x v="4"/>
    <x v="118"/>
    <s v="Bigboss"/>
    <n v="1"/>
    <n v="5"/>
    <n v="3.5"/>
    <n v="1.5"/>
    <s v="Cash"/>
    <m/>
    <m/>
    <m/>
    <m/>
  </r>
  <r>
    <x v="4"/>
    <x v="119"/>
    <s v="Bella Tissue"/>
    <n v="2"/>
    <n v="90"/>
    <n v="70"/>
    <n v="20"/>
    <s v="Mpesa"/>
    <m/>
    <m/>
    <m/>
    <m/>
  </r>
  <r>
    <x v="4"/>
    <x v="120"/>
    <s v="Cooking Oil Measured"/>
    <n v="0.25"/>
    <n v="70"/>
    <n v="50"/>
    <n v="20"/>
    <s v="Cash"/>
    <m/>
    <m/>
    <m/>
    <m/>
  </r>
  <r>
    <x v="4"/>
    <x v="121"/>
    <s v="soda 500ml glass"/>
    <n v="1"/>
    <n v="55"/>
    <n v="50"/>
    <n v="5"/>
    <s v="Cash"/>
    <m/>
    <m/>
    <m/>
    <m/>
  </r>
  <r>
    <x v="4"/>
    <x v="121"/>
    <s v="Donuts"/>
    <n v="7"/>
    <n v="35"/>
    <n v="29.166666666666668"/>
    <n v="5.8333333333333321"/>
    <s v="Cash"/>
    <m/>
    <m/>
    <m/>
    <m/>
  </r>
  <r>
    <x v="4"/>
    <x v="122"/>
    <s v="Banana"/>
    <n v="3"/>
    <n v="30"/>
    <n v="25"/>
    <n v="5"/>
    <s v="Mpesa"/>
    <m/>
    <m/>
    <m/>
    <m/>
  </r>
  <r>
    <x v="4"/>
    <x v="123"/>
    <s v="Kdf"/>
    <n v="3"/>
    <n v="30"/>
    <n v="25"/>
    <n v="5"/>
    <s v="Cash"/>
    <m/>
    <m/>
    <m/>
    <m/>
  </r>
  <r>
    <x v="4"/>
    <x v="124"/>
    <s v="Maramoja"/>
    <n v="1"/>
    <n v="10"/>
    <n v="7"/>
    <n v="3"/>
    <s v="Mpesa"/>
    <m/>
    <m/>
    <m/>
    <m/>
  </r>
  <r>
    <x v="4"/>
    <x v="125"/>
    <s v="eggs"/>
    <n v="3"/>
    <n v="60"/>
    <n v="43"/>
    <n v="17"/>
    <s v="Cash"/>
    <m/>
    <m/>
    <m/>
    <m/>
  </r>
  <r>
    <x v="4"/>
    <x v="126"/>
    <s v="eggs"/>
    <n v="2"/>
    <n v="40"/>
    <n v="28.666666666666668"/>
    <n v="11.333333333333332"/>
    <s v="Mpesa"/>
    <m/>
    <m/>
    <m/>
    <m/>
  </r>
  <r>
    <x v="4"/>
    <x v="127"/>
    <s v="Festive Bread 400g"/>
    <n v="1"/>
    <n v="65"/>
    <n v="60"/>
    <n v="5"/>
    <s v="Credit"/>
    <s v="Shariffa"/>
    <m/>
    <m/>
    <m/>
  </r>
  <r>
    <x v="4"/>
    <x v="127"/>
    <s v="soda 500ml plastic"/>
    <n v="1"/>
    <n v="70"/>
    <n v="60.416666666666664"/>
    <n v="9.5833333333333357"/>
    <s v="Credit"/>
    <s v="Shariffa"/>
    <m/>
    <m/>
    <m/>
  </r>
  <r>
    <x v="4"/>
    <x v="127"/>
    <s v="Mt kenya milk 500ml"/>
    <n v="1"/>
    <n v="65"/>
    <n v="48.333333333333336"/>
    <n v="16.666666666666664"/>
    <s v="Credit"/>
    <s v="Shariffa"/>
    <m/>
    <m/>
    <m/>
  </r>
  <r>
    <x v="4"/>
    <x v="128"/>
    <s v="Banana"/>
    <n v="2"/>
    <n v="20"/>
    <n v="16.666666666666668"/>
    <n v="3.3333333333333321"/>
    <s v="Credit"/>
    <s v="Oburu"/>
    <m/>
    <m/>
    <m/>
  </r>
  <r>
    <x v="4"/>
    <x v="129"/>
    <s v="Banana"/>
    <n v="1"/>
    <n v="10"/>
    <n v="8.3333333333333339"/>
    <n v="1.6666666666666661"/>
    <s v="Cash"/>
    <m/>
    <m/>
    <m/>
    <m/>
  </r>
  <r>
    <x v="4"/>
    <x v="130"/>
    <s v="Ringoz Paprika"/>
    <n v="1"/>
    <n v="15"/>
    <n v="8.8000000000000007"/>
    <n v="6.1999999999999993"/>
    <s v="Cash"/>
    <m/>
    <m/>
    <m/>
    <m/>
  </r>
  <r>
    <x v="4"/>
    <x v="130"/>
    <s v="Tomatoes"/>
    <n v="1"/>
    <n v="10"/>
    <n v="8.3333333333333339"/>
    <n v="1.6666666666666661"/>
    <s v="Cash"/>
    <m/>
    <m/>
    <m/>
    <m/>
  </r>
  <r>
    <x v="4"/>
    <x v="131"/>
    <s v="Kdf"/>
    <n v="3"/>
    <n v="30"/>
    <n v="25"/>
    <n v="5"/>
    <s v="Cash"/>
    <m/>
    <m/>
    <m/>
    <m/>
  </r>
  <r>
    <x v="4"/>
    <x v="132"/>
    <s v="Festive 800g"/>
    <n v="1"/>
    <n v="130"/>
    <n v="120"/>
    <n v="10"/>
    <s v="Mpesa"/>
    <m/>
    <m/>
    <m/>
    <m/>
  </r>
  <r>
    <x v="4"/>
    <x v="132"/>
    <s v="Brookside milk 500ml"/>
    <n v="1"/>
    <n v="70"/>
    <n v="59"/>
    <n v="11"/>
    <s v="Mpesa"/>
    <m/>
    <m/>
    <m/>
    <m/>
  </r>
  <r>
    <x v="4"/>
    <x v="133"/>
    <s v="Goodday Cookies"/>
    <n v="2"/>
    <n v="30"/>
    <n v="18.666666666666668"/>
    <n v="11.333333333333332"/>
    <s v="Cash"/>
    <m/>
    <m/>
    <m/>
    <m/>
  </r>
  <r>
    <x v="4"/>
    <x v="134"/>
    <s v="Cooking Oil Measured"/>
    <n v="0.25"/>
    <n v="70"/>
    <n v="50"/>
    <n v="20"/>
    <s v="Cash"/>
    <m/>
    <m/>
    <m/>
    <m/>
  </r>
  <r>
    <x v="4"/>
    <x v="134"/>
    <s v="Ngumu"/>
    <n v="7"/>
    <n v="70"/>
    <n v="58.333333333333336"/>
    <n v="11.666666666666664"/>
    <s v="Cash"/>
    <m/>
    <m/>
    <m/>
    <m/>
  </r>
  <r>
    <x v="4"/>
    <x v="135"/>
    <s v="eggs"/>
    <n v="2"/>
    <n v="40"/>
    <n v="28.666666666666668"/>
    <n v="11.333333333333332"/>
    <s v="Mpesa"/>
    <m/>
    <m/>
    <m/>
    <m/>
  </r>
  <r>
    <x v="4"/>
    <x v="136"/>
    <s v="Pishori rice"/>
    <n v="0.5"/>
    <n v="110"/>
    <n v="90"/>
    <n v="20"/>
    <s v="Mpesa"/>
    <m/>
    <m/>
    <m/>
    <m/>
  </r>
  <r>
    <x v="4"/>
    <x v="136"/>
    <s v="waru"/>
    <n v="1"/>
    <n v="50"/>
    <n v="29.999999999999996"/>
    <n v="20.000000000000004"/>
    <s v="Mpesa"/>
    <m/>
    <m/>
    <m/>
    <m/>
  </r>
  <r>
    <x v="4"/>
    <x v="136"/>
    <s v="candle"/>
    <n v="1"/>
    <n v="15"/>
    <n v="9.375"/>
    <n v="5.625"/>
    <s v="Mpesa"/>
    <m/>
    <m/>
    <m/>
    <m/>
  </r>
  <r>
    <x v="4"/>
    <x v="58"/>
    <s v="Sindano rice"/>
    <n v="1"/>
    <n v="150"/>
    <n v="120"/>
    <n v="30"/>
    <s v="Mpesa"/>
    <m/>
    <m/>
    <m/>
    <m/>
  </r>
  <r>
    <x v="4"/>
    <x v="137"/>
    <s v="kinangop250g youghurt"/>
    <n v="1"/>
    <n v="60"/>
    <n v="48.333333333333336"/>
    <n v="11.666666666666664"/>
    <s v="Credit"/>
    <s v="Tracy"/>
    <m/>
    <m/>
    <m/>
  </r>
  <r>
    <x v="4"/>
    <x v="137"/>
    <s v="Dairy Fresh"/>
    <n v="1"/>
    <n v="85"/>
    <n v="75"/>
    <n v="10"/>
    <s v="Credit"/>
    <s v="Tracy"/>
    <m/>
    <m/>
    <m/>
  </r>
  <r>
    <x v="4"/>
    <x v="106"/>
    <s v="Ginger Bisquit"/>
    <n v="4"/>
    <n v="20"/>
    <n v="17.333333333333332"/>
    <n v="2.6666666666666679"/>
    <s v="Cash"/>
    <m/>
    <m/>
    <m/>
    <m/>
  </r>
  <r>
    <x v="4"/>
    <x v="138"/>
    <s v="Nescafe 1.5g"/>
    <n v="1"/>
    <n v="15"/>
    <n v="9.1666666666666661"/>
    <n v="5.8333333333333339"/>
    <s v="Mpesa"/>
    <m/>
    <m/>
    <m/>
    <m/>
  </r>
  <r>
    <x v="4"/>
    <x v="138"/>
    <s v="Tropical"/>
    <n v="1"/>
    <n v="5"/>
    <n v="1.5"/>
    <n v="3.5"/>
    <s v="Mpesa"/>
    <m/>
    <m/>
    <m/>
    <m/>
  </r>
  <r>
    <x v="4"/>
    <x v="106"/>
    <s v="Festive Bread 400g"/>
    <n v="1"/>
    <n v="65"/>
    <n v="60"/>
    <n v="5"/>
    <s v="Credit"/>
    <s v="Grace"/>
    <m/>
    <m/>
    <m/>
  </r>
  <r>
    <x v="4"/>
    <x v="139"/>
    <s v="Sugar"/>
    <n v="0.25"/>
    <n v="45"/>
    <n v="32.5"/>
    <n v="12.5"/>
    <s v="Credit"/>
    <s v="Grace"/>
    <m/>
    <m/>
    <m/>
  </r>
  <r>
    <x v="4"/>
    <x v="84"/>
    <s v="afia 500ml"/>
    <n v="1"/>
    <n v="85"/>
    <n v="70.833333333333329"/>
    <n v="14.166666666666671"/>
    <s v="Mpesa"/>
    <m/>
    <m/>
    <m/>
    <m/>
  </r>
  <r>
    <x v="4"/>
    <x v="140"/>
    <s v="Cooking Oil Measured"/>
    <n v="0.25"/>
    <n v="70"/>
    <n v="50"/>
    <n v="20"/>
    <s v="Cash"/>
    <m/>
    <m/>
    <m/>
    <m/>
  </r>
  <r>
    <x v="4"/>
    <x v="140"/>
    <s v="Tomatoes"/>
    <n v="1"/>
    <n v="10"/>
    <n v="5"/>
    <n v="5"/>
    <s v="Cash"/>
    <m/>
    <m/>
    <m/>
    <m/>
  </r>
  <r>
    <x v="4"/>
    <x v="141"/>
    <s v="Royco 40pc"/>
    <n v="1"/>
    <n v="140"/>
    <n v="120"/>
    <n v="20"/>
    <s v="Mpesa"/>
    <m/>
    <m/>
    <m/>
    <m/>
  </r>
  <r>
    <x v="4"/>
    <x v="142"/>
    <s v="Colgate 15g"/>
    <n v="1"/>
    <n v="50"/>
    <n v="36.25"/>
    <n v="13.75"/>
    <s v="Mpesa"/>
    <m/>
    <m/>
    <m/>
    <m/>
  </r>
  <r>
    <x v="4"/>
    <x v="142"/>
    <s v="Arimis small"/>
    <n v="1"/>
    <n v="35"/>
    <n v="23.333333333333332"/>
    <n v="11.666666666666668"/>
    <s v="Mpesa"/>
    <m/>
    <m/>
    <m/>
    <m/>
  </r>
  <r>
    <x v="4"/>
    <x v="142"/>
    <s v="Kinangop Fresh Milk 500ml"/>
    <n v="1"/>
    <n v="60"/>
    <n v="55"/>
    <n v="5"/>
    <s v="Mpesa"/>
    <m/>
    <m/>
    <m/>
    <m/>
  </r>
  <r>
    <x v="4"/>
    <x v="111"/>
    <s v="BB Bread 400g"/>
    <n v="2"/>
    <n v="130"/>
    <n v="120"/>
    <n v="10"/>
    <s v="Mpesa"/>
    <m/>
    <m/>
    <m/>
    <m/>
  </r>
  <r>
    <x v="4"/>
    <x v="143"/>
    <s v="BB Bread 400g"/>
    <n v="1"/>
    <n v="65"/>
    <n v="60"/>
    <n v="5"/>
    <s v="Credit"/>
    <s v="Vivian"/>
    <m/>
    <m/>
    <m/>
  </r>
  <r>
    <x v="4"/>
    <x v="143"/>
    <s v="Brookside Lala Sweetened"/>
    <n v="1"/>
    <n v="110"/>
    <n v="93"/>
    <n v="17"/>
    <s v="Mpesa"/>
    <m/>
    <m/>
    <m/>
    <m/>
  </r>
  <r>
    <x v="5"/>
    <x v="144"/>
    <s v="BB Bread 400g"/>
    <n v="1"/>
    <n v="65"/>
    <n v="60"/>
    <n v="5"/>
    <s v="Mpesa"/>
    <m/>
    <m/>
    <m/>
    <m/>
  </r>
  <r>
    <x v="5"/>
    <x v="144"/>
    <s v="Mt kenya milk 500ml"/>
    <n v="1"/>
    <n v="65"/>
    <n v="48.333333333333336"/>
    <n v="16.666666666666664"/>
    <s v="Mpesa"/>
    <m/>
    <m/>
    <m/>
    <m/>
  </r>
  <r>
    <x v="5"/>
    <x v="144"/>
    <s v="Downy lavender"/>
    <n v="2"/>
    <n v="40"/>
    <n v="34.666666666666664"/>
    <n v="5.3333333333333357"/>
    <s v="Mpesa"/>
    <m/>
    <m/>
    <m/>
    <m/>
  </r>
  <r>
    <x v="5"/>
    <x v="88"/>
    <s v="Safari"/>
    <n v="1"/>
    <n v="15"/>
    <n v="8.5"/>
    <n v="6.5"/>
    <s v="Cash"/>
    <m/>
    <m/>
    <m/>
    <m/>
  </r>
  <r>
    <x v="5"/>
    <x v="145"/>
    <s v="Festive 600g"/>
    <n v="1"/>
    <n v="100"/>
    <n v="90"/>
    <n v="10"/>
    <s v="Cash"/>
    <m/>
    <m/>
    <m/>
    <m/>
  </r>
  <r>
    <x v="5"/>
    <x v="145"/>
    <s v="Brookside milk 500ml"/>
    <n v="1"/>
    <n v="70"/>
    <n v="59"/>
    <n v="11"/>
    <s v="Cash"/>
    <m/>
    <m/>
    <m/>
    <m/>
  </r>
  <r>
    <x v="5"/>
    <x v="146"/>
    <s v="ariel 75g"/>
    <n v="3"/>
    <n v="105"/>
    <n v="82.5"/>
    <n v="22.5"/>
    <s v="Credit"/>
    <s v="Titus"/>
    <m/>
    <m/>
    <m/>
  </r>
  <r>
    <x v="5"/>
    <x v="147"/>
    <s v="eggs"/>
    <n v="3"/>
    <n v="60"/>
    <n v="43"/>
    <n v="17"/>
    <s v="Cash"/>
    <m/>
    <m/>
    <m/>
    <m/>
  </r>
  <r>
    <x v="5"/>
    <x v="148"/>
    <s v="Canned cookies"/>
    <n v="1"/>
    <n v="60"/>
    <n v="50"/>
    <n v="10"/>
    <s v="Mpesa"/>
    <m/>
    <m/>
    <m/>
    <m/>
  </r>
  <r>
    <x v="5"/>
    <x v="148"/>
    <s v="kinangop250g youghurt"/>
    <n v="2"/>
    <n v="120"/>
    <n v="96.666666666666671"/>
    <n v="23.333333333333329"/>
    <s v="Mpesa"/>
    <m/>
    <m/>
    <m/>
    <m/>
  </r>
  <r>
    <x v="5"/>
    <x v="149"/>
    <s v="Festive Bread 400g"/>
    <n v="1"/>
    <n v="65"/>
    <n v="60"/>
    <n v="5"/>
    <s v="Mpesa"/>
    <m/>
    <m/>
    <m/>
    <m/>
  </r>
  <r>
    <x v="5"/>
    <x v="150"/>
    <s v="Kinangop Fresh Milk 500ml"/>
    <n v="1"/>
    <n v="60"/>
    <n v="55"/>
    <n v="5"/>
    <s v="Mpesa"/>
    <m/>
    <m/>
    <m/>
    <m/>
  </r>
  <r>
    <x v="5"/>
    <x v="150"/>
    <s v="BB Bread 400g"/>
    <n v="1"/>
    <n v="65"/>
    <n v="60"/>
    <n v="5"/>
    <s v="Mpesa"/>
    <m/>
    <m/>
    <m/>
    <m/>
  </r>
  <r>
    <x v="5"/>
    <x v="151"/>
    <s v="scooter cans"/>
    <n v="2"/>
    <n v="40"/>
    <n v="30"/>
    <n v="10"/>
    <s v="Cash"/>
    <m/>
    <m/>
    <m/>
    <m/>
  </r>
  <r>
    <x v="5"/>
    <x v="152"/>
    <s v="Bigdaddy"/>
    <n v="1"/>
    <n v="10"/>
    <n v="6"/>
    <n v="4"/>
    <s v="Cash"/>
    <m/>
    <m/>
    <m/>
    <m/>
  </r>
  <r>
    <x v="5"/>
    <x v="153"/>
    <s v="Sunlight 400g"/>
    <n v="1"/>
    <n v="250"/>
    <n v="150"/>
    <n v="100"/>
    <s v="Mpesa"/>
    <m/>
    <m/>
    <m/>
    <m/>
  </r>
  <r>
    <x v="5"/>
    <x v="154"/>
    <s v="Bigdaddy"/>
    <n v="2"/>
    <n v="20"/>
    <n v="12"/>
    <n v="8"/>
    <s v="Cash"/>
    <m/>
    <m/>
    <m/>
    <m/>
  </r>
  <r>
    <x v="5"/>
    <x v="91"/>
    <s v="Lollipop"/>
    <n v="1"/>
    <n v="5"/>
    <n v="2.4"/>
    <n v="2.6"/>
    <s v="Cash"/>
    <m/>
    <m/>
    <m/>
    <m/>
  </r>
  <r>
    <x v="5"/>
    <x v="91"/>
    <s v="Nuvita Bisquit"/>
    <n v="1"/>
    <n v="5"/>
    <n v="4.166666666666667"/>
    <n v="0.83333333333333304"/>
    <s v="Cash"/>
    <m/>
    <m/>
    <m/>
    <m/>
  </r>
  <r>
    <x v="5"/>
    <x v="155"/>
    <s v="Safari"/>
    <n v="3"/>
    <n v="45"/>
    <n v="25.5"/>
    <n v="19.5"/>
    <s v="Mpesa"/>
    <m/>
    <m/>
    <m/>
    <m/>
  </r>
  <r>
    <x v="5"/>
    <x v="156"/>
    <s v="Brookside milk 500ml"/>
    <n v="1"/>
    <n v="70"/>
    <n v="59"/>
    <n v="11"/>
    <s v="Cash"/>
    <m/>
    <m/>
    <m/>
    <m/>
  </r>
  <r>
    <x v="5"/>
    <x v="156"/>
    <s v="scooter cans"/>
    <n v="1"/>
    <n v="20"/>
    <n v="15"/>
    <n v="5"/>
    <s v="Cash"/>
    <m/>
    <m/>
    <m/>
    <m/>
  </r>
  <r>
    <x v="5"/>
    <x v="156"/>
    <s v="Baloon"/>
    <n v="1"/>
    <n v="10"/>
    <n v="6"/>
    <n v="4"/>
    <s v="Cash"/>
    <m/>
    <m/>
    <m/>
    <m/>
  </r>
  <r>
    <x v="5"/>
    <x v="93"/>
    <s v="Mandazi"/>
    <n v="6"/>
    <n v="30"/>
    <n v="25"/>
    <n v="5"/>
    <s v="Credit"/>
    <s v="Milly"/>
    <m/>
    <m/>
    <m/>
  </r>
  <r>
    <x v="5"/>
    <x v="157"/>
    <s v="scooter cans"/>
    <n v="1"/>
    <n v="20"/>
    <n v="15"/>
    <n v="5"/>
    <s v="Mpesa"/>
    <m/>
    <m/>
    <m/>
    <m/>
  </r>
  <r>
    <x v="5"/>
    <x v="158"/>
    <s v="afia 500ml"/>
    <n v="1"/>
    <n v="85"/>
    <n v="70.833333333333329"/>
    <n v="14.166666666666671"/>
    <s v="Credit"/>
    <s v="Shariffa"/>
    <m/>
    <m/>
    <m/>
  </r>
  <r>
    <x v="5"/>
    <x v="158"/>
    <s v="Ngumu"/>
    <n v="2"/>
    <n v="20"/>
    <n v="16.666666666666668"/>
    <n v="3.3333333333333321"/>
    <s v="Credit"/>
    <s v="Shariffa"/>
    <m/>
    <m/>
    <m/>
  </r>
  <r>
    <x v="5"/>
    <x v="159"/>
    <s v="waru"/>
    <n v="1"/>
    <n v="50"/>
    <n v="29.999999999999996"/>
    <n v="20.000000000000004"/>
    <s v="Credit"/>
    <s v="Irene"/>
    <m/>
    <m/>
    <m/>
  </r>
  <r>
    <x v="5"/>
    <x v="159"/>
    <s v="Cooking Oil Measured"/>
    <n v="0.5"/>
    <n v="140"/>
    <n v="100"/>
    <n v="40"/>
    <s v="Credit"/>
    <s v="Irene"/>
    <m/>
    <m/>
    <m/>
  </r>
  <r>
    <x v="5"/>
    <x v="95"/>
    <s v="soda 500ml glass"/>
    <n v="1"/>
    <n v="55"/>
    <n v="50"/>
    <n v="5"/>
    <s v="Cash"/>
    <m/>
    <m/>
    <m/>
    <m/>
  </r>
  <r>
    <x v="5"/>
    <x v="95"/>
    <s v="Peanut Cookies"/>
    <n v="1"/>
    <n v="35"/>
    <n v="25"/>
    <n v="10"/>
    <s v="Cash"/>
    <m/>
    <m/>
    <m/>
    <m/>
  </r>
  <r>
    <x v="5"/>
    <x v="160"/>
    <s v="soda 350ml plastic"/>
    <n v="1"/>
    <n v="50"/>
    <n v="41.666666666666664"/>
    <n v="8.3333333333333357"/>
    <s v="Mpesa"/>
    <m/>
    <m/>
    <m/>
    <m/>
  </r>
  <r>
    <x v="5"/>
    <x v="160"/>
    <s v="eggs"/>
    <n v="6"/>
    <n v="120"/>
    <n v="86"/>
    <n v="34"/>
    <s v="Mpesa"/>
    <m/>
    <m/>
    <m/>
    <m/>
  </r>
  <r>
    <x v="5"/>
    <x v="161"/>
    <s v="Indomie chicken"/>
    <n v="4"/>
    <n v="200"/>
    <n v="150"/>
    <n v="50"/>
    <s v="Mpesa"/>
    <m/>
    <m/>
    <m/>
    <m/>
  </r>
  <r>
    <x v="5"/>
    <x v="161"/>
    <s v="eggs"/>
    <n v="4"/>
    <n v="80"/>
    <n v="57.333333333333336"/>
    <n v="22.666666666666664"/>
    <s v="Mpesa"/>
    <m/>
    <m/>
    <m/>
    <m/>
  </r>
  <r>
    <x v="5"/>
    <x v="162"/>
    <s v="Brookside milk 500ml"/>
    <n v="6"/>
    <n v="420"/>
    <n v="354"/>
    <n v="66"/>
    <s v="Mpesa"/>
    <m/>
    <m/>
    <m/>
    <m/>
  </r>
  <r>
    <x v="5"/>
    <x v="96"/>
    <s v="soda 500ml glass"/>
    <n v="1"/>
    <n v="55"/>
    <n v="50"/>
    <n v="5"/>
    <s v="Mpesa"/>
    <m/>
    <m/>
    <m/>
    <m/>
  </r>
  <r>
    <x v="5"/>
    <x v="163"/>
    <s v="Pishori rice"/>
    <n v="0.5"/>
    <n v="110"/>
    <n v="90"/>
    <n v="20"/>
    <s v="Credit"/>
    <s v="Faith"/>
    <m/>
    <m/>
    <m/>
  </r>
  <r>
    <x v="5"/>
    <x v="164"/>
    <s v="eggs"/>
    <n v="2"/>
    <n v="40"/>
    <n v="28.666666666666668"/>
    <n v="11.333333333333332"/>
    <s v="Cash"/>
    <m/>
    <m/>
    <m/>
    <m/>
  </r>
  <r>
    <x v="5"/>
    <x v="164"/>
    <s v="Tomatoes"/>
    <n v="2"/>
    <n v="20"/>
    <n v="10"/>
    <n v="10"/>
    <s v="Cash"/>
    <m/>
    <m/>
    <m/>
    <m/>
  </r>
  <r>
    <x v="5"/>
    <x v="165"/>
    <s v="Bigboss"/>
    <n v="1"/>
    <n v="5"/>
    <n v="3.5"/>
    <n v="1.5"/>
    <s v="Mpesa"/>
    <m/>
    <m/>
    <m/>
    <m/>
  </r>
  <r>
    <x v="5"/>
    <x v="166"/>
    <s v="Nuvita Bisquit"/>
    <n v="2"/>
    <n v="10"/>
    <n v="8.3333333333333339"/>
    <n v="1.6666666666666661"/>
    <s v="Mpesa"/>
    <m/>
    <m/>
    <m/>
    <m/>
  </r>
  <r>
    <x v="5"/>
    <x v="167"/>
    <s v="Kdf"/>
    <n v="2"/>
    <n v="20"/>
    <n v="16.666666666666668"/>
    <n v="3.3333333333333321"/>
    <s v="Credit"/>
    <s v="Shariffa"/>
    <m/>
    <m/>
    <m/>
  </r>
  <r>
    <x v="5"/>
    <x v="167"/>
    <s v="afia 500ml"/>
    <n v="1"/>
    <n v="85"/>
    <n v="70.833333333333329"/>
    <n v="14.166666666666671"/>
    <s v="Credit"/>
    <s v="Shariffa"/>
    <m/>
    <m/>
    <m/>
  </r>
  <r>
    <x v="5"/>
    <x v="168"/>
    <s v="Lollipop"/>
    <n v="1"/>
    <n v="5"/>
    <n v="2.4"/>
    <n v="2.6"/>
    <s v="Cash"/>
    <m/>
    <m/>
    <m/>
    <m/>
  </r>
  <r>
    <x v="5"/>
    <x v="169"/>
    <s v="Ring Cake"/>
    <n v="1"/>
    <n v="50"/>
    <n v="45"/>
    <n v="5"/>
    <s v="Cash"/>
    <m/>
    <m/>
    <m/>
    <m/>
  </r>
  <r>
    <x v="5"/>
    <x v="169"/>
    <s v="Ring Cake"/>
    <n v="1"/>
    <n v="50"/>
    <n v="45"/>
    <n v="5"/>
    <s v="Mpesa"/>
    <m/>
    <m/>
    <m/>
    <m/>
  </r>
  <r>
    <x v="5"/>
    <x v="170"/>
    <s v="Festive 600g"/>
    <n v="1"/>
    <n v="100"/>
    <n v="90"/>
    <n v="10"/>
    <s v="Mpesa"/>
    <m/>
    <m/>
    <m/>
    <m/>
  </r>
  <r>
    <x v="5"/>
    <x v="170"/>
    <s v="Festive 800g"/>
    <n v="1"/>
    <n v="130"/>
    <n v="120"/>
    <n v="10"/>
    <s v="Mpesa"/>
    <m/>
    <m/>
    <m/>
    <m/>
  </r>
  <r>
    <x v="5"/>
    <x v="171"/>
    <s v="soda 500ml plastic"/>
    <n v="1"/>
    <n v="70"/>
    <n v="60.416666666666664"/>
    <n v="9.5833333333333357"/>
    <s v="Credit"/>
    <s v="Jescah"/>
    <m/>
    <m/>
    <m/>
  </r>
  <r>
    <x v="5"/>
    <x v="19"/>
    <s v="Indomie chicken"/>
    <n v="2"/>
    <n v="100"/>
    <n v="75"/>
    <n v="25"/>
    <s v="Credit"/>
    <s v="Florence"/>
    <m/>
    <m/>
    <m/>
  </r>
  <r>
    <x v="5"/>
    <x v="19"/>
    <s v="Dhania"/>
    <n v="4"/>
    <n v="20"/>
    <n v="13.333333333333334"/>
    <n v="6.6666666666666661"/>
    <s v="Credit"/>
    <s v="Florence"/>
    <m/>
    <m/>
    <m/>
  </r>
  <r>
    <x v="5"/>
    <x v="19"/>
    <s v="Onion"/>
    <n v="3"/>
    <n v="30"/>
    <n v="24"/>
    <n v="6"/>
    <s v="Credit"/>
    <s v="Florence"/>
    <m/>
    <m/>
    <m/>
  </r>
  <r>
    <x v="5"/>
    <x v="19"/>
    <s v="Tomatoes"/>
    <n v="5"/>
    <n v="50"/>
    <n v="40"/>
    <n v="10"/>
    <s v="Credit"/>
    <s v="Florence"/>
    <m/>
    <m/>
    <m/>
  </r>
  <r>
    <x v="5"/>
    <x v="19"/>
    <s v="Ajab 1kg"/>
    <n v="1"/>
    <n v="120"/>
    <n v="87.5"/>
    <n v="32.5"/>
    <s v="Credit"/>
    <s v="Florence"/>
    <m/>
    <m/>
    <m/>
  </r>
  <r>
    <x v="5"/>
    <x v="19"/>
    <s v="Tukuza 1kg"/>
    <n v="1"/>
    <n v="90"/>
    <n v="61.25"/>
    <n v="28.75"/>
    <s v="Credit"/>
    <s v="Florence"/>
    <m/>
    <m/>
    <m/>
  </r>
  <r>
    <x v="5"/>
    <x v="19"/>
    <s v="Pishori rice"/>
    <n v="1"/>
    <n v="220"/>
    <n v="180"/>
    <n v="40"/>
    <s v="Credit"/>
    <s v="Florence"/>
    <m/>
    <m/>
    <m/>
  </r>
  <r>
    <x v="5"/>
    <x v="19"/>
    <s v="eggs"/>
    <n v="5"/>
    <n v="100"/>
    <n v="71.666666666666671"/>
    <n v="28.333333333333329"/>
    <s v="Credit"/>
    <s v="Florence"/>
    <m/>
    <m/>
    <m/>
  </r>
  <r>
    <x v="5"/>
    <x v="19"/>
    <s v="Kinangop Fresh Milk 500ml"/>
    <n v="1"/>
    <n v="60"/>
    <n v="55"/>
    <n v="5"/>
    <s v="Credit"/>
    <s v="Florence"/>
    <m/>
    <m/>
    <m/>
  </r>
  <r>
    <x v="5"/>
    <x v="19"/>
    <s v="Festive Bread 400g"/>
    <n v="1"/>
    <n v="65"/>
    <n v="60"/>
    <n v="5"/>
    <s v="Credit"/>
    <s v="Florence"/>
    <m/>
    <m/>
    <m/>
  </r>
  <r>
    <x v="5"/>
    <x v="19"/>
    <s v="soda 500ml glass"/>
    <n v="1"/>
    <n v="55"/>
    <n v="50"/>
    <n v="5"/>
    <s v="Credit"/>
    <s v="Florence"/>
    <m/>
    <m/>
    <m/>
  </r>
  <r>
    <x v="5"/>
    <x v="19"/>
    <s v="Hanaan Tissue"/>
    <n v="1"/>
    <n v="50"/>
    <n v="87.5"/>
    <n v="-37.5"/>
    <s v="Credit"/>
    <s v="Florence"/>
    <m/>
    <m/>
    <m/>
  </r>
  <r>
    <x v="5"/>
    <x v="19"/>
    <s v="Sugar"/>
    <n v="0.5"/>
    <n v="90"/>
    <n v="21.5"/>
    <n v="68.5"/>
    <s v="Credit"/>
    <s v="Florence"/>
    <m/>
    <m/>
    <m/>
  </r>
  <r>
    <x v="5"/>
    <x v="19"/>
    <s v="Nescafe 1.5g"/>
    <n v="2"/>
    <n v="30"/>
    <n v="18.333333333333332"/>
    <n v="11.666666666666668"/>
    <s v="Credit"/>
    <s v="Florence"/>
    <m/>
    <m/>
    <m/>
  </r>
  <r>
    <x v="5"/>
    <x v="19"/>
    <s v="Tangawizi Tea 50g"/>
    <n v="1"/>
    <n v="35"/>
    <n v="29.166666666666668"/>
    <n v="5.8333333333333321"/>
    <s v="Credit"/>
    <s v="Florence"/>
    <m/>
    <m/>
    <m/>
  </r>
  <r>
    <x v="5"/>
    <x v="19"/>
    <s v="Fahari Tea 50g"/>
    <n v="1"/>
    <n v="30"/>
    <n v="17.5"/>
    <n v="12.5"/>
    <s v="Credit"/>
    <s v="Florence"/>
    <m/>
    <m/>
    <m/>
  </r>
  <r>
    <x v="5"/>
    <x v="19"/>
    <s v="Blueband 250g"/>
    <n v="1"/>
    <n v="190"/>
    <n v="140"/>
    <n v="50"/>
    <s v="Credit"/>
    <s v="Florence"/>
    <m/>
    <m/>
    <m/>
  </r>
  <r>
    <x v="5"/>
    <x v="19"/>
    <s v="Geisha big"/>
    <n v="1"/>
    <n v="120"/>
    <n v="95"/>
    <n v="25"/>
    <s v="Credit"/>
    <s v="Florence"/>
    <m/>
    <m/>
    <m/>
  </r>
  <r>
    <x v="5"/>
    <x v="19"/>
    <s v="Ndimu"/>
    <n v="1"/>
    <n v="20"/>
    <n v="8.3333333333333339"/>
    <n v="11.666666666666666"/>
    <s v="Credit"/>
    <s v="Florence"/>
    <m/>
    <m/>
    <m/>
  </r>
  <r>
    <x v="5"/>
    <x v="172"/>
    <s v="eggs"/>
    <n v="5"/>
    <n v="100"/>
    <n v="71.666666666666671"/>
    <n v="28.333333333333329"/>
    <s v="Mpesa"/>
    <m/>
    <m/>
    <m/>
    <m/>
  </r>
  <r>
    <x v="5"/>
    <x v="172"/>
    <s v="Kinangop Fresh Milk 500ml"/>
    <n v="2"/>
    <n v="120"/>
    <n v="110"/>
    <n v="10"/>
    <s v="Mpesa"/>
    <m/>
    <m/>
    <m/>
    <m/>
  </r>
  <r>
    <x v="5"/>
    <x v="173"/>
    <s v="Cooking Oil Measured"/>
    <n v="0.5"/>
    <n v="140"/>
    <n v="100"/>
    <n v="40"/>
    <s v="Mpesa"/>
    <m/>
    <m/>
    <m/>
    <m/>
  </r>
  <r>
    <x v="5"/>
    <x v="66"/>
    <s v="Tamu  Tamu Green"/>
    <n v="1"/>
    <n v="15"/>
    <n v="8.6"/>
    <n v="6.4"/>
    <s v="Cash"/>
    <m/>
    <m/>
    <m/>
    <m/>
  </r>
  <r>
    <x v="5"/>
    <x v="66"/>
    <s v="Sodacans"/>
    <n v="1"/>
    <n v="20"/>
    <n v="15"/>
    <n v="5"/>
    <s v="Cash"/>
    <m/>
    <m/>
    <m/>
    <m/>
  </r>
  <r>
    <x v="5"/>
    <x v="66"/>
    <s v="Gomba"/>
    <n v="2"/>
    <n v="5"/>
    <n v="3.6"/>
    <n v="1.4"/>
    <s v="Cash"/>
    <m/>
    <m/>
    <m/>
    <m/>
  </r>
  <r>
    <x v="5"/>
    <x v="66"/>
    <s v="Lemon Bisquit"/>
    <n v="1"/>
    <n v="5"/>
    <n v="4.333333333333333"/>
    <n v="0.66666666666666696"/>
    <s v="Cash"/>
    <m/>
    <m/>
    <m/>
    <m/>
  </r>
  <r>
    <x v="5"/>
    <x v="109"/>
    <s v="waru"/>
    <n v="2"/>
    <n v="100"/>
    <n v="59.999999999999993"/>
    <n v="40.000000000000007"/>
    <s v="Credit"/>
    <s v="Milly"/>
    <m/>
    <m/>
    <m/>
  </r>
  <r>
    <x v="5"/>
    <x v="174"/>
    <s v="Kinangop Fresh Milk 500ml"/>
    <n v="1"/>
    <n v="60"/>
    <n v="55"/>
    <n v="5"/>
    <s v="Mpesa"/>
    <m/>
    <m/>
    <m/>
    <m/>
  </r>
  <r>
    <x v="5"/>
    <x v="174"/>
    <s v="BB Bread 400g"/>
    <n v="1"/>
    <n v="65"/>
    <n v="60"/>
    <n v="5"/>
    <s v="Mpesa"/>
    <m/>
    <m/>
    <m/>
    <m/>
  </r>
  <r>
    <x v="6"/>
    <x v="175"/>
    <s v="BB Bread 400g"/>
    <n v="1"/>
    <n v="65"/>
    <n v="60"/>
    <n v="5"/>
    <s v="Credit"/>
    <s v="Irene"/>
    <m/>
    <m/>
    <m/>
  </r>
  <r>
    <x v="6"/>
    <x v="175"/>
    <s v="Mt kenya milk 500ml"/>
    <n v="1"/>
    <n v="65"/>
    <n v="48.333333333333336"/>
    <n v="16.666666666666664"/>
    <s v="Credit"/>
    <s v="Irene"/>
    <m/>
    <m/>
    <m/>
  </r>
  <r>
    <x v="6"/>
    <x v="175"/>
    <s v="omo 75g"/>
    <n v="1"/>
    <n v="35"/>
    <n v="27.5"/>
    <n v="7.5"/>
    <s v="Credit"/>
    <s v="Irene"/>
    <m/>
    <m/>
    <m/>
  </r>
  <r>
    <x v="6"/>
    <x v="176"/>
    <s v="Safari"/>
    <n v="4"/>
    <n v="60"/>
    <n v="34"/>
    <n v="26"/>
    <s v="Mpesa"/>
    <m/>
    <m/>
    <m/>
    <m/>
  </r>
  <r>
    <x v="6"/>
    <x v="176"/>
    <s v="Match Box"/>
    <n v="1"/>
    <n v="5"/>
    <n v="2.3611111111111112"/>
    <n v="2.6388888888888888"/>
    <s v="Mpesa"/>
    <m/>
    <m/>
    <m/>
    <m/>
  </r>
  <r>
    <x v="6"/>
    <x v="177"/>
    <s v="Festive Bread 400g"/>
    <n v="1"/>
    <n v="65"/>
    <n v="60"/>
    <n v="5"/>
    <s v="Credit"/>
    <s v="Masaku"/>
    <m/>
    <m/>
    <m/>
  </r>
  <r>
    <x v="6"/>
    <x v="177"/>
    <s v="Kinangop Fresh Milk 500ml"/>
    <n v="1"/>
    <n v="60"/>
    <n v="55"/>
    <n v="5"/>
    <s v="Credit"/>
    <s v="Masaku"/>
    <m/>
    <m/>
    <m/>
  </r>
  <r>
    <x v="6"/>
    <x v="178"/>
    <s v="Festive Bread 400g"/>
    <n v="1"/>
    <n v="65"/>
    <n v="60"/>
    <n v="5"/>
    <s v="Mpesa"/>
    <m/>
    <m/>
    <m/>
    <m/>
  </r>
  <r>
    <x v="6"/>
    <x v="179"/>
    <s v="Brookside milk 500ml"/>
    <n v="1"/>
    <n v="70"/>
    <n v="59"/>
    <n v="11"/>
    <s v="Cash"/>
    <m/>
    <m/>
    <m/>
    <m/>
  </r>
  <r>
    <x v="6"/>
    <x v="180"/>
    <s v="BB Bread 400g"/>
    <n v="1"/>
    <n v="65"/>
    <n v="60"/>
    <n v="5"/>
    <s v="Credit"/>
    <s v="Lucy"/>
    <m/>
    <m/>
    <m/>
  </r>
  <r>
    <x v="6"/>
    <x v="180"/>
    <s v="Match Box"/>
    <n v="1"/>
    <n v="5"/>
    <n v="2.3611111111111112"/>
    <n v="2.6388888888888888"/>
    <s v="Credit"/>
    <s v="Lucy"/>
    <m/>
    <m/>
    <m/>
  </r>
  <r>
    <x v="6"/>
    <x v="180"/>
    <s v="Arimis small"/>
    <n v="1"/>
    <n v="35"/>
    <n v="23.333333333333332"/>
    <n v="11.666666666666668"/>
    <s v="Credit"/>
    <s v="Moureen"/>
    <m/>
    <m/>
    <m/>
  </r>
  <r>
    <x v="6"/>
    <x v="69"/>
    <s v="Festive Bread 400g"/>
    <n v="1"/>
    <n v="65"/>
    <n v="60"/>
    <n v="5"/>
    <s v="Credit"/>
    <s v="Mum Victor"/>
    <m/>
    <m/>
    <m/>
  </r>
  <r>
    <x v="6"/>
    <x v="69"/>
    <s v="Banana"/>
    <n v="5"/>
    <n v="50"/>
    <n v="41.666666666666671"/>
    <n v="8.3333333333333286"/>
    <s v="Credit"/>
    <s v="Mum Victor"/>
    <m/>
    <m/>
    <m/>
  </r>
  <r>
    <x v="6"/>
    <x v="181"/>
    <s v="eggs"/>
    <n v="6"/>
    <n v="120"/>
    <n v="86"/>
    <n v="34"/>
    <s v="Mpesa"/>
    <m/>
    <m/>
    <m/>
    <m/>
  </r>
  <r>
    <x v="6"/>
    <x v="182"/>
    <s v="omo 20g"/>
    <n v="2"/>
    <n v="30"/>
    <n v="18.333333333333332"/>
    <n v="11.666666666666668"/>
    <s v="Cash"/>
    <m/>
    <m/>
    <m/>
    <m/>
  </r>
  <r>
    <x v="6"/>
    <x v="183"/>
    <s v="kinangop250g youghurt"/>
    <n v="2"/>
    <n v="120"/>
    <n v="96.666666666666671"/>
    <n v="23.333333333333329"/>
    <s v="Mpesa"/>
    <m/>
    <m/>
    <m/>
    <m/>
  </r>
  <r>
    <x v="6"/>
    <x v="183"/>
    <s v="Tamu Tamu Red"/>
    <n v="2"/>
    <n v="30"/>
    <n v="17.2"/>
    <n v="12.8"/>
    <s v="Mpesa"/>
    <m/>
    <m/>
    <m/>
    <m/>
  </r>
  <r>
    <x v="6"/>
    <x v="183"/>
    <s v="Glucose 10g"/>
    <n v="2"/>
    <n v="10"/>
    <n v="7.5"/>
    <n v="2.5"/>
    <s v="Mpesa"/>
    <m/>
    <m/>
    <m/>
    <m/>
  </r>
  <r>
    <x v="6"/>
    <x v="183"/>
    <s v="Ring Cake"/>
    <n v="2"/>
    <n v="100"/>
    <n v="90"/>
    <n v="10"/>
    <s v="Mpesa"/>
    <m/>
    <m/>
    <m/>
    <m/>
  </r>
  <r>
    <x v="6"/>
    <x v="184"/>
    <s v="Whitewash "/>
    <n v="1"/>
    <n v="50"/>
    <n v="33.75"/>
    <n v="16.25"/>
    <s v="Mpesa"/>
    <m/>
    <m/>
    <m/>
    <m/>
  </r>
  <r>
    <x v="6"/>
    <x v="184"/>
    <s v="omo 20g"/>
    <n v="1"/>
    <n v="15"/>
    <n v="9.1666666666666661"/>
    <n v="5.8333333333333339"/>
    <s v="Mpesa"/>
    <m/>
    <m/>
    <m/>
    <m/>
  </r>
  <r>
    <x v="6"/>
    <x v="185"/>
    <s v="300ml water"/>
    <n v="1"/>
    <n v="30"/>
    <n v="12.5"/>
    <n v="17.5"/>
    <s v="Credit"/>
    <s v="Shariffa"/>
    <m/>
    <m/>
    <m/>
  </r>
  <r>
    <x v="6"/>
    <x v="185"/>
    <s v="Glucose 50g"/>
    <n v="1"/>
    <n v="30"/>
    <n v="15.833333333333334"/>
    <n v="14.166666666666666"/>
    <s v="Credit"/>
    <s v="Shariffa"/>
    <m/>
    <m/>
    <m/>
  </r>
  <r>
    <x v="6"/>
    <x v="34"/>
    <s v="Whitewash "/>
    <n v="1"/>
    <n v="50"/>
    <n v="33.75"/>
    <n v="16.25"/>
    <s v="Credit"/>
    <s v="Pauline"/>
    <m/>
    <m/>
    <m/>
  </r>
  <r>
    <x v="6"/>
    <x v="186"/>
    <s v="Icepop"/>
    <n v="2"/>
    <n v="30"/>
    <n v="15"/>
    <n v="15"/>
    <s v="Cash"/>
    <m/>
    <m/>
    <m/>
    <m/>
  </r>
  <r>
    <x v="6"/>
    <x v="186"/>
    <s v="Patco"/>
    <n v="2"/>
    <n v="5"/>
    <n v="2.4"/>
    <n v="2.6"/>
    <s v="Cash"/>
    <m/>
    <m/>
    <m/>
    <m/>
  </r>
  <r>
    <x v="6"/>
    <x v="6"/>
    <s v="Royco cubes"/>
    <n v="2"/>
    <n v="10"/>
    <n v="6"/>
    <n v="4"/>
    <s v="Credit"/>
    <s v="Irene"/>
    <m/>
    <m/>
    <m/>
  </r>
  <r>
    <x v="6"/>
    <x v="187"/>
    <s v="Canned cookies"/>
    <n v="1"/>
    <n v="60"/>
    <n v="50"/>
    <n v="10"/>
    <s v="Cash"/>
    <m/>
    <m/>
    <m/>
    <m/>
  </r>
  <r>
    <x v="6"/>
    <x v="123"/>
    <s v="Icepop"/>
    <n v="1"/>
    <n v="15"/>
    <n v="7.5"/>
    <n v="7.5"/>
    <s v="Mpesa"/>
    <m/>
    <m/>
    <m/>
    <m/>
  </r>
  <r>
    <x v="6"/>
    <x v="123"/>
    <s v="Bigdaddy"/>
    <n v="2"/>
    <n v="20"/>
    <n v="12"/>
    <n v="8"/>
    <s v="Mpesa"/>
    <m/>
    <m/>
    <m/>
    <m/>
  </r>
  <r>
    <x v="6"/>
    <x v="123"/>
    <s v="Super Glue"/>
    <n v="1"/>
    <n v="30"/>
    <n v="23.333333333333332"/>
    <n v="6.6666666666666679"/>
    <s v="Mpesa"/>
    <m/>
    <m/>
    <m/>
    <m/>
  </r>
  <r>
    <x v="6"/>
    <x v="188"/>
    <s v="Pembe 2kg"/>
    <n v="1"/>
    <n v="160"/>
    <n v="123.33333333333333"/>
    <n v="36.666666666666671"/>
    <s v="Credit"/>
    <s v="Lucy"/>
    <m/>
    <m/>
    <m/>
  </r>
  <r>
    <x v="6"/>
    <x v="189"/>
    <s v="Safari"/>
    <n v="4"/>
    <n v="60"/>
    <n v="34"/>
    <n v="26"/>
    <s v="Mpesa"/>
    <m/>
    <m/>
    <m/>
    <m/>
  </r>
  <r>
    <x v="6"/>
    <x v="189"/>
    <s v="Tomatoes"/>
    <n v="2"/>
    <n v="20"/>
    <n v="10"/>
    <n v="10"/>
    <s v="Credit"/>
    <s v="Masaku"/>
    <m/>
    <m/>
    <m/>
  </r>
  <r>
    <x v="6"/>
    <x v="189"/>
    <s v="Onion"/>
    <n v="1"/>
    <n v="10"/>
    <n v="8"/>
    <n v="2"/>
    <s v="Credit"/>
    <s v="Masaku"/>
    <m/>
    <m/>
    <m/>
  </r>
  <r>
    <x v="6"/>
    <x v="189"/>
    <s v="Dhania"/>
    <n v="2"/>
    <n v="10"/>
    <n v="6.666666666666667"/>
    <n v="3.333333333333333"/>
    <s v="Credit"/>
    <s v="Masaku"/>
    <m/>
    <m/>
    <m/>
  </r>
  <r>
    <x v="6"/>
    <x v="97"/>
    <s v="Tomatoes"/>
    <n v="3"/>
    <n v="30"/>
    <n v="15"/>
    <n v="15"/>
    <s v="Cash"/>
    <m/>
    <m/>
    <m/>
    <m/>
  </r>
  <r>
    <x v="6"/>
    <x v="97"/>
    <s v="Mt Kenya milk 200ml"/>
    <n v="1"/>
    <n v="35"/>
    <n v="24.285714285714285"/>
    <n v="10.714285714285715"/>
    <s v="Mpesa"/>
    <m/>
    <m/>
    <m/>
    <m/>
  </r>
  <r>
    <x v="6"/>
    <x v="163"/>
    <s v=" soda 1.25lts"/>
    <n v="1"/>
    <n v="130"/>
    <n v="112.5"/>
    <n v="17.5"/>
    <s v="Credit"/>
    <s v="Mum Victor"/>
    <m/>
    <m/>
    <m/>
  </r>
  <r>
    <x v="6"/>
    <x v="190"/>
    <s v="Cooking Oil Measured"/>
    <n v="0.25"/>
    <n v="70"/>
    <n v="50"/>
    <n v="20"/>
    <s v="Cash"/>
    <m/>
    <m/>
    <m/>
    <m/>
  </r>
  <r>
    <x v="6"/>
    <x v="190"/>
    <s v="Mt kenya milk 500ml"/>
    <n v="2"/>
    <n v="130"/>
    <n v="96.666666666666671"/>
    <n v="33.333333333333329"/>
    <s v="Cash"/>
    <m/>
    <m/>
    <m/>
    <m/>
  </r>
  <r>
    <x v="6"/>
    <x v="168"/>
    <s v="Safaricom 10 Credit"/>
    <n v="2"/>
    <n v="20"/>
    <n v="18"/>
    <n v="2"/>
    <s v="Cash"/>
    <m/>
    <m/>
    <m/>
    <m/>
  </r>
  <r>
    <x v="6"/>
    <x v="168"/>
    <s v="Rasor Blade"/>
    <n v="1"/>
    <n v="5"/>
    <n v="2"/>
    <n v="3"/>
    <s v="Cash"/>
    <m/>
    <m/>
    <m/>
    <m/>
  </r>
  <r>
    <x v="6"/>
    <x v="191"/>
    <s v="Safari"/>
    <n v="2"/>
    <n v="30"/>
    <n v="17"/>
    <n v="13"/>
    <s v="Mpesa"/>
    <m/>
    <m/>
    <m/>
    <m/>
  </r>
  <r>
    <x v="6"/>
    <x v="169"/>
    <s v="Tomato paste"/>
    <n v="1"/>
    <n v="30"/>
    <n v="12.5"/>
    <n v="17.5"/>
    <s v="Mpesa"/>
    <m/>
    <m/>
    <m/>
    <m/>
  </r>
  <r>
    <x v="6"/>
    <x v="169"/>
    <s v="Drinking Chocolate 20g"/>
    <n v="1"/>
    <n v="20"/>
    <n v="10.416666666666666"/>
    <n v="9.5833333333333339"/>
    <s v="Mpesa"/>
    <m/>
    <m/>
    <m/>
    <m/>
  </r>
  <r>
    <x v="6"/>
    <x v="169"/>
    <s v="Kdf"/>
    <n v="2"/>
    <n v="20"/>
    <n v="16.666666666666668"/>
    <n v="3.3333333333333321"/>
    <s v="Mpesa"/>
    <m/>
    <m/>
    <m/>
    <m/>
  </r>
  <r>
    <x v="6"/>
    <x v="169"/>
    <s v="BB Bread 400g"/>
    <n v="1"/>
    <n v="65"/>
    <n v="60"/>
    <n v="5"/>
    <s v="Mpesa"/>
    <m/>
    <m/>
    <m/>
    <m/>
  </r>
  <r>
    <x v="6"/>
    <x v="192"/>
    <s v="Cooking Oil Measured"/>
    <n v="0.25"/>
    <n v="70"/>
    <n v="50"/>
    <n v="20"/>
    <s v="Mpesa"/>
    <m/>
    <m/>
    <m/>
    <m/>
  </r>
  <r>
    <x v="6"/>
    <x v="171"/>
    <s v="Tomatoes"/>
    <n v="3"/>
    <n v="30"/>
    <n v="15"/>
    <n v="15"/>
    <s v="Mpesa"/>
    <m/>
    <m/>
    <m/>
    <m/>
  </r>
  <r>
    <x v="6"/>
    <x v="171"/>
    <s v="Onion"/>
    <n v="1"/>
    <n v="10"/>
    <n v="8"/>
    <n v="2"/>
    <s v="Mpesa"/>
    <m/>
    <m/>
    <m/>
    <m/>
  </r>
  <r>
    <x v="6"/>
    <x v="171"/>
    <s v="Goodday Cookies"/>
    <n v="1"/>
    <n v="15"/>
    <n v="9.3333333333333339"/>
    <n v="5.6666666666666661"/>
    <s v="Mpesa"/>
    <m/>
    <m/>
    <m/>
    <m/>
  </r>
  <r>
    <x v="6"/>
    <x v="171"/>
    <s v="Bigboss"/>
    <n v="3"/>
    <n v="15"/>
    <n v="10.5"/>
    <n v="4.5"/>
    <s v="Mpesa"/>
    <m/>
    <m/>
    <m/>
    <m/>
  </r>
  <r>
    <x v="6"/>
    <x v="57"/>
    <s v="eggs"/>
    <n v="3"/>
    <n v="60"/>
    <n v="43"/>
    <n v="17"/>
    <s v="Credit"/>
    <s v="Ken"/>
    <m/>
    <m/>
    <m/>
  </r>
  <r>
    <x v="6"/>
    <x v="57"/>
    <s v="Tomatoes"/>
    <n v="1"/>
    <n v="10"/>
    <n v="5"/>
    <n v="5"/>
    <s v="Credit"/>
    <s v="Ken"/>
    <m/>
    <m/>
    <m/>
  </r>
  <r>
    <x v="6"/>
    <x v="193"/>
    <s v="Rubber"/>
    <n v="1"/>
    <n v="10"/>
    <n v="5.6"/>
    <n v="4.4000000000000004"/>
    <s v="Credit"/>
    <s v="Mum Victor"/>
    <m/>
    <m/>
    <m/>
  </r>
  <r>
    <x v="6"/>
    <x v="193"/>
    <s v="Kinangop Fresh Milk 500ml"/>
    <n v="2"/>
    <n v="120"/>
    <n v="110"/>
    <n v="10"/>
    <s v="Credit"/>
    <s v="Mum Victor"/>
    <m/>
    <m/>
    <m/>
  </r>
  <r>
    <x v="6"/>
    <x v="194"/>
    <s v="Arimis big"/>
    <n v="1"/>
    <n v="60"/>
    <n v="45.833333333333336"/>
    <n v="14.166666666666664"/>
    <s v="Mpesa"/>
    <m/>
    <m/>
    <m/>
    <m/>
  </r>
  <r>
    <x v="6"/>
    <x v="195"/>
    <s v="Curry Powder"/>
    <n v="1"/>
    <n v="15"/>
    <n v="7.5"/>
    <n v="7.5"/>
    <s v="Cash"/>
    <m/>
    <m/>
    <m/>
    <m/>
  </r>
  <r>
    <x v="6"/>
    <x v="195"/>
    <s v="Garlic"/>
    <n v="1"/>
    <n v="30"/>
    <n v="20"/>
    <n v="10"/>
    <s v="Cash"/>
    <m/>
    <m/>
    <m/>
    <m/>
  </r>
  <r>
    <x v="6"/>
    <x v="196"/>
    <s v="210 Maize Meal 2kg"/>
    <n v="1"/>
    <n v="160"/>
    <n v="117.08333333333333"/>
    <n v="42.916666666666671"/>
    <s v="Credit"/>
    <s v="Milly"/>
    <m/>
    <m/>
    <m/>
  </r>
  <r>
    <x v="7"/>
    <x v="197"/>
    <s v="Safari"/>
    <n v="3"/>
    <n v="45"/>
    <n v="25.5"/>
    <n v="19.5"/>
    <s v="Mpesa"/>
    <m/>
    <m/>
    <m/>
    <m/>
  </r>
  <r>
    <x v="7"/>
    <x v="198"/>
    <s v="Nescafe 1.5g"/>
    <n v="1"/>
    <n v="15"/>
    <n v="9.1666666666666661"/>
    <n v="5.8333333333333339"/>
    <s v="Mpesa"/>
    <m/>
    <m/>
    <m/>
    <m/>
  </r>
  <r>
    <x v="7"/>
    <x v="199"/>
    <s v="Sportsman"/>
    <n v="1"/>
    <n v="20"/>
    <n v="13"/>
    <n v="7"/>
    <s v="Cash"/>
    <m/>
    <m/>
    <m/>
    <m/>
  </r>
  <r>
    <x v="7"/>
    <x v="200"/>
    <s v="Festive Bread 400g"/>
    <n v="1"/>
    <n v="65"/>
    <n v="60"/>
    <n v="5"/>
    <s v="Cash"/>
    <m/>
    <m/>
    <m/>
    <m/>
  </r>
  <r>
    <x v="7"/>
    <x v="201"/>
    <s v="BB Bread 400g"/>
    <n v="1"/>
    <n v="65"/>
    <n v="60"/>
    <n v="5"/>
    <s v="Credit"/>
    <s v="Lucy"/>
    <m/>
    <m/>
    <m/>
  </r>
  <r>
    <x v="7"/>
    <x v="145"/>
    <s v="predator"/>
    <n v="1"/>
    <n v="70"/>
    <n v="54.166666666666664"/>
    <n v="15.833333333333336"/>
    <s v="Cash"/>
    <m/>
    <m/>
    <m/>
    <m/>
  </r>
  <r>
    <x v="7"/>
    <x v="145"/>
    <s v="Peanut Cookies"/>
    <n v="1"/>
    <n v="35"/>
    <n v="25"/>
    <n v="10"/>
    <s v="Cash"/>
    <m/>
    <m/>
    <m/>
    <m/>
  </r>
  <r>
    <x v="7"/>
    <x v="202"/>
    <s v="Sportsman"/>
    <n v="2"/>
    <n v="40"/>
    <n v="26"/>
    <n v="14"/>
    <s v="Mpesa"/>
    <m/>
    <m/>
    <m/>
    <m/>
  </r>
  <r>
    <x v="7"/>
    <x v="203"/>
    <s v="Kinangop Fresh Milk 500ml"/>
    <n v="1"/>
    <n v="60"/>
    <n v="55"/>
    <n v="5"/>
    <s v="Credit"/>
    <s v="Faith"/>
    <m/>
    <m/>
    <m/>
  </r>
  <r>
    <x v="7"/>
    <x v="204"/>
    <s v="Bella Tissue"/>
    <n v="2"/>
    <n v="320"/>
    <n v="246.66666666666666"/>
    <n v="73.333333333333343"/>
    <s v="Cash"/>
    <m/>
    <m/>
    <m/>
    <m/>
  </r>
  <r>
    <x v="7"/>
    <x v="3"/>
    <s v="Sportsman"/>
    <n v="2"/>
    <n v="40"/>
    <n v="26"/>
    <n v="14"/>
    <s v="Mpesa"/>
    <m/>
    <m/>
    <m/>
    <m/>
  </r>
  <r>
    <x v="7"/>
    <x v="205"/>
    <s v="Sugar"/>
    <n v="0.5"/>
    <n v="90"/>
    <n v="65"/>
    <n v="25"/>
    <s v="Mpesa"/>
    <m/>
    <m/>
    <m/>
    <m/>
  </r>
  <r>
    <x v="7"/>
    <x v="121"/>
    <s v="Tomatoes"/>
    <n v="10"/>
    <n v="100"/>
    <n v="50"/>
    <n v="50"/>
    <s v="Mpesa"/>
    <m/>
    <m/>
    <m/>
    <m/>
  </r>
  <r>
    <x v="7"/>
    <x v="37"/>
    <s v="1.5ltrs water"/>
    <n v="1"/>
    <n v="70"/>
    <n v="25"/>
    <n v="45"/>
    <s v="Credit"/>
    <s v="Shariffa"/>
    <m/>
    <m/>
    <m/>
  </r>
  <r>
    <x v="7"/>
    <x v="37"/>
    <s v="Tropical"/>
    <n v="2"/>
    <n v="10"/>
    <n v="3"/>
    <n v="7"/>
    <s v="Credit"/>
    <s v="Shariffa"/>
    <m/>
    <m/>
    <m/>
  </r>
  <r>
    <x v="7"/>
    <x v="206"/>
    <s v="Indomie chicken"/>
    <n v="2"/>
    <n v="100"/>
    <n v="75"/>
    <n v="25"/>
    <s v="Cash"/>
    <m/>
    <m/>
    <m/>
    <m/>
  </r>
  <r>
    <x v="7"/>
    <x v="206"/>
    <s v="Scissors"/>
    <n v="1"/>
    <n v="30"/>
    <n v="15"/>
    <n v="15"/>
    <s v="Cash"/>
    <m/>
    <m/>
    <m/>
    <m/>
  </r>
  <r>
    <x v="7"/>
    <x v="162"/>
    <s v="Airtel 50 Credit"/>
    <n v="2"/>
    <n v="100"/>
    <n v="94"/>
    <n v="6"/>
    <s v="Cash"/>
    <m/>
    <m/>
    <m/>
    <m/>
  </r>
  <r>
    <x v="7"/>
    <x v="207"/>
    <s v="afia 500ml"/>
    <n v="1"/>
    <n v="85"/>
    <n v="70.833333333333329"/>
    <n v="14.166666666666671"/>
    <s v="Credit"/>
    <s v="Shariffa"/>
    <m/>
    <m/>
    <m/>
  </r>
  <r>
    <x v="7"/>
    <x v="207"/>
    <s v="Coconut Cakes"/>
    <n v="2"/>
    <n v="20"/>
    <n v="16.666666666666668"/>
    <n v="3.3333333333333321"/>
    <s v="Credit"/>
    <s v="Shariffa"/>
    <m/>
    <m/>
    <m/>
  </r>
  <r>
    <x v="7"/>
    <x v="208"/>
    <s v="Pishori rice"/>
    <n v="1"/>
    <n v="220"/>
    <n v="180"/>
    <n v="40"/>
    <s v="Credit"/>
    <s v="Faith"/>
    <m/>
    <m/>
    <m/>
  </r>
  <r>
    <x v="7"/>
    <x v="209"/>
    <s v="soda 300ml glass"/>
    <n v="1"/>
    <n v="40"/>
    <n v="32.5"/>
    <n v="7.5"/>
    <s v="Mpesa"/>
    <m/>
    <m/>
    <m/>
    <m/>
  </r>
  <r>
    <x v="7"/>
    <x v="209"/>
    <s v="Half pound cake"/>
    <n v="1"/>
    <n v="100"/>
    <n v="90"/>
    <n v="10"/>
    <s v="Mpesa"/>
    <m/>
    <m/>
    <m/>
    <m/>
  </r>
  <r>
    <x v="7"/>
    <x v="210"/>
    <s v="soda 2lts"/>
    <n v="1"/>
    <n v="200"/>
    <n v="176.66666666666666"/>
    <n v="23.333333333333343"/>
    <s v="Cash"/>
    <m/>
    <m/>
    <m/>
    <m/>
  </r>
  <r>
    <x v="7"/>
    <x v="210"/>
    <s v="omo 75g"/>
    <n v="1"/>
    <n v="35"/>
    <n v="27.5"/>
    <n v="7.5"/>
    <s v="Cash"/>
    <m/>
    <m/>
    <m/>
    <m/>
  </r>
  <r>
    <x v="7"/>
    <x v="211"/>
    <s v="BB Bread 400g"/>
    <n v="1"/>
    <n v="65"/>
    <n v="60"/>
    <n v="5"/>
    <s v="Mpesa"/>
    <m/>
    <m/>
    <m/>
    <m/>
  </r>
  <r>
    <x v="7"/>
    <x v="212"/>
    <s v="Baloon"/>
    <n v="2"/>
    <n v="20"/>
    <n v="12"/>
    <n v="8"/>
    <s v="Cash"/>
    <m/>
    <m/>
    <m/>
    <m/>
  </r>
  <r>
    <x v="7"/>
    <x v="213"/>
    <s v="Sodacans"/>
    <n v="1"/>
    <n v="20"/>
    <n v="15"/>
    <n v="5"/>
    <s v="Cash"/>
    <m/>
    <m/>
    <m/>
    <m/>
  </r>
  <r>
    <x v="7"/>
    <x v="214"/>
    <s v="eggs"/>
    <n v="4"/>
    <n v="80"/>
    <n v="57.333333333333336"/>
    <n v="22.666666666666664"/>
    <s v="Mpesa"/>
    <m/>
    <m/>
    <m/>
    <m/>
  </r>
  <r>
    <x v="7"/>
    <x v="214"/>
    <s v="Coconut Cakes"/>
    <n v="4"/>
    <n v="40"/>
    <n v="33.333333333333336"/>
    <n v="6.6666666666666643"/>
    <s v="Mpesa"/>
    <m/>
    <m/>
    <m/>
    <m/>
  </r>
  <r>
    <x v="7"/>
    <x v="61"/>
    <s v="Festive Bread 400g"/>
    <n v="1"/>
    <n v="65"/>
    <n v="60"/>
    <n v="5"/>
    <s v="Mpesa"/>
    <m/>
    <m/>
    <m/>
    <m/>
  </r>
  <r>
    <x v="7"/>
    <x v="215"/>
    <s v="afia 500ml"/>
    <n v="1"/>
    <n v="30"/>
    <n v="23.333333333333332"/>
    <n v="6.6666666666666679"/>
    <s v="Mpesa"/>
    <m/>
    <m/>
    <m/>
    <m/>
  </r>
  <r>
    <x v="7"/>
    <x v="216"/>
    <s v="Ginger"/>
    <n v="2"/>
    <n v="40"/>
    <n v="20"/>
    <n v="20"/>
    <s v="Mpesa"/>
    <m/>
    <m/>
    <m/>
    <m/>
  </r>
  <r>
    <x v="7"/>
    <x v="172"/>
    <s v="Kinangop Fresh Milk 500ml"/>
    <n v="1"/>
    <n v="60"/>
    <n v="55"/>
    <n v="5"/>
    <s v="Credit"/>
    <s v="Ruth"/>
    <m/>
    <m/>
    <m/>
  </r>
  <r>
    <x v="7"/>
    <x v="217"/>
    <s v="Blueband 100g"/>
    <n v="1"/>
    <n v="70"/>
    <n v="58.333333333333336"/>
    <n v="11.666666666666664"/>
    <s v="Credit"/>
    <s v="Florence"/>
    <m/>
    <m/>
    <m/>
  </r>
  <r>
    <x v="7"/>
    <x v="217"/>
    <s v="Coconut Cakes"/>
    <n v="6"/>
    <n v="60"/>
    <n v="50"/>
    <n v="10"/>
    <s v="Credit"/>
    <s v="Florence"/>
    <m/>
    <m/>
    <m/>
  </r>
  <r>
    <x v="7"/>
    <x v="217"/>
    <s v="Festive Bread 400g"/>
    <n v="1"/>
    <n v="65"/>
    <n v="60"/>
    <n v="5"/>
    <s v="Credit"/>
    <s v="Florence"/>
    <m/>
    <m/>
    <m/>
  </r>
  <r>
    <x v="7"/>
    <x v="217"/>
    <s v="eggs"/>
    <n v="6"/>
    <n v="120"/>
    <n v="86"/>
    <n v="34"/>
    <s v="Credit"/>
    <s v="Florence"/>
    <m/>
    <m/>
    <m/>
  </r>
  <r>
    <x v="7"/>
    <x v="217"/>
    <s v="Brookside milk 500ml"/>
    <n v="1"/>
    <n v="70"/>
    <n v="59"/>
    <n v="11"/>
    <s v="Credit"/>
    <s v="Florence"/>
    <m/>
    <m/>
    <m/>
  </r>
  <r>
    <x v="7"/>
    <x v="217"/>
    <s v="soda 500ml glass"/>
    <n v="1"/>
    <n v="55"/>
    <n v="50"/>
    <n v="5"/>
    <s v="Credit"/>
    <s v="Florence"/>
    <m/>
    <m/>
    <m/>
  </r>
  <r>
    <x v="7"/>
    <x v="218"/>
    <s v="Cooking Oil Measured"/>
    <n v="0.25"/>
    <n v="70"/>
    <n v="50"/>
    <n v="20"/>
    <s v="Mpesa"/>
    <m/>
    <m/>
    <m/>
    <m/>
  </r>
  <r>
    <x v="7"/>
    <x v="219"/>
    <s v="Cabbage"/>
    <n v="1"/>
    <n v="180"/>
    <n v="120"/>
    <n v="60"/>
    <s v="Credit"/>
    <s v="Mum Victor"/>
    <m/>
    <m/>
    <m/>
  </r>
  <r>
    <x v="7"/>
    <x v="25"/>
    <s v="5ltrs water"/>
    <n v="1"/>
    <n v="120"/>
    <n v="75"/>
    <n v="45"/>
    <s v="Credit"/>
    <s v="Irene"/>
    <m/>
    <m/>
    <m/>
  </r>
  <r>
    <x v="7"/>
    <x v="25"/>
    <s v="eggs"/>
    <n v="3"/>
    <n v="60"/>
    <n v="43"/>
    <n v="17"/>
    <s v="Credit"/>
    <s v="Irene"/>
    <m/>
    <m/>
    <m/>
  </r>
  <r>
    <x v="7"/>
    <x v="25"/>
    <s v="Onion"/>
    <n v="1"/>
    <n v="10"/>
    <n v="8"/>
    <n v="2"/>
    <s v="Credit"/>
    <s v="Irene"/>
    <m/>
    <m/>
    <m/>
  </r>
  <r>
    <x v="7"/>
    <x v="220"/>
    <s v="Tukuza 1kg"/>
    <n v="1"/>
    <n v="90"/>
    <n v="61.25"/>
    <n v="28.75"/>
    <s v="Credit"/>
    <s v="Mum Victor"/>
    <m/>
    <m/>
    <m/>
  </r>
  <r>
    <x v="7"/>
    <x v="112"/>
    <s v="Kdf"/>
    <n v="1"/>
    <n v="15"/>
    <n v="8.5"/>
    <n v="6.5"/>
    <s v="Credit"/>
    <s v="Faith"/>
    <m/>
    <m/>
    <m/>
  </r>
  <r>
    <x v="7"/>
    <x v="112"/>
    <s v="Mt Kenya milk 200ml"/>
    <n v="1"/>
    <n v="35"/>
    <n v="24.285714285714285"/>
    <n v="10.714285714285715"/>
    <s v="Credit"/>
    <s v="Faith"/>
    <m/>
    <m/>
    <m/>
  </r>
  <r>
    <x v="7"/>
    <x v="221"/>
    <m/>
    <m/>
    <m/>
    <m/>
    <m/>
    <m/>
    <m/>
    <s v="Tracy"/>
    <n v="145"/>
    <s v="Mpesa"/>
  </r>
  <r>
    <x v="8"/>
    <x v="222"/>
    <s v="Ajab 2kg"/>
    <n v="1"/>
    <n v="220"/>
    <n v="175"/>
    <n v="45"/>
    <s v="Credit"/>
    <s v="Lucy"/>
    <m/>
    <m/>
    <m/>
  </r>
  <r>
    <x v="8"/>
    <x v="223"/>
    <s v="Kinangop Fresh Milk 500ml"/>
    <n v="1"/>
    <n v="60"/>
    <n v="55"/>
    <n v="5"/>
    <s v="Credit"/>
    <s v="Faith"/>
    <m/>
    <m/>
    <m/>
  </r>
  <r>
    <x v="8"/>
    <x v="223"/>
    <s v="BB Bread 400g"/>
    <n v="1"/>
    <n v="65"/>
    <n v="60"/>
    <n v="5"/>
    <s v="Credit"/>
    <s v="Faith"/>
    <m/>
    <m/>
    <m/>
  </r>
  <r>
    <x v="8"/>
    <x v="116"/>
    <s v="Festive 600g"/>
    <n v="1"/>
    <n v="100"/>
    <n v="90"/>
    <n v="10"/>
    <s v="Cash"/>
    <m/>
    <m/>
    <m/>
    <m/>
  </r>
  <r>
    <x v="8"/>
    <x v="116"/>
    <s v="Festive Bread 400g"/>
    <n v="1"/>
    <n v="65"/>
    <n v="60"/>
    <n v="5"/>
    <s v="Cash"/>
    <m/>
    <m/>
    <m/>
    <m/>
  </r>
  <r>
    <x v="8"/>
    <x v="116"/>
    <s v="Gomba"/>
    <n v="2"/>
    <n v="5"/>
    <n v="3.6"/>
    <n v="1.4"/>
    <s v="Cash"/>
    <m/>
    <m/>
    <m/>
    <m/>
  </r>
  <r>
    <x v="8"/>
    <x v="224"/>
    <s v="Cough drops"/>
    <n v="2"/>
    <n v="10"/>
    <n v="8"/>
    <n v="2"/>
    <s v="Mpesa"/>
    <m/>
    <m/>
    <m/>
    <m/>
  </r>
  <r>
    <x v="8"/>
    <x v="68"/>
    <s v="BB Bread 400g"/>
    <n v="1"/>
    <n v="65"/>
    <n v="60"/>
    <n v="5"/>
    <s v="Cash"/>
    <m/>
    <m/>
    <m/>
    <m/>
  </r>
  <r>
    <x v="8"/>
    <x v="225"/>
    <s v="Blueband 500g"/>
    <n v="1"/>
    <n v="350"/>
    <n v="250"/>
    <n v="100"/>
    <s v="Mpesa"/>
    <m/>
    <m/>
    <m/>
    <m/>
  </r>
  <r>
    <x v="8"/>
    <x v="203"/>
    <s v="Kinangop Fresh Milk 500ml"/>
    <n v="1"/>
    <n v="60"/>
    <n v="55"/>
    <n v="5"/>
    <s v="Credit"/>
    <s v="Mum Victor"/>
    <m/>
    <m/>
    <m/>
  </r>
  <r>
    <x v="8"/>
    <x v="226"/>
    <s v="minutemaid 400ml"/>
    <n v="1"/>
    <n v="85"/>
    <n v="62.5"/>
    <n v="22.5"/>
    <s v="Credit"/>
    <s v="Rosemary"/>
    <m/>
    <m/>
    <m/>
  </r>
  <r>
    <x v="8"/>
    <x v="226"/>
    <s v="Baloon"/>
    <n v="3"/>
    <n v="30"/>
    <n v="18"/>
    <n v="12"/>
    <s v="Credit"/>
    <s v="Rosemary"/>
    <m/>
    <m/>
    <m/>
  </r>
  <r>
    <x v="8"/>
    <x v="226"/>
    <s v="Bitez"/>
    <n v="3"/>
    <n v="45"/>
    <n v="26.400000000000002"/>
    <n v="18.599999999999998"/>
    <s v="Credit"/>
    <s v="Rosemary"/>
    <m/>
    <m/>
    <m/>
  </r>
  <r>
    <x v="8"/>
    <x v="148"/>
    <s v="Safaricom 50 Credit"/>
    <n v="2"/>
    <n v="100"/>
    <n v="94"/>
    <n v="6"/>
    <s v="Cash"/>
    <m/>
    <m/>
    <m/>
    <m/>
  </r>
  <r>
    <x v="8"/>
    <x v="227"/>
    <s v="predator"/>
    <n v="1"/>
    <n v="70"/>
    <n v="54.166666666666664"/>
    <n v="15.833333333333336"/>
    <s v="Cash"/>
    <m/>
    <m/>
    <m/>
    <m/>
  </r>
  <r>
    <x v="8"/>
    <x v="228"/>
    <s v="Tamu Tamu Red"/>
    <n v="2"/>
    <n v="30"/>
    <n v="17.2"/>
    <n v="12.8"/>
    <s v="Credit"/>
    <s v="Mum Victor"/>
    <m/>
    <m/>
    <m/>
  </r>
  <r>
    <x v="8"/>
    <x v="229"/>
    <s v="flavoured milk vanilla"/>
    <n v="1"/>
    <n v="85"/>
    <n v="75"/>
    <n v="10"/>
    <s v="Cash"/>
    <m/>
    <m/>
    <m/>
    <m/>
  </r>
  <r>
    <x v="8"/>
    <x v="229"/>
    <s v="Sodacans"/>
    <n v="1"/>
    <n v="20"/>
    <n v="15"/>
    <n v="5"/>
    <s v="Cash"/>
    <m/>
    <m/>
    <m/>
    <m/>
  </r>
  <r>
    <x v="8"/>
    <x v="229"/>
    <s v="Icepop"/>
    <n v="1"/>
    <n v="15"/>
    <n v="7.5"/>
    <n v="7.5"/>
    <s v="Cash"/>
    <m/>
    <m/>
    <m/>
    <m/>
  </r>
  <r>
    <x v="8"/>
    <x v="230"/>
    <s v="BB Bread 400g"/>
    <n v="1"/>
    <n v="65"/>
    <n v="60"/>
    <n v="5"/>
    <s v="Credit"/>
    <s v="Shariffa"/>
    <m/>
    <m/>
    <m/>
  </r>
  <r>
    <x v="8"/>
    <x v="230"/>
    <s v="Crown Gold Milk 500ml"/>
    <n v="2"/>
    <n v="130"/>
    <n v="108.33333333333333"/>
    <n v="21.666666666666671"/>
    <s v="Credit"/>
    <s v="Shariffa"/>
    <m/>
    <m/>
    <m/>
  </r>
  <r>
    <x v="8"/>
    <x v="230"/>
    <s v="Blueband 100g"/>
    <n v="1"/>
    <n v="70"/>
    <n v="58.333333333333336"/>
    <n v="11.666666666666664"/>
    <s v="Credit"/>
    <s v="Shariffa"/>
    <m/>
    <m/>
    <m/>
  </r>
  <r>
    <x v="8"/>
    <x v="231"/>
    <s v="Kichungi small"/>
    <n v="1"/>
    <n v="20"/>
    <n v="15"/>
    <n v="5"/>
    <s v="Credit"/>
    <s v="Shariffa"/>
    <m/>
    <m/>
    <m/>
  </r>
  <r>
    <x v="8"/>
    <x v="232"/>
    <s v="predator"/>
    <n v="1"/>
    <n v="70"/>
    <n v="54.166666666666664"/>
    <n v="15.833333333333336"/>
    <s v="Cash"/>
    <m/>
    <m/>
    <m/>
    <m/>
  </r>
  <r>
    <x v="8"/>
    <x v="232"/>
    <s v="Peanut Cookies"/>
    <n v="1"/>
    <n v="35"/>
    <n v="25"/>
    <n v="10"/>
    <s v="Cash"/>
    <m/>
    <m/>
    <m/>
    <m/>
  </r>
  <r>
    <x v="8"/>
    <x v="233"/>
    <s v="scooter cans"/>
    <n v="1"/>
    <n v="20"/>
    <n v="15"/>
    <n v="5"/>
    <s v="Cash"/>
    <m/>
    <m/>
    <m/>
    <m/>
  </r>
  <r>
    <x v="8"/>
    <x v="233"/>
    <s v="Ringoz Paprika"/>
    <n v="1"/>
    <n v="15"/>
    <n v="8.8000000000000007"/>
    <n v="6.1999999999999993"/>
    <s v="Cash"/>
    <m/>
    <m/>
    <m/>
    <m/>
  </r>
  <r>
    <x v="8"/>
    <x v="233"/>
    <s v="Lollipop"/>
    <n v="1"/>
    <n v="5"/>
    <n v="2.4"/>
    <n v="2.6"/>
    <s v="Cash"/>
    <m/>
    <m/>
    <m/>
    <m/>
  </r>
  <r>
    <x v="8"/>
    <x v="8"/>
    <s v="kensalt 200g"/>
    <n v="1"/>
    <n v="15"/>
    <n v="5.5"/>
    <n v="9.5"/>
    <s v="Cash"/>
    <m/>
    <m/>
    <m/>
    <m/>
  </r>
  <r>
    <x v="8"/>
    <x v="8"/>
    <s v="Royco cubes"/>
    <n v="1"/>
    <n v="5"/>
    <n v="3"/>
    <n v="2"/>
    <s v="Cash"/>
    <m/>
    <m/>
    <m/>
    <m/>
  </r>
  <r>
    <x v="8"/>
    <x v="234"/>
    <s v="eggs"/>
    <n v="4"/>
    <n v="80"/>
    <n v="57.333333333333336"/>
    <n v="22.666666666666664"/>
    <s v="Cash"/>
    <m/>
    <m/>
    <m/>
    <m/>
  </r>
  <r>
    <x v="8"/>
    <x v="126"/>
    <s v="Gomba"/>
    <n v="4"/>
    <n v="10"/>
    <n v="7.2"/>
    <n v="2.8"/>
    <s v="Cash"/>
    <m/>
    <m/>
    <m/>
    <m/>
  </r>
  <r>
    <x v="8"/>
    <x v="126"/>
    <m/>
    <m/>
    <m/>
    <m/>
    <m/>
    <m/>
    <m/>
    <s v="Ken"/>
    <n v="20"/>
    <s v="Mpesa"/>
  </r>
  <r>
    <x v="8"/>
    <x v="235"/>
    <s v=" soda 1.25lts"/>
    <n v="1"/>
    <n v="130"/>
    <n v="112.5"/>
    <n v="17.5"/>
    <s v="Credit"/>
    <s v="Mum Victor"/>
    <m/>
    <m/>
    <m/>
  </r>
  <r>
    <x v="8"/>
    <x v="236"/>
    <s v="soda 350ml plastic"/>
    <n v="1"/>
    <n v="50"/>
    <n v="41.666666666666664"/>
    <n v="8.3333333333333357"/>
    <s v="Mpesa"/>
    <m/>
    <m/>
    <m/>
    <m/>
  </r>
  <r>
    <x v="8"/>
    <x v="236"/>
    <s v="Coconut Cakes"/>
    <n v="1"/>
    <n v="10"/>
    <n v="8.3333333333333339"/>
    <n v="1.6666666666666661"/>
    <s v="Mpesa"/>
    <m/>
    <m/>
    <m/>
    <m/>
  </r>
  <r>
    <x v="8"/>
    <x v="237"/>
    <s v="Super Glue"/>
    <n v="1"/>
    <n v="30"/>
    <n v="23.333333333333332"/>
    <n v="6.6666666666666679"/>
    <s v="Mpesa"/>
    <m/>
    <m/>
    <m/>
    <m/>
  </r>
  <r>
    <x v="8"/>
    <x v="100"/>
    <s v="Crown Gold Milk 500ml"/>
    <n v="4"/>
    <n v="260"/>
    <n v="216.66666666666666"/>
    <n v="43.333333333333343"/>
    <s v="Mpesa"/>
    <m/>
    <m/>
    <m/>
    <m/>
  </r>
  <r>
    <x v="8"/>
    <x v="47"/>
    <s v="Brookside milk 500ml"/>
    <n v="1"/>
    <n v="70"/>
    <n v="59"/>
    <n v="11"/>
    <s v="Mpesa"/>
    <m/>
    <m/>
    <m/>
    <m/>
  </r>
  <r>
    <x v="8"/>
    <x v="47"/>
    <s v="Mt kenya milk 500ml"/>
    <n v="1"/>
    <n v="65"/>
    <n v="48.333333333333336"/>
    <n v="16.666666666666664"/>
    <s v="Mpesa"/>
    <m/>
    <m/>
    <m/>
    <m/>
  </r>
  <r>
    <x v="8"/>
    <x v="47"/>
    <s v="Festive Bread 400g"/>
    <n v="1"/>
    <n v="65"/>
    <n v="60"/>
    <n v="5"/>
    <s v="Mpesa"/>
    <m/>
    <m/>
    <m/>
    <m/>
  </r>
  <r>
    <x v="8"/>
    <x v="238"/>
    <s v="Brookside milk 500ml"/>
    <n v="1"/>
    <n v="70"/>
    <n v="59"/>
    <n v="11"/>
    <s v="Cash"/>
    <m/>
    <m/>
    <m/>
    <m/>
  </r>
  <r>
    <x v="8"/>
    <x v="238"/>
    <s v="Glucose 10g"/>
    <n v="1"/>
    <n v="5"/>
    <n v="3.75"/>
    <n v="1.25"/>
    <s v="Cash"/>
    <m/>
    <m/>
    <m/>
    <m/>
  </r>
  <r>
    <x v="8"/>
    <x v="239"/>
    <s v="Tomatoes"/>
    <n v="1"/>
    <n v="10"/>
    <n v="5"/>
    <n v="5"/>
    <s v="Mpesa"/>
    <m/>
    <m/>
    <m/>
    <m/>
  </r>
  <r>
    <x v="8"/>
    <x v="239"/>
    <s v="Onion"/>
    <n v="3"/>
    <n v="30"/>
    <n v="24"/>
    <n v="6"/>
    <s v="Mpesa"/>
    <m/>
    <m/>
    <m/>
    <m/>
  </r>
  <r>
    <x v="8"/>
    <x v="54"/>
    <s v="Medium Colgate Toothbrush"/>
    <n v="1"/>
    <n v="40"/>
    <n v="25"/>
    <n v="15"/>
    <s v="Mpesa"/>
    <m/>
    <m/>
    <m/>
    <m/>
  </r>
  <r>
    <x v="8"/>
    <x v="54"/>
    <s v="Softcare pads"/>
    <n v="1"/>
    <n v="85"/>
    <n v="66"/>
    <n v="19"/>
    <s v="Mpesa"/>
    <m/>
    <m/>
    <m/>
    <m/>
  </r>
  <r>
    <x v="8"/>
    <x v="240"/>
    <s v="300ml water"/>
    <n v="1"/>
    <n v="30"/>
    <n v="12.5"/>
    <n v="17.5"/>
    <s v="Mpesa"/>
    <m/>
    <m/>
    <m/>
    <m/>
  </r>
  <r>
    <x v="8"/>
    <x v="240"/>
    <s v="Bigdaddy"/>
    <n v="3"/>
    <n v="30"/>
    <n v="18"/>
    <n v="12"/>
    <s v="Mpesa"/>
    <m/>
    <m/>
    <m/>
    <m/>
  </r>
  <r>
    <x v="8"/>
    <x v="241"/>
    <s v="eggs"/>
    <n v="1"/>
    <n v="20"/>
    <n v="14.333333333333334"/>
    <n v="5.6666666666666661"/>
    <s v="Cash"/>
    <m/>
    <m/>
    <m/>
    <m/>
  </r>
  <r>
    <x v="8"/>
    <x v="241"/>
    <s v="Onion"/>
    <n v="1"/>
    <n v="10"/>
    <n v="8"/>
    <n v="2"/>
    <s v="Cash"/>
    <m/>
    <m/>
    <m/>
    <m/>
  </r>
  <r>
    <x v="8"/>
    <x v="241"/>
    <s v="Tomatoes"/>
    <n v="1"/>
    <n v="10"/>
    <n v="5"/>
    <n v="5"/>
    <s v="Cash"/>
    <m/>
    <m/>
    <m/>
    <m/>
  </r>
  <r>
    <x v="8"/>
    <x v="105"/>
    <m/>
    <m/>
    <m/>
    <m/>
    <m/>
    <m/>
    <m/>
    <s v="Janet Mkale"/>
    <n v="95"/>
    <s v="Mpesa"/>
  </r>
  <r>
    <x v="8"/>
    <x v="64"/>
    <s v="Mt Kenya milk 200ml"/>
    <n v="2"/>
    <n v="70"/>
    <n v="48.571428571428569"/>
    <n v="21.428571428571431"/>
    <s v="Cash"/>
    <m/>
    <m/>
    <m/>
    <m/>
  </r>
  <r>
    <x v="8"/>
    <x v="64"/>
    <m/>
    <m/>
    <m/>
    <m/>
    <m/>
    <m/>
    <m/>
    <s v="Shariffa"/>
    <n v="360"/>
    <s v="Mpesa"/>
  </r>
  <r>
    <x v="8"/>
    <x v="64"/>
    <s v="BB Bread 200g"/>
    <n v="1"/>
    <n v="40"/>
    <n v="35"/>
    <n v="5"/>
    <s v="Cash"/>
    <m/>
    <m/>
    <m/>
    <m/>
  </r>
  <r>
    <x v="8"/>
    <x v="64"/>
    <s v="hoho"/>
    <n v="2"/>
    <n v="20"/>
    <n v="13.333333333333334"/>
    <n v="6.6666666666666661"/>
    <s v="Cash"/>
    <m/>
    <m/>
    <m/>
    <m/>
  </r>
  <r>
    <x v="8"/>
    <x v="64"/>
    <s v="Dhania"/>
    <n v="1"/>
    <n v="5"/>
    <n v="3.3333333333333335"/>
    <n v="1.6666666666666665"/>
    <s v="Cash"/>
    <m/>
    <m/>
    <m/>
    <m/>
  </r>
  <r>
    <x v="8"/>
    <x v="64"/>
    <s v="Tomatoes"/>
    <n v="6"/>
    <n v="60"/>
    <n v="30"/>
    <n v="30"/>
    <s v="Cash"/>
    <m/>
    <m/>
    <m/>
    <m/>
  </r>
  <r>
    <x v="8"/>
    <x v="194"/>
    <s v="minutemaid 400ml"/>
    <n v="1"/>
    <n v="85"/>
    <n v="62.5"/>
    <n v="22.5"/>
    <s v="Cash"/>
    <m/>
    <m/>
    <m/>
    <m/>
  </r>
  <r>
    <x v="8"/>
    <x v="194"/>
    <s v="Goodday Cookies"/>
    <n v="1"/>
    <n v="15"/>
    <n v="9.3333333333333339"/>
    <n v="5.6666666666666661"/>
    <s v="Cash"/>
    <m/>
    <m/>
    <m/>
    <m/>
  </r>
  <r>
    <x v="8"/>
    <x v="242"/>
    <s v="Banana"/>
    <n v="1"/>
    <n v="10"/>
    <n v="8.3333333333333339"/>
    <n v="1.6666666666666661"/>
    <s v="Credit"/>
    <s v="Mum Worship"/>
    <m/>
    <m/>
    <m/>
  </r>
  <r>
    <x v="8"/>
    <x v="243"/>
    <s v="Kinangop Fresh Milk 500ml"/>
    <n v="1"/>
    <n v="60"/>
    <n v="55"/>
    <n v="5"/>
    <s v="Mpesa"/>
    <m/>
    <m/>
    <m/>
    <m/>
  </r>
  <r>
    <x v="8"/>
    <x v="244"/>
    <s v="Ajab 1kg"/>
    <n v="1"/>
    <n v="120"/>
    <n v="87.5"/>
    <n v="32.5"/>
    <s v="Mpesa"/>
    <m/>
    <m/>
    <m/>
    <m/>
  </r>
  <r>
    <x v="8"/>
    <x v="244"/>
    <s v="Mt Kenya milk 200ml"/>
    <n v="1"/>
    <n v="35"/>
    <n v="24.285714285714285"/>
    <n v="10.714285714285715"/>
    <s v="Mpesa"/>
    <m/>
    <m/>
    <m/>
    <m/>
  </r>
  <r>
    <x v="8"/>
    <x v="245"/>
    <m/>
    <m/>
    <m/>
    <m/>
    <m/>
    <m/>
    <m/>
    <s v="Ruth"/>
    <n v="180"/>
    <s v="Mpesa"/>
  </r>
  <r>
    <x v="8"/>
    <x v="140"/>
    <s v="5ltrs water"/>
    <n v="1"/>
    <n v="120"/>
    <n v="75"/>
    <n v="45"/>
    <s v="Mpesa"/>
    <m/>
    <m/>
    <m/>
    <m/>
  </r>
  <r>
    <x v="8"/>
    <x v="246"/>
    <s v="Medium Colgate Toothbrush"/>
    <n v="1"/>
    <n v="40"/>
    <n v="25"/>
    <n v="15"/>
    <s v="Mpesa"/>
    <m/>
    <m/>
    <m/>
    <m/>
  </r>
  <r>
    <x v="9"/>
    <x v="247"/>
    <s v="Sportsman"/>
    <n v="1"/>
    <n v="20"/>
    <n v="13"/>
    <n v="7"/>
    <s v="Cash"/>
    <m/>
    <m/>
    <m/>
    <m/>
  </r>
  <r>
    <x v="9"/>
    <x v="248"/>
    <s v="Mt Kenya milk 200ml"/>
    <n v="1"/>
    <n v="35"/>
    <n v="24.285714285714285"/>
    <n v="10.714285714285715"/>
    <s v="Credit"/>
    <s v="Grace"/>
    <m/>
    <m/>
    <m/>
  </r>
  <r>
    <x v="9"/>
    <x v="249"/>
    <s v="Safaricom 50 Credit"/>
    <n v="1"/>
    <n v="50"/>
    <n v="47"/>
    <n v="3"/>
    <s v="Cash"/>
    <m/>
    <m/>
    <m/>
    <m/>
  </r>
  <r>
    <x v="9"/>
    <x v="250"/>
    <s v="Safaricom 20 Credit"/>
    <n v="1"/>
    <n v="20"/>
    <n v="18"/>
    <n v="2"/>
    <s v="Cash"/>
    <m/>
    <m/>
    <m/>
    <m/>
  </r>
  <r>
    <x v="9"/>
    <x v="151"/>
    <s v="Kdf"/>
    <n v="4"/>
    <n v="40"/>
    <n v="24"/>
    <n v="16"/>
    <s v="Cash"/>
    <m/>
    <m/>
    <m/>
    <m/>
  </r>
  <r>
    <x v="9"/>
    <x v="184"/>
    <s v="Peanut Cookies"/>
    <n v="1"/>
    <n v="35"/>
    <n v="25"/>
    <n v="10"/>
    <s v="Cash"/>
    <m/>
    <m/>
    <m/>
    <m/>
  </r>
  <r>
    <x v="9"/>
    <x v="184"/>
    <s v="predator"/>
    <n v="1"/>
    <n v="70"/>
    <n v="54.166666666666664"/>
    <n v="15.833333333333336"/>
    <s v="Cash"/>
    <m/>
    <m/>
    <m/>
    <m/>
  </r>
  <r>
    <x v="9"/>
    <x v="251"/>
    <s v="Poa Pekee Tissue"/>
    <n v="1"/>
    <n v="30"/>
    <n v="13.333333333333334"/>
    <n v="16.666666666666664"/>
    <s v="Cash"/>
    <m/>
    <m/>
    <m/>
    <m/>
  </r>
  <r>
    <x v="9"/>
    <x v="251"/>
    <m/>
    <m/>
    <m/>
    <m/>
    <m/>
    <m/>
    <m/>
    <s v="Mark"/>
    <n v="160"/>
    <s v="Cash"/>
  </r>
  <r>
    <x v="9"/>
    <x v="252"/>
    <s v="BB Bread 400g"/>
    <n v="1"/>
    <n v="65"/>
    <n v="60"/>
    <n v="5"/>
    <s v="Mpesa"/>
    <m/>
    <m/>
    <m/>
    <m/>
  </r>
  <r>
    <x v="9"/>
    <x v="229"/>
    <s v="eggs"/>
    <n v="2"/>
    <n v="40"/>
    <n v="28.666666666666668"/>
    <n v="11.333333333333332"/>
    <s v="Credit"/>
    <s v="Mark"/>
    <m/>
    <m/>
    <m/>
  </r>
  <r>
    <x v="9"/>
    <x v="229"/>
    <s v="Tomatoes"/>
    <n v="2"/>
    <n v="20"/>
    <n v="10"/>
    <n v="10"/>
    <s v="Credit"/>
    <s v="Mark"/>
    <m/>
    <m/>
    <m/>
  </r>
  <r>
    <x v="9"/>
    <x v="90"/>
    <s v="soda 350ml plastic"/>
    <n v="1"/>
    <n v="50"/>
    <n v="41.666666666666664"/>
    <n v="8.3333333333333357"/>
    <s v="Cash"/>
    <m/>
    <m/>
    <m/>
    <m/>
  </r>
  <r>
    <x v="9"/>
    <x v="90"/>
    <s v="Ngumu"/>
    <n v="2"/>
    <n v="20"/>
    <n v="16.666666666666668"/>
    <n v="3.3333333333333321"/>
    <s v="Cash"/>
    <m/>
    <m/>
    <m/>
    <m/>
  </r>
  <r>
    <x v="9"/>
    <x v="253"/>
    <s v="Bigdaddy"/>
    <n v="2"/>
    <n v="20"/>
    <n v="12"/>
    <n v="8"/>
    <s v="Cash"/>
    <m/>
    <m/>
    <m/>
    <m/>
  </r>
  <r>
    <x v="9"/>
    <x v="254"/>
    <s v="Poa Pekee Tissue"/>
    <n v="1"/>
    <n v="30"/>
    <n v="13.333333333333334"/>
    <n v="16.666666666666664"/>
    <s v="Cash"/>
    <m/>
    <m/>
    <m/>
    <m/>
  </r>
  <r>
    <x v="9"/>
    <x v="255"/>
    <s v="afia 300ml"/>
    <n v="1"/>
    <n v="60"/>
    <n v="45.833333333333336"/>
    <n v="14.166666666666664"/>
    <s v="Mpesa"/>
    <m/>
    <m/>
    <m/>
    <m/>
  </r>
  <r>
    <x v="9"/>
    <x v="255"/>
    <s v="soda 350ml plastic"/>
    <n v="1"/>
    <n v="50"/>
    <n v="41.666666666666664"/>
    <n v="8.3333333333333357"/>
    <s v="Mpesa"/>
    <m/>
    <m/>
    <m/>
    <m/>
  </r>
  <r>
    <x v="9"/>
    <x v="255"/>
    <s v="minutemaid 400ml"/>
    <n v="1"/>
    <n v="85"/>
    <n v="62.5"/>
    <n v="22.5"/>
    <s v="Mpesa"/>
    <m/>
    <m/>
    <m/>
    <m/>
  </r>
  <r>
    <x v="9"/>
    <x v="255"/>
    <s v="Lollipop"/>
    <n v="2"/>
    <n v="10"/>
    <n v="4.8"/>
    <n v="5.2"/>
    <s v="Mpesa"/>
    <m/>
    <m/>
    <m/>
    <m/>
  </r>
  <r>
    <x v="9"/>
    <x v="255"/>
    <s v="Ngumu"/>
    <n v="10"/>
    <n v="100"/>
    <n v="83.333333333333343"/>
    <n v="16.666666666666657"/>
    <s v="Mpesa"/>
    <m/>
    <m/>
    <m/>
    <m/>
  </r>
  <r>
    <x v="9"/>
    <x v="256"/>
    <s v="soda 300ml glass"/>
    <n v="1"/>
    <n v="40"/>
    <n v="32.5"/>
    <n v="7.5"/>
    <s v="Mpesa"/>
    <m/>
    <m/>
    <m/>
    <m/>
  </r>
  <r>
    <x v="9"/>
    <x v="256"/>
    <s v="Peanut Cookies"/>
    <n v="1"/>
    <n v="35"/>
    <n v="25"/>
    <n v="10"/>
    <s v="Mpesa"/>
    <m/>
    <m/>
    <m/>
    <m/>
  </r>
  <r>
    <x v="9"/>
    <x v="257"/>
    <s v="eggs"/>
    <n v="4"/>
    <n v="80"/>
    <n v="57.333333333333336"/>
    <n v="22.666666666666664"/>
    <s v="Mpesa"/>
    <m/>
    <m/>
    <m/>
    <m/>
  </r>
  <r>
    <x v="9"/>
    <x v="257"/>
    <s v="Tomatoes"/>
    <n v="1"/>
    <n v="10"/>
    <n v="5"/>
    <n v="5"/>
    <s v="Mpesa"/>
    <m/>
    <m/>
    <m/>
    <m/>
  </r>
  <r>
    <x v="9"/>
    <x v="257"/>
    <s v="Curry Powder"/>
    <n v="1"/>
    <n v="15"/>
    <n v="7.5"/>
    <n v="7.5"/>
    <s v="Mpesa"/>
    <m/>
    <m/>
    <m/>
    <m/>
  </r>
  <r>
    <x v="9"/>
    <x v="257"/>
    <s v="Dhania"/>
    <n v="1"/>
    <n v="5"/>
    <n v="3.3333333333333335"/>
    <n v="1.6666666666666665"/>
    <s v="Mpesa"/>
    <m/>
    <m/>
    <m/>
    <m/>
  </r>
  <r>
    <x v="9"/>
    <x v="123"/>
    <s v="Mandazi"/>
    <n v="4"/>
    <n v="20"/>
    <n v="16.666666666666668"/>
    <n v="3.3333333333333321"/>
    <s v="Mpesa"/>
    <m/>
    <m/>
    <m/>
    <m/>
  </r>
  <r>
    <x v="9"/>
    <x v="11"/>
    <s v="soda 300ml glass"/>
    <n v="1"/>
    <n v="40"/>
    <n v="32.5"/>
    <n v="7.5"/>
    <s v="Cash"/>
    <m/>
    <m/>
    <m/>
    <m/>
  </r>
  <r>
    <x v="9"/>
    <x v="258"/>
    <s v="soda 300ml glass"/>
    <n v="1"/>
    <n v="40"/>
    <n v="32.5"/>
    <n v="7.5"/>
    <s v="Cash"/>
    <m/>
    <m/>
    <m/>
    <m/>
  </r>
  <r>
    <x v="9"/>
    <x v="130"/>
    <s v="soda 500ml plastic"/>
    <n v="1"/>
    <n v="70"/>
    <n v="60.416666666666664"/>
    <n v="9.5833333333333357"/>
    <s v="Mpesa"/>
    <m/>
    <m/>
    <m/>
    <m/>
  </r>
  <r>
    <x v="9"/>
    <x v="130"/>
    <s v="300ml water"/>
    <n v="1"/>
    <n v="30"/>
    <n v="12.5"/>
    <n v="17.5"/>
    <s v="Mpesa"/>
    <m/>
    <m/>
    <m/>
    <m/>
  </r>
  <r>
    <x v="9"/>
    <x v="259"/>
    <s v="Royco Beef Mchuzi Mix"/>
    <n v="2"/>
    <n v="20"/>
    <n v="16.666666666666668"/>
    <n v="3.3333333333333321"/>
    <s v="Cash"/>
    <m/>
    <m/>
    <m/>
    <m/>
  </r>
  <r>
    <x v="9"/>
    <x v="260"/>
    <s v="Kinangop Fresh Milk 500ml"/>
    <n v="4"/>
    <n v="240"/>
    <n v="220"/>
    <n v="20"/>
    <s v="Cash"/>
    <m/>
    <m/>
    <m/>
    <m/>
  </r>
  <r>
    <x v="9"/>
    <x v="260"/>
    <s v="Ringoz Paprika"/>
    <n v="1"/>
    <n v="15"/>
    <n v="8.8000000000000007"/>
    <n v="6.1999999999999993"/>
    <s v="Cash"/>
    <m/>
    <m/>
    <m/>
    <m/>
  </r>
  <r>
    <x v="9"/>
    <x v="260"/>
    <s v="Baloon"/>
    <n v="3"/>
    <n v="30"/>
    <n v="18"/>
    <n v="12"/>
    <s v="Cash"/>
    <m/>
    <m/>
    <m/>
    <m/>
  </r>
  <r>
    <x v="9"/>
    <x v="135"/>
    <s v="predator"/>
    <n v="1"/>
    <n v="70"/>
    <n v="54.166666666666664"/>
    <n v="15.833333333333336"/>
    <s v="Mpesa"/>
    <m/>
    <m/>
    <m/>
    <m/>
  </r>
  <r>
    <x v="9"/>
    <x v="261"/>
    <s v="Kamande"/>
    <n v="1"/>
    <n v="350"/>
    <n v="300"/>
    <n v="50"/>
    <s v="Mpesa"/>
    <m/>
    <m/>
    <m/>
    <m/>
  </r>
  <r>
    <x v="9"/>
    <x v="261"/>
    <s v="Yellow Beans"/>
    <n v="1"/>
    <n v="210"/>
    <n v="175"/>
    <n v="35"/>
    <s v="Mpesa"/>
    <m/>
    <m/>
    <m/>
    <m/>
  </r>
  <r>
    <x v="9"/>
    <x v="261"/>
    <s v="5ltrs water"/>
    <n v="1"/>
    <n v="120"/>
    <n v="75"/>
    <n v="45"/>
    <s v="Mpesa"/>
    <m/>
    <m/>
    <m/>
    <m/>
  </r>
  <r>
    <x v="9"/>
    <x v="262"/>
    <s v="Kienyeji  Eggs"/>
    <n v="10"/>
    <n v="300"/>
    <n v="200"/>
    <n v="100"/>
    <s v="Mpesa"/>
    <m/>
    <m/>
    <m/>
    <m/>
  </r>
  <r>
    <x v="9"/>
    <x v="263"/>
    <s v="Onion"/>
    <n v="10"/>
    <n v="100"/>
    <n v="80"/>
    <n v="20"/>
    <s v="Credit"/>
    <s v="Janet Mkale"/>
    <m/>
    <m/>
    <m/>
  </r>
  <r>
    <x v="9"/>
    <x v="263"/>
    <s v="Bigdaddy"/>
    <n v="1"/>
    <n v="10"/>
    <n v="6"/>
    <n v="4"/>
    <s v="Credit"/>
    <s v="Janet Mkale"/>
    <m/>
    <m/>
    <m/>
  </r>
  <r>
    <x v="9"/>
    <x v="264"/>
    <s v="Lemon Bisquit"/>
    <n v="1"/>
    <n v="5"/>
    <n v="4.333333333333333"/>
    <n v="0.66666666666666696"/>
    <s v="Cash"/>
    <m/>
    <m/>
    <m/>
    <m/>
  </r>
  <r>
    <x v="9"/>
    <x v="264"/>
    <s v="Bigboss"/>
    <n v="1"/>
    <n v="5"/>
    <n v="3.5"/>
    <n v="1.5"/>
    <s v="Cash"/>
    <m/>
    <m/>
    <m/>
    <m/>
  </r>
  <r>
    <x v="9"/>
    <x v="265"/>
    <s v="Brookside milk 500ml"/>
    <n v="1"/>
    <n v="70"/>
    <n v="59"/>
    <n v="11"/>
    <s v="Credit"/>
    <s v="Mum Victor"/>
    <m/>
    <m/>
    <m/>
  </r>
  <r>
    <x v="9"/>
    <x v="265"/>
    <s v="Match Box"/>
    <n v="1"/>
    <n v="5"/>
    <n v="2.3611111111111112"/>
    <n v="2.6388888888888888"/>
    <s v="Credit"/>
    <s v="Mum Victor"/>
    <m/>
    <m/>
    <m/>
  </r>
  <r>
    <x v="9"/>
    <x v="193"/>
    <s v="soda 300ml glass"/>
    <n v="1"/>
    <n v="40"/>
    <n v="32.5"/>
    <n v="7.5"/>
    <s v="Mpesa"/>
    <m/>
    <m/>
    <m/>
    <m/>
  </r>
  <r>
    <x v="9"/>
    <x v="266"/>
    <s v="soda 500ml plastic"/>
    <n v="1"/>
    <n v="70"/>
    <n v="60.416666666666664"/>
    <n v="9.5833333333333357"/>
    <s v="Mpesa"/>
    <m/>
    <m/>
    <m/>
    <m/>
  </r>
  <r>
    <x v="9"/>
    <x v="266"/>
    <s v="Goodday Cookies"/>
    <n v="1"/>
    <n v="15"/>
    <n v="9.3333333333333339"/>
    <n v="5.6666666666666661"/>
    <s v="Mpesa"/>
    <m/>
    <m/>
    <m/>
    <m/>
  </r>
  <r>
    <x v="9"/>
    <x v="137"/>
    <s v="Cooking Oil Measured"/>
    <n v="0.25"/>
    <n v="70"/>
    <n v="50"/>
    <n v="20"/>
    <s v="Mpesa"/>
    <m/>
    <m/>
    <m/>
    <m/>
  </r>
  <r>
    <x v="9"/>
    <x v="267"/>
    <s v="Lemon Bisquit"/>
    <n v="2"/>
    <n v="10"/>
    <n v="8.6666666666666661"/>
    <n v="1.3333333333333339"/>
    <s v="Credit"/>
    <s v="Pauline"/>
    <m/>
    <m/>
    <m/>
  </r>
  <r>
    <x v="9"/>
    <x v="108"/>
    <s v="210 Maize Meal 2kg"/>
    <n v="1"/>
    <n v="160"/>
    <n v="117.08333333333333"/>
    <n v="42.916666666666671"/>
    <s v="Mpesa"/>
    <m/>
    <m/>
    <m/>
    <m/>
  </r>
  <r>
    <x v="9"/>
    <x v="172"/>
    <s v="eggs"/>
    <n v="2"/>
    <n v="40"/>
    <n v="28.666666666666668"/>
    <n v="11.333333333333332"/>
    <s v="Mpesa"/>
    <m/>
    <m/>
    <m/>
    <m/>
  </r>
  <r>
    <x v="9"/>
    <x v="21"/>
    <s v="BB Bread 400g"/>
    <n v="1"/>
    <n v="65"/>
    <n v="60"/>
    <n v="5"/>
    <s v="Cash"/>
    <m/>
    <m/>
    <m/>
    <m/>
  </r>
  <r>
    <x v="9"/>
    <x v="21"/>
    <s v="soda 500ml plastic"/>
    <n v="1"/>
    <n v="70"/>
    <n v="60.416666666666664"/>
    <n v="9.5833333333333357"/>
    <s v="Credit"/>
    <s v="Jescah"/>
    <m/>
    <m/>
    <m/>
  </r>
  <r>
    <x v="9"/>
    <x v="66"/>
    <s v="waru"/>
    <n v="1"/>
    <n v="50"/>
    <n v="29.999999999999996"/>
    <n v="20.000000000000004"/>
    <s v="Cash"/>
    <m/>
    <m/>
    <m/>
    <m/>
  </r>
  <r>
    <x v="9"/>
    <x v="66"/>
    <s v="Indomie chicken"/>
    <n v="1"/>
    <n v="50"/>
    <n v="37.5"/>
    <n v="12.5"/>
    <s v="Cash"/>
    <m/>
    <m/>
    <m/>
    <m/>
  </r>
  <r>
    <x v="9"/>
    <x v="268"/>
    <s v="Ajab 2kg"/>
    <n v="1"/>
    <n v="220"/>
    <n v="175"/>
    <n v="45"/>
    <s v="Credit"/>
    <s v="Faith"/>
    <m/>
    <m/>
    <m/>
  </r>
  <r>
    <x v="9"/>
    <x v="268"/>
    <s v="Mt Kenya milk 200ml"/>
    <n v="1"/>
    <n v="35"/>
    <n v="24.285714285714285"/>
    <n v="10.714285714285715"/>
    <s v="Credit"/>
    <s v="Faith"/>
    <m/>
    <m/>
    <m/>
  </r>
  <r>
    <x v="9"/>
    <x v="268"/>
    <s v="Brookside Lala Sweetened"/>
    <n v="1"/>
    <n v="110"/>
    <n v="93"/>
    <n v="17"/>
    <s v="Credit"/>
    <s v="Faith"/>
    <m/>
    <m/>
    <m/>
  </r>
  <r>
    <x v="10"/>
    <x v="202"/>
    <s v="Kinangop Fresh Milk 500ml"/>
    <n v="1"/>
    <n v="60"/>
    <n v="55"/>
    <n v="5"/>
    <s v="Credit"/>
    <s v="Faith"/>
    <m/>
    <m/>
    <m/>
  </r>
  <r>
    <x v="10"/>
    <x v="202"/>
    <s v="Tangawizi Tea 50g"/>
    <n v="1"/>
    <n v="35"/>
    <n v="29.166666666666668"/>
    <n v="5.8333333333333321"/>
    <s v="Credit"/>
    <s v="Faith"/>
    <m/>
    <m/>
    <m/>
  </r>
  <r>
    <x v="10"/>
    <x v="269"/>
    <s v="Safaricom 20 Credit"/>
    <n v="1"/>
    <n v="20"/>
    <n v="18"/>
    <n v="2"/>
    <s v="Cash"/>
    <m/>
    <m/>
    <m/>
    <m/>
  </r>
  <r>
    <x v="10"/>
    <x v="270"/>
    <s v="ariel 10g"/>
    <n v="2"/>
    <n v="30"/>
    <n v="18.333333333333332"/>
    <n v="11.666666666666668"/>
    <s v="Cash"/>
    <m/>
    <m/>
    <m/>
    <m/>
  </r>
  <r>
    <x v="10"/>
    <x v="270"/>
    <s v="Tropical"/>
    <n v="1"/>
    <n v="5"/>
    <n v="1.5"/>
    <n v="3.5"/>
    <s v="Cash"/>
    <m/>
    <m/>
    <m/>
    <m/>
  </r>
  <r>
    <x v="10"/>
    <x v="271"/>
    <s v="Jik"/>
    <n v="1"/>
    <n v="50"/>
    <n v="38.333333333333336"/>
    <n v="11.666666666666664"/>
    <s v="Credit"/>
    <s v="Irene"/>
    <m/>
    <m/>
    <m/>
  </r>
  <r>
    <x v="10"/>
    <x v="271"/>
    <s v="omo 75g"/>
    <n v="1"/>
    <n v="35"/>
    <n v="27.5"/>
    <n v="7.5"/>
    <s v="Credit"/>
    <s v="Irene"/>
    <m/>
    <m/>
    <m/>
  </r>
  <r>
    <x v="10"/>
    <x v="272"/>
    <m/>
    <m/>
    <m/>
    <m/>
    <m/>
    <m/>
    <m/>
    <s v="Florence"/>
    <n v="1915"/>
    <s v="Mpesa"/>
  </r>
  <r>
    <x v="10"/>
    <x v="273"/>
    <s v="soda 500ml glass"/>
    <n v="1"/>
    <n v="55"/>
    <n v="50"/>
    <n v="5"/>
    <s v="Cash"/>
    <m/>
    <m/>
    <m/>
    <m/>
  </r>
  <r>
    <x v="10"/>
    <x v="273"/>
    <s v="Coconut Cakes"/>
    <n v="1"/>
    <n v="10"/>
    <n v="8.3333333333333339"/>
    <n v="1.6666666666666661"/>
    <s v="Cash"/>
    <m/>
    <m/>
    <m/>
    <m/>
  </r>
  <r>
    <x v="10"/>
    <x v="273"/>
    <s v="Lemon Bisquit"/>
    <n v="1"/>
    <n v="5"/>
    <n v="4.333333333333333"/>
    <n v="0.66666666666666696"/>
    <s v="Cash"/>
    <m/>
    <m/>
    <m/>
    <m/>
  </r>
  <r>
    <x v="10"/>
    <x v="273"/>
    <s v="soda 500ml glass"/>
    <n v="1"/>
    <n v="55"/>
    <n v="50"/>
    <n v="5"/>
    <s v="Mpesa"/>
    <m/>
    <m/>
    <m/>
    <m/>
  </r>
  <r>
    <x v="10"/>
    <x v="273"/>
    <s v="Ginger Bisquit"/>
    <n v="2"/>
    <n v="10"/>
    <n v="8.6666666666666661"/>
    <n v="1.3333333333333339"/>
    <s v="Mpesa"/>
    <m/>
    <m/>
    <m/>
    <m/>
  </r>
  <r>
    <x v="10"/>
    <x v="273"/>
    <s v="Nuvita Bisquit"/>
    <n v="1"/>
    <n v="5"/>
    <n v="4.166666666666667"/>
    <n v="0.83333333333333304"/>
    <s v="Cash"/>
    <m/>
    <m/>
    <m/>
    <m/>
  </r>
  <r>
    <x v="10"/>
    <x v="274"/>
    <s v="Indomie chicken"/>
    <n v="3"/>
    <n v="150"/>
    <n v="112.5"/>
    <n v="37.5"/>
    <s v="Credit"/>
    <s v="Pauline"/>
    <m/>
    <m/>
    <m/>
  </r>
  <r>
    <x v="10"/>
    <x v="274"/>
    <s v="eggs"/>
    <n v="3"/>
    <n v="60"/>
    <n v="43"/>
    <n v="17"/>
    <s v="Credit"/>
    <s v="Pauline"/>
    <m/>
    <m/>
    <m/>
  </r>
  <r>
    <x v="10"/>
    <x v="42"/>
    <s v="waru"/>
    <n v="2"/>
    <n v="100"/>
    <n v="59.999999999999993"/>
    <n v="40.000000000000007"/>
    <s v="Credit"/>
    <s v="Faith"/>
    <m/>
    <m/>
    <m/>
  </r>
  <r>
    <x v="10"/>
    <x v="42"/>
    <s v="Pishori rice"/>
    <n v="1"/>
    <n v="220"/>
    <n v="180"/>
    <n v="40"/>
    <s v="Credit"/>
    <s v="Faith"/>
    <m/>
    <m/>
    <m/>
  </r>
  <r>
    <x v="10"/>
    <x v="125"/>
    <s v="eggs"/>
    <n v="2"/>
    <n v="40"/>
    <n v="28.666666666666668"/>
    <n v="11.333333333333332"/>
    <s v="Mpesa"/>
    <m/>
    <m/>
    <m/>
    <m/>
  </r>
  <r>
    <x v="10"/>
    <x v="125"/>
    <s v="Coconut Cakes"/>
    <n v="1"/>
    <n v="10"/>
    <n v="8.3333333333333339"/>
    <n v="1.6666666666666661"/>
    <s v="Mpesa"/>
    <m/>
    <m/>
    <m/>
    <m/>
  </r>
  <r>
    <x v="10"/>
    <x v="275"/>
    <s v="soda 300ml glass"/>
    <n v="1"/>
    <n v="40"/>
    <n v="32.5"/>
    <n v="7.5"/>
    <s v="Mpesa"/>
    <m/>
    <m/>
    <m/>
    <m/>
  </r>
  <r>
    <x v="10"/>
    <x v="275"/>
    <s v="Coconut Cakes"/>
    <n v="1"/>
    <n v="10"/>
    <n v="8.3333333333333339"/>
    <n v="1.6666666666666661"/>
    <s v="Mpesa"/>
    <m/>
    <m/>
    <m/>
    <m/>
  </r>
  <r>
    <x v="10"/>
    <x v="276"/>
    <s v="Kinangop Fresh Milk 500ml"/>
    <n v="3"/>
    <n v="180"/>
    <n v="165"/>
    <n v="15"/>
    <s v="Cash"/>
    <m/>
    <m/>
    <m/>
    <m/>
  </r>
  <r>
    <x v="10"/>
    <x v="276"/>
    <s v="Baloon"/>
    <n v="1"/>
    <n v="10"/>
    <n v="6"/>
    <n v="4"/>
    <s v="Cash"/>
    <m/>
    <m/>
    <m/>
    <m/>
  </r>
  <r>
    <x v="10"/>
    <x v="98"/>
    <s v="soda 500ml plastic"/>
    <n v="1"/>
    <n v="70"/>
    <n v="60.416666666666664"/>
    <n v="9.5833333333333357"/>
    <s v="Mpesa"/>
    <m/>
    <m/>
    <m/>
    <m/>
  </r>
  <r>
    <x v="10"/>
    <x v="98"/>
    <s v="BB Bread 200g"/>
    <n v="1"/>
    <n v="40"/>
    <n v="35"/>
    <n v="5"/>
    <s v="Mpesa"/>
    <m/>
    <m/>
    <m/>
    <m/>
  </r>
  <r>
    <x v="10"/>
    <x v="98"/>
    <s v="300ml water"/>
    <n v="1"/>
    <n v="30"/>
    <n v="12.5"/>
    <n v="17.5"/>
    <s v="Mpesa"/>
    <m/>
    <m/>
    <m/>
    <m/>
  </r>
  <r>
    <x v="10"/>
    <x v="277"/>
    <s v="eggs"/>
    <n v="10"/>
    <n v="200"/>
    <n v="143.33333333333334"/>
    <n v="56.666666666666657"/>
    <s v="Cash"/>
    <m/>
    <m/>
    <m/>
    <m/>
  </r>
  <r>
    <x v="10"/>
    <x v="277"/>
    <s v="Festive 600g"/>
    <n v="1"/>
    <n v="100"/>
    <n v="90"/>
    <n v="10"/>
    <s v="Cash"/>
    <m/>
    <m/>
    <m/>
    <m/>
  </r>
  <r>
    <x v="10"/>
    <x v="46"/>
    <s v="Festive 600g"/>
    <n v="1"/>
    <n v="100"/>
    <n v="90"/>
    <n v="10"/>
    <s v="Cash"/>
    <m/>
    <m/>
    <m/>
    <m/>
  </r>
  <r>
    <x v="10"/>
    <x v="168"/>
    <s v="Bigdaddy"/>
    <n v="3"/>
    <n v="30"/>
    <n v="18"/>
    <n v="12"/>
    <s v="Credit"/>
    <s v="Janet Mkale"/>
    <m/>
    <m/>
    <m/>
  </r>
  <r>
    <x v="10"/>
    <x v="278"/>
    <s v="Cabbage"/>
    <n v="1"/>
    <n v="180"/>
    <n v="120"/>
    <n v="60"/>
    <s v="Mpesa"/>
    <m/>
    <m/>
    <m/>
    <m/>
  </r>
  <r>
    <x v="10"/>
    <x v="278"/>
    <s v="Tamu  Tamu Green"/>
    <n v="3"/>
    <n v="45"/>
    <n v="25.799999999999997"/>
    <n v="19.200000000000003"/>
    <s v="Mpesa"/>
    <m/>
    <m/>
    <m/>
    <m/>
  </r>
  <r>
    <x v="10"/>
    <x v="278"/>
    <s v="Patco"/>
    <n v="8"/>
    <n v="20"/>
    <n v="9.6"/>
    <n v="10.4"/>
    <s v="Mpesa"/>
    <m/>
    <m/>
    <m/>
    <m/>
  </r>
  <r>
    <x v="10"/>
    <x v="278"/>
    <s v="Bigdaddy"/>
    <n v="1"/>
    <n v="10"/>
    <n v="6"/>
    <n v="4"/>
    <s v="Mpesa"/>
    <m/>
    <m/>
    <m/>
    <m/>
  </r>
  <r>
    <x v="10"/>
    <x v="278"/>
    <s v="Dhania"/>
    <n v="9"/>
    <n v="45"/>
    <n v="30"/>
    <n v="15"/>
    <s v="Mpesa"/>
    <m/>
    <m/>
    <m/>
    <m/>
  </r>
  <r>
    <x v="10"/>
    <x v="103"/>
    <s v="BB Bread 400g"/>
    <n v="1"/>
    <n v="65"/>
    <n v="60"/>
    <n v="5"/>
    <s v="Cash"/>
    <m/>
    <m/>
    <m/>
    <m/>
  </r>
  <r>
    <x v="10"/>
    <x v="103"/>
    <s v="Match Box"/>
    <n v="1"/>
    <n v="5"/>
    <n v="2.3611111111111112"/>
    <n v="2.6388888888888888"/>
    <s v="Cash"/>
    <m/>
    <m/>
    <m/>
    <m/>
  </r>
  <r>
    <x v="10"/>
    <x v="103"/>
    <s v="Icepop"/>
    <n v="1"/>
    <n v="15"/>
    <n v="7.5"/>
    <n v="7.5"/>
    <s v="Cash"/>
    <m/>
    <m/>
    <m/>
    <m/>
  </r>
  <r>
    <x v="10"/>
    <x v="279"/>
    <s v="Njugu"/>
    <n v="1"/>
    <n v="20"/>
    <n v="10.666666666666666"/>
    <n v="9.3333333333333339"/>
    <s v="Cash"/>
    <m/>
    <m/>
    <m/>
    <m/>
  </r>
  <r>
    <x v="10"/>
    <x v="280"/>
    <s v="Glucose 10g"/>
    <n v="1"/>
    <n v="5"/>
    <n v="3.75"/>
    <n v="1.25"/>
    <s v="Cash"/>
    <m/>
    <m/>
    <m/>
    <m/>
  </r>
  <r>
    <x v="10"/>
    <x v="281"/>
    <s v="Choc-chip Cookies"/>
    <n v="1"/>
    <n v="35"/>
    <n v="25"/>
    <n v="10"/>
    <s v="Cash"/>
    <m/>
    <m/>
    <m/>
    <m/>
  </r>
  <r>
    <x v="10"/>
    <x v="137"/>
    <s v="Panadol Extra"/>
    <n v="1"/>
    <n v="20"/>
    <n v="13"/>
    <n v="7"/>
    <s v="Cash"/>
    <m/>
    <m/>
    <m/>
    <m/>
  </r>
  <r>
    <x v="10"/>
    <x v="282"/>
    <s v="waru"/>
    <n v="1"/>
    <n v="50"/>
    <n v="29.999999999999996"/>
    <n v="20.000000000000004"/>
    <s v="Mpesa"/>
    <m/>
    <m/>
    <m/>
    <m/>
  </r>
  <r>
    <x v="10"/>
    <x v="282"/>
    <s v="Kinangop Fresh Milk 500ml"/>
    <n v="1"/>
    <n v="60"/>
    <n v="55"/>
    <n v="5"/>
    <s v="Mpesa"/>
    <m/>
    <m/>
    <m/>
    <m/>
  </r>
  <r>
    <x v="10"/>
    <x v="283"/>
    <s v="BB Bread 400g"/>
    <n v="2"/>
    <n v="130"/>
    <n v="120"/>
    <n v="10"/>
    <s v="Mpesa"/>
    <m/>
    <m/>
    <m/>
    <m/>
  </r>
  <r>
    <x v="10"/>
    <x v="216"/>
    <s v="Kaluma King"/>
    <n v="1"/>
    <n v="20"/>
    <n v="13"/>
    <n v="7"/>
    <s v="Cash"/>
    <m/>
    <m/>
    <m/>
    <m/>
  </r>
  <r>
    <x v="10"/>
    <x v="284"/>
    <s v="eggs"/>
    <n v="5"/>
    <n v="100"/>
    <n v="71.666666666666671"/>
    <n v="28.333333333333329"/>
    <s v="Mpesa"/>
    <m/>
    <m/>
    <m/>
    <m/>
  </r>
  <r>
    <x v="10"/>
    <x v="284"/>
    <s v="soda 350ml plastic"/>
    <n v="1"/>
    <n v="50"/>
    <n v="41.666666666666664"/>
    <n v="8.3333333333333357"/>
    <s v="Mpesa"/>
    <m/>
    <m/>
    <m/>
    <m/>
  </r>
  <r>
    <x v="10"/>
    <x v="65"/>
    <s v="afia 500ml"/>
    <n v="1"/>
    <n v="85"/>
    <n v="70.833333333333329"/>
    <n v="14.166666666666671"/>
    <s v="Credit"/>
    <s v="Haston"/>
    <m/>
    <m/>
    <m/>
  </r>
  <r>
    <x v="10"/>
    <x v="285"/>
    <s v="Aspirin"/>
    <n v="1"/>
    <n v="10"/>
    <n v="7"/>
    <n v="3"/>
    <s v="Credit"/>
    <s v="Mum Victor"/>
    <m/>
    <m/>
    <m/>
  </r>
  <r>
    <x v="10"/>
    <x v="285"/>
    <s v="Brookside milk 500ml"/>
    <n v="1"/>
    <n v="70"/>
    <n v="59"/>
    <n v="11"/>
    <s v="Credit"/>
    <s v="Mum Victor"/>
    <m/>
    <m/>
    <m/>
  </r>
  <r>
    <x v="10"/>
    <x v="285"/>
    <s v="Ndimu"/>
    <n v="2"/>
    <n v="40"/>
    <n v="16.666666666666668"/>
    <n v="23.333333333333332"/>
    <s v="Credit"/>
    <s v="Mum Victor"/>
    <m/>
    <m/>
    <m/>
  </r>
  <r>
    <x v="10"/>
    <x v="286"/>
    <s v="Indomie chicken"/>
    <n v="2"/>
    <n v="100"/>
    <n v="75"/>
    <n v="25"/>
    <s v="Mpesa"/>
    <m/>
    <m/>
    <m/>
    <m/>
  </r>
  <r>
    <x v="10"/>
    <x v="85"/>
    <s v="Brookside Lala Sweetened"/>
    <n v="1"/>
    <n v="110"/>
    <n v="93"/>
    <n v="17"/>
    <s v="Credit"/>
    <s v="Grace"/>
    <m/>
    <m/>
    <m/>
  </r>
  <r>
    <x v="10"/>
    <x v="85"/>
    <s v="Sugar"/>
    <n v="0.25"/>
    <n v="45"/>
    <n v="32.5"/>
    <n v="12.5"/>
    <s v="Credit"/>
    <s v="Grace"/>
    <m/>
    <m/>
    <m/>
  </r>
  <r>
    <x v="10"/>
    <x v="85"/>
    <s v="Match Box"/>
    <n v="1"/>
    <n v="5"/>
    <n v="2.3611111111111112"/>
    <n v="2.6388888888888888"/>
    <s v="Credit"/>
    <s v="Grace"/>
    <m/>
    <m/>
    <m/>
  </r>
  <r>
    <x v="10"/>
    <x v="85"/>
    <s v="Festive 800g"/>
    <n v="1"/>
    <n v="130"/>
    <n v="120"/>
    <n v="10"/>
    <s v="Credit"/>
    <s v="Mum Victor"/>
    <m/>
    <m/>
    <m/>
  </r>
  <r>
    <x v="11"/>
    <x v="287"/>
    <s v="Match Box"/>
    <n v="1"/>
    <n v="5"/>
    <n v="2.3611111111111112"/>
    <n v="2.6388888888888888"/>
    <s v="Cash"/>
    <m/>
    <m/>
    <m/>
    <m/>
  </r>
  <r>
    <x v="11"/>
    <x v="288"/>
    <s v="Festive 800g"/>
    <n v="1"/>
    <n v="130"/>
    <n v="120"/>
    <n v="10"/>
    <s v="Cash"/>
    <m/>
    <m/>
    <m/>
    <m/>
  </r>
  <r>
    <x v="11"/>
    <x v="288"/>
    <s v="Airtel 50 Credit"/>
    <n v="1"/>
    <n v="50"/>
    <n v="47"/>
    <n v="3"/>
    <s v="Cash"/>
    <m/>
    <m/>
    <m/>
    <m/>
  </r>
  <r>
    <x v="11"/>
    <x v="289"/>
    <s v="Festive Bread 400g"/>
    <n v="1"/>
    <n v="65"/>
    <n v="60"/>
    <n v="5"/>
    <s v="Cash"/>
    <m/>
    <m/>
    <m/>
    <m/>
  </r>
  <r>
    <x v="11"/>
    <x v="290"/>
    <s v="Indomie beef"/>
    <n v="2"/>
    <n v="100"/>
    <n v="76"/>
    <n v="24"/>
    <s v="Cash"/>
    <m/>
    <m/>
    <m/>
    <m/>
  </r>
  <r>
    <x v="11"/>
    <x v="291"/>
    <s v="Safari"/>
    <n v="1"/>
    <n v="15"/>
    <n v="8.5"/>
    <n v="6.5"/>
    <s v="Cash"/>
    <m/>
    <m/>
    <m/>
    <m/>
  </r>
  <r>
    <x v="11"/>
    <x v="292"/>
    <s v="Kinangop Fresh Milk 500ml"/>
    <n v="1"/>
    <n v="60"/>
    <n v="55"/>
    <n v="5"/>
    <s v="Mpesa"/>
    <m/>
    <m/>
    <m/>
    <m/>
  </r>
  <r>
    <x v="11"/>
    <x v="292"/>
    <m/>
    <m/>
    <m/>
    <m/>
    <m/>
    <m/>
    <m/>
    <s v="Faith"/>
    <n v="1000"/>
    <s v="Mpesa"/>
  </r>
  <r>
    <x v="11"/>
    <x v="292"/>
    <s v="BB Bread 400g"/>
    <n v="1"/>
    <n v="65"/>
    <n v="60"/>
    <n v="5"/>
    <s v="Mpesa"/>
    <m/>
    <m/>
    <m/>
    <m/>
  </r>
  <r>
    <x v="11"/>
    <x v="293"/>
    <s v="Safari"/>
    <n v="3"/>
    <n v="45"/>
    <n v="25.5"/>
    <n v="19.5"/>
    <s v="Mpesa"/>
    <m/>
    <m/>
    <m/>
    <m/>
  </r>
  <r>
    <x v="11"/>
    <x v="224"/>
    <s v="Airtel 20 Credit"/>
    <n v="1"/>
    <n v="20"/>
    <n v="18"/>
    <n v="2"/>
    <s v="Mpesa"/>
    <m/>
    <m/>
    <m/>
    <m/>
  </r>
  <r>
    <x v="11"/>
    <x v="224"/>
    <s v="Airtel 10 Credit"/>
    <n v="1"/>
    <n v="10"/>
    <n v="9"/>
    <n v="1"/>
    <s v="Mpesa"/>
    <m/>
    <m/>
    <m/>
    <m/>
  </r>
  <r>
    <x v="11"/>
    <x v="294"/>
    <s v="Festive Bread 400g"/>
    <n v="1"/>
    <n v="65"/>
    <n v="60"/>
    <n v="5"/>
    <s v="Mpesa"/>
    <m/>
    <m/>
    <m/>
    <m/>
  </r>
  <r>
    <x v="11"/>
    <x v="295"/>
    <s v="eggs"/>
    <n v="2"/>
    <n v="40"/>
    <n v="28.666666666666668"/>
    <n v="11.333333333333332"/>
    <s v="Mpesa"/>
    <m/>
    <m/>
    <m/>
    <m/>
  </r>
  <r>
    <x v="11"/>
    <x v="182"/>
    <s v="Safaricom 10 Credit"/>
    <n v="1"/>
    <n v="10"/>
    <n v="9"/>
    <n v="1"/>
    <s v="Cash"/>
    <m/>
    <m/>
    <m/>
    <m/>
  </r>
  <r>
    <x v="11"/>
    <x v="296"/>
    <s v="Downy lavender"/>
    <n v="2"/>
    <n v="40"/>
    <n v="34.666666666666664"/>
    <n v="5.3333333333333357"/>
    <s v="Mpesa"/>
    <m/>
    <m/>
    <m/>
    <m/>
  </r>
  <r>
    <x v="11"/>
    <x v="297"/>
    <s v="Softcare pads"/>
    <n v="1"/>
    <n v="85"/>
    <n v="66"/>
    <n v="19"/>
    <s v="Mpesa"/>
    <m/>
    <m/>
    <m/>
    <m/>
  </r>
  <r>
    <x v="11"/>
    <x v="298"/>
    <s v="Pishori rice"/>
    <n v="0.5"/>
    <n v="110"/>
    <n v="90"/>
    <n v="20"/>
    <s v="Cash"/>
    <m/>
    <m/>
    <m/>
    <m/>
  </r>
  <r>
    <x v="11"/>
    <x v="158"/>
    <s v="hoho"/>
    <n v="1"/>
    <n v="10"/>
    <n v="6.666666666666667"/>
    <n v="3.333333333333333"/>
    <s v="Mpesa"/>
    <m/>
    <m/>
    <m/>
    <m/>
  </r>
  <r>
    <x v="11"/>
    <x v="158"/>
    <s v="Royco cubes"/>
    <n v="1"/>
    <n v="5"/>
    <n v="3"/>
    <n v="2"/>
    <s v="Mpesa"/>
    <m/>
    <m/>
    <m/>
    <m/>
  </r>
  <r>
    <x v="11"/>
    <x v="299"/>
    <s v="Yellow Beans"/>
    <n v="0.5"/>
    <n v="105"/>
    <n v="87.5"/>
    <n v="17.5"/>
    <s v="Credit"/>
    <s v="Irene"/>
    <m/>
    <m/>
    <m/>
  </r>
  <r>
    <x v="11"/>
    <x v="299"/>
    <s v="soda 300ml glass"/>
    <n v="1"/>
    <n v="40"/>
    <n v="32.5"/>
    <n v="7.5"/>
    <s v="Cash"/>
    <m/>
    <m/>
    <m/>
    <m/>
  </r>
  <r>
    <x v="11"/>
    <x v="299"/>
    <s v="Peanut Cookies"/>
    <n v="1"/>
    <n v="35"/>
    <n v="25"/>
    <n v="10"/>
    <s v="Cash"/>
    <m/>
    <m/>
    <m/>
    <m/>
  </r>
  <r>
    <x v="11"/>
    <x v="276"/>
    <s v="eggs"/>
    <n v="3"/>
    <n v="60"/>
    <n v="43"/>
    <n v="17"/>
    <s v="Mpesa"/>
    <m/>
    <m/>
    <m/>
    <m/>
  </r>
  <r>
    <x v="11"/>
    <x v="300"/>
    <s v="300ml water"/>
    <n v="1"/>
    <n v="30"/>
    <n v="12.5"/>
    <n v="17.5"/>
    <s v="Cash"/>
    <m/>
    <m/>
    <m/>
    <m/>
  </r>
  <r>
    <x v="11"/>
    <x v="11"/>
    <s v="Peanut Cookies"/>
    <n v="1"/>
    <n v="35"/>
    <n v="25"/>
    <n v="10"/>
    <s v="Cash"/>
    <m/>
    <m/>
    <m/>
    <m/>
  </r>
  <r>
    <x v="11"/>
    <x v="301"/>
    <s v="Kinangop Fresh Milk 500ml"/>
    <n v="2"/>
    <n v="120"/>
    <n v="110"/>
    <n v="10"/>
    <s v="Cash"/>
    <m/>
    <m/>
    <m/>
    <m/>
  </r>
  <r>
    <x v="11"/>
    <x v="302"/>
    <s v="Safaricom 50 Credit"/>
    <n v="1"/>
    <n v="50"/>
    <n v="47"/>
    <n v="3"/>
    <s v="Mpesa"/>
    <m/>
    <m/>
    <m/>
    <m/>
  </r>
  <r>
    <x v="11"/>
    <x v="303"/>
    <s v="Mt kenya milk 500ml"/>
    <n v="1"/>
    <n v="65"/>
    <n v="48.333333333333336"/>
    <n v="16.666666666666664"/>
    <s v="Mpesa"/>
    <m/>
    <m/>
    <m/>
    <m/>
  </r>
  <r>
    <x v="11"/>
    <x v="213"/>
    <s v="Drinking Chocolate 20g"/>
    <n v="1"/>
    <n v="20"/>
    <n v="10.416666666666666"/>
    <n v="9.5833333333333339"/>
    <s v="Mpesa"/>
    <m/>
    <m/>
    <m/>
    <m/>
  </r>
  <r>
    <x v="11"/>
    <x v="213"/>
    <s v="Colgate 15g"/>
    <n v="1"/>
    <n v="50"/>
    <n v="36.25"/>
    <n v="13.75"/>
    <s v="Mpesa"/>
    <m/>
    <m/>
    <m/>
    <m/>
  </r>
  <r>
    <x v="11"/>
    <x v="213"/>
    <s v="Nescafe 1.5g"/>
    <n v="1"/>
    <n v="15"/>
    <n v="9.1666666666666661"/>
    <n v="5.8333333333333339"/>
    <s v="Mpesa"/>
    <m/>
    <m/>
    <m/>
    <m/>
  </r>
  <r>
    <x v="11"/>
    <x v="83"/>
    <s v="Poa Pekee Tissue"/>
    <n v="1"/>
    <n v="30"/>
    <n v="13.333333333333334"/>
    <n v="16.666666666666664"/>
    <s v="Cash"/>
    <m/>
    <m/>
    <m/>
    <m/>
  </r>
  <r>
    <x v="11"/>
    <x v="83"/>
    <s v="Banana"/>
    <n v="1"/>
    <n v="10"/>
    <n v="8.3333333333333339"/>
    <n v="1.6666666666666661"/>
    <s v="Cash"/>
    <m/>
    <m/>
    <m/>
    <m/>
  </r>
  <r>
    <x v="11"/>
    <x v="83"/>
    <m/>
    <m/>
    <m/>
    <m/>
    <m/>
    <m/>
    <m/>
    <s v="Oburu"/>
    <n v="20"/>
    <s v="Cash"/>
  </r>
  <r>
    <x v="11"/>
    <x v="108"/>
    <s v="Tomato paste"/>
    <n v="1"/>
    <n v="30"/>
    <n v="12.5"/>
    <n v="17.5"/>
    <s v="Mpesa"/>
    <m/>
    <m/>
    <m/>
    <m/>
  </r>
  <r>
    <x v="11"/>
    <x v="108"/>
    <s v="Drinking Chocolate 20g"/>
    <n v="1"/>
    <n v="20"/>
    <n v="10.416666666666666"/>
    <n v="9.5833333333333339"/>
    <s v="Mpesa"/>
    <m/>
    <m/>
    <m/>
    <m/>
  </r>
  <r>
    <x v="11"/>
    <x v="304"/>
    <s v="Kinangop Fresh Milk 500ml"/>
    <n v="1"/>
    <n v="60"/>
    <n v="55"/>
    <n v="5"/>
    <s v="Cash"/>
    <m/>
    <m/>
    <m/>
    <m/>
  </r>
  <r>
    <x v="11"/>
    <x v="304"/>
    <s v="Brookside Lala Natural"/>
    <n v="1"/>
    <n v="100"/>
    <n v="87"/>
    <n v="13"/>
    <s v="Cash"/>
    <m/>
    <m/>
    <m/>
    <m/>
  </r>
  <r>
    <x v="11"/>
    <x v="84"/>
    <s v="Ndimu"/>
    <n v="1"/>
    <n v="20"/>
    <n v="8.3333333333333339"/>
    <n v="11.666666666666666"/>
    <s v="Mpesa"/>
    <m/>
    <m/>
    <m/>
    <m/>
  </r>
  <r>
    <x v="11"/>
    <x v="23"/>
    <s v="eggs"/>
    <n v="1"/>
    <n v="20"/>
    <n v="14.333333333333334"/>
    <n v="5.6666666666666661"/>
    <s v="Mpesa"/>
    <m/>
    <m/>
    <m/>
    <m/>
  </r>
  <r>
    <x v="11"/>
    <x v="23"/>
    <s v="Tomatoes"/>
    <n v="1"/>
    <n v="10"/>
    <n v="5"/>
    <n v="5"/>
    <s v="Mpesa"/>
    <m/>
    <m/>
    <m/>
    <m/>
  </r>
  <r>
    <x v="11"/>
    <x v="23"/>
    <s v="Onion"/>
    <n v="1"/>
    <n v="10"/>
    <n v="8"/>
    <n v="2"/>
    <s v="Mpesa"/>
    <m/>
    <m/>
    <m/>
    <m/>
  </r>
  <r>
    <x v="11"/>
    <x v="219"/>
    <s v="Sindano rice"/>
    <n v="0.5"/>
    <n v="75"/>
    <n v="60"/>
    <n v="15"/>
    <s v="Mpesa"/>
    <m/>
    <m/>
    <m/>
    <m/>
  </r>
  <r>
    <x v="11"/>
    <x v="305"/>
    <s v="Glucose 50g"/>
    <n v="1"/>
    <n v="30"/>
    <n v="15.833333333333334"/>
    <n v="14.166666666666666"/>
    <s v="Mpesa"/>
    <m/>
    <m/>
    <m/>
    <m/>
  </r>
  <r>
    <x v="11"/>
    <x v="195"/>
    <s v="Bitez"/>
    <n v="2"/>
    <n v="30"/>
    <n v="17.600000000000001"/>
    <n v="12.399999999999999"/>
    <s v="Mpesa"/>
    <m/>
    <m/>
    <m/>
    <m/>
  </r>
  <r>
    <x v="11"/>
    <x v="195"/>
    <s v="eggs"/>
    <n v="2"/>
    <n v="40"/>
    <n v="28.666666666666668"/>
    <n v="11.333333333333332"/>
    <s v="Mpesa"/>
    <m/>
    <m/>
    <m/>
    <m/>
  </r>
  <r>
    <x v="11"/>
    <x v="195"/>
    <s v="Royco cubes"/>
    <n v="4"/>
    <n v="20"/>
    <n v="12"/>
    <n v="8"/>
    <s v="Mpesa"/>
    <m/>
    <m/>
    <m/>
    <m/>
  </r>
  <r>
    <x v="11"/>
    <x v="306"/>
    <s v="Mt kenya milk 500ml"/>
    <n v="1"/>
    <n v="65"/>
    <n v="48.333333333333336"/>
    <n v="16.666666666666664"/>
    <s v="Mpesa"/>
    <m/>
    <m/>
    <m/>
    <m/>
  </r>
  <r>
    <x v="11"/>
    <x v="306"/>
    <s v="Choc-chip Cookies"/>
    <n v="1"/>
    <n v="35"/>
    <n v="25"/>
    <n v="10"/>
    <s v="Mpesa"/>
    <m/>
    <m/>
    <m/>
    <m/>
  </r>
  <r>
    <x v="11"/>
    <x v="110"/>
    <s v="kensalt 200g"/>
    <n v="1"/>
    <n v="15"/>
    <n v="5.5"/>
    <n v="9.5"/>
    <s v="Mpesa"/>
    <m/>
    <m/>
    <m/>
    <m/>
  </r>
  <r>
    <x v="11"/>
    <x v="110"/>
    <s v="predator"/>
    <n v="1"/>
    <n v="70"/>
    <n v="54.166666666666664"/>
    <n v="15.833333333333336"/>
    <s v="Credit"/>
    <s v="Titus"/>
    <m/>
    <m/>
    <m/>
  </r>
  <r>
    <x v="11"/>
    <x v="174"/>
    <s v="eggs"/>
    <n v="2"/>
    <n v="40"/>
    <n v="28.666666666666668"/>
    <n v="11.333333333333332"/>
    <s v="Credit"/>
    <s v="Milly"/>
    <m/>
    <m/>
    <m/>
  </r>
  <r>
    <x v="11"/>
    <x v="174"/>
    <s v="Tomatoes"/>
    <n v="3"/>
    <n v="30"/>
    <n v="15"/>
    <n v="15"/>
    <s v="Credit"/>
    <s v="Milly"/>
    <m/>
    <m/>
    <m/>
  </r>
  <r>
    <x v="11"/>
    <x v="112"/>
    <s v="Dhania"/>
    <n v="1"/>
    <n v="5"/>
    <n v="3.3333333333333335"/>
    <n v="1.6666666666666665"/>
    <s v="Mpesa"/>
    <m/>
    <m/>
    <m/>
    <m/>
  </r>
  <r>
    <x v="11"/>
    <x v="112"/>
    <s v="Tomatoes"/>
    <n v="2"/>
    <n v="20"/>
    <n v="10"/>
    <n v="10"/>
    <s v="Mpesa"/>
    <m/>
    <m/>
    <m/>
    <m/>
  </r>
  <r>
    <x v="11"/>
    <x v="112"/>
    <s v="soda 300ml glass"/>
    <n v="1"/>
    <n v="40"/>
    <n v="32.5"/>
    <n v="7.5"/>
    <s v="Mpesa"/>
    <m/>
    <m/>
    <m/>
    <m/>
  </r>
  <r>
    <x v="12"/>
    <x v="307"/>
    <s v="Safari"/>
    <n v="3"/>
    <n v="45"/>
    <n v="25.5"/>
    <n v="19.5"/>
    <s v="Mpesa"/>
    <m/>
    <m/>
    <m/>
    <m/>
  </r>
  <r>
    <x v="12"/>
    <x v="287"/>
    <s v="Kinangop Fresh Milk 500ml"/>
    <n v="1"/>
    <n v="60"/>
    <n v="55"/>
    <n v="5"/>
    <s v="Mpesa"/>
    <m/>
    <m/>
    <m/>
    <m/>
  </r>
  <r>
    <x v="12"/>
    <x v="307"/>
    <s v="ilara 250g yoghurt"/>
    <n v="1"/>
    <n v="85"/>
    <n v="73"/>
    <n v="12"/>
    <s v="Mpesa"/>
    <m/>
    <m/>
    <m/>
    <m/>
  </r>
  <r>
    <x v="12"/>
    <x v="307"/>
    <s v="Potato crisps vinegar and salt"/>
    <n v="2"/>
    <n v="60"/>
    <n v="46.25"/>
    <n v="13.75"/>
    <s v="Mpesa"/>
    <m/>
    <m/>
    <m/>
    <m/>
  </r>
  <r>
    <x v="12"/>
    <x v="308"/>
    <s v="BB Bread 400g"/>
    <n v="1"/>
    <n v="65"/>
    <n v="60"/>
    <n v="5"/>
    <s v="Mpesa"/>
    <m/>
    <m/>
    <m/>
    <m/>
  </r>
  <r>
    <x v="12"/>
    <x v="222"/>
    <s v="Safari"/>
    <n v="2"/>
    <n v="30"/>
    <n v="17"/>
    <n v="13"/>
    <s v="Mpesa"/>
    <m/>
    <m/>
    <m/>
    <m/>
  </r>
  <r>
    <x v="12"/>
    <x v="222"/>
    <s v="Toss 100g"/>
    <n v="1"/>
    <n v="60"/>
    <n v="36.666666666666664"/>
    <n v="23.333333333333336"/>
    <s v="Mpesa"/>
    <m/>
    <m/>
    <m/>
    <m/>
  </r>
  <r>
    <x v="12"/>
    <x v="222"/>
    <s v="omo 75g"/>
    <n v="1"/>
    <n v="35"/>
    <n v="27.5"/>
    <n v="7.5"/>
    <s v="Mpesa"/>
    <m/>
    <m/>
    <m/>
    <m/>
  </r>
  <r>
    <x v="12"/>
    <x v="247"/>
    <s v="Festive Bread 400g"/>
    <n v="1"/>
    <n v="65"/>
    <n v="60"/>
    <n v="5"/>
    <s v="Cash"/>
    <m/>
    <m/>
    <m/>
    <m/>
  </r>
  <r>
    <x v="12"/>
    <x v="247"/>
    <s v="Mt kenya milk 500ml"/>
    <n v="2"/>
    <n v="130"/>
    <n v="96.666666666666671"/>
    <n v="33.333333333333329"/>
    <s v="Cash"/>
    <m/>
    <m/>
    <m/>
    <m/>
  </r>
  <r>
    <x v="12"/>
    <x v="289"/>
    <s v="BB Bread 400g"/>
    <n v="1"/>
    <n v="65"/>
    <n v="60"/>
    <n v="5"/>
    <s v="Cash"/>
    <m/>
    <m/>
    <m/>
    <m/>
  </r>
  <r>
    <x v="12"/>
    <x v="309"/>
    <s v="Kinangop Fresh Milk 500ml"/>
    <n v="1"/>
    <n v="60"/>
    <n v="55"/>
    <n v="5"/>
    <s v="Credit"/>
    <s v="Faith"/>
    <m/>
    <m/>
    <m/>
  </r>
  <r>
    <x v="12"/>
    <x v="309"/>
    <s v="BB Bread 400g"/>
    <n v="1"/>
    <n v="65"/>
    <n v="60"/>
    <n v="5"/>
    <s v="Credit"/>
    <s v="Faith"/>
    <m/>
    <m/>
    <m/>
  </r>
  <r>
    <x v="12"/>
    <x v="310"/>
    <s v="eggs"/>
    <n v="3"/>
    <n v="60"/>
    <n v="43"/>
    <n v="17"/>
    <s v="Mpesa"/>
    <m/>
    <m/>
    <m/>
    <m/>
  </r>
  <r>
    <x v="12"/>
    <x v="310"/>
    <s v="Safari"/>
    <n v="1"/>
    <n v="15"/>
    <n v="8.5"/>
    <n v="6.5"/>
    <s v="Cash"/>
    <m/>
    <m/>
    <m/>
    <m/>
  </r>
  <r>
    <x v="12"/>
    <x v="294"/>
    <s v="BB Bread 400g"/>
    <n v="1"/>
    <n v="65"/>
    <n v="60"/>
    <n v="5"/>
    <s v="Credit"/>
    <s v="Titus"/>
    <s v="Titus"/>
    <n v="40"/>
    <s v="Cash"/>
  </r>
  <r>
    <x v="12"/>
    <x v="294"/>
    <s v="Menengai Bar 1kg"/>
    <n v="0.2"/>
    <n v="50"/>
    <n v="38"/>
    <n v="12"/>
    <s v="Credit"/>
    <s v="Titus"/>
    <m/>
    <m/>
    <m/>
  </r>
  <r>
    <x v="12"/>
    <x v="311"/>
    <s v="Festive Bread 400g"/>
    <n v="1"/>
    <n v="65"/>
    <n v="60"/>
    <n v="5"/>
    <s v="Mpesa"/>
    <m/>
    <m/>
    <m/>
    <m/>
  </r>
  <r>
    <x v="12"/>
    <x v="31"/>
    <s v="eggs"/>
    <n v="10"/>
    <n v="200"/>
    <n v="143.33333333333334"/>
    <n v="56.666666666666657"/>
    <s v="Mpesa"/>
    <m/>
    <m/>
    <m/>
    <m/>
  </r>
  <r>
    <x v="12"/>
    <x v="312"/>
    <s v="Indomie chicken"/>
    <n v="1"/>
    <n v="50"/>
    <n v="37.5"/>
    <n v="12.5"/>
    <s v="Cash"/>
    <m/>
    <m/>
    <m/>
    <m/>
  </r>
  <r>
    <x v="12"/>
    <x v="312"/>
    <s v="eggs"/>
    <n v="2"/>
    <n v="40"/>
    <n v="28.666666666666668"/>
    <n v="11.333333333333332"/>
    <s v="Cash"/>
    <m/>
    <m/>
    <m/>
    <m/>
  </r>
  <r>
    <x v="12"/>
    <x v="313"/>
    <s v="Safari"/>
    <n v="3"/>
    <n v="45"/>
    <n v="25.5"/>
    <n v="19.5"/>
    <s v="Mpesa"/>
    <m/>
    <m/>
    <m/>
    <m/>
  </r>
  <r>
    <x v="12"/>
    <x v="314"/>
    <s v="BB Bread 400g"/>
    <n v="1"/>
    <n v="65"/>
    <n v="60"/>
    <n v="5"/>
    <s v="Cash"/>
    <m/>
    <m/>
    <m/>
    <m/>
  </r>
  <r>
    <x v="12"/>
    <x v="315"/>
    <s v="Bigdaddy"/>
    <n v="2"/>
    <n v="20"/>
    <n v="12"/>
    <n v="8"/>
    <s v="Cash"/>
    <m/>
    <m/>
    <m/>
    <m/>
  </r>
  <r>
    <x v="12"/>
    <x v="316"/>
    <s v="Fahari Tea 15g"/>
    <n v="1"/>
    <n v="15"/>
    <n v="9.1666666666666661"/>
    <n v="5.8333333333333339"/>
    <s v="Credit"/>
    <s v="Titus"/>
    <m/>
    <m/>
    <m/>
  </r>
  <r>
    <x v="12"/>
    <x v="316"/>
    <s v="Nescafe 1.5g"/>
    <n v="1"/>
    <n v="15"/>
    <n v="9.1666666666666661"/>
    <n v="5.8333333333333339"/>
    <s v="Credit"/>
    <s v="Titus"/>
    <m/>
    <m/>
    <m/>
  </r>
  <r>
    <x v="12"/>
    <x v="316"/>
    <s v="Mt kenya milk 500ml"/>
    <n v="2"/>
    <n v="130"/>
    <n v="96.666666666666671"/>
    <n v="33.333333333333329"/>
    <s v="Mpesa"/>
    <m/>
    <m/>
    <m/>
    <m/>
  </r>
  <r>
    <x v="12"/>
    <x v="317"/>
    <s v="Ring Cake"/>
    <n v="1"/>
    <n v="50"/>
    <n v="45"/>
    <n v="5"/>
    <s v="Mpesa"/>
    <m/>
    <m/>
    <m/>
    <m/>
  </r>
  <r>
    <x v="12"/>
    <x v="271"/>
    <s v="Downy lavender"/>
    <n v="1"/>
    <n v="20"/>
    <n v="17.333333333333332"/>
    <n v="2.6666666666666679"/>
    <s v="Cash"/>
    <m/>
    <m/>
    <m/>
    <m/>
  </r>
  <r>
    <x v="12"/>
    <x v="318"/>
    <s v="ariel 10g"/>
    <n v="1"/>
    <n v="15"/>
    <n v="9.1666666666666661"/>
    <n v="5.8333333333333339"/>
    <s v="Mpesa"/>
    <m/>
    <m/>
    <m/>
    <m/>
  </r>
  <r>
    <x v="12"/>
    <x v="318"/>
    <s v="eggs"/>
    <n v="2"/>
    <n v="40"/>
    <n v="28.666666666666668"/>
    <n v="11.333333333333332"/>
    <s v="Mpesa"/>
    <m/>
    <m/>
    <m/>
    <m/>
  </r>
  <r>
    <x v="12"/>
    <x v="319"/>
    <s v="Cooking Oil Measured"/>
    <n v="0.5"/>
    <n v="140"/>
    <n v="100"/>
    <n v="40"/>
    <s v="Credit"/>
    <s v="Irene"/>
    <m/>
    <m/>
    <m/>
  </r>
  <r>
    <x v="12"/>
    <x v="319"/>
    <s v="Royco cubes"/>
    <n v="2"/>
    <n v="10"/>
    <n v="6"/>
    <n v="4"/>
    <s v="Credit"/>
    <s v="Irene"/>
    <m/>
    <m/>
    <m/>
  </r>
  <r>
    <x v="12"/>
    <x v="320"/>
    <s v="Safaricom 50 Credit"/>
    <n v="1"/>
    <n v="50"/>
    <n v="47"/>
    <n v="3"/>
    <s v="Cash"/>
    <m/>
    <m/>
    <m/>
    <m/>
  </r>
  <r>
    <x v="12"/>
    <x v="321"/>
    <s v="Tamu  Tamu Green"/>
    <n v="2"/>
    <n v="30"/>
    <n v="17.2"/>
    <n v="12.8"/>
    <s v="Cash"/>
    <m/>
    <m/>
    <m/>
    <m/>
  </r>
  <r>
    <x v="12"/>
    <x v="321"/>
    <s v="Sodacans"/>
    <n v="1"/>
    <n v="20"/>
    <n v="15"/>
    <n v="5"/>
    <s v="Cash"/>
    <m/>
    <m/>
    <m/>
    <m/>
  </r>
  <r>
    <x v="12"/>
    <x v="321"/>
    <s v="Ginger Bisquit"/>
    <n v="3"/>
    <n v="15"/>
    <n v="13"/>
    <n v="2"/>
    <s v="Cash"/>
    <m/>
    <m/>
    <m/>
    <m/>
  </r>
  <r>
    <x v="12"/>
    <x v="321"/>
    <s v="Pencil"/>
    <n v="1"/>
    <n v="10"/>
    <n v="7.5"/>
    <n v="2.5"/>
    <s v="Cash"/>
    <m/>
    <m/>
    <m/>
    <m/>
  </r>
  <r>
    <x v="12"/>
    <x v="322"/>
    <s v="Indomie chicken"/>
    <n v="4"/>
    <n v="200"/>
    <n v="150"/>
    <n v="50"/>
    <s v="Mpesa"/>
    <m/>
    <m/>
    <m/>
    <m/>
  </r>
  <r>
    <x v="12"/>
    <x v="322"/>
    <s v="eggs"/>
    <n v="3"/>
    <n v="60"/>
    <n v="43"/>
    <n v="17"/>
    <s v="Mpesa"/>
    <m/>
    <m/>
    <m/>
    <m/>
  </r>
  <r>
    <x v="12"/>
    <x v="122"/>
    <s v="Kinangop Fresh Milk 500ml"/>
    <n v="5"/>
    <n v="300"/>
    <n v="275"/>
    <n v="25"/>
    <s v="Cash"/>
    <m/>
    <m/>
    <m/>
    <m/>
  </r>
  <r>
    <x v="12"/>
    <x v="122"/>
    <s v="Brookside milk 500ml"/>
    <n v="3"/>
    <n v="210"/>
    <n v="177"/>
    <n v="33"/>
    <s v="Cash"/>
    <m/>
    <m/>
    <m/>
    <m/>
  </r>
  <r>
    <x v="12"/>
    <x v="323"/>
    <s v="Sindano rice"/>
    <n v="0.5"/>
    <n v="75"/>
    <n v="60"/>
    <n v="15"/>
    <s v="Mpesa"/>
    <m/>
    <m/>
    <m/>
    <m/>
  </r>
  <r>
    <x v="12"/>
    <x v="324"/>
    <s v="ariel 10g"/>
    <n v="1"/>
    <n v="15"/>
    <n v="9.1666666666666661"/>
    <n v="5.8333333333333339"/>
    <s v="Mpesa"/>
    <m/>
    <m/>
    <m/>
    <m/>
  </r>
  <r>
    <x v="12"/>
    <x v="324"/>
    <s v="Safari"/>
    <n v="3"/>
    <n v="45"/>
    <n v="25.5"/>
    <n v="19.5"/>
    <s v="Mpesa"/>
    <m/>
    <m/>
    <m/>
    <m/>
  </r>
  <r>
    <x v="12"/>
    <x v="325"/>
    <m/>
    <m/>
    <m/>
    <m/>
    <m/>
    <m/>
    <m/>
    <s v="Grace"/>
    <n v="260"/>
    <s v="Mpesa"/>
  </r>
  <r>
    <x v="12"/>
    <x v="46"/>
    <s v="Black Shampoo"/>
    <n v="1"/>
    <n v="50"/>
    <n v="28"/>
    <n v="22"/>
    <s v="Cash"/>
    <m/>
    <m/>
    <m/>
    <m/>
  </r>
  <r>
    <x v="12"/>
    <x v="46"/>
    <s v="Tomatoes"/>
    <n v="10"/>
    <n v="100"/>
    <n v="50"/>
    <n v="50"/>
    <s v="Cash"/>
    <m/>
    <m/>
    <m/>
    <m/>
  </r>
  <r>
    <x v="12"/>
    <x v="46"/>
    <s v="Airtel 50 Credit"/>
    <n v="1"/>
    <n v="50"/>
    <n v="47"/>
    <n v="3"/>
    <s v="Cash"/>
    <m/>
    <m/>
    <m/>
    <m/>
  </r>
  <r>
    <x v="12"/>
    <x v="326"/>
    <s v="Mt kenya milk 500ml"/>
    <n v="2"/>
    <n v="130"/>
    <n v="96.666666666666671"/>
    <n v="33.333333333333329"/>
    <s v="Mpesa"/>
    <m/>
    <m/>
    <m/>
    <m/>
  </r>
  <r>
    <x v="12"/>
    <x v="327"/>
    <s v="Safari"/>
    <n v="3"/>
    <n v="45"/>
    <n v="25.5"/>
    <n v="19.5"/>
    <s v="Mpesa"/>
    <m/>
    <m/>
    <m/>
    <m/>
  </r>
  <r>
    <x v="12"/>
    <x v="53"/>
    <m/>
    <m/>
    <m/>
    <m/>
    <m/>
    <m/>
    <m/>
    <s v="Cate"/>
    <n v="10"/>
    <s v="Cash"/>
  </r>
  <r>
    <x v="12"/>
    <x v="59"/>
    <s v="waru"/>
    <n v="1"/>
    <n v="50"/>
    <n v="29.999999999999996"/>
    <n v="20.000000000000004"/>
    <s v="Mpesa"/>
    <m/>
    <m/>
    <m/>
    <m/>
  </r>
  <r>
    <x v="12"/>
    <x v="328"/>
    <s v="Festive 800g"/>
    <n v="1"/>
    <n v="130"/>
    <n v="120"/>
    <n v="10"/>
    <s v="Mpesa"/>
    <m/>
    <m/>
    <m/>
    <m/>
  </r>
  <r>
    <x v="12"/>
    <x v="329"/>
    <s v="eggs"/>
    <n v="5"/>
    <n v="100"/>
    <n v="71.666666666666671"/>
    <n v="28.333333333333329"/>
    <s v="Cash"/>
    <m/>
    <m/>
    <m/>
    <m/>
  </r>
  <r>
    <x v="12"/>
    <x v="329"/>
    <s v="Festive Bread 400g"/>
    <n v="1"/>
    <n v="65"/>
    <n v="60"/>
    <n v="5"/>
    <s v="Mpesa"/>
    <m/>
    <m/>
    <m/>
    <m/>
  </r>
  <r>
    <x v="12"/>
    <x v="329"/>
    <s v="Drinking Chocolate 20g"/>
    <n v="1"/>
    <n v="20"/>
    <n v="10.416666666666666"/>
    <n v="9.5833333333333339"/>
    <s v="Mpesa"/>
    <m/>
    <m/>
    <m/>
    <m/>
  </r>
  <r>
    <x v="12"/>
    <x v="329"/>
    <m/>
    <m/>
    <m/>
    <m/>
    <m/>
    <m/>
    <m/>
    <s v="Milly"/>
    <n v="760"/>
    <s v="Cash"/>
  </r>
  <r>
    <x v="12"/>
    <x v="329"/>
    <s v="Ginger Bisquit"/>
    <n v="4"/>
    <n v="20"/>
    <n v="17.333333333333332"/>
    <n v="2.6666666666666679"/>
    <s v="Mpesa"/>
    <m/>
    <m/>
    <m/>
    <m/>
  </r>
  <r>
    <x v="12"/>
    <x v="286"/>
    <s v="Brookside milk 500ml"/>
    <n v="1"/>
    <n v="70"/>
    <n v="59"/>
    <n v="11"/>
    <s v="Credit"/>
    <s v="Ruth"/>
    <s v="Ruth"/>
    <n v="15"/>
    <s v="Mpesa"/>
  </r>
  <r>
    <x v="12"/>
    <x v="286"/>
    <s v="eggs"/>
    <n v="2"/>
    <n v="40"/>
    <n v="28.666666666666668"/>
    <n v="11.333333333333332"/>
    <s v="Credit"/>
    <s v="Ruth"/>
    <m/>
    <m/>
    <m/>
  </r>
  <r>
    <x v="12"/>
    <x v="286"/>
    <s v="Dhania"/>
    <n v="1"/>
    <n v="5"/>
    <n v="3.3333333333333335"/>
    <n v="1.6666666666666665"/>
    <s v="Credit"/>
    <s v="Ruth"/>
    <m/>
    <m/>
    <m/>
  </r>
  <r>
    <x v="12"/>
    <x v="330"/>
    <s v="Maramoja"/>
    <n v="1"/>
    <n v="10"/>
    <n v="7"/>
    <n v="3"/>
    <s v="Mpesa"/>
    <m/>
    <m/>
    <m/>
    <m/>
  </r>
  <r>
    <x v="12"/>
    <x v="220"/>
    <s v="Ginger Bisquit"/>
    <n v="8"/>
    <n v="40"/>
    <n v="34.666666666666664"/>
    <n v="5.3333333333333357"/>
    <s v="Mpesa"/>
    <m/>
    <m/>
    <m/>
    <m/>
  </r>
  <r>
    <x v="12"/>
    <x v="220"/>
    <s v="Nescafe 1.5g"/>
    <n v="1"/>
    <n v="15"/>
    <n v="9.1666666666666661"/>
    <n v="5.8333333333333339"/>
    <s v="Mpesa"/>
    <m/>
    <m/>
    <m/>
    <m/>
  </r>
  <r>
    <x v="12"/>
    <x v="331"/>
    <s v="Indomie beef"/>
    <n v="1"/>
    <n v="50"/>
    <n v="38"/>
    <n v="12"/>
    <s v="Credit"/>
    <s v="Faith"/>
    <m/>
    <m/>
    <m/>
  </r>
  <r>
    <x v="12"/>
    <x v="331"/>
    <s v="Kienyeji  Eggs"/>
    <n v="1"/>
    <n v="30"/>
    <n v="20"/>
    <n v="10"/>
    <s v="Credit"/>
    <s v="Faith"/>
    <m/>
    <m/>
    <m/>
  </r>
  <r>
    <x v="12"/>
    <x v="331"/>
    <s v="Banana"/>
    <n v="1"/>
    <n v="10"/>
    <n v="8.3333333333333339"/>
    <n v="1.6666666666666661"/>
    <s v="Credit"/>
    <s v="Faith"/>
    <m/>
    <m/>
    <m/>
  </r>
  <r>
    <x v="13"/>
    <x v="289"/>
    <s v="Safari"/>
    <n v="3"/>
    <n v="45"/>
    <n v="25.5"/>
    <n v="19.5"/>
    <s v="Credit"/>
    <s v="Masaku"/>
    <m/>
    <m/>
    <m/>
  </r>
  <r>
    <x v="13"/>
    <x v="289"/>
    <s v="Tomatoes"/>
    <n v="3"/>
    <n v="30"/>
    <n v="15"/>
    <n v="15"/>
    <s v="Credit"/>
    <s v="Masaku"/>
    <m/>
    <m/>
    <m/>
  </r>
  <r>
    <x v="13"/>
    <x v="289"/>
    <s v="Onion"/>
    <n v="1"/>
    <n v="10"/>
    <n v="8"/>
    <n v="2"/>
    <s v="Credit"/>
    <s v="Masaku"/>
    <m/>
    <m/>
    <m/>
  </r>
  <r>
    <x v="13"/>
    <x v="289"/>
    <s v="Dhania"/>
    <n v="1"/>
    <n v="5"/>
    <n v="3.3333333333333335"/>
    <n v="1.6666666666666665"/>
    <s v="Credit"/>
    <s v="Masaku"/>
    <m/>
    <m/>
    <m/>
  </r>
  <r>
    <x v="13"/>
    <x v="332"/>
    <s v="Festive Bread 400g"/>
    <n v="1"/>
    <n v="65"/>
    <n v="60"/>
    <n v="5"/>
    <s v="Mpesa"/>
    <m/>
    <m/>
    <m/>
    <m/>
  </r>
  <r>
    <x v="13"/>
    <x v="333"/>
    <s v="Pishori rice"/>
    <n v="1"/>
    <n v="220"/>
    <n v="180"/>
    <n v="40"/>
    <s v="Cash"/>
    <m/>
    <m/>
    <m/>
    <m/>
  </r>
  <r>
    <x v="13"/>
    <x v="333"/>
    <m/>
    <m/>
    <m/>
    <m/>
    <m/>
    <m/>
    <m/>
    <s v="Mum Worship"/>
    <n v="115"/>
    <s v="Cash"/>
  </r>
  <r>
    <x v="13"/>
    <x v="333"/>
    <m/>
    <m/>
    <m/>
    <m/>
    <m/>
    <m/>
    <m/>
    <s v="Mum Victor"/>
    <n v="760"/>
    <s v="Cash"/>
  </r>
  <r>
    <x v="13"/>
    <x v="333"/>
    <s v="Bigdaddy"/>
    <n v="2"/>
    <n v="20"/>
    <n v="12"/>
    <n v="8"/>
    <s v="Cash"/>
    <m/>
    <m/>
    <m/>
    <m/>
  </r>
  <r>
    <x v="13"/>
    <x v="334"/>
    <s v="Festive 600g"/>
    <n v="1"/>
    <n v="100"/>
    <n v="90"/>
    <n v="10"/>
    <s v="Mpesa"/>
    <m/>
    <m/>
    <m/>
    <m/>
  </r>
  <r>
    <x v="13"/>
    <x v="118"/>
    <s v="Drinking Chocolate 20g"/>
    <n v="1"/>
    <n v="20"/>
    <n v="10.416666666666666"/>
    <n v="9.5833333333333339"/>
    <s v="Mpesa"/>
    <m/>
    <m/>
    <m/>
    <m/>
  </r>
  <r>
    <x v="13"/>
    <x v="118"/>
    <s v="Bigdaddy"/>
    <n v="1"/>
    <n v="10"/>
    <n v="6"/>
    <n v="4"/>
    <s v="Mpesa"/>
    <m/>
    <m/>
    <m/>
    <m/>
  </r>
  <r>
    <x v="13"/>
    <x v="335"/>
    <s v="Kienyeji  Eggs"/>
    <n v="2"/>
    <n v="60"/>
    <n v="40"/>
    <n v="20"/>
    <s v="Mpesa"/>
    <m/>
    <m/>
    <m/>
    <m/>
  </r>
  <r>
    <x v="13"/>
    <x v="335"/>
    <s v="eggs"/>
    <n v="2"/>
    <n v="40"/>
    <n v="28.666666666666668"/>
    <n v="11.333333333333332"/>
    <s v="Mpesa"/>
    <m/>
    <m/>
    <m/>
    <m/>
  </r>
  <r>
    <x v="13"/>
    <x v="335"/>
    <s v="Festive Bread 400g"/>
    <n v="1"/>
    <n v="65"/>
    <n v="60"/>
    <n v="5"/>
    <s v="Mpesa"/>
    <m/>
    <m/>
    <m/>
    <m/>
  </r>
  <r>
    <x v="13"/>
    <x v="335"/>
    <s v="Tomatoes"/>
    <n v="4"/>
    <n v="40"/>
    <n v="20"/>
    <n v="20"/>
    <s v="Mpesa"/>
    <m/>
    <m/>
    <m/>
    <m/>
  </r>
  <r>
    <x v="13"/>
    <x v="335"/>
    <s v="Onion"/>
    <n v="3"/>
    <n v="30"/>
    <n v="24"/>
    <n v="6"/>
    <s v="Mpesa"/>
    <m/>
    <m/>
    <m/>
    <m/>
  </r>
  <r>
    <x v="13"/>
    <x v="335"/>
    <s v="Dhania"/>
    <n v="1"/>
    <n v="5"/>
    <n v="3.3333333333333335"/>
    <n v="1.6666666666666665"/>
    <s v="Mpesa"/>
    <m/>
    <m/>
    <m/>
    <m/>
  </r>
  <r>
    <x v="13"/>
    <x v="335"/>
    <s v="hoho"/>
    <n v="1"/>
    <n v="10"/>
    <n v="6.666666666666667"/>
    <n v="3.333333333333333"/>
    <s v="Mpesa"/>
    <m/>
    <m/>
    <m/>
    <m/>
  </r>
  <r>
    <x v="13"/>
    <x v="336"/>
    <s v="omo 75g"/>
    <n v="1"/>
    <n v="35"/>
    <n v="27.5"/>
    <n v="7.5"/>
    <s v="Credit"/>
    <s v="Faith"/>
    <m/>
    <m/>
    <m/>
  </r>
  <r>
    <x v="13"/>
    <x v="74"/>
    <s v="Safari"/>
    <n v="3"/>
    <n v="45"/>
    <n v="25.5"/>
    <n v="19.5"/>
    <s v="Credit"/>
    <s v="Masaku"/>
    <m/>
    <m/>
    <m/>
  </r>
  <r>
    <x v="13"/>
    <x v="337"/>
    <s v="soda 300ml glass"/>
    <n v="1"/>
    <n v="40"/>
    <n v="32.5"/>
    <n v="7.5"/>
    <s v="Cash"/>
    <m/>
    <m/>
    <m/>
    <m/>
  </r>
  <r>
    <x v="13"/>
    <x v="338"/>
    <s v="Ginger Bisquit"/>
    <n v="4"/>
    <n v="20"/>
    <n v="17.333333333333332"/>
    <n v="2.6666666666666679"/>
    <s v="Cash"/>
    <m/>
    <m/>
    <m/>
    <m/>
  </r>
  <r>
    <x v="13"/>
    <x v="338"/>
    <s v="Menengai Bar 1kg"/>
    <n v="0.2"/>
    <n v="50"/>
    <n v="38"/>
    <n v="12"/>
    <s v="Cash"/>
    <m/>
    <m/>
    <m/>
    <m/>
  </r>
  <r>
    <x v="13"/>
    <x v="338"/>
    <s v="Lighter"/>
    <n v="1"/>
    <n v="30"/>
    <n v="15"/>
    <n v="15"/>
    <s v="Cash"/>
    <m/>
    <m/>
    <m/>
    <m/>
  </r>
  <r>
    <x v="13"/>
    <x v="338"/>
    <s v="Match Box"/>
    <n v="1"/>
    <n v="5"/>
    <n v="2.3611111111111112"/>
    <n v="2.6388888888888888"/>
    <s v="Cash"/>
    <m/>
    <m/>
    <m/>
    <m/>
  </r>
  <r>
    <x v="13"/>
    <x v="338"/>
    <s v="omo 20g"/>
    <n v="1"/>
    <n v="15"/>
    <n v="9.1666666666666661"/>
    <n v="5.8333333333333339"/>
    <s v="Cash"/>
    <m/>
    <m/>
    <m/>
    <m/>
  </r>
  <r>
    <x v="13"/>
    <x v="339"/>
    <s v="BB Bread 400g"/>
    <n v="1"/>
    <n v="65"/>
    <n v="60"/>
    <n v="5"/>
    <s v="Credit"/>
    <s v="Ken"/>
    <m/>
    <m/>
    <m/>
  </r>
  <r>
    <x v="13"/>
    <x v="339"/>
    <s v="Indomie beef"/>
    <n v="1"/>
    <n v="50"/>
    <n v="38"/>
    <n v="12"/>
    <s v="Credit"/>
    <s v="Ken"/>
    <m/>
    <m/>
    <m/>
  </r>
  <r>
    <x v="13"/>
    <x v="340"/>
    <s v="Brookside Lala Natural"/>
    <n v="1"/>
    <n v="100"/>
    <n v="87"/>
    <n v="13"/>
    <s v="Cash"/>
    <m/>
    <m/>
    <m/>
    <m/>
  </r>
  <r>
    <x v="13"/>
    <x v="341"/>
    <s v="Bigdaddy"/>
    <n v="2"/>
    <n v="20"/>
    <n v="12"/>
    <n v="8"/>
    <s v="Mpesa"/>
    <m/>
    <m/>
    <m/>
    <m/>
  </r>
  <r>
    <x v="13"/>
    <x v="342"/>
    <s v="Indomie beef"/>
    <n v="5"/>
    <n v="250"/>
    <n v="190"/>
    <n v="60"/>
    <s v="Mpesa"/>
    <m/>
    <m/>
    <m/>
    <m/>
  </r>
  <r>
    <x v="13"/>
    <x v="343"/>
    <s v="Indomie beef"/>
    <n v="4"/>
    <n v="200"/>
    <n v="152"/>
    <n v="48"/>
    <s v="Mpesa"/>
    <m/>
    <m/>
    <m/>
    <m/>
  </r>
  <r>
    <x v="13"/>
    <x v="343"/>
    <s v="soda 500ml glass"/>
    <n v="1"/>
    <n v="55"/>
    <n v="50"/>
    <n v="5"/>
    <s v="Mpesa"/>
    <m/>
    <m/>
    <m/>
    <m/>
  </r>
  <r>
    <x v="13"/>
    <x v="235"/>
    <s v="Geisha big"/>
    <n v="1"/>
    <n v="120"/>
    <n v="95"/>
    <n v="25"/>
    <s v="Mpesa"/>
    <m/>
    <m/>
    <m/>
    <m/>
  </r>
  <r>
    <x v="13"/>
    <x v="235"/>
    <s v="Kienyeji  Eggs"/>
    <n v="2"/>
    <n v="60"/>
    <n v="40"/>
    <n v="20"/>
    <s v="Mpesa"/>
    <m/>
    <m/>
    <m/>
    <m/>
  </r>
  <r>
    <x v="13"/>
    <x v="344"/>
    <s v="omo 20g"/>
    <n v="1"/>
    <n v="15"/>
    <n v="9.1666666666666661"/>
    <n v="5.8333333333333339"/>
    <s v="Credit"/>
    <s v="Pauline"/>
    <m/>
    <m/>
    <m/>
  </r>
  <r>
    <x v="13"/>
    <x v="345"/>
    <s v="scooter cans"/>
    <n v="1"/>
    <n v="20"/>
    <n v="15"/>
    <n v="5"/>
    <s v="Cash"/>
    <m/>
    <m/>
    <m/>
    <m/>
  </r>
  <r>
    <x v="13"/>
    <x v="345"/>
    <s v="Gomba"/>
    <n v="8"/>
    <n v="20"/>
    <n v="14.4"/>
    <n v="5.6"/>
    <s v="Cash"/>
    <m/>
    <m/>
    <m/>
    <m/>
  </r>
  <r>
    <x v="13"/>
    <x v="345"/>
    <s v="Potato crisps salted"/>
    <n v="1"/>
    <n v="30"/>
    <n v="23.125"/>
    <n v="6.875"/>
    <s v="Cash"/>
    <m/>
    <m/>
    <m/>
    <m/>
  </r>
  <r>
    <x v="13"/>
    <x v="345"/>
    <s v="Fresh green"/>
    <n v="4"/>
    <n v="40"/>
    <n v="20"/>
    <n v="20"/>
    <s v="Cash"/>
    <m/>
    <m/>
    <m/>
    <m/>
  </r>
  <r>
    <x v="13"/>
    <x v="345"/>
    <s v="Bigdaddy"/>
    <n v="1"/>
    <n v="10"/>
    <n v="6"/>
    <n v="4"/>
    <s v="Cash"/>
    <m/>
    <m/>
    <m/>
    <m/>
  </r>
  <r>
    <x v="13"/>
    <x v="346"/>
    <s v="omo 20g"/>
    <n v="1"/>
    <n v="15"/>
    <n v="9.1666666666666661"/>
    <n v="5.8333333333333339"/>
    <s v="Mpesa"/>
    <m/>
    <m/>
    <m/>
    <m/>
  </r>
  <r>
    <x v="13"/>
    <x v="346"/>
    <s v="Whitewash "/>
    <n v="1"/>
    <n v="50"/>
    <n v="33.75"/>
    <n v="16.25"/>
    <s v="Mpesa"/>
    <m/>
    <m/>
    <m/>
    <m/>
  </r>
  <r>
    <x v="13"/>
    <x v="347"/>
    <s v="Cabbage"/>
    <n v="1"/>
    <n v="180"/>
    <n v="120"/>
    <n v="60"/>
    <s v="Cash"/>
    <m/>
    <m/>
    <m/>
    <m/>
  </r>
  <r>
    <x v="13"/>
    <x v="348"/>
    <s v="Indomie beef"/>
    <n v="1"/>
    <n v="50"/>
    <n v="38"/>
    <n v="12"/>
    <s v="Cash"/>
    <m/>
    <m/>
    <m/>
    <m/>
  </r>
  <r>
    <x v="13"/>
    <x v="348"/>
    <s v="Kienyeji  Eggs"/>
    <n v="1"/>
    <n v="30"/>
    <n v="20"/>
    <n v="10"/>
    <s v="Cash"/>
    <m/>
    <m/>
    <m/>
    <m/>
  </r>
  <r>
    <x v="13"/>
    <x v="348"/>
    <s v="Nuvita Bisquit"/>
    <n v="2"/>
    <n v="10"/>
    <n v="8.3333333333333339"/>
    <n v="1.6666666666666661"/>
    <s v="Cash"/>
    <m/>
    <m/>
    <m/>
    <m/>
  </r>
  <r>
    <x v="13"/>
    <x v="349"/>
    <s v="Mt kenya milk 500ml"/>
    <n v="1"/>
    <n v="65"/>
    <n v="48.333333333333336"/>
    <n v="16.666666666666664"/>
    <s v="Cash"/>
    <m/>
    <m/>
    <m/>
    <m/>
  </r>
  <r>
    <x v="13"/>
    <x v="349"/>
    <s v="BB Bread 200g"/>
    <n v="1"/>
    <n v="40"/>
    <n v="35"/>
    <n v="5"/>
    <s v="Credit"/>
    <s v="Faith"/>
    <m/>
    <m/>
    <m/>
  </r>
  <r>
    <x v="13"/>
    <x v="349"/>
    <s v="Mt kenya milk 500ml"/>
    <n v="1"/>
    <n v="65"/>
    <n v="48.333333333333336"/>
    <n v="16.666666666666664"/>
    <s v="Credit"/>
    <s v="Faith"/>
    <m/>
    <m/>
    <m/>
  </r>
  <r>
    <x v="13"/>
    <x v="350"/>
    <s v="waru"/>
    <n v="2"/>
    <n v="100"/>
    <n v="59.999999999999993"/>
    <n v="40.000000000000007"/>
    <s v="Credit"/>
    <s v="Ken"/>
    <m/>
    <m/>
    <m/>
  </r>
  <r>
    <x v="13"/>
    <x v="350"/>
    <s v="Tomato sauce"/>
    <n v="1"/>
    <n v="70"/>
    <n v="50"/>
    <n v="20"/>
    <s v="Credit"/>
    <s v="Ken"/>
    <m/>
    <m/>
    <m/>
  </r>
  <r>
    <x v="13"/>
    <x v="351"/>
    <s v="waru"/>
    <n v="1"/>
    <n v="50"/>
    <n v="29.999999999999996"/>
    <n v="20.000000000000004"/>
    <s v="Mpesa"/>
    <m/>
    <m/>
    <m/>
    <m/>
  </r>
  <r>
    <x v="13"/>
    <x v="55"/>
    <s v=" soda 1.25lts"/>
    <n v="1"/>
    <n v="130"/>
    <n v="112.5"/>
    <n v="17.5"/>
    <s v="Mpesa"/>
    <m/>
    <m/>
    <m/>
    <m/>
  </r>
  <r>
    <x v="13"/>
    <x v="106"/>
    <s v="Cooking Oil Measured"/>
    <n v="0.25"/>
    <n v="70"/>
    <n v="50"/>
    <n v="20"/>
    <s v="Cash"/>
    <m/>
    <m/>
    <m/>
    <m/>
  </r>
  <r>
    <x v="13"/>
    <x v="352"/>
    <s v="Ringoz Paprika"/>
    <n v="1"/>
    <n v="15"/>
    <n v="8.8000000000000007"/>
    <n v="6.1999999999999993"/>
    <s v="Mpesa"/>
    <m/>
    <m/>
    <m/>
    <m/>
  </r>
  <r>
    <x v="13"/>
    <x v="19"/>
    <s v="Hanaan Tissue"/>
    <n v="1"/>
    <n v="50"/>
    <n v="43"/>
    <n v="7"/>
    <s v="Mpesa"/>
    <m/>
    <m/>
    <m/>
    <m/>
  </r>
  <r>
    <x v="13"/>
    <x v="19"/>
    <s v="Royco cubes"/>
    <n v="7"/>
    <n v="35"/>
    <n v="21"/>
    <n v="14"/>
    <s v="Mpesa"/>
    <m/>
    <m/>
    <m/>
    <m/>
  </r>
  <r>
    <x v="13"/>
    <x v="353"/>
    <s v="Brookside milk 500ml"/>
    <n v="1"/>
    <n v="70"/>
    <n v="59"/>
    <n v="11"/>
    <s v="Cash"/>
    <m/>
    <m/>
    <m/>
    <m/>
  </r>
  <r>
    <x v="13"/>
    <x v="353"/>
    <s v="Festive Bread 400g"/>
    <n v="1"/>
    <n v="65"/>
    <n v="60"/>
    <n v="5"/>
    <s v="Cash"/>
    <m/>
    <m/>
    <m/>
    <m/>
  </r>
  <r>
    <x v="13"/>
    <x v="353"/>
    <s v="Dhania"/>
    <n v="1"/>
    <n v="5"/>
    <n v="3.3333333333333335"/>
    <n v="1.6666666666666665"/>
    <s v="Cash"/>
    <m/>
    <m/>
    <m/>
    <m/>
  </r>
  <r>
    <x v="13"/>
    <x v="354"/>
    <s v="Royco cubes"/>
    <n v="2"/>
    <n v="10"/>
    <n v="6"/>
    <n v="4"/>
    <s v="Credit"/>
    <s v="Grace"/>
    <m/>
    <m/>
    <m/>
  </r>
  <r>
    <x v="13"/>
    <x v="141"/>
    <s v="ariel 10g"/>
    <n v="1"/>
    <n v="15"/>
    <n v="9.1666666666666661"/>
    <n v="5.8333333333333339"/>
    <s v="Credit"/>
    <s v="Grace"/>
    <m/>
    <m/>
    <m/>
  </r>
  <r>
    <x v="13"/>
    <x v="141"/>
    <s v="Whitewash "/>
    <n v="1"/>
    <n v="50"/>
    <n v="33.75"/>
    <n v="16.25"/>
    <s v="Credit"/>
    <s v="Grace"/>
    <m/>
    <m/>
    <m/>
  </r>
  <r>
    <x v="13"/>
    <x v="141"/>
    <s v="predator"/>
    <n v="1"/>
    <n v="70"/>
    <n v="54.166666666666664"/>
    <n v="15.833333333333336"/>
    <s v="Credit"/>
    <s v="Grace"/>
    <m/>
    <m/>
    <m/>
  </r>
  <r>
    <x v="13"/>
    <x v="141"/>
    <s v="6kg grill stand"/>
    <n v="1"/>
    <n v="300"/>
    <n v="190"/>
    <n v="110"/>
    <s v="Credit"/>
    <s v="Grace"/>
    <m/>
    <m/>
    <m/>
  </r>
  <r>
    <x v="14"/>
    <x v="355"/>
    <s v="BB Bread 400g"/>
    <n v="1"/>
    <n v="65"/>
    <n v="60"/>
    <n v="5"/>
    <s v="Mpesa"/>
    <m/>
    <m/>
    <m/>
    <m/>
  </r>
  <r>
    <x v="14"/>
    <x v="355"/>
    <s v="Blueband 100g"/>
    <n v="1"/>
    <n v="70"/>
    <n v="58.333333333333336"/>
    <n v="11.666666666666664"/>
    <s v="Mpesa"/>
    <m/>
    <m/>
    <m/>
    <m/>
  </r>
  <r>
    <x v="14"/>
    <x v="223"/>
    <s v="Kinangop Fresh Milk 500ml"/>
    <n v="1"/>
    <n v="60"/>
    <n v="55"/>
    <n v="5"/>
    <s v="Credit"/>
    <s v="Faith"/>
    <m/>
    <m/>
    <m/>
  </r>
  <r>
    <x v="14"/>
    <x v="223"/>
    <s v="BB Bread 400g"/>
    <n v="1"/>
    <n v="65"/>
    <n v="60"/>
    <n v="5"/>
    <s v="Credit"/>
    <s v="Faith"/>
    <m/>
    <m/>
    <m/>
  </r>
  <r>
    <x v="14"/>
    <x v="115"/>
    <s v="BB Bread 400g"/>
    <n v="1"/>
    <n v="65"/>
    <n v="60"/>
    <n v="5"/>
    <s v="Mpesa"/>
    <m/>
    <m/>
    <m/>
    <m/>
  </r>
  <r>
    <x v="14"/>
    <x v="115"/>
    <s v="Blueband 100g"/>
    <n v="1"/>
    <n v="70"/>
    <n v="58.333333333333336"/>
    <n v="11.666666666666664"/>
    <s v="Mpesa"/>
    <m/>
    <m/>
    <m/>
    <m/>
  </r>
  <r>
    <x v="14"/>
    <x v="31"/>
    <s v="Hanaan Tissue"/>
    <n v="1"/>
    <n v="50"/>
    <n v="43"/>
    <n v="7"/>
    <s v="Cash"/>
    <m/>
    <m/>
    <m/>
    <m/>
  </r>
  <r>
    <x v="14"/>
    <x v="313"/>
    <s v="predator"/>
    <n v="1"/>
    <n v="70"/>
    <n v="54.166666666666664"/>
    <n v="15.833333333333336"/>
    <s v="Mpesa"/>
    <m/>
    <m/>
    <m/>
    <m/>
  </r>
  <r>
    <x v="14"/>
    <x v="313"/>
    <s v="Peanut Cookies"/>
    <n v="1"/>
    <n v="35"/>
    <n v="25"/>
    <n v="10"/>
    <s v="Credit"/>
    <s v="Titus"/>
    <s v="Titus"/>
    <n v="25"/>
    <s v="Cash"/>
  </r>
  <r>
    <x v="14"/>
    <x v="356"/>
    <s v="Sunny girl pad"/>
    <n v="1"/>
    <n v="70"/>
    <n v="56.666666666666664"/>
    <n v="13.333333333333336"/>
    <s v="Cash"/>
    <m/>
    <m/>
    <m/>
    <m/>
  </r>
  <r>
    <x v="14"/>
    <x v="316"/>
    <s v="Jumbo Tissue"/>
    <n v="1"/>
    <n v="120"/>
    <n v="90"/>
    <n v="30"/>
    <s v="Mpesa"/>
    <m/>
    <m/>
    <m/>
    <m/>
  </r>
  <r>
    <x v="14"/>
    <x v="316"/>
    <s v="omo 75g"/>
    <n v="1"/>
    <n v="35"/>
    <n v="27.5"/>
    <n v="7.5"/>
    <s v="Mpesa"/>
    <m/>
    <m/>
    <m/>
    <m/>
  </r>
  <r>
    <x v="14"/>
    <x v="154"/>
    <s v="Panadol Extra"/>
    <n v="1"/>
    <n v="20"/>
    <n v="13"/>
    <n v="7"/>
    <s v="Mpesa"/>
    <m/>
    <m/>
    <m/>
    <m/>
  </r>
  <r>
    <x v="14"/>
    <x v="154"/>
    <s v="Bigboss"/>
    <n v="1"/>
    <n v="5"/>
    <n v="3.5"/>
    <n v="1.5"/>
    <s v="Mpesa"/>
    <m/>
    <m/>
    <m/>
    <m/>
  </r>
  <r>
    <x v="14"/>
    <x v="357"/>
    <s v="Banana"/>
    <n v="2"/>
    <n v="20"/>
    <n v="16.666666666666668"/>
    <n v="3.3333333333333321"/>
    <s v="Cash"/>
    <m/>
    <m/>
    <m/>
    <m/>
  </r>
  <r>
    <x v="14"/>
    <x v="231"/>
    <s v="eggs"/>
    <n v="4"/>
    <n v="80"/>
    <n v="57.333333333333336"/>
    <n v="22.666666666666664"/>
    <s v="Credit"/>
    <s v="Irene"/>
    <m/>
    <m/>
    <m/>
  </r>
  <r>
    <x v="14"/>
    <x v="231"/>
    <s v="Aspirin"/>
    <n v="1"/>
    <n v="10"/>
    <n v="7"/>
    <n v="3"/>
    <s v="Credit"/>
    <s v="Irene"/>
    <m/>
    <m/>
    <m/>
  </r>
  <r>
    <x v="14"/>
    <x v="358"/>
    <s v="Pembe 2kg"/>
    <n v="2"/>
    <n v="320"/>
    <n v="246.66666666666666"/>
    <n v="73.333333333333343"/>
    <s v="Credit"/>
    <s v="Titus"/>
    <m/>
    <m/>
    <m/>
  </r>
  <r>
    <x v="14"/>
    <x v="358"/>
    <s v="Tomatoes"/>
    <n v="1"/>
    <n v="10"/>
    <n v="5"/>
    <n v="5"/>
    <s v="Credit"/>
    <s v="Titus"/>
    <m/>
    <m/>
    <m/>
  </r>
  <r>
    <x v="14"/>
    <x v="358"/>
    <s v="Cooking Oil Measured"/>
    <n v="0.5"/>
    <n v="140"/>
    <n v="100"/>
    <n v="40"/>
    <s v="Credit"/>
    <s v="Titus"/>
    <m/>
    <m/>
    <m/>
  </r>
  <r>
    <x v="14"/>
    <x v="358"/>
    <s v="Onion"/>
    <n v="1"/>
    <n v="10"/>
    <n v="8"/>
    <n v="2"/>
    <s v="Credit"/>
    <s v="Titus"/>
    <m/>
    <m/>
    <m/>
  </r>
  <r>
    <x v="14"/>
    <x v="359"/>
    <s v="Indomie chicken"/>
    <n v="4"/>
    <n v="200"/>
    <n v="150"/>
    <n v="50"/>
    <s v="Mpesa"/>
    <m/>
    <m/>
    <m/>
    <m/>
  </r>
  <r>
    <x v="14"/>
    <x v="359"/>
    <s v="eggs"/>
    <n v="3"/>
    <n v="60"/>
    <n v="43"/>
    <n v="17"/>
    <s v="Mpesa"/>
    <m/>
    <m/>
    <m/>
    <m/>
  </r>
  <r>
    <x v="14"/>
    <x v="257"/>
    <s v="Softcare pads"/>
    <n v="1"/>
    <n v="85"/>
    <n v="66"/>
    <n v="19"/>
    <s v="Credit"/>
    <s v="Ruth"/>
    <m/>
    <m/>
    <m/>
  </r>
  <r>
    <x v="14"/>
    <x v="257"/>
    <s v="BB Bread 400g"/>
    <n v="1"/>
    <n v="65"/>
    <n v="60"/>
    <n v="5"/>
    <s v="Credit"/>
    <s v="Ruth"/>
    <m/>
    <m/>
    <m/>
  </r>
  <r>
    <x v="14"/>
    <x v="360"/>
    <s v="eggs"/>
    <n v="1"/>
    <n v="20"/>
    <n v="14.333333333333334"/>
    <n v="5.6666666666666661"/>
    <s v="Cash"/>
    <m/>
    <m/>
    <m/>
    <m/>
  </r>
  <r>
    <x v="14"/>
    <x v="361"/>
    <s v="Festive Bread 400g"/>
    <n v="1"/>
    <n v="65"/>
    <n v="60"/>
    <n v="5"/>
    <s v="Mpesa"/>
    <m/>
    <m/>
    <m/>
    <m/>
  </r>
  <r>
    <x v="14"/>
    <x v="362"/>
    <s v="eggs"/>
    <n v="3"/>
    <n v="60"/>
    <n v="43"/>
    <n v="17"/>
    <s v="Cash"/>
    <m/>
    <m/>
    <m/>
    <m/>
  </r>
  <r>
    <x v="14"/>
    <x v="362"/>
    <s v="scooter cans"/>
    <n v="1"/>
    <n v="20"/>
    <n v="15"/>
    <n v="5"/>
    <s v="Cash"/>
    <m/>
    <m/>
    <m/>
    <m/>
  </r>
  <r>
    <x v="14"/>
    <x v="280"/>
    <s v="kabras sugar 1kg"/>
    <n v="1"/>
    <n v="180"/>
    <n v="140"/>
    <n v="40"/>
    <s v="Mpesa"/>
    <m/>
    <m/>
    <m/>
    <m/>
  </r>
  <r>
    <x v="14"/>
    <x v="280"/>
    <s v="Kinangop Fresh Milk 500ml"/>
    <n v="1"/>
    <n v="60"/>
    <n v="55"/>
    <n v="5"/>
    <s v="Mpesa"/>
    <m/>
    <m/>
    <m/>
    <m/>
  </r>
  <r>
    <x v="14"/>
    <x v="262"/>
    <s v="Pishori rice"/>
    <n v="1"/>
    <n v="220"/>
    <n v="180"/>
    <n v="40"/>
    <s v="Mpesa"/>
    <m/>
    <m/>
    <m/>
    <m/>
  </r>
  <r>
    <x v="14"/>
    <x v="262"/>
    <s v="Mt kenya milk 500ml"/>
    <n v="2"/>
    <n v="130"/>
    <n v="96.666666666666671"/>
    <n v="33.333333333333329"/>
    <s v="Mpesa"/>
    <m/>
    <m/>
    <m/>
    <m/>
  </r>
  <r>
    <x v="14"/>
    <x v="262"/>
    <s v="BB Bread 200g"/>
    <n v="1"/>
    <n v="40"/>
    <n v="35"/>
    <n v="5"/>
    <s v="Mpesa"/>
    <m/>
    <m/>
    <m/>
    <m/>
  </r>
  <r>
    <x v="14"/>
    <x v="262"/>
    <s v="hoho"/>
    <n v="2"/>
    <n v="20"/>
    <n v="13.333333333333334"/>
    <n v="6.6666666666666661"/>
    <s v="Mpesa"/>
    <m/>
    <m/>
    <m/>
    <m/>
  </r>
  <r>
    <x v="14"/>
    <x v="262"/>
    <s v="Dhania"/>
    <n v="1"/>
    <n v="5"/>
    <n v="3.3333333333333335"/>
    <n v="1.6666666666666665"/>
    <s v="Mpesa"/>
    <m/>
    <m/>
    <m/>
    <m/>
  </r>
  <r>
    <x v="14"/>
    <x v="262"/>
    <s v="Colgate 35g"/>
    <n v="1"/>
    <n v="80"/>
    <n v="62.5"/>
    <n v="17.5"/>
    <s v="Mpesa"/>
    <m/>
    <m/>
    <m/>
    <m/>
  </r>
  <r>
    <x v="14"/>
    <x v="18"/>
    <s v="Kaluma King"/>
    <n v="2"/>
    <n v="40"/>
    <n v="26"/>
    <n v="14"/>
    <s v="Mpesa"/>
    <m/>
    <m/>
    <m/>
    <m/>
  </r>
  <r>
    <x v="14"/>
    <x v="363"/>
    <s v="sossi"/>
    <n v="1"/>
    <n v="50"/>
    <n v="37.5"/>
    <n v="12.5"/>
    <s v="Mpesa"/>
    <m/>
    <m/>
    <m/>
    <m/>
  </r>
  <r>
    <x v="14"/>
    <x v="363"/>
    <s v="Festive Bread 400g"/>
    <n v="1"/>
    <n v="65"/>
    <n v="60"/>
    <n v="5"/>
    <s v="Mpesa"/>
    <m/>
    <m/>
    <m/>
    <m/>
  </r>
  <r>
    <x v="14"/>
    <x v="364"/>
    <s v="Tropical"/>
    <n v="4"/>
    <n v="20"/>
    <n v="6"/>
    <n v="14"/>
    <s v="Cash"/>
    <m/>
    <m/>
    <m/>
    <m/>
  </r>
  <r>
    <x v="14"/>
    <x v="24"/>
    <s v="Tomatoes"/>
    <n v="2"/>
    <n v="20"/>
    <n v="10"/>
    <n v="10"/>
    <s v="Credit"/>
    <s v="Ruth"/>
    <m/>
    <m/>
    <m/>
  </r>
  <r>
    <x v="14"/>
    <x v="24"/>
    <s v="waru"/>
    <n v="1"/>
    <n v="50"/>
    <n v="29.999999999999996"/>
    <n v="20.000000000000004"/>
    <s v="Credit"/>
    <s v="Ruth"/>
    <m/>
    <m/>
    <m/>
  </r>
  <r>
    <x v="14"/>
    <x v="24"/>
    <s v="Onion"/>
    <n v="1"/>
    <n v="10"/>
    <n v="8"/>
    <n v="2"/>
    <s v="Credit"/>
    <s v="Ruth"/>
    <m/>
    <m/>
    <m/>
  </r>
  <r>
    <x v="14"/>
    <x v="24"/>
    <s v="Dhania"/>
    <n v="1"/>
    <n v="5"/>
    <n v="3.3333333333333335"/>
    <n v="1.6666666666666665"/>
    <s v="Credit"/>
    <s v="Ruth"/>
    <m/>
    <m/>
    <m/>
  </r>
  <r>
    <x v="14"/>
    <x v="365"/>
    <s v="Hanaan Tissue"/>
    <n v="1"/>
    <n v="50"/>
    <n v="43"/>
    <n v="7"/>
    <s v="Mpesa"/>
    <m/>
    <m/>
    <m/>
    <m/>
  </r>
  <r>
    <x v="14"/>
    <x v="365"/>
    <s v="Brookside Lala Sweetened"/>
    <n v="1"/>
    <n v="110"/>
    <n v="93"/>
    <n v="17"/>
    <s v="Mpesa"/>
    <m/>
    <m/>
    <m/>
    <m/>
  </r>
  <r>
    <x v="15"/>
    <x v="366"/>
    <s v="Toss 500g"/>
    <n v="1"/>
    <n v="250"/>
    <n v="175"/>
    <n v="75"/>
    <s v="Cash"/>
    <m/>
    <m/>
    <m/>
    <m/>
  </r>
  <r>
    <x v="15"/>
    <x v="367"/>
    <s v="BB Bread 400g"/>
    <n v="1"/>
    <n v="65"/>
    <n v="60"/>
    <n v="5"/>
    <s v="Credit"/>
    <s v="Irene"/>
    <m/>
    <m/>
    <m/>
  </r>
  <r>
    <x v="15"/>
    <x v="367"/>
    <s v="eggs"/>
    <n v="3"/>
    <n v="60"/>
    <n v="43"/>
    <n v="17"/>
    <s v="Credit"/>
    <s v="Irene"/>
    <m/>
    <m/>
    <m/>
  </r>
  <r>
    <x v="15"/>
    <x v="367"/>
    <s v="Onion"/>
    <n v="1"/>
    <n v="10"/>
    <n v="8"/>
    <n v="2"/>
    <s v="Credit"/>
    <s v="Irene"/>
    <m/>
    <m/>
    <m/>
  </r>
  <r>
    <x v="15"/>
    <x v="367"/>
    <s v="Tomatoes"/>
    <n v="1"/>
    <n v="10"/>
    <n v="5"/>
    <n v="5"/>
    <s v="Credit"/>
    <s v="Irene"/>
    <m/>
    <m/>
    <m/>
  </r>
  <r>
    <x v="15"/>
    <x v="355"/>
    <s v="Airtel 20 Credit"/>
    <n v="1"/>
    <n v="20"/>
    <n v="18"/>
    <n v="2"/>
    <s v="Cash"/>
    <m/>
    <m/>
    <m/>
    <m/>
  </r>
  <r>
    <x v="15"/>
    <x v="355"/>
    <s v="Airtel 10 Credit"/>
    <n v="1"/>
    <n v="10"/>
    <n v="9"/>
    <n v="1"/>
    <s v="Cash"/>
    <m/>
    <m/>
    <m/>
    <m/>
  </r>
  <r>
    <x v="15"/>
    <x v="179"/>
    <s v="Safari"/>
    <n v="1"/>
    <n v="15"/>
    <n v="8.5"/>
    <n v="6.5"/>
    <s v="Cash"/>
    <m/>
    <m/>
    <m/>
    <m/>
  </r>
  <r>
    <x v="15"/>
    <x v="248"/>
    <s v="Kinangop Fresh Milk 500ml"/>
    <n v="1"/>
    <n v="60"/>
    <n v="55"/>
    <n v="5"/>
    <s v="Credit"/>
    <s v="Faith"/>
    <m/>
    <m/>
    <m/>
  </r>
  <r>
    <x v="15"/>
    <x v="248"/>
    <s v="BB Bread 400g"/>
    <n v="1"/>
    <n v="65"/>
    <n v="60"/>
    <n v="5"/>
    <s v="Credit"/>
    <s v="Faith"/>
    <m/>
    <m/>
    <m/>
  </r>
  <r>
    <x v="15"/>
    <x v="368"/>
    <s v="Kdf"/>
    <n v="2"/>
    <n v="20"/>
    <n v="16.666666666666668"/>
    <n v="3.3333333333333321"/>
    <s v="Mpesa"/>
    <m/>
    <m/>
    <m/>
    <m/>
  </r>
  <r>
    <x v="15"/>
    <x v="368"/>
    <s v="Salama Condom"/>
    <n v="1"/>
    <n v="50"/>
    <n v="40"/>
    <n v="10"/>
    <s v="Mpesa"/>
    <m/>
    <m/>
    <m/>
    <m/>
  </r>
  <r>
    <x v="15"/>
    <x v="369"/>
    <s v="Mt Kenya milk 200ml"/>
    <n v="1"/>
    <n v="35"/>
    <n v="24.285714285714285"/>
    <n v="10.714285714285715"/>
    <s v="Credit"/>
    <s v="Grace"/>
    <m/>
    <m/>
    <m/>
  </r>
  <r>
    <x v="15"/>
    <x v="356"/>
    <s v="Kinangop Fresh Milk 500ml"/>
    <n v="1"/>
    <n v="60"/>
    <n v="55"/>
    <n v="5"/>
    <s v="Cash"/>
    <m/>
    <m/>
    <m/>
    <m/>
  </r>
  <r>
    <x v="15"/>
    <x v="153"/>
    <s v="Kdf"/>
    <n v="6"/>
    <n v="60"/>
    <n v="50"/>
    <n v="10"/>
    <s v="Cash"/>
    <m/>
    <m/>
    <m/>
    <m/>
  </r>
  <r>
    <x v="15"/>
    <x v="153"/>
    <s v="Peanut Cookies"/>
    <n v="1"/>
    <n v="35"/>
    <n v="25"/>
    <n v="10"/>
    <s v="Cash"/>
    <m/>
    <m/>
    <m/>
    <m/>
  </r>
  <r>
    <x v="15"/>
    <x v="370"/>
    <s v="Festive 600g"/>
    <n v="1"/>
    <n v="100"/>
    <n v="90"/>
    <n v="10"/>
    <s v="Mpesa"/>
    <m/>
    <m/>
    <m/>
    <m/>
  </r>
  <r>
    <x v="15"/>
    <x v="34"/>
    <s v="Medium Colgate Toothbrush"/>
    <n v="2"/>
    <n v="80"/>
    <n v="50"/>
    <n v="30"/>
    <s v="Mpesa"/>
    <m/>
    <m/>
    <m/>
    <m/>
  </r>
  <r>
    <x v="15"/>
    <x v="371"/>
    <s v="Match Box"/>
    <n v="8"/>
    <n v="40"/>
    <n v="18.888888888888889"/>
    <n v="21.111111111111111"/>
    <s v="Cash"/>
    <m/>
    <m/>
    <m/>
    <m/>
  </r>
  <r>
    <x v="15"/>
    <x v="372"/>
    <s v="soda 500ml glass"/>
    <n v="1"/>
    <n v="55"/>
    <n v="50"/>
    <n v="5"/>
    <s v="Mpesa"/>
    <m/>
    <m/>
    <m/>
    <m/>
  </r>
  <r>
    <x v="15"/>
    <x v="372"/>
    <s v="Kdf"/>
    <n v="4"/>
    <n v="40"/>
    <n v="33.333333333333336"/>
    <n v="6.6666666666666643"/>
    <s v="Mpesa"/>
    <m/>
    <m/>
    <m/>
    <m/>
  </r>
  <r>
    <x v="15"/>
    <x v="373"/>
    <s v="Onion"/>
    <n v="2"/>
    <n v="20"/>
    <n v="16"/>
    <n v="4"/>
    <s v="Cash"/>
    <m/>
    <m/>
    <m/>
    <m/>
  </r>
  <r>
    <x v="15"/>
    <x v="157"/>
    <s v="soda 300ml glass"/>
    <n v="1"/>
    <n v="40"/>
    <n v="32.5"/>
    <n v="7.5"/>
    <s v="Mpesa"/>
    <m/>
    <m/>
    <m/>
    <m/>
  </r>
  <r>
    <x v="15"/>
    <x v="157"/>
    <s v="Coconut Cakes"/>
    <n v="1"/>
    <n v="10"/>
    <n v="8.3333333333333339"/>
    <n v="1.6666666666666661"/>
    <s v="Mpesa"/>
    <m/>
    <m/>
    <m/>
    <m/>
  </r>
  <r>
    <x v="15"/>
    <x v="374"/>
    <s v="eggs"/>
    <n v="30"/>
    <n v="600"/>
    <n v="430"/>
    <n v="170"/>
    <s v="Mpesa"/>
    <m/>
    <m/>
    <m/>
    <m/>
  </r>
  <r>
    <x v="15"/>
    <x v="374"/>
    <s v="Goodday Cookies"/>
    <n v="1"/>
    <n v="15"/>
    <n v="9.3333333333333339"/>
    <n v="5.6666666666666661"/>
    <s v="Credit"/>
    <s v="Janet Mkale"/>
    <m/>
    <m/>
    <m/>
  </r>
  <r>
    <x v="15"/>
    <x v="375"/>
    <s v="Safaricom 10 Credit"/>
    <n v="1"/>
    <n v="10"/>
    <n v="9"/>
    <n v="1"/>
    <s v="Cash"/>
    <m/>
    <m/>
    <m/>
    <m/>
  </r>
  <r>
    <x v="15"/>
    <x v="260"/>
    <s v="Indomie chicken"/>
    <n v="1"/>
    <n v="50"/>
    <n v="37.5"/>
    <n v="12.5"/>
    <s v="Cash"/>
    <m/>
    <m/>
    <m/>
    <m/>
  </r>
  <r>
    <x v="15"/>
    <x v="376"/>
    <s v="Match Box"/>
    <n v="3"/>
    <n v="15"/>
    <n v="7.0833333333333339"/>
    <n v="7.9166666666666661"/>
    <s v="Cash"/>
    <m/>
    <m/>
    <m/>
    <m/>
  </r>
  <r>
    <x v="15"/>
    <x v="278"/>
    <s v="Coconut Cakes"/>
    <n v="4"/>
    <n v="40"/>
    <n v="33.333333333333336"/>
    <n v="6.6666666666666643"/>
    <s v="Mpesa"/>
    <m/>
    <m/>
    <m/>
    <m/>
  </r>
  <r>
    <x v="15"/>
    <x v="278"/>
    <s v="Tamu  Tamu Green"/>
    <n v="2"/>
    <n v="30"/>
    <n v="17.2"/>
    <n v="12.8"/>
    <s v="Mpesa"/>
    <m/>
    <m/>
    <m/>
    <m/>
  </r>
  <r>
    <x v="15"/>
    <x v="278"/>
    <s v="Milo"/>
    <n v="1"/>
    <n v="20"/>
    <n v="17.916666666666668"/>
    <n v="2.0833333333333321"/>
    <s v="Mpesa"/>
    <m/>
    <m/>
    <m/>
    <m/>
  </r>
  <r>
    <x v="15"/>
    <x v="278"/>
    <s v="Bigdaddy"/>
    <n v="1"/>
    <n v="10"/>
    <n v="6"/>
    <n v="4"/>
    <s v="Mpesa"/>
    <m/>
    <m/>
    <m/>
    <m/>
  </r>
  <r>
    <x v="15"/>
    <x v="280"/>
    <s v="eggs"/>
    <n v="5"/>
    <n v="100"/>
    <n v="71.666666666666671"/>
    <n v="28.333333333333329"/>
    <s v="Mpesa"/>
    <m/>
    <m/>
    <m/>
    <m/>
  </r>
  <r>
    <x v="15"/>
    <x v="280"/>
    <s v="Pembe 2kg"/>
    <n v="1"/>
    <n v="160"/>
    <n v="123.33333333333333"/>
    <n v="36.666666666666671"/>
    <s v="Mpesa"/>
    <m/>
    <m/>
    <m/>
    <m/>
  </r>
  <r>
    <x v="15"/>
    <x v="280"/>
    <s v="Dhania"/>
    <n v="1"/>
    <n v="5"/>
    <n v="3.3333333333333335"/>
    <n v="1.6666666666666665"/>
    <s v="Mpesa"/>
    <m/>
    <m/>
    <m/>
    <m/>
  </r>
  <r>
    <x v="15"/>
    <x v="280"/>
    <s v="Hanaan Tissue"/>
    <n v="1"/>
    <n v="50"/>
    <n v="43"/>
    <n v="7"/>
    <s v="Mpesa"/>
    <m/>
    <m/>
    <m/>
    <m/>
  </r>
  <r>
    <x v="15"/>
    <x v="280"/>
    <s v="Mt kenya milk 500ml"/>
    <n v="1"/>
    <n v="65"/>
    <n v="48.333333333333336"/>
    <n v="16.666666666666664"/>
    <s v="Mpesa"/>
    <m/>
    <m/>
    <m/>
    <m/>
  </r>
  <r>
    <x v="15"/>
    <x v="135"/>
    <s v="Cooking Oil Measured"/>
    <n v="0.25"/>
    <n v="70"/>
    <n v="50"/>
    <n v="20"/>
    <s v="Mpesa"/>
    <m/>
    <m/>
    <m/>
    <m/>
  </r>
  <r>
    <x v="15"/>
    <x v="377"/>
    <s v="Arimis big"/>
    <n v="1"/>
    <n v="60"/>
    <n v="45.833333333333336"/>
    <n v="14.166666666666664"/>
    <s v="Credit"/>
    <s v="Cate"/>
    <m/>
    <m/>
    <m/>
  </r>
  <r>
    <x v="15"/>
    <x v="377"/>
    <s v="Safari"/>
    <n v="3"/>
    <n v="45"/>
    <n v="25.5"/>
    <n v="19.5"/>
    <s v="Credit"/>
    <s v="Masaku"/>
    <s v="Masaku"/>
    <n v="35"/>
    <s v="Mpesa"/>
  </r>
  <r>
    <x v="15"/>
    <x v="64"/>
    <m/>
    <m/>
    <m/>
    <m/>
    <m/>
    <m/>
    <m/>
    <s v="Masaku"/>
    <n v="715"/>
    <s v="Mpesa"/>
  </r>
  <r>
    <x v="15"/>
    <x v="64"/>
    <s v="afia 500ml"/>
    <n v="1"/>
    <n v="85"/>
    <n v="70.833333333333329"/>
    <n v="14.166666666666671"/>
    <s v="Mpesa"/>
    <m/>
    <m/>
    <m/>
    <m/>
  </r>
  <r>
    <x v="15"/>
    <x v="83"/>
    <s v="5ltrs water"/>
    <n v="1"/>
    <n v="120"/>
    <n v="75"/>
    <n v="45"/>
    <s v="Credit"/>
    <s v="Masaku"/>
    <m/>
    <m/>
    <m/>
  </r>
  <r>
    <x v="15"/>
    <x v="83"/>
    <s v="Kinangop Fresh Milk 500ml"/>
    <n v="1"/>
    <n v="60"/>
    <n v="55"/>
    <n v="5"/>
    <s v="Credit"/>
    <s v="Masaku"/>
    <m/>
    <m/>
    <m/>
  </r>
  <r>
    <x v="15"/>
    <x v="83"/>
    <s v="Festive Bread 400g"/>
    <n v="1"/>
    <n v="65"/>
    <n v="60"/>
    <n v="5"/>
    <s v="Credit"/>
    <s v="Masaku"/>
    <m/>
    <m/>
    <m/>
  </r>
  <r>
    <x v="15"/>
    <x v="83"/>
    <s v="Blueband 100g"/>
    <n v="1"/>
    <n v="70"/>
    <n v="58.333333333333336"/>
    <n v="11.666666666666664"/>
    <s v="Credit"/>
    <s v="Masaku"/>
    <m/>
    <m/>
    <m/>
  </r>
  <r>
    <x v="15"/>
    <x v="23"/>
    <s v="waru"/>
    <n v="1"/>
    <n v="50"/>
    <n v="29.999999999999996"/>
    <n v="20.000000000000004"/>
    <s v="Credit"/>
    <s v="Ruth"/>
    <m/>
    <m/>
    <m/>
  </r>
  <r>
    <x v="15"/>
    <x v="23"/>
    <s v="Tomatoes"/>
    <n v="2"/>
    <n v="20"/>
    <n v="10"/>
    <n v="10"/>
    <s v="Credit"/>
    <s v="Ruth"/>
    <m/>
    <m/>
    <m/>
  </r>
  <r>
    <x v="15"/>
    <x v="23"/>
    <s v="Onion"/>
    <n v="1"/>
    <n v="10"/>
    <n v="8"/>
    <n v="2"/>
    <s v="Credit"/>
    <s v="Ruth"/>
    <m/>
    <m/>
    <m/>
  </r>
  <r>
    <x v="15"/>
    <x v="23"/>
    <s v="Dhania"/>
    <n v="1"/>
    <n v="5"/>
    <n v="3.3333333333333335"/>
    <n v="1.6666666666666665"/>
    <s v="Credit"/>
    <s v="Ruth"/>
    <m/>
    <m/>
    <m/>
  </r>
  <r>
    <x v="15"/>
    <x v="23"/>
    <s v="eggs"/>
    <n v="4"/>
    <n v="80"/>
    <n v="57.333333333333336"/>
    <n v="22.666666666666664"/>
    <s v="Credit"/>
    <s v="Ruth"/>
    <m/>
    <m/>
    <m/>
  </r>
  <r>
    <x v="15"/>
    <x v="23"/>
    <s v="Kinangop Fresh Milk 500ml"/>
    <n v="1"/>
    <n v="60"/>
    <n v="55"/>
    <n v="5"/>
    <s v="Credit"/>
    <s v="Ruth"/>
    <m/>
    <m/>
    <m/>
  </r>
  <r>
    <x v="15"/>
    <x v="23"/>
    <s v="Kinangop Fresh Milk 500ml"/>
    <n v="2"/>
    <n v="120"/>
    <n v="110"/>
    <n v="10"/>
    <s v="Credit"/>
    <s v="Faith"/>
    <m/>
    <m/>
    <m/>
  </r>
  <r>
    <x v="15"/>
    <x v="23"/>
    <s v="Kdf"/>
    <n v="2"/>
    <n v="20"/>
    <n v="16.666666666666668"/>
    <n v="3.3333333333333321"/>
    <s v="Credit"/>
    <s v="Faith"/>
    <m/>
    <m/>
    <m/>
  </r>
  <r>
    <x v="15"/>
    <x v="23"/>
    <s v="familla porriedge"/>
    <n v="1"/>
    <n v="100"/>
    <n v="80"/>
    <n v="20"/>
    <s v="Credit"/>
    <s v="Faith"/>
    <m/>
    <m/>
    <m/>
  </r>
  <r>
    <x v="15"/>
    <x v="365"/>
    <s v="Carrier bag small"/>
    <n v="1"/>
    <n v="10"/>
    <n v="3"/>
    <n v="7"/>
    <s v="Cash"/>
    <m/>
    <m/>
    <m/>
    <m/>
  </r>
  <r>
    <x v="15"/>
    <x v="365"/>
    <s v="Ginger Bisquit"/>
    <n v="8"/>
    <n v="40"/>
    <n v="34.666666666666664"/>
    <n v="5.3333333333333357"/>
    <s v="Cash"/>
    <m/>
    <m/>
    <m/>
    <m/>
  </r>
  <r>
    <x v="16"/>
    <x v="175"/>
    <s v="Festive Bread 400g"/>
    <n v="1"/>
    <n v="65"/>
    <n v="60"/>
    <n v="5"/>
    <s v="Cash"/>
    <m/>
    <m/>
    <m/>
    <m/>
  </r>
  <r>
    <x v="16"/>
    <x v="378"/>
    <s v="Brookside milk 500ml"/>
    <n v="1"/>
    <n v="70"/>
    <n v="59"/>
    <n v="11"/>
    <s v="Mpesa"/>
    <m/>
    <m/>
    <m/>
    <m/>
  </r>
  <r>
    <x v="16"/>
    <x v="179"/>
    <s v="Safari"/>
    <n v="1"/>
    <n v="15"/>
    <n v="8.5"/>
    <n v="6.5"/>
    <s v="Cash"/>
    <m/>
    <m/>
    <m/>
    <m/>
  </r>
  <r>
    <x v="16"/>
    <x v="369"/>
    <s v="Super Glue"/>
    <n v="1"/>
    <n v="30"/>
    <n v="23.333333333333332"/>
    <n v="6.6666666666666679"/>
    <s v="Mpesa"/>
    <m/>
    <m/>
    <m/>
    <m/>
  </r>
  <r>
    <x v="16"/>
    <x v="369"/>
    <s v="Peanut Cookies"/>
    <n v="1"/>
    <n v="35"/>
    <n v="25"/>
    <n v="10"/>
    <s v="Mpesa"/>
    <m/>
    <m/>
    <m/>
    <m/>
  </r>
  <r>
    <x v="16"/>
    <x v="379"/>
    <s v="Festive 800g"/>
    <n v="1"/>
    <n v="130"/>
    <n v="120"/>
    <n v="10"/>
    <s v="Mpesa"/>
    <m/>
    <m/>
    <m/>
    <m/>
  </r>
  <r>
    <x v="16"/>
    <x v="380"/>
    <s v="Peanut Cookies"/>
    <n v="1"/>
    <n v="35"/>
    <n v="25"/>
    <n v="10"/>
    <s v="Mpesa"/>
    <m/>
    <m/>
    <m/>
    <m/>
  </r>
  <r>
    <x v="16"/>
    <x v="380"/>
    <s v="Half pound cake"/>
    <n v="1"/>
    <n v="100"/>
    <n v="90"/>
    <n v="10"/>
    <s v="Mpesa"/>
    <m/>
    <m/>
    <m/>
    <m/>
  </r>
  <r>
    <x v="16"/>
    <x v="381"/>
    <s v="omo 75g"/>
    <n v="1"/>
    <n v="35"/>
    <n v="27.5"/>
    <n v="7.5"/>
    <s v="Mpesa"/>
    <m/>
    <m/>
    <m/>
    <m/>
  </r>
  <r>
    <x v="16"/>
    <x v="381"/>
    <s v="Whitewash "/>
    <n v="1"/>
    <n v="50"/>
    <n v="33.75"/>
    <n v="16.25"/>
    <s v="Mpesa"/>
    <m/>
    <m/>
    <m/>
    <m/>
  </r>
  <r>
    <x v="16"/>
    <x v="382"/>
    <s v="Indomie chicken"/>
    <n v="1"/>
    <n v="50"/>
    <n v="37.5"/>
    <n v="12.5"/>
    <s v="Cash"/>
    <m/>
    <m/>
    <m/>
    <m/>
  </r>
  <r>
    <x v="16"/>
    <x v="383"/>
    <s v="Peanut Cookies"/>
    <n v="1"/>
    <n v="35"/>
    <n v="25"/>
    <n v="10"/>
    <s v="Cash"/>
    <m/>
    <m/>
    <m/>
    <m/>
  </r>
  <r>
    <x v="16"/>
    <x v="383"/>
    <s v="Banana"/>
    <n v="1"/>
    <n v="10"/>
    <n v="8.3333333333333339"/>
    <n v="1.6666666666666661"/>
    <s v="Cash"/>
    <m/>
    <m/>
    <m/>
    <m/>
  </r>
  <r>
    <x v="16"/>
    <x v="384"/>
    <s v="Match Box"/>
    <n v="12"/>
    <n v="50"/>
    <n v="28.333333333333336"/>
    <n v="21.666666666666664"/>
    <s v="Cash"/>
    <m/>
    <m/>
    <m/>
    <m/>
  </r>
  <r>
    <x v="16"/>
    <x v="384"/>
    <s v="Bigdaddy"/>
    <n v="2"/>
    <n v="20"/>
    <n v="12"/>
    <n v="8"/>
    <s v="Cash"/>
    <m/>
    <m/>
    <m/>
    <m/>
  </r>
  <r>
    <x v="16"/>
    <x v="337"/>
    <s v="eggs"/>
    <n v="2"/>
    <n v="40"/>
    <n v="28.666666666666668"/>
    <n v="11.333333333333332"/>
    <s v="Mpesa"/>
    <m/>
    <m/>
    <m/>
    <m/>
  </r>
  <r>
    <x v="16"/>
    <x v="385"/>
    <s v="eggs"/>
    <n v="5"/>
    <n v="100"/>
    <n v="71.666666666666671"/>
    <n v="28.333333333333329"/>
    <s v="Cash"/>
    <m/>
    <m/>
    <m/>
    <m/>
  </r>
  <r>
    <x v="16"/>
    <x v="385"/>
    <s v="Downy lavender"/>
    <n v="1"/>
    <n v="20"/>
    <n v="17.333333333333332"/>
    <n v="2.6666666666666679"/>
    <s v="Cash"/>
    <m/>
    <m/>
    <m/>
    <m/>
  </r>
  <r>
    <x v="16"/>
    <x v="386"/>
    <s v="BB Bread 400g"/>
    <n v="1"/>
    <n v="65"/>
    <n v="60"/>
    <n v="5"/>
    <s v="Mpesa"/>
    <m/>
    <m/>
    <m/>
    <m/>
  </r>
  <r>
    <x v="16"/>
    <x v="386"/>
    <s v="Peanut Cookies"/>
    <n v="1"/>
    <n v="35"/>
    <n v="25"/>
    <n v="10"/>
    <s v="Mpesa"/>
    <m/>
    <m/>
    <m/>
    <m/>
  </r>
  <r>
    <x v="16"/>
    <x v="387"/>
    <s v="Pishori rice"/>
    <n v="1"/>
    <n v="220"/>
    <n v="180"/>
    <n v="40"/>
    <s v="Cash"/>
    <m/>
    <m/>
    <m/>
    <m/>
  </r>
  <r>
    <x v="16"/>
    <x v="387"/>
    <s v="Airtel 50 Credit"/>
    <n v="2"/>
    <n v="100"/>
    <n v="94"/>
    <n v="6"/>
    <s v="Cash"/>
    <m/>
    <m/>
    <m/>
    <m/>
  </r>
  <r>
    <x v="16"/>
    <x v="387"/>
    <s v="Bigboss"/>
    <n v="4"/>
    <n v="20"/>
    <n v="14"/>
    <n v="6"/>
    <s v="Cash"/>
    <m/>
    <m/>
    <m/>
    <m/>
  </r>
  <r>
    <x v="16"/>
    <x v="388"/>
    <s v="Cabbage"/>
    <n v="1"/>
    <n v="180"/>
    <n v="120"/>
    <n v="60"/>
    <s v="Credit"/>
    <s v="Irene"/>
    <m/>
    <m/>
    <m/>
  </r>
  <r>
    <x v="16"/>
    <x v="388"/>
    <s v="Royco cubes"/>
    <n v="2"/>
    <n v="10"/>
    <n v="6"/>
    <n v="4"/>
    <s v="Credit"/>
    <s v="Irene"/>
    <m/>
    <m/>
    <m/>
  </r>
  <r>
    <x v="16"/>
    <x v="388"/>
    <s v="hoho"/>
    <n v="2"/>
    <n v="20"/>
    <n v="13.333333333333334"/>
    <n v="6.6666666666666661"/>
    <s v="Credit"/>
    <s v="Irene"/>
    <m/>
    <m/>
    <m/>
  </r>
  <r>
    <x v="16"/>
    <x v="8"/>
    <s v="soda 500ml glass"/>
    <n v="2"/>
    <n v="110"/>
    <n v="100"/>
    <n v="10"/>
    <s v="Mpesa"/>
    <m/>
    <m/>
    <m/>
    <m/>
  </r>
  <r>
    <x v="16"/>
    <x v="8"/>
    <s v="Kdf"/>
    <n v="4"/>
    <n v="40"/>
    <n v="33.333333333333336"/>
    <n v="6.6666666666666643"/>
    <s v="Mpesa"/>
    <m/>
    <m/>
    <m/>
    <m/>
  </r>
  <r>
    <x v="16"/>
    <x v="8"/>
    <s v="Nuvita Bisquit"/>
    <n v="8"/>
    <n v="40"/>
    <n v="33.333333333333336"/>
    <n v="6.6666666666666643"/>
    <s v="Mpesa"/>
    <m/>
    <m/>
    <m/>
    <m/>
  </r>
  <r>
    <x v="16"/>
    <x v="8"/>
    <s v="BB Bread 400g"/>
    <n v="1"/>
    <n v="65"/>
    <n v="60"/>
    <n v="5"/>
    <s v="Mpesa"/>
    <m/>
    <m/>
    <m/>
    <m/>
  </r>
  <r>
    <x v="16"/>
    <x v="389"/>
    <s v="eggs"/>
    <n v="2"/>
    <n v="40"/>
    <n v="28.666666666666668"/>
    <n v="11.333333333333332"/>
    <s v="Mpesa"/>
    <m/>
    <m/>
    <m/>
    <m/>
  </r>
  <r>
    <x v="16"/>
    <x v="389"/>
    <s v="Festive Bread 400g"/>
    <n v="1"/>
    <n v="65"/>
    <n v="60"/>
    <n v="5"/>
    <s v="Mpesa"/>
    <m/>
    <m/>
    <m/>
    <m/>
  </r>
  <r>
    <x v="16"/>
    <x v="209"/>
    <s v="Gomba"/>
    <n v="2"/>
    <n v="5"/>
    <n v="3.6"/>
    <n v="1.4"/>
    <s v="Cash"/>
    <m/>
    <m/>
    <m/>
    <m/>
  </r>
  <r>
    <x v="16"/>
    <x v="44"/>
    <s v="Maramoja"/>
    <n v="2"/>
    <n v="20"/>
    <n v="14"/>
    <n v="6"/>
    <s v="Mpesa"/>
    <m/>
    <m/>
    <m/>
    <m/>
  </r>
  <r>
    <x v="16"/>
    <x v="79"/>
    <s v="Ring Cake"/>
    <n v="1"/>
    <n v="50"/>
    <n v="45"/>
    <n v="5"/>
    <s v="Cash"/>
    <m/>
    <m/>
    <m/>
    <m/>
  </r>
  <r>
    <x v="16"/>
    <x v="390"/>
    <s v="Festive Bread 400g"/>
    <n v="1"/>
    <n v="65"/>
    <n v="60"/>
    <n v="5"/>
    <s v="Credit"/>
    <s v="Ruth"/>
    <s v="Ruth"/>
    <n v="60"/>
    <s v="Mpesa"/>
  </r>
  <r>
    <x v="16"/>
    <x v="391"/>
    <s v="Royco Beef Mchuzi Mix"/>
    <n v="1"/>
    <n v="10"/>
    <n v="8.3333333333333339"/>
    <n v="1.6666666666666661"/>
    <s v="Mpesa"/>
    <m/>
    <m/>
    <m/>
    <m/>
  </r>
  <r>
    <x v="16"/>
    <x v="391"/>
    <s v="Onion"/>
    <n v="3"/>
    <n v="45"/>
    <n v="24"/>
    <n v="21"/>
    <s v="Credit"/>
    <s v="juliana"/>
    <m/>
    <m/>
    <m/>
  </r>
  <r>
    <x v="16"/>
    <x v="47"/>
    <s v="Mt kenya milk 500ml"/>
    <n v="2"/>
    <n v="130"/>
    <n v="96.666666666666671"/>
    <n v="33.333333333333329"/>
    <s v="Mpesa"/>
    <m/>
    <m/>
    <m/>
    <m/>
  </r>
  <r>
    <x v="16"/>
    <x v="169"/>
    <s v="Tamu  Tamu Green"/>
    <n v="2"/>
    <n v="30"/>
    <n v="17.2"/>
    <n v="12.8"/>
    <s v="Cash"/>
    <m/>
    <m/>
    <m/>
    <m/>
  </r>
  <r>
    <x v="16"/>
    <x v="169"/>
    <s v="Nuvita Bisquit"/>
    <n v="4"/>
    <n v="20"/>
    <n v="16.666666666666668"/>
    <n v="3.3333333333333321"/>
    <s v="Cash"/>
    <m/>
    <m/>
    <m/>
    <m/>
  </r>
  <r>
    <x v="16"/>
    <x v="15"/>
    <s v="Garlic"/>
    <n v="2"/>
    <n v="60"/>
    <n v="40"/>
    <n v="20"/>
    <s v="Cash"/>
    <m/>
    <m/>
    <m/>
    <m/>
  </r>
  <r>
    <x v="16"/>
    <x v="192"/>
    <s v=" soda 1.25lts"/>
    <n v="1"/>
    <n v="130"/>
    <n v="112.5"/>
    <n v="17.5"/>
    <s v="Mpesa"/>
    <m/>
    <m/>
    <m/>
    <m/>
  </r>
  <r>
    <x v="16"/>
    <x v="192"/>
    <s v="Tomatoes"/>
    <n v="10"/>
    <n v="100"/>
    <n v="50"/>
    <n v="50"/>
    <s v="Mpesa"/>
    <m/>
    <m/>
    <m/>
    <m/>
  </r>
  <r>
    <x v="16"/>
    <x v="192"/>
    <s v="Carrier bag small"/>
    <n v="1"/>
    <n v="10"/>
    <n v="3"/>
    <n v="7"/>
    <s v="Mpesa"/>
    <m/>
    <m/>
    <m/>
    <m/>
  </r>
  <r>
    <x v="16"/>
    <x v="80"/>
    <s v="Festive 600g"/>
    <n v="1"/>
    <n v="100"/>
    <n v="90"/>
    <n v="10"/>
    <s v="Mpesa"/>
    <m/>
    <m/>
    <m/>
    <m/>
  </r>
  <r>
    <x v="16"/>
    <x v="392"/>
    <s v="Festive Bread 400g"/>
    <n v="2"/>
    <n v="130"/>
    <n v="120"/>
    <n v="10"/>
    <s v="Mpesa"/>
    <m/>
    <m/>
    <m/>
    <m/>
  </r>
  <r>
    <x v="16"/>
    <x v="214"/>
    <s v="eggs"/>
    <n v="3"/>
    <n v="60"/>
    <n v="43"/>
    <n v="17"/>
    <s v="Cash"/>
    <m/>
    <m/>
    <m/>
    <m/>
  </r>
  <r>
    <x v="16"/>
    <x v="214"/>
    <s v="eggs"/>
    <n v="1"/>
    <n v="20"/>
    <n v="14.333333333333334"/>
    <n v="5.6666666666666661"/>
    <s v="Credit"/>
    <s v="Titus"/>
    <m/>
    <m/>
    <m/>
  </r>
  <r>
    <x v="16"/>
    <x v="214"/>
    <s v="Onion"/>
    <n v="1"/>
    <n v="10"/>
    <n v="8"/>
    <n v="2"/>
    <s v="Credit"/>
    <s v="Titus"/>
    <m/>
    <m/>
    <m/>
  </r>
  <r>
    <x v="16"/>
    <x v="214"/>
    <s v="Tomatoes"/>
    <n v="1"/>
    <n v="10"/>
    <n v="5"/>
    <n v="5"/>
    <s v="Credit"/>
    <s v="Titus"/>
    <m/>
    <m/>
    <m/>
  </r>
  <r>
    <x v="16"/>
    <x v="214"/>
    <s v="210 Maize Meal 2kg"/>
    <n v="2"/>
    <n v="320"/>
    <n v="234.16666666666666"/>
    <n v="85.833333333333343"/>
    <s v="Credit"/>
    <s v="Titus"/>
    <m/>
    <m/>
    <m/>
  </r>
  <r>
    <x v="16"/>
    <x v="393"/>
    <s v="Bigdaddy"/>
    <n v="1"/>
    <n v="10"/>
    <n v="6"/>
    <n v="4"/>
    <s v="Cash"/>
    <m/>
    <m/>
    <m/>
    <m/>
  </r>
  <r>
    <x v="16"/>
    <x v="393"/>
    <s v="Bigdaddy"/>
    <n v="2"/>
    <n v="20"/>
    <n v="12"/>
    <n v="8"/>
    <s v="Cash"/>
    <m/>
    <m/>
    <m/>
    <m/>
  </r>
  <r>
    <x v="16"/>
    <x v="267"/>
    <s v="210 Maize Meal 2kg"/>
    <n v="1"/>
    <n v="160"/>
    <n v="117.08333333333333"/>
    <n v="42.916666666666671"/>
    <s v="Mpesa"/>
    <m/>
    <m/>
    <m/>
    <m/>
  </r>
  <r>
    <x v="16"/>
    <x v="267"/>
    <s v="eggs"/>
    <n v="3"/>
    <n v="60"/>
    <n v="43"/>
    <n v="17"/>
    <s v="Mpesa"/>
    <m/>
    <m/>
    <m/>
    <m/>
  </r>
  <r>
    <x v="16"/>
    <x v="267"/>
    <s v="Mt Kenya milk 200ml"/>
    <n v="1"/>
    <n v="35"/>
    <n v="24.285714285714285"/>
    <n v="10.714285714285715"/>
    <s v="Mpesa"/>
    <m/>
    <m/>
    <m/>
    <m/>
  </r>
  <r>
    <x v="16"/>
    <x v="244"/>
    <s v="Cooking Oil Measured"/>
    <n v="2"/>
    <n v="560"/>
    <n v="400"/>
    <n v="160"/>
    <s v="Mpesa"/>
    <m/>
    <m/>
    <m/>
    <m/>
  </r>
  <r>
    <x v="16"/>
    <x v="244"/>
    <s v="Menengai Bar 1kg"/>
    <n v="0.2"/>
    <n v="50"/>
    <n v="38"/>
    <n v="12"/>
    <s v="Credit"/>
    <s v="Titus"/>
    <m/>
    <m/>
    <m/>
  </r>
  <r>
    <x v="16"/>
    <x v="24"/>
    <s v="Cooking Oil Measured"/>
    <n v="0.25"/>
    <n v="70"/>
    <n v="50"/>
    <n v="20"/>
    <s v="Mpesa"/>
    <m/>
    <m/>
    <m/>
    <m/>
  </r>
  <r>
    <x v="16"/>
    <x v="24"/>
    <s v="BB Bread 200g"/>
    <n v="1"/>
    <n v="40"/>
    <n v="35"/>
    <n v="5"/>
    <s v="Mpesa"/>
    <m/>
    <m/>
    <m/>
    <m/>
  </r>
  <r>
    <x v="16"/>
    <x v="24"/>
    <s v="waru"/>
    <n v="1"/>
    <n v="50"/>
    <n v="29.999999999999996"/>
    <n v="20.000000000000004"/>
    <s v="Mpesa"/>
    <m/>
    <m/>
    <m/>
    <m/>
  </r>
  <r>
    <x v="16"/>
    <x v="24"/>
    <s v="Brookside Lala Sweetened"/>
    <n v="1"/>
    <n v="110"/>
    <n v="93"/>
    <n v="17"/>
    <s v="Credit"/>
    <s v="Milly"/>
    <m/>
    <m/>
    <m/>
  </r>
  <r>
    <x v="16"/>
    <x v="24"/>
    <s v="Indomie chicken"/>
    <n v="3"/>
    <n v="150"/>
    <n v="112.5"/>
    <n v="37.5"/>
    <s v="Credit"/>
    <s v="Ken"/>
    <m/>
    <m/>
    <m/>
  </r>
  <r>
    <x v="17"/>
    <x v="177"/>
    <s v="Festive 800g"/>
    <n v="1"/>
    <n v="130"/>
    <n v="120"/>
    <n v="10"/>
    <s v="Credit"/>
    <s v="Ruth"/>
    <m/>
    <m/>
    <m/>
  </r>
  <r>
    <x v="17"/>
    <x v="307"/>
    <s v="Ajab 2kg"/>
    <n v="2"/>
    <n v="440"/>
    <n v="350"/>
    <n v="90"/>
    <s v="Credit"/>
    <s v="Grace"/>
    <m/>
    <m/>
    <m/>
  </r>
  <r>
    <x v="17"/>
    <x v="307"/>
    <s v="kabras sugar 1kg"/>
    <n v="1"/>
    <n v="180"/>
    <n v="140"/>
    <n v="40"/>
    <s v="Credit"/>
    <s v="Grace"/>
    <m/>
    <m/>
    <m/>
  </r>
  <r>
    <x v="17"/>
    <x v="307"/>
    <s v="Colgate Herbal 70g"/>
    <n v="1"/>
    <n v="160"/>
    <n v="133.33333333333334"/>
    <n v="26.666666666666657"/>
    <s v="Credit"/>
    <s v="Grace"/>
    <m/>
    <m/>
    <m/>
  </r>
  <r>
    <x v="17"/>
    <x v="307"/>
    <s v="Menengai Bar 1kg"/>
    <n v="1"/>
    <n v="250"/>
    <n v="190"/>
    <n v="60"/>
    <s v="Credit"/>
    <s v="Grace"/>
    <m/>
    <m/>
    <m/>
  </r>
  <r>
    <x v="17"/>
    <x v="355"/>
    <s v="Kinangop Fresh Milk 500ml"/>
    <n v="1"/>
    <n v="60"/>
    <n v="55"/>
    <n v="5"/>
    <s v="Credit"/>
    <s v="Faith"/>
    <m/>
    <m/>
    <m/>
  </r>
  <r>
    <x v="17"/>
    <x v="355"/>
    <s v="BB Bread 400g"/>
    <n v="1"/>
    <n v="65"/>
    <n v="60"/>
    <n v="5"/>
    <s v="Credit"/>
    <s v="Faith"/>
    <m/>
    <m/>
    <m/>
  </r>
  <r>
    <x v="17"/>
    <x v="355"/>
    <s v="Fahari Tea 50g"/>
    <n v="1"/>
    <n v="30"/>
    <n v="17.5"/>
    <n v="12.5"/>
    <s v="Credit"/>
    <s v="Faith"/>
    <m/>
    <m/>
    <m/>
  </r>
  <r>
    <x v="17"/>
    <x v="355"/>
    <m/>
    <m/>
    <m/>
    <m/>
    <m/>
    <m/>
    <m/>
    <s v="Faith"/>
    <n v="595"/>
    <s v="Cash"/>
  </r>
  <r>
    <x v="17"/>
    <x v="355"/>
    <m/>
    <m/>
    <m/>
    <m/>
    <m/>
    <m/>
    <m/>
    <s v="Gladys"/>
    <n v="50"/>
    <s v="Mpesa"/>
  </r>
  <r>
    <x v="17"/>
    <x v="355"/>
    <m/>
    <m/>
    <m/>
    <m/>
    <n v="0"/>
    <m/>
    <m/>
    <s v="Grace"/>
    <n v="75"/>
    <s v="Cash"/>
  </r>
  <r>
    <x v="17"/>
    <x v="290"/>
    <s v="Choc-chip Cookies"/>
    <n v="1"/>
    <n v="35"/>
    <n v="25"/>
    <n v="10"/>
    <s v="Mpesa"/>
    <m/>
    <m/>
    <m/>
    <m/>
  </r>
  <r>
    <x v="17"/>
    <x v="290"/>
    <s v="Festive Bread 400g"/>
    <n v="1"/>
    <n v="65"/>
    <n v="60"/>
    <n v="5"/>
    <s v="Mpesa"/>
    <m/>
    <m/>
    <m/>
    <m/>
  </r>
  <r>
    <x v="17"/>
    <x v="290"/>
    <s v="Medium Colgate Toothbrush"/>
    <n v="2"/>
    <n v="80"/>
    <n v="50"/>
    <n v="30"/>
    <s v="Mpesa"/>
    <m/>
    <m/>
    <m/>
    <m/>
  </r>
  <r>
    <x v="17"/>
    <x v="67"/>
    <s v="Pishori rice"/>
    <n v="1"/>
    <n v="220"/>
    <n v="180"/>
    <n v="40"/>
    <s v="Mpesa"/>
    <m/>
    <m/>
    <m/>
    <m/>
  </r>
  <r>
    <x v="17"/>
    <x v="67"/>
    <s v="kabras sugar 1kg"/>
    <n v="1"/>
    <n v="180"/>
    <n v="140"/>
    <n v="40"/>
    <s v="Mpesa"/>
    <m/>
    <m/>
    <m/>
    <m/>
  </r>
  <r>
    <x v="17"/>
    <x v="67"/>
    <s v="Freshfry"/>
    <n v="1"/>
    <n v="350"/>
    <n v="290"/>
    <n v="60"/>
    <s v="Mpesa"/>
    <m/>
    <m/>
    <m/>
    <m/>
  </r>
  <r>
    <x v="17"/>
    <x v="67"/>
    <s v="Hanaan Tissue"/>
    <n v="2"/>
    <n v="100"/>
    <n v="86"/>
    <n v="14"/>
    <s v="Mpesa"/>
    <m/>
    <m/>
    <m/>
    <m/>
  </r>
  <r>
    <x v="17"/>
    <x v="67"/>
    <s v="Downy lavender"/>
    <n v="3"/>
    <n v="60"/>
    <n v="52"/>
    <n v="8"/>
    <s v="Mpesa"/>
    <m/>
    <m/>
    <m/>
    <m/>
  </r>
  <r>
    <x v="17"/>
    <x v="67"/>
    <s v="Tomatoes"/>
    <n v="3"/>
    <n v="30"/>
    <n v="15"/>
    <n v="15"/>
    <s v="Mpesa"/>
    <m/>
    <m/>
    <m/>
    <m/>
  </r>
  <r>
    <x v="17"/>
    <x v="67"/>
    <s v="Brookside milk 500ml"/>
    <n v="1"/>
    <n v="70"/>
    <n v="59"/>
    <n v="11"/>
    <s v="Mpesa"/>
    <m/>
    <m/>
    <m/>
    <m/>
  </r>
  <r>
    <x v="17"/>
    <x v="67"/>
    <s v="eggs"/>
    <n v="10"/>
    <n v="200"/>
    <n v="143.33333333333334"/>
    <n v="56.666666666666657"/>
    <s v="Mpesa"/>
    <m/>
    <m/>
    <m/>
    <m/>
  </r>
  <r>
    <x v="17"/>
    <x v="67"/>
    <s v="Whitewash "/>
    <n v="1"/>
    <n v="50"/>
    <n v="33.75"/>
    <n v="16.25"/>
    <s v="Mpesa"/>
    <m/>
    <m/>
    <m/>
    <m/>
  </r>
  <r>
    <x v="17"/>
    <x v="67"/>
    <s v="Bitez"/>
    <n v="2"/>
    <n v="30"/>
    <n v="17.600000000000001"/>
    <n v="12.399999999999999"/>
    <s v="Mpesa"/>
    <m/>
    <m/>
    <m/>
    <m/>
  </r>
  <r>
    <x v="17"/>
    <x v="67"/>
    <s v="Royco cubes"/>
    <n v="6"/>
    <n v="30"/>
    <n v="18"/>
    <n v="12"/>
    <s v="Mpesa"/>
    <m/>
    <m/>
    <m/>
    <m/>
  </r>
  <r>
    <x v="17"/>
    <x v="67"/>
    <s v="Match Box"/>
    <n v="4"/>
    <n v="20"/>
    <n v="9.4444444444444446"/>
    <n v="10.555555555555555"/>
    <s v="Mpesa"/>
    <m/>
    <m/>
    <m/>
    <m/>
  </r>
  <r>
    <x v="17"/>
    <x v="67"/>
    <s v="Ajab 2kg"/>
    <n v="1"/>
    <n v="220"/>
    <n v="175"/>
    <n v="45"/>
    <s v="Mpesa"/>
    <m/>
    <m/>
    <m/>
    <m/>
  </r>
  <r>
    <x v="17"/>
    <x v="67"/>
    <s v="Tukuza 1kg"/>
    <n v="1"/>
    <n v="90"/>
    <n v="61.25"/>
    <n v="28.75"/>
    <s v="Mpesa"/>
    <m/>
    <m/>
    <m/>
    <m/>
  </r>
  <r>
    <x v="17"/>
    <x v="67"/>
    <s v="Indomie chicken"/>
    <n v="2"/>
    <n v="100"/>
    <n v="75"/>
    <n v="25"/>
    <s v="Mpesa"/>
    <m/>
    <m/>
    <m/>
    <m/>
  </r>
  <r>
    <x v="17"/>
    <x v="67"/>
    <s v="soda 500ml glass"/>
    <n v="1"/>
    <n v="55"/>
    <n v="50"/>
    <n v="5"/>
    <s v="Mpesa"/>
    <m/>
    <m/>
    <m/>
    <m/>
  </r>
  <r>
    <x v="17"/>
    <x v="67"/>
    <s v="Sunlight 400g"/>
    <n v="1"/>
    <n v="250"/>
    <n v="150"/>
    <n v="100"/>
    <s v="Mpesa"/>
    <m/>
    <m/>
    <m/>
    <m/>
  </r>
  <r>
    <x v="17"/>
    <x v="394"/>
    <s v="Safari"/>
    <n v="1"/>
    <n v="15"/>
    <n v="8.5"/>
    <n v="6.5"/>
    <s v="Cash"/>
    <m/>
    <m/>
    <m/>
    <m/>
  </r>
  <r>
    <x v="17"/>
    <x v="395"/>
    <s v="BB Bread 400g"/>
    <n v="1"/>
    <n v="65"/>
    <n v="60"/>
    <n v="5"/>
    <s v="Credit"/>
    <s v="Lucy"/>
    <m/>
    <m/>
    <m/>
  </r>
  <r>
    <x v="17"/>
    <x v="69"/>
    <s v="Mt Kenya milk 200ml"/>
    <n v="1"/>
    <n v="35"/>
    <n v="24.285714285714285"/>
    <n v="10.714285714285715"/>
    <s v="Cash"/>
    <m/>
    <m/>
    <m/>
    <m/>
  </r>
  <r>
    <x v="17"/>
    <x v="69"/>
    <s v="Sugar"/>
    <n v="0.5"/>
    <n v="90"/>
    <n v="65"/>
    <n v="25"/>
    <s v="Cash"/>
    <m/>
    <m/>
    <m/>
    <m/>
  </r>
  <r>
    <x v="17"/>
    <x v="295"/>
    <s v="Mt kenya milk 500ml"/>
    <n v="1"/>
    <n v="65"/>
    <n v="48.333333333333336"/>
    <n v="16.666666666666664"/>
    <s v="Mpesa"/>
    <m/>
    <m/>
    <m/>
    <m/>
  </r>
  <r>
    <x v="17"/>
    <x v="295"/>
    <s v="BB Bread 400g"/>
    <n v="1"/>
    <n v="65"/>
    <n v="60"/>
    <n v="5"/>
    <s v="Mpesa"/>
    <m/>
    <m/>
    <m/>
    <m/>
  </r>
  <r>
    <x v="17"/>
    <x v="4"/>
    <s v="Kinangop Fresh Milk 500ml"/>
    <n v="1"/>
    <n v="60"/>
    <n v="55"/>
    <n v="5"/>
    <s v="Mpesa"/>
    <m/>
    <m/>
    <m/>
    <m/>
  </r>
  <r>
    <x v="17"/>
    <x v="4"/>
    <s v="omo 75g"/>
    <n v="1"/>
    <n v="35"/>
    <n v="27.5"/>
    <n v="7.5"/>
    <s v="Mpesa"/>
    <m/>
    <m/>
    <m/>
    <m/>
  </r>
  <r>
    <x v="17"/>
    <x v="4"/>
    <s v="Whitewash "/>
    <n v="1"/>
    <n v="50"/>
    <n v="33.75"/>
    <n v="16.25"/>
    <s v="Mpesa"/>
    <m/>
    <m/>
    <m/>
    <m/>
  </r>
  <r>
    <x v="17"/>
    <x v="251"/>
    <s v="Pishori rice"/>
    <n v="1"/>
    <n v="220"/>
    <n v="180"/>
    <n v="40"/>
    <s v="Credit"/>
    <s v="Mum Victor"/>
    <s v="Mum Victor"/>
    <n v="200"/>
    <s v="Mpesa"/>
  </r>
  <r>
    <x v="17"/>
    <x v="251"/>
    <m/>
    <m/>
    <m/>
    <m/>
    <m/>
    <m/>
    <m/>
    <s v="Ruth"/>
    <n v="100"/>
    <s v="Mpesa"/>
  </r>
  <r>
    <x v="17"/>
    <x v="396"/>
    <s v="Sugar"/>
    <n v="0.5"/>
    <n v="90"/>
    <n v="65"/>
    <n v="25"/>
    <s v="Mpesa"/>
    <m/>
    <m/>
    <m/>
    <m/>
  </r>
  <r>
    <x v="17"/>
    <x v="397"/>
    <s v="Colgate 15g"/>
    <n v="1"/>
    <n v="50"/>
    <n v="36.25"/>
    <n v="13.75"/>
    <s v="Mpesa"/>
    <m/>
    <m/>
    <m/>
    <m/>
  </r>
  <r>
    <x v="17"/>
    <x v="397"/>
    <m/>
    <m/>
    <m/>
    <m/>
    <m/>
    <m/>
    <m/>
    <s v="Jescah"/>
    <n v="40"/>
    <s v="Cash"/>
  </r>
  <r>
    <x v="17"/>
    <x v="374"/>
    <s v="soda 300ml glass"/>
    <n v="1"/>
    <n v="40"/>
    <n v="32.5"/>
    <n v="7.5"/>
    <s v="Cash"/>
    <m/>
    <m/>
    <m/>
    <m/>
  </r>
  <r>
    <x v="17"/>
    <x v="374"/>
    <s v="Banana"/>
    <n v="2"/>
    <n v="20"/>
    <n v="16.666666666666668"/>
    <n v="3.3333333333333321"/>
    <s v="Cash"/>
    <m/>
    <m/>
    <m/>
    <m/>
  </r>
  <r>
    <x v="17"/>
    <x v="254"/>
    <s v="Ring Cake"/>
    <n v="1"/>
    <n v="50"/>
    <n v="45"/>
    <n v="5"/>
    <s v="Cash"/>
    <m/>
    <m/>
    <m/>
    <m/>
  </r>
  <r>
    <x v="17"/>
    <x v="254"/>
    <s v="Banana"/>
    <n v="1"/>
    <n v="10"/>
    <n v="8.3333333333333339"/>
    <n v="1.6666666666666661"/>
    <s v="Cash"/>
    <m/>
    <m/>
    <m/>
    <m/>
  </r>
  <r>
    <x v="17"/>
    <x v="37"/>
    <s v="Kinangop Fresh Milk 500ml"/>
    <n v="1"/>
    <n v="60"/>
    <n v="55"/>
    <n v="5"/>
    <s v="Mpesa"/>
    <m/>
    <m/>
    <m/>
    <m/>
  </r>
  <r>
    <x v="17"/>
    <x v="398"/>
    <s v="Cooking Oil Measured"/>
    <n v="0.25"/>
    <n v="70"/>
    <n v="50"/>
    <n v="20"/>
    <s v="Mpesa"/>
    <m/>
    <m/>
    <m/>
    <m/>
  </r>
  <r>
    <x v="17"/>
    <x v="398"/>
    <s v="Tomatoes"/>
    <n v="3"/>
    <n v="30"/>
    <n v="15"/>
    <n v="15"/>
    <s v="Mpesa"/>
    <m/>
    <m/>
    <m/>
    <m/>
  </r>
  <r>
    <x v="17"/>
    <x v="398"/>
    <s v="Onion"/>
    <n v="2"/>
    <n v="20"/>
    <n v="16"/>
    <n v="4"/>
    <s v="Mpesa"/>
    <m/>
    <m/>
    <m/>
    <m/>
  </r>
  <r>
    <x v="17"/>
    <x v="398"/>
    <s v="Dhania"/>
    <n v="1"/>
    <n v="5"/>
    <n v="3.3333333333333335"/>
    <n v="1.6666666666666665"/>
    <s v="Mpesa"/>
    <m/>
    <m/>
    <m/>
    <m/>
  </r>
  <r>
    <x v="17"/>
    <x v="399"/>
    <s v="Royco cubes"/>
    <n v="2"/>
    <n v="10"/>
    <n v="6"/>
    <n v="4"/>
    <s v="Mpesa"/>
    <m/>
    <m/>
    <m/>
    <m/>
  </r>
  <r>
    <x v="17"/>
    <x v="399"/>
    <s v="Tropical"/>
    <n v="1"/>
    <n v="5"/>
    <n v="1.5"/>
    <n v="3.5"/>
    <s v="Cash"/>
    <m/>
    <m/>
    <m/>
    <m/>
  </r>
  <r>
    <x v="17"/>
    <x v="399"/>
    <s v="Lollipop"/>
    <n v="1"/>
    <n v="5"/>
    <n v="2.4"/>
    <n v="2.6"/>
    <s v="Cash"/>
    <m/>
    <m/>
    <m/>
    <m/>
  </r>
  <r>
    <x v="17"/>
    <x v="276"/>
    <s v="soda 500ml glass"/>
    <n v="2"/>
    <n v="110"/>
    <n v="100"/>
    <n v="10"/>
    <s v="Mpesa"/>
    <m/>
    <m/>
    <m/>
    <m/>
  </r>
  <r>
    <x v="17"/>
    <x v="276"/>
    <s v="Nuvita Bisquit"/>
    <n v="8"/>
    <n v="40"/>
    <n v="33.333333333333336"/>
    <n v="6.6666666666666643"/>
    <s v="Mpesa"/>
    <m/>
    <m/>
    <m/>
    <m/>
  </r>
  <r>
    <x v="17"/>
    <x v="276"/>
    <m/>
    <m/>
    <m/>
    <m/>
    <m/>
    <m/>
    <m/>
    <s v="Haston"/>
    <n v="85"/>
    <s v="Mpesa"/>
  </r>
  <r>
    <x v="17"/>
    <x v="276"/>
    <s v="Banana"/>
    <n v="3"/>
    <n v="30"/>
    <n v="25"/>
    <n v="5"/>
    <s v="Mpesa"/>
    <m/>
    <m/>
    <m/>
    <m/>
  </r>
  <r>
    <x v="17"/>
    <x v="400"/>
    <s v="action"/>
    <n v="1"/>
    <n v="10"/>
    <n v="6"/>
    <n v="4"/>
    <s v="Cash"/>
    <m/>
    <m/>
    <m/>
    <m/>
  </r>
  <r>
    <x v="17"/>
    <x v="400"/>
    <s v="Ndimu"/>
    <n v="1"/>
    <n v="20"/>
    <n v="8.3333333333333339"/>
    <n v="11.666666666666666"/>
    <s v="Cash"/>
    <m/>
    <m/>
    <m/>
    <m/>
  </r>
  <r>
    <x v="17"/>
    <x v="401"/>
    <m/>
    <m/>
    <m/>
    <m/>
    <m/>
    <m/>
    <m/>
    <s v="Msanii"/>
    <n v="1080"/>
    <s v="Mpesa"/>
  </r>
  <r>
    <x v="17"/>
    <x v="402"/>
    <s v="Potato crisps vinegar and salt"/>
    <n v="2"/>
    <n v="60"/>
    <n v="46.25"/>
    <n v="13.75"/>
    <s v="Cash"/>
    <m/>
    <m/>
    <m/>
    <m/>
  </r>
  <r>
    <x v="17"/>
    <x v="402"/>
    <s v="Patco"/>
    <n v="4"/>
    <n v="10"/>
    <n v="4.8"/>
    <n v="5.2"/>
    <s v="Cash"/>
    <m/>
    <m/>
    <m/>
    <m/>
  </r>
  <r>
    <x v="17"/>
    <x v="402"/>
    <s v="coo"/>
    <n v="4"/>
    <n v="10"/>
    <n v="4.8"/>
    <n v="5.2"/>
    <s v="Cash"/>
    <m/>
    <m/>
    <m/>
    <m/>
  </r>
  <r>
    <x v="17"/>
    <x v="402"/>
    <s v="Glucose 10g"/>
    <n v="2"/>
    <n v="10"/>
    <n v="7.5"/>
    <n v="2.5"/>
    <s v="Cash"/>
    <m/>
    <m/>
    <m/>
    <m/>
  </r>
  <r>
    <x v="17"/>
    <x v="402"/>
    <s v="Bigdaddy"/>
    <n v="1"/>
    <n v="10"/>
    <n v="6"/>
    <n v="4"/>
    <s v="Cash"/>
    <m/>
    <m/>
    <m/>
    <m/>
  </r>
  <r>
    <x v="17"/>
    <x v="403"/>
    <m/>
    <m/>
    <m/>
    <m/>
    <m/>
    <m/>
    <m/>
    <s v="Mum Victor"/>
    <n v="450"/>
    <s v="Mpesa"/>
  </r>
  <r>
    <x v="17"/>
    <x v="404"/>
    <s v="Kinangop Fresh Milk 500ml"/>
    <n v="3"/>
    <n v="180"/>
    <n v="165"/>
    <n v="15"/>
    <s v="Cash"/>
    <m/>
    <m/>
    <m/>
    <m/>
  </r>
  <r>
    <x v="17"/>
    <x v="405"/>
    <s v="5ltrs water"/>
    <n v="1"/>
    <n v="120"/>
    <n v="75"/>
    <n v="45"/>
    <s v="Mpesa"/>
    <m/>
    <m/>
    <m/>
    <m/>
  </r>
  <r>
    <x v="17"/>
    <x v="362"/>
    <s v="eggs"/>
    <n v="1"/>
    <n v="20"/>
    <n v="14.333333333333334"/>
    <n v="5.6666666666666661"/>
    <s v="Mpesa"/>
    <m/>
    <m/>
    <m/>
    <m/>
  </r>
  <r>
    <x v="17"/>
    <x v="406"/>
    <s v="1.5ltrs water"/>
    <n v="1"/>
    <n v="70"/>
    <n v="25"/>
    <n v="45"/>
    <s v="Mpesa"/>
    <m/>
    <m/>
    <m/>
    <m/>
  </r>
  <r>
    <x v="17"/>
    <x v="407"/>
    <s v="300ml water"/>
    <n v="1"/>
    <n v="30"/>
    <n v="12.5"/>
    <n v="17.5"/>
    <s v="Cash"/>
    <m/>
    <m/>
    <m/>
    <m/>
  </r>
  <r>
    <x v="17"/>
    <x v="407"/>
    <s v="Poa Pekee Tissue"/>
    <n v="1"/>
    <n v="30"/>
    <n v="13.333333333333334"/>
    <n v="16.666666666666664"/>
    <s v="Cash"/>
    <m/>
    <m/>
    <m/>
    <m/>
  </r>
  <r>
    <x v="17"/>
    <x v="408"/>
    <s v="Tropical"/>
    <n v="10"/>
    <n v="50"/>
    <n v="15"/>
    <n v="35"/>
    <s v="Cash"/>
    <m/>
    <m/>
    <m/>
    <m/>
  </r>
  <r>
    <x v="17"/>
    <x v="408"/>
    <s v="Nuvita Bisquit"/>
    <n v="10"/>
    <n v="50"/>
    <n v="41.666666666666671"/>
    <n v="8.3333333333333286"/>
    <s v="Cash"/>
    <m/>
    <m/>
    <m/>
    <m/>
  </r>
  <r>
    <x v="17"/>
    <x v="192"/>
    <s v="Bigdaddy"/>
    <n v="2"/>
    <n v="20"/>
    <n v="12"/>
    <n v="8"/>
    <s v="Cash"/>
    <m/>
    <m/>
    <m/>
    <m/>
  </r>
  <r>
    <x v="17"/>
    <x v="192"/>
    <s v="Nuvita Bisquit"/>
    <n v="2"/>
    <n v="10"/>
    <n v="8.3333333333333339"/>
    <n v="1.6666666666666661"/>
    <s v="Cash"/>
    <m/>
    <m/>
    <m/>
    <m/>
  </r>
  <r>
    <x v="17"/>
    <x v="409"/>
    <s v="scooter cans"/>
    <n v="3"/>
    <n v="60"/>
    <n v="45"/>
    <n v="15"/>
    <s v="Cash"/>
    <m/>
    <m/>
    <m/>
    <m/>
  </r>
  <r>
    <x v="17"/>
    <x v="409"/>
    <s v="kensalt 1kg"/>
    <n v="1"/>
    <n v="50"/>
    <n v="35"/>
    <n v="15"/>
    <s v="Cash"/>
    <m/>
    <m/>
    <m/>
    <m/>
  </r>
  <r>
    <x v="17"/>
    <x v="409"/>
    <s v="Safaricom 20 Credit"/>
    <n v="1"/>
    <n v="20"/>
    <n v="18"/>
    <n v="2"/>
    <s v="Cash"/>
    <m/>
    <m/>
    <m/>
    <m/>
  </r>
  <r>
    <x v="17"/>
    <x v="410"/>
    <s v="Bigdaddy"/>
    <n v="2"/>
    <n v="20"/>
    <n v="12"/>
    <n v="8"/>
    <s v="Cash"/>
    <m/>
    <m/>
    <m/>
    <m/>
  </r>
  <r>
    <x v="17"/>
    <x v="410"/>
    <s v="Glucose 10g"/>
    <n v="1"/>
    <n v="5"/>
    <n v="3.75"/>
    <n v="1.25"/>
    <s v="Cash"/>
    <m/>
    <m/>
    <m/>
    <m/>
  </r>
  <r>
    <x v="17"/>
    <x v="53"/>
    <s v="Festive 600g"/>
    <n v="1"/>
    <n v="100"/>
    <n v="90"/>
    <n v="10"/>
    <s v="Cash"/>
    <m/>
    <m/>
    <m/>
    <m/>
  </r>
  <r>
    <x v="17"/>
    <x v="377"/>
    <s v="pens"/>
    <n v="1"/>
    <n v="10"/>
    <n v="6"/>
    <n v="4"/>
    <s v="Cash"/>
    <m/>
    <m/>
    <m/>
    <m/>
  </r>
  <r>
    <x v="17"/>
    <x v="377"/>
    <s v="Nuvita Bisquit"/>
    <n v="2"/>
    <n v="10"/>
    <n v="8.3333333333333339"/>
    <n v="1.6666666666666661"/>
    <s v="Cash"/>
    <m/>
    <m/>
    <m/>
    <m/>
  </r>
  <r>
    <x v="17"/>
    <x v="58"/>
    <s v="waru"/>
    <n v="1"/>
    <n v="50"/>
    <n v="29.999999999999996"/>
    <n v="20.000000000000004"/>
    <s v="Mpesa"/>
    <m/>
    <m/>
    <m/>
    <m/>
  </r>
  <r>
    <x v="17"/>
    <x v="58"/>
    <s v="hoho"/>
    <n v="2"/>
    <n v="20"/>
    <n v="13.333333333333334"/>
    <n v="6.6666666666666661"/>
    <s v="Mpesa"/>
    <m/>
    <m/>
    <m/>
    <m/>
  </r>
  <r>
    <x v="17"/>
    <x v="58"/>
    <s v="Dhania"/>
    <n v="1"/>
    <n v="5"/>
    <n v="3.3333333333333335"/>
    <n v="1.6666666666666665"/>
    <s v="Mpesa"/>
    <m/>
    <m/>
    <m/>
    <m/>
  </r>
  <r>
    <x v="17"/>
    <x v="59"/>
    <s v="Airtel 50 Credit"/>
    <n v="1"/>
    <n v="50"/>
    <n v="47"/>
    <n v="3"/>
    <s v="Cash"/>
    <m/>
    <m/>
    <m/>
    <m/>
  </r>
  <r>
    <x v="17"/>
    <x v="137"/>
    <s v="Tomatoes"/>
    <n v="5"/>
    <n v="50"/>
    <n v="25"/>
    <n v="25"/>
    <s v="Credit"/>
    <s v="Mum Victor"/>
    <m/>
    <m/>
    <m/>
  </r>
  <r>
    <x v="17"/>
    <x v="137"/>
    <s v="eggs"/>
    <n v="5"/>
    <n v="100"/>
    <n v="71.666666666666671"/>
    <n v="28.333333333333329"/>
    <s v="Credit"/>
    <s v="Mum Victor"/>
    <m/>
    <m/>
    <m/>
  </r>
  <r>
    <x v="17"/>
    <x v="411"/>
    <s v="Magadi"/>
    <n v="2"/>
    <n v="10"/>
    <n v="6"/>
    <n v="4"/>
    <s v="Cash"/>
    <m/>
    <m/>
    <m/>
    <m/>
  </r>
  <r>
    <x v="17"/>
    <x v="215"/>
    <s v="Tukuza 1kg"/>
    <n v="1"/>
    <n v="90"/>
    <n v="61.25"/>
    <n v="28.75"/>
    <s v="Credit"/>
    <s v="Pauline"/>
    <s v="Pauline"/>
    <n v="35"/>
    <s v="Mpesa"/>
  </r>
  <r>
    <x v="17"/>
    <x v="20"/>
    <s v="Crown Gold Milk 500ml"/>
    <n v="1"/>
    <n v="65"/>
    <n v="54.166666666666664"/>
    <n v="10.833333333333336"/>
    <s v="Cash"/>
    <m/>
    <m/>
    <m/>
    <m/>
  </r>
  <r>
    <x v="17"/>
    <x v="412"/>
    <s v="5ltrs water"/>
    <n v="1"/>
    <n v="120"/>
    <n v="75"/>
    <n v="45"/>
    <s v="Mpesa"/>
    <m/>
    <m/>
    <m/>
    <m/>
  </r>
  <r>
    <x v="17"/>
    <x v="412"/>
    <s v="tumbocide"/>
    <n v="2"/>
    <n v="20"/>
    <n v="14"/>
    <n v="6"/>
    <s v="Mpesa"/>
    <m/>
    <m/>
    <m/>
    <m/>
  </r>
  <r>
    <x v="17"/>
    <x v="412"/>
    <s v="Crown Gold Milk 500ml"/>
    <n v="1"/>
    <n v="65"/>
    <n v="54.166666666666664"/>
    <n v="10.833333333333336"/>
    <s v="Mpesa"/>
    <m/>
    <m/>
    <m/>
    <m/>
  </r>
  <r>
    <x v="17"/>
    <x v="412"/>
    <s v="Lighter"/>
    <n v="1"/>
    <n v="30"/>
    <n v="15"/>
    <n v="15"/>
    <s v="Mpesa"/>
    <m/>
    <m/>
    <m/>
    <m/>
  </r>
  <r>
    <x v="17"/>
    <x v="413"/>
    <s v="Safari"/>
    <n v="2"/>
    <n v="30"/>
    <n v="17"/>
    <n v="13"/>
    <s v="Mpesa"/>
    <m/>
    <m/>
    <m/>
    <m/>
  </r>
  <r>
    <x v="17"/>
    <x v="413"/>
    <s v="mosquito stick"/>
    <n v="1"/>
    <n v="10"/>
    <n v="9"/>
    <n v="1"/>
    <s v="Mpesa"/>
    <m/>
    <m/>
    <m/>
    <m/>
  </r>
  <r>
    <x v="17"/>
    <x v="109"/>
    <s v="Cooking Oil Measured"/>
    <n v="0.25"/>
    <n v="70"/>
    <n v="50"/>
    <n v="20"/>
    <s v="Credit"/>
    <s v="Titus"/>
    <s v="Titus"/>
    <n v="20"/>
    <s v="Mpesa"/>
  </r>
  <r>
    <x v="18"/>
    <x v="222"/>
    <s v="ilara 250g yoghurt"/>
    <n v="1"/>
    <n v="85"/>
    <n v="73"/>
    <n v="12"/>
    <s v="Mpesa"/>
    <m/>
    <m/>
    <m/>
    <m/>
  </r>
  <r>
    <x v="18"/>
    <x v="414"/>
    <s v="eggs"/>
    <n v="2"/>
    <n v="40"/>
    <n v="28.666666666666668"/>
    <n v="11.333333333333332"/>
    <s v="Mpesa"/>
    <m/>
    <m/>
    <m/>
    <m/>
  </r>
  <r>
    <x v="18"/>
    <x v="414"/>
    <s v="Mt kenya milk 500ml"/>
    <n v="1"/>
    <n v="65"/>
    <n v="48.333333333333336"/>
    <n v="16.666666666666664"/>
    <s v="Mpesa"/>
    <m/>
    <m/>
    <m/>
    <m/>
  </r>
  <r>
    <x v="18"/>
    <x v="223"/>
    <s v="Mt kenya milk 500ml"/>
    <n v="1"/>
    <n v="65"/>
    <n v="48.333333333333336"/>
    <n v="16.666666666666664"/>
    <s v="Cash"/>
    <m/>
    <m/>
    <m/>
    <m/>
  </r>
  <r>
    <x v="18"/>
    <x v="223"/>
    <s v="Mt kenya milk 500ml"/>
    <n v="1"/>
    <n v="65"/>
    <n v="48.333333333333336"/>
    <n v="16.666666666666664"/>
    <s v="Cash"/>
    <m/>
    <m/>
    <m/>
    <m/>
  </r>
  <r>
    <x v="18"/>
    <x v="250"/>
    <s v="Mt kenya milk 500ml"/>
    <n v="1"/>
    <n v="65"/>
    <n v="48.333333333333336"/>
    <n v="16.666666666666664"/>
    <s v="Credit"/>
    <s v="Pauline"/>
    <m/>
    <m/>
    <m/>
  </r>
  <r>
    <x v="18"/>
    <x v="250"/>
    <s v="Safari"/>
    <n v="1"/>
    <n v="15"/>
    <n v="8.5"/>
    <n v="6.5"/>
    <s v="Cash"/>
    <m/>
    <m/>
    <m/>
    <m/>
  </r>
  <r>
    <x v="18"/>
    <x v="31"/>
    <s v="Mt kenya milk 500ml"/>
    <n v="1"/>
    <n v="65"/>
    <n v="48.333333333333336"/>
    <n v="16.666666666666664"/>
    <s v="Mpesa"/>
    <m/>
    <m/>
    <m/>
    <m/>
  </r>
  <r>
    <x v="18"/>
    <x v="31"/>
    <s v="BB Bread 400g"/>
    <n v="1"/>
    <n v="65"/>
    <n v="60"/>
    <n v="5"/>
    <s v="Mpesa"/>
    <m/>
    <m/>
    <m/>
    <m/>
  </r>
  <r>
    <x v="18"/>
    <x v="333"/>
    <s v="Lighter"/>
    <n v="1"/>
    <n v="30"/>
    <n v="15"/>
    <n v="15"/>
    <s v="Mpesa"/>
    <m/>
    <m/>
    <m/>
    <m/>
  </r>
  <r>
    <x v="18"/>
    <x v="333"/>
    <s v="Banana"/>
    <n v="2"/>
    <n v="20"/>
    <n v="16.666666666666668"/>
    <n v="3.3333333333333321"/>
    <s v="Mpesa"/>
    <m/>
    <m/>
    <m/>
    <m/>
  </r>
  <r>
    <x v="18"/>
    <x v="333"/>
    <s v="Kinangop Fresh Milk 500ml"/>
    <n v="1"/>
    <n v="60"/>
    <n v="55"/>
    <n v="5"/>
    <s v="Credit"/>
    <s v="Faith"/>
    <m/>
    <m/>
    <m/>
  </r>
  <r>
    <x v="18"/>
    <x v="311"/>
    <s v="BB Bread 400g"/>
    <n v="1"/>
    <n v="65"/>
    <n v="60"/>
    <n v="5"/>
    <s v="Credit"/>
    <s v="Faith"/>
    <m/>
    <m/>
    <m/>
  </r>
  <r>
    <x v="18"/>
    <x v="3"/>
    <s v="Festive 600g"/>
    <n v="1"/>
    <n v="100"/>
    <n v="90"/>
    <n v="10"/>
    <s v="Cash"/>
    <m/>
    <m/>
    <m/>
    <m/>
  </r>
  <r>
    <x v="18"/>
    <x v="3"/>
    <s v="Banana"/>
    <n v="3"/>
    <n v="30"/>
    <n v="25"/>
    <n v="5"/>
    <s v="Cash"/>
    <m/>
    <m/>
    <m/>
    <m/>
  </r>
  <r>
    <x v="18"/>
    <x v="415"/>
    <s v="Sonaplast"/>
    <n v="1"/>
    <n v="10"/>
    <n v="7"/>
    <n v="3"/>
    <s v="Mpesa"/>
    <m/>
    <m/>
    <m/>
    <m/>
  </r>
  <r>
    <x v="18"/>
    <x v="416"/>
    <s v="eggs"/>
    <n v="2"/>
    <n v="40"/>
    <n v="28.666666666666668"/>
    <n v="11.333333333333332"/>
    <s v="Mpesa"/>
    <m/>
    <m/>
    <m/>
    <m/>
  </r>
  <r>
    <x v="18"/>
    <x v="416"/>
    <m/>
    <m/>
    <m/>
    <m/>
    <m/>
    <m/>
    <m/>
    <s v="Irene"/>
    <n v="1705"/>
    <s v="Cash"/>
  </r>
  <r>
    <x v="18"/>
    <x v="417"/>
    <s v="ariel 75g"/>
    <n v="1"/>
    <n v="35"/>
    <n v="27.5"/>
    <n v="7.5"/>
    <s v="Credit"/>
    <s v="Faith"/>
    <m/>
    <m/>
    <m/>
  </r>
  <r>
    <x v="18"/>
    <x v="418"/>
    <s v="Brookside Lala Sweetened"/>
    <n v="2"/>
    <n v="220"/>
    <n v="186"/>
    <n v="34"/>
    <s v="Mpesa"/>
    <m/>
    <m/>
    <m/>
    <m/>
  </r>
  <r>
    <x v="18"/>
    <x v="419"/>
    <s v="Safaricom 20 Credit"/>
    <n v="2"/>
    <n v="40"/>
    <n v="36"/>
    <n v="4"/>
    <s v="Cash"/>
    <m/>
    <m/>
    <m/>
    <m/>
  </r>
  <r>
    <x v="18"/>
    <x v="420"/>
    <s v="Bigdaddy"/>
    <n v="1"/>
    <n v="10"/>
    <n v="6"/>
    <n v="4"/>
    <s v="Cash"/>
    <m/>
    <m/>
    <m/>
    <m/>
  </r>
  <r>
    <x v="18"/>
    <x v="421"/>
    <s v="210 Maize Meal 2kg"/>
    <n v="1"/>
    <n v="160"/>
    <n v="117.08333333333333"/>
    <n v="42.916666666666671"/>
    <s v="Mpesa"/>
    <m/>
    <m/>
    <m/>
    <m/>
  </r>
  <r>
    <x v="18"/>
    <x v="9"/>
    <s v="Royco cubes"/>
    <n v="6"/>
    <n v="30"/>
    <n v="18"/>
    <n v="12"/>
    <s v="Cash"/>
    <m/>
    <m/>
    <m/>
    <m/>
  </r>
  <r>
    <x v="18"/>
    <x v="41"/>
    <s v="Patco"/>
    <n v="2"/>
    <n v="5"/>
    <n v="2.4"/>
    <n v="2.6"/>
    <s v="Cash"/>
    <m/>
    <m/>
    <m/>
    <m/>
  </r>
  <r>
    <x v="18"/>
    <x v="41"/>
    <s v="Bigdaddy"/>
    <n v="1"/>
    <n v="10"/>
    <n v="6"/>
    <n v="4"/>
    <s v="Cash"/>
    <m/>
    <m/>
    <m/>
    <m/>
  </r>
  <r>
    <x v="18"/>
    <x v="207"/>
    <s v="Safaricom 20 Credit"/>
    <n v="1"/>
    <n v="20"/>
    <n v="18"/>
    <n v="2"/>
    <s v="Cash"/>
    <m/>
    <m/>
    <m/>
    <m/>
  </r>
  <r>
    <x v="18"/>
    <x v="422"/>
    <s v="Icepop"/>
    <n v="1"/>
    <n v="15"/>
    <n v="7.5"/>
    <n v="7.5"/>
    <s v="Cash"/>
    <m/>
    <m/>
    <m/>
    <m/>
  </r>
  <r>
    <x v="18"/>
    <x v="423"/>
    <s v="Indomie chicken"/>
    <n v="2"/>
    <n v="100"/>
    <n v="75"/>
    <n v="25"/>
    <s v="Cash"/>
    <m/>
    <m/>
    <m/>
    <m/>
  </r>
  <r>
    <x v="18"/>
    <x v="423"/>
    <s v="Patco"/>
    <n v="2"/>
    <n v="5"/>
    <n v="2.4"/>
    <n v="2.6"/>
    <s v="Cash"/>
    <m/>
    <m/>
    <m/>
    <m/>
  </r>
  <r>
    <x v="18"/>
    <x v="424"/>
    <s v="Ring Cake"/>
    <n v="1"/>
    <n v="50"/>
    <n v="45"/>
    <n v="5"/>
    <s v="Cash"/>
    <m/>
    <m/>
    <m/>
    <m/>
  </r>
  <r>
    <x v="18"/>
    <x v="46"/>
    <s v="Potato crisps vinegar and salt"/>
    <n v="2"/>
    <n v="60"/>
    <n v="46.25"/>
    <n v="13.75"/>
    <s v="Cash"/>
    <m/>
    <m/>
    <m/>
    <m/>
  </r>
  <r>
    <x v="18"/>
    <x v="46"/>
    <s v="Glucose 10g"/>
    <n v="1"/>
    <n v="5"/>
    <n v="3.75"/>
    <n v="1.25"/>
    <s v="Cash"/>
    <m/>
    <m/>
    <m/>
    <m/>
  </r>
  <r>
    <x v="18"/>
    <x v="46"/>
    <s v="Gomba"/>
    <n v="8"/>
    <n v="20"/>
    <n v="14.4"/>
    <n v="5.6"/>
    <s v="Cash"/>
    <m/>
    <m/>
    <m/>
    <m/>
  </r>
  <r>
    <x v="18"/>
    <x v="46"/>
    <s v="Patco"/>
    <n v="4"/>
    <n v="10"/>
    <n v="4.8"/>
    <n v="5.2"/>
    <s v="Cash"/>
    <m/>
    <m/>
    <m/>
    <m/>
  </r>
  <r>
    <x v="18"/>
    <x v="46"/>
    <s v="coo"/>
    <n v="4"/>
    <n v="10"/>
    <n v="4.8"/>
    <n v="5.2"/>
    <s v="Cash"/>
    <m/>
    <m/>
    <m/>
    <m/>
  </r>
  <r>
    <x v="18"/>
    <x v="46"/>
    <s v="Bigboss"/>
    <n v="2"/>
    <n v="10"/>
    <n v="7"/>
    <n v="3"/>
    <s v="Cash"/>
    <m/>
    <m/>
    <m/>
    <m/>
  </r>
  <r>
    <x v="18"/>
    <x v="46"/>
    <s v="Lollipop"/>
    <n v="2"/>
    <n v="10"/>
    <n v="4.8"/>
    <n v="5.2"/>
    <s v="Cash"/>
    <m/>
    <m/>
    <m/>
    <m/>
  </r>
  <r>
    <x v="18"/>
    <x v="46"/>
    <s v="Bigdaddy"/>
    <n v="1"/>
    <n v="10"/>
    <n v="6"/>
    <n v="4"/>
    <s v="Cash"/>
    <m/>
    <m/>
    <m/>
    <m/>
  </r>
  <r>
    <x v="18"/>
    <x v="46"/>
    <s v="Cough drops"/>
    <n v="1"/>
    <n v="5"/>
    <n v="4"/>
    <n v="1"/>
    <s v="Cash"/>
    <m/>
    <m/>
    <m/>
    <m/>
  </r>
  <r>
    <x v="18"/>
    <x v="425"/>
    <s v="Tomatoes"/>
    <n v="10"/>
    <n v="100"/>
    <n v="50"/>
    <n v="50"/>
    <s v="Cash"/>
    <m/>
    <m/>
    <m/>
    <m/>
  </r>
  <r>
    <x v="18"/>
    <x v="425"/>
    <s v="Fahari Tea 50g"/>
    <n v="1"/>
    <n v="30"/>
    <n v="17.5"/>
    <n v="12.5"/>
    <s v="Cash"/>
    <m/>
    <m/>
    <m/>
    <m/>
  </r>
  <r>
    <x v="18"/>
    <x v="425"/>
    <s v="spinach"/>
    <n v="5"/>
    <n v="100"/>
    <n v="50"/>
    <n v="50"/>
    <s v="Cash"/>
    <m/>
    <m/>
    <m/>
    <m/>
  </r>
  <r>
    <x v="18"/>
    <x v="425"/>
    <s v="toothpick"/>
    <n v="1"/>
    <n v="20"/>
    <n v="15"/>
    <n v="5"/>
    <s v="Cash"/>
    <m/>
    <m/>
    <m/>
    <m/>
  </r>
  <r>
    <x v="18"/>
    <x v="426"/>
    <s v="Bigdaddy"/>
    <n v="2"/>
    <n v="20"/>
    <n v="12"/>
    <n v="8"/>
    <s v="Cash"/>
    <m/>
    <m/>
    <m/>
    <m/>
  </r>
  <r>
    <x v="18"/>
    <x v="191"/>
    <s v="Cooking Oil Measured"/>
    <n v="0.25"/>
    <n v="70"/>
    <n v="50"/>
    <n v="20"/>
    <s v="Mpesa"/>
    <m/>
    <m/>
    <m/>
    <m/>
  </r>
  <r>
    <x v="18"/>
    <x v="191"/>
    <s v="BB Bread 400g"/>
    <n v="2"/>
    <n v="130"/>
    <n v="120"/>
    <n v="10"/>
    <s v="Mpesa"/>
    <m/>
    <m/>
    <m/>
    <m/>
  </r>
  <r>
    <x v="18"/>
    <x v="191"/>
    <s v="Crown Gold Milk 500ml"/>
    <n v="1"/>
    <n v="65"/>
    <n v="54.166666666666664"/>
    <n v="10.833333333333336"/>
    <s v="Mpesa"/>
    <m/>
    <m/>
    <m/>
    <m/>
  </r>
  <r>
    <x v="18"/>
    <x v="191"/>
    <s v="Match Box"/>
    <n v="1"/>
    <n v="5"/>
    <n v="2.3611111111111112"/>
    <n v="2.6388888888888888"/>
    <s v="Mpesa"/>
    <m/>
    <m/>
    <m/>
    <m/>
  </r>
  <r>
    <x v="18"/>
    <x v="191"/>
    <s v="Sugar"/>
    <n v="0.5"/>
    <n v="90"/>
    <n v="65"/>
    <n v="25"/>
    <s v="Mpesa"/>
    <m/>
    <m/>
    <m/>
    <m/>
  </r>
  <r>
    <x v="18"/>
    <x v="17"/>
    <s v="eggs"/>
    <n v="5"/>
    <n v="100"/>
    <n v="71.666666666666671"/>
    <n v="28.333333333333329"/>
    <s v="Credit"/>
    <s v="Titus"/>
    <m/>
    <m/>
    <m/>
  </r>
  <r>
    <x v="18"/>
    <x v="17"/>
    <s v="Banana"/>
    <n v="1"/>
    <n v="10"/>
    <n v="8.3333333333333339"/>
    <n v="1.6666666666666661"/>
    <s v="Credit"/>
    <s v="Titus"/>
    <m/>
    <m/>
    <m/>
  </r>
  <r>
    <x v="18"/>
    <x v="17"/>
    <s v="Tropical"/>
    <n v="2"/>
    <n v="10"/>
    <n v="3"/>
    <n v="7"/>
    <s v="Credit"/>
    <s v="Titus"/>
    <m/>
    <m/>
    <m/>
  </r>
  <r>
    <x v="18"/>
    <x v="17"/>
    <s v="Tomatoes"/>
    <n v="1"/>
    <n v="10"/>
    <n v="5"/>
    <n v="5"/>
    <s v="Credit"/>
    <s v="Titus"/>
    <m/>
    <m/>
    <m/>
  </r>
  <r>
    <x v="18"/>
    <x v="411"/>
    <m/>
    <m/>
    <m/>
    <m/>
    <m/>
    <m/>
    <m/>
    <s v="Lucy"/>
    <n v="510"/>
    <s v="Mpesa"/>
  </r>
  <r>
    <x v="18"/>
    <x v="106"/>
    <m/>
    <m/>
    <m/>
    <m/>
    <m/>
    <m/>
    <m/>
    <s v="Irene"/>
    <n v="460"/>
    <s v="Mpesa"/>
  </r>
  <r>
    <x v="18"/>
    <x v="285"/>
    <s v="predator"/>
    <n v="3"/>
    <n v="210"/>
    <n v="162.5"/>
    <n v="47.5"/>
    <s v="Mpesa"/>
    <m/>
    <m/>
    <m/>
    <m/>
  </r>
  <r>
    <x v="18"/>
    <x v="246"/>
    <s v="Kinangop Fresh Milk 500ml"/>
    <n v="1"/>
    <n v="60"/>
    <n v="55"/>
    <n v="5"/>
    <s v="Credit"/>
    <s v="Ruth"/>
    <m/>
    <m/>
    <m/>
  </r>
  <r>
    <x v="18"/>
    <x v="427"/>
    <s v="spinach"/>
    <n v="2"/>
    <n v="40"/>
    <n v="20"/>
    <n v="20"/>
    <s v="Mpesa"/>
    <m/>
    <m/>
    <m/>
    <m/>
  </r>
  <r>
    <x v="18"/>
    <x v="427"/>
    <s v="Half pound cake"/>
    <n v="1"/>
    <n v="100"/>
    <n v="90"/>
    <n v="10"/>
    <s v="Credit"/>
    <s v="Milly"/>
    <m/>
    <m/>
    <m/>
  </r>
  <r>
    <x v="19"/>
    <x v="199"/>
    <s v="Peanut Cookies"/>
    <n v="1"/>
    <n v="35"/>
    <n v="25"/>
    <n v="10"/>
    <s v="Cash"/>
    <m/>
    <m/>
    <m/>
    <m/>
  </r>
  <r>
    <x v="19"/>
    <x v="199"/>
    <s v="ariel 75g"/>
    <n v="1"/>
    <n v="35"/>
    <n v="27.5"/>
    <n v="7.5"/>
    <s v="Cash"/>
    <m/>
    <m/>
    <m/>
    <m/>
  </r>
  <r>
    <x v="19"/>
    <x v="287"/>
    <s v="Safari"/>
    <n v="4"/>
    <n v="60"/>
    <n v="34"/>
    <n v="26"/>
    <s v="Credit"/>
    <s v="Masaku"/>
    <m/>
    <m/>
    <m/>
  </r>
  <r>
    <x v="19"/>
    <x v="287"/>
    <s v="BB Bread 200g"/>
    <n v="1"/>
    <n v="40"/>
    <n v="35"/>
    <n v="5"/>
    <s v="Credit"/>
    <s v="Masaku"/>
    <m/>
    <m/>
    <m/>
  </r>
  <r>
    <x v="19"/>
    <x v="287"/>
    <s v="Mt Kenya milk 200ml"/>
    <n v="1"/>
    <n v="35"/>
    <n v="24.285714285714285"/>
    <n v="10.714285714285715"/>
    <s v="Credit"/>
    <s v="Masaku"/>
    <m/>
    <m/>
    <m/>
  </r>
  <r>
    <x v="19"/>
    <x v="428"/>
    <s v="Festive Bread 400g"/>
    <n v="2"/>
    <n v="130"/>
    <n v="120"/>
    <n v="10"/>
    <s v="Cash"/>
    <m/>
    <m/>
    <m/>
    <m/>
  </r>
  <r>
    <x v="19"/>
    <x v="428"/>
    <s v="Menengai Bar 1kg"/>
    <n v="0.2"/>
    <n v="50"/>
    <n v="38"/>
    <n v="12"/>
    <s v="Cash"/>
    <m/>
    <m/>
    <m/>
    <m/>
  </r>
  <r>
    <x v="19"/>
    <x v="200"/>
    <s v="Brookside milk 500ml"/>
    <n v="3"/>
    <n v="210"/>
    <n v="177"/>
    <n v="33"/>
    <s v="Credit"/>
    <s v="Jescah"/>
    <m/>
    <m/>
    <m/>
  </r>
  <r>
    <x v="19"/>
    <x v="429"/>
    <s v="Mt kenya milk 500ml"/>
    <n v="1"/>
    <n v="65"/>
    <n v="48.333333333333336"/>
    <n v="16.666666666666664"/>
    <s v="Credit"/>
    <s v="Irene"/>
    <m/>
    <m/>
    <m/>
  </r>
  <r>
    <x v="19"/>
    <x v="429"/>
    <s v="BB Bread 400g"/>
    <n v="1"/>
    <n v="65"/>
    <n v="60"/>
    <n v="5"/>
    <s v="Credit"/>
    <s v="Irene"/>
    <m/>
    <m/>
    <m/>
  </r>
  <r>
    <x v="19"/>
    <x v="429"/>
    <s v="Steel Wire"/>
    <n v="1"/>
    <n v="10"/>
    <n v="6"/>
    <n v="4"/>
    <s v="Credit"/>
    <s v="Irene"/>
    <m/>
    <m/>
    <m/>
  </r>
  <r>
    <x v="19"/>
    <x v="430"/>
    <s v="Toss 100g"/>
    <n v="1"/>
    <n v="60"/>
    <n v="36.666666666666664"/>
    <n v="23.333333333333336"/>
    <s v="Cash"/>
    <m/>
    <m/>
    <m/>
    <m/>
  </r>
  <r>
    <x v="19"/>
    <x v="430"/>
    <s v="omo 20g"/>
    <n v="2"/>
    <n v="30"/>
    <n v="18.333333333333332"/>
    <n v="11.666666666666668"/>
    <s v="Cash"/>
    <m/>
    <m/>
    <m/>
    <m/>
  </r>
  <r>
    <x v="19"/>
    <x v="431"/>
    <s v="Festive 800g"/>
    <n v="1"/>
    <n v="130"/>
    <n v="120"/>
    <n v="10"/>
    <s v="Mpesa"/>
    <m/>
    <m/>
    <m/>
    <m/>
  </r>
  <r>
    <x v="19"/>
    <x v="431"/>
    <s v="Safari"/>
    <n v="1"/>
    <n v="15"/>
    <n v="8.5"/>
    <n v="6.5"/>
    <s v="Cash"/>
    <m/>
    <m/>
    <m/>
    <m/>
  </r>
  <r>
    <x v="19"/>
    <x v="432"/>
    <s v="Festive 800g"/>
    <n v="1"/>
    <n v="130"/>
    <n v="120"/>
    <n v="10"/>
    <s v="Mpesa"/>
    <m/>
    <m/>
    <m/>
    <m/>
  </r>
  <r>
    <x v="19"/>
    <x v="29"/>
    <s v="Brookside milk 500ml"/>
    <n v="1"/>
    <n v="70"/>
    <n v="59"/>
    <n v="11"/>
    <s v="Credit"/>
    <s v="Mum Victor"/>
    <m/>
    <m/>
    <m/>
  </r>
  <r>
    <x v="19"/>
    <x v="29"/>
    <s v="Ring Cake"/>
    <n v="1"/>
    <n v="50"/>
    <n v="45"/>
    <n v="5"/>
    <s v="Credit"/>
    <s v="Mum Victor"/>
    <m/>
    <m/>
    <m/>
  </r>
  <r>
    <x v="19"/>
    <x v="433"/>
    <s v="Festive Bread 400g"/>
    <n v="1"/>
    <n v="65"/>
    <n v="60"/>
    <n v="5"/>
    <s v="Mpesa"/>
    <m/>
    <m/>
    <m/>
    <m/>
  </r>
  <r>
    <x v="19"/>
    <x v="433"/>
    <s v="Potato crisps salted"/>
    <n v="1"/>
    <n v="30"/>
    <n v="23.125"/>
    <n v="6.875"/>
    <s v="Cash"/>
    <m/>
    <m/>
    <m/>
    <m/>
  </r>
  <r>
    <x v="19"/>
    <x v="434"/>
    <s v="BB Bread 400g"/>
    <n v="1"/>
    <n v="65"/>
    <n v="60"/>
    <n v="5"/>
    <s v="Mpesa"/>
    <m/>
    <m/>
    <m/>
    <m/>
  </r>
  <r>
    <x v="19"/>
    <x v="434"/>
    <s v="eggs"/>
    <n v="6"/>
    <n v="120"/>
    <n v="86"/>
    <n v="34"/>
    <s v="Mpesa"/>
    <m/>
    <m/>
    <m/>
    <m/>
  </r>
  <r>
    <x v="19"/>
    <x v="434"/>
    <s v="minutemaid 400ml"/>
    <n v="1"/>
    <n v="80"/>
    <n v="62.5"/>
    <n v="17.5"/>
    <s v="Mpesa"/>
    <m/>
    <m/>
    <m/>
    <m/>
  </r>
  <r>
    <x v="19"/>
    <x v="435"/>
    <s v="Maramoja"/>
    <n v="1"/>
    <n v="10"/>
    <n v="7"/>
    <n v="3"/>
    <s v="Cash"/>
    <m/>
    <m/>
    <m/>
    <m/>
  </r>
  <r>
    <x v="19"/>
    <x v="381"/>
    <s v="Safari"/>
    <n v="1"/>
    <n v="15"/>
    <n v="8.5"/>
    <n v="6.5"/>
    <s v="Mpesa"/>
    <m/>
    <m/>
    <m/>
    <m/>
  </r>
  <r>
    <x v="19"/>
    <x v="230"/>
    <s v="ariel 75g"/>
    <n v="2"/>
    <n v="70"/>
    <n v="55"/>
    <n v="15"/>
    <s v="Mpesa"/>
    <m/>
    <m/>
    <m/>
    <m/>
  </r>
  <r>
    <x v="19"/>
    <x v="230"/>
    <s v="Downy lavender"/>
    <n v="1"/>
    <n v="20"/>
    <n v="17.333333333333332"/>
    <n v="2.6666666666666679"/>
    <s v="Mpesa"/>
    <m/>
    <m/>
    <m/>
    <m/>
  </r>
  <r>
    <x v="19"/>
    <x v="436"/>
    <s v="Safari"/>
    <n v="1"/>
    <n v="15"/>
    <n v="8.5"/>
    <n v="6.5"/>
    <s v="Mpesa"/>
    <m/>
    <m/>
    <m/>
    <m/>
  </r>
  <r>
    <x v="19"/>
    <x v="436"/>
    <s v="Safari"/>
    <n v="2"/>
    <n v="30"/>
    <n v="17"/>
    <n v="13"/>
    <s v="Cash"/>
    <m/>
    <m/>
    <m/>
    <m/>
  </r>
  <r>
    <x v="19"/>
    <x v="437"/>
    <s v="Brookside milk 500ml"/>
    <n v="2"/>
    <n v="140"/>
    <n v="118"/>
    <n v="22"/>
    <s v="Cash"/>
    <m/>
    <m/>
    <m/>
    <m/>
  </r>
  <r>
    <x v="19"/>
    <x v="437"/>
    <s v="Bigdaddy"/>
    <n v="3"/>
    <n v="30"/>
    <n v="18"/>
    <n v="12"/>
    <s v="Cash"/>
    <m/>
    <m/>
    <m/>
    <m/>
  </r>
  <r>
    <x v="19"/>
    <x v="437"/>
    <s v="funtime snacks"/>
    <n v="2"/>
    <n v="30"/>
    <n v="18"/>
    <n v="12"/>
    <s v="Cash"/>
    <m/>
    <m/>
    <m/>
    <m/>
  </r>
  <r>
    <x v="19"/>
    <x v="337"/>
    <s v="Ring Cake"/>
    <n v="2"/>
    <n v="100"/>
    <n v="90"/>
    <n v="10"/>
    <s v="Mpesa"/>
    <m/>
    <m/>
    <m/>
    <m/>
  </r>
  <r>
    <x v="19"/>
    <x v="337"/>
    <s v="Half pound cake"/>
    <n v="1"/>
    <n v="100"/>
    <n v="90"/>
    <n v="10"/>
    <s v="Mpesa"/>
    <m/>
    <m/>
    <m/>
    <m/>
  </r>
  <r>
    <x v="19"/>
    <x v="337"/>
    <s v="BB Bread 400g"/>
    <n v="1"/>
    <n v="65"/>
    <n v="60"/>
    <n v="5"/>
    <s v="Mpesa"/>
    <m/>
    <m/>
    <m/>
    <m/>
  </r>
  <r>
    <x v="19"/>
    <x v="36"/>
    <s v="Bella Tissue"/>
    <n v="1"/>
    <n v="45"/>
    <n v="35"/>
    <n v="10"/>
    <s v="Mpesa"/>
    <m/>
    <m/>
    <m/>
    <m/>
  </r>
  <r>
    <x v="19"/>
    <x v="36"/>
    <s v="Royco cubes"/>
    <n v="4"/>
    <n v="20"/>
    <n v="12"/>
    <n v="8"/>
    <s v="Mpesa"/>
    <m/>
    <m/>
    <m/>
    <m/>
  </r>
  <r>
    <x v="19"/>
    <x v="93"/>
    <s v="Dhania"/>
    <n v="2"/>
    <n v="10"/>
    <n v="6.666666666666667"/>
    <n v="3.333333333333333"/>
    <s v="Cash"/>
    <m/>
    <m/>
    <m/>
    <m/>
  </r>
  <r>
    <x v="19"/>
    <x v="93"/>
    <s v="Royco cubes"/>
    <n v="2"/>
    <n v="10"/>
    <n v="6"/>
    <n v="4"/>
    <s v="Cash"/>
    <m/>
    <m/>
    <m/>
    <m/>
  </r>
  <r>
    <x v="19"/>
    <x v="93"/>
    <s v="Njugu"/>
    <n v="1"/>
    <n v="20"/>
    <n v="10.666666666666666"/>
    <n v="9.3333333333333339"/>
    <s v="Cash"/>
    <m/>
    <m/>
    <m/>
    <m/>
  </r>
  <r>
    <x v="19"/>
    <x v="339"/>
    <s v="Banana"/>
    <n v="1"/>
    <n v="10"/>
    <n v="8.3333333333333339"/>
    <n v="1.6666666666666661"/>
    <s v="Cash"/>
    <m/>
    <m/>
    <m/>
    <m/>
  </r>
  <r>
    <x v="19"/>
    <x v="339"/>
    <s v="Drinking Chocolate 20g"/>
    <n v="1"/>
    <n v="20"/>
    <n v="10.416666666666666"/>
    <n v="9.5833333333333339"/>
    <s v="Cash"/>
    <m/>
    <m/>
    <m/>
    <m/>
  </r>
  <r>
    <x v="19"/>
    <x v="158"/>
    <s v="Pishori rice"/>
    <n v="0.5"/>
    <n v="110"/>
    <n v="90"/>
    <n v="20"/>
    <s v="Credit"/>
    <s v="Faith"/>
    <m/>
    <m/>
    <m/>
  </r>
  <r>
    <x v="19"/>
    <x v="158"/>
    <s v="Dhania"/>
    <n v="1"/>
    <n v="5"/>
    <n v="3.3333333333333335"/>
    <n v="1.6666666666666665"/>
    <s v="Credit"/>
    <s v="Faith"/>
    <m/>
    <m/>
    <m/>
  </r>
  <r>
    <x v="19"/>
    <x v="158"/>
    <s v="hoho"/>
    <n v="1"/>
    <n v="10"/>
    <n v="6.666666666666667"/>
    <n v="3.333333333333333"/>
    <s v="Credit"/>
    <s v="Faith"/>
    <m/>
    <m/>
    <m/>
  </r>
  <r>
    <x v="19"/>
    <x v="438"/>
    <s v=" soda 1.25lts"/>
    <n v="2"/>
    <n v="260"/>
    <n v="225"/>
    <n v="35"/>
    <s v="Mpesa"/>
    <m/>
    <m/>
    <m/>
    <m/>
  </r>
  <r>
    <x v="19"/>
    <x v="438"/>
    <s v="funtime snacks"/>
    <n v="1"/>
    <n v="15"/>
    <n v="9"/>
    <n v="6"/>
    <s v="Mpesa"/>
    <m/>
    <m/>
    <m/>
    <m/>
  </r>
  <r>
    <x v="19"/>
    <x v="254"/>
    <s v=" soda 1.25lts"/>
    <n v="2"/>
    <n v="260"/>
    <n v="225"/>
    <n v="35"/>
    <s v="Mpesa"/>
    <m/>
    <m/>
    <m/>
    <m/>
  </r>
  <r>
    <x v="19"/>
    <x v="254"/>
    <s v="Bitez"/>
    <n v="2"/>
    <n v="30"/>
    <n v="17.600000000000001"/>
    <n v="12.399999999999999"/>
    <s v="Mpesa"/>
    <m/>
    <m/>
    <m/>
    <m/>
  </r>
  <r>
    <x v="19"/>
    <x v="254"/>
    <s v="funtime snacks"/>
    <n v="1"/>
    <n v="15"/>
    <n v="9"/>
    <n v="6"/>
    <s v="Mpesa"/>
    <m/>
    <m/>
    <m/>
    <m/>
  </r>
  <r>
    <x v="19"/>
    <x v="439"/>
    <s v="soda 500ml plastic"/>
    <n v="1"/>
    <n v="70"/>
    <n v="60.416666666666664"/>
    <n v="9.5833333333333357"/>
    <s v="Credit"/>
    <s v="Titus"/>
    <m/>
    <m/>
    <m/>
  </r>
  <r>
    <x v="19"/>
    <x v="439"/>
    <s v="Peanut Cookies"/>
    <n v="1"/>
    <n v="35"/>
    <n v="25"/>
    <n v="10"/>
    <s v="Credit"/>
    <s v="Titus"/>
    <m/>
    <m/>
    <m/>
  </r>
  <r>
    <x v="19"/>
    <x v="439"/>
    <s v="soda 300ml glass"/>
    <n v="2"/>
    <n v="80"/>
    <n v="65"/>
    <n v="15"/>
    <s v="Credit"/>
    <s v="Titus"/>
    <m/>
    <m/>
    <m/>
  </r>
  <r>
    <x v="19"/>
    <x v="439"/>
    <s v="BB Bread 200g"/>
    <n v="1"/>
    <n v="40"/>
    <n v="35"/>
    <n v="5"/>
    <s v="Credit"/>
    <s v="Titus"/>
    <m/>
    <m/>
    <m/>
  </r>
  <r>
    <x v="19"/>
    <x v="439"/>
    <s v="Nuvita Bisquit"/>
    <n v="2"/>
    <n v="10"/>
    <n v="8.3333333333333339"/>
    <n v="1.6666666666666661"/>
    <s v="Credit"/>
    <s v="Titus"/>
    <m/>
    <m/>
    <m/>
  </r>
  <r>
    <x v="19"/>
    <x v="440"/>
    <s v="soda 500ml glass"/>
    <n v="1"/>
    <n v="55"/>
    <n v="50"/>
    <n v="5"/>
    <s v="Cash"/>
    <m/>
    <m/>
    <m/>
    <m/>
  </r>
  <r>
    <x v="19"/>
    <x v="440"/>
    <s v="Banana"/>
    <n v="2"/>
    <n v="20"/>
    <n v="16.666666666666668"/>
    <n v="3.3333333333333321"/>
    <s v="Cash"/>
    <m/>
    <m/>
    <m/>
    <m/>
  </r>
  <r>
    <x v="19"/>
    <x v="441"/>
    <s v="Banana"/>
    <n v="3"/>
    <n v="30"/>
    <n v="25"/>
    <n v="5"/>
    <s v="Mpesa"/>
    <m/>
    <m/>
    <m/>
    <m/>
  </r>
  <r>
    <x v="19"/>
    <x v="441"/>
    <s v="soda 300ml glass"/>
    <n v="3"/>
    <n v="120"/>
    <n v="97.5"/>
    <n v="22.5"/>
    <s v="Mpesa"/>
    <m/>
    <m/>
    <m/>
    <m/>
  </r>
  <r>
    <x v="19"/>
    <x v="441"/>
    <s v="BB Bread 400g"/>
    <n v="1"/>
    <n v="65"/>
    <n v="60"/>
    <n v="5"/>
    <s v="Mpesa"/>
    <m/>
    <m/>
    <m/>
    <m/>
  </r>
  <r>
    <x v="19"/>
    <x v="442"/>
    <s v="Safari"/>
    <n v="6"/>
    <n v="90"/>
    <n v="51"/>
    <n v="39"/>
    <s v="Mpesa"/>
    <m/>
    <m/>
    <m/>
    <m/>
  </r>
  <r>
    <x v="19"/>
    <x v="96"/>
    <s v="soda 300ml glass"/>
    <n v="1"/>
    <n v="40"/>
    <n v="32.5"/>
    <n v="7.5"/>
    <s v="Cash"/>
    <m/>
    <m/>
    <m/>
    <m/>
  </r>
  <r>
    <x v="19"/>
    <x v="96"/>
    <s v="Nuvita Bisquit"/>
    <n v="2"/>
    <n v="10"/>
    <n v="8.3333333333333339"/>
    <n v="1.6666666666666661"/>
    <s v="Cash"/>
    <m/>
    <m/>
    <m/>
    <m/>
  </r>
  <r>
    <x v="19"/>
    <x v="443"/>
    <s v="Freshfry"/>
    <n v="1"/>
    <n v="350"/>
    <n v="290"/>
    <n v="60"/>
    <s v="Mpesa"/>
    <m/>
    <m/>
    <m/>
    <m/>
  </r>
  <r>
    <x v="19"/>
    <x v="444"/>
    <s v="Safari"/>
    <n v="2"/>
    <n v="30"/>
    <n v="17"/>
    <n v="13"/>
    <s v="Mpesa"/>
    <m/>
    <m/>
    <m/>
    <m/>
  </r>
  <r>
    <x v="19"/>
    <x v="445"/>
    <s v="Cooking Oil Measured"/>
    <n v="0.75"/>
    <n v="210"/>
    <n v="150"/>
    <n v="60"/>
    <s v="Mpesa"/>
    <m/>
    <m/>
    <m/>
    <m/>
  </r>
  <r>
    <x v="19"/>
    <x v="165"/>
    <s v="Ajab 2kg"/>
    <n v="1"/>
    <n v="220"/>
    <n v="175"/>
    <n v="45"/>
    <s v="Credit"/>
    <s v="Irene"/>
    <m/>
    <m/>
    <m/>
  </r>
  <r>
    <x v="19"/>
    <x v="165"/>
    <s v="Ndengu"/>
    <n v="0.75"/>
    <n v="120"/>
    <n v="90"/>
    <n v="30"/>
    <s v="Credit"/>
    <s v="Irene"/>
    <m/>
    <m/>
    <m/>
  </r>
  <r>
    <x v="19"/>
    <x v="165"/>
    <s v="Tomatoes"/>
    <n v="2"/>
    <n v="20"/>
    <n v="10"/>
    <n v="10"/>
    <s v="Credit"/>
    <s v="Irene"/>
    <m/>
    <m/>
    <m/>
  </r>
  <r>
    <x v="19"/>
    <x v="165"/>
    <s v="Royco cubes"/>
    <n v="2"/>
    <n v="10"/>
    <n v="6"/>
    <n v="4"/>
    <s v="Credit"/>
    <s v="Irene"/>
    <m/>
    <m/>
    <m/>
  </r>
  <r>
    <x v="19"/>
    <x v="133"/>
    <s v="Brookside milk 500ml"/>
    <n v="6"/>
    <n v="420"/>
    <n v="354"/>
    <n v="66"/>
    <s v="Cash"/>
    <m/>
    <m/>
    <m/>
    <m/>
  </r>
  <r>
    <x v="19"/>
    <x v="133"/>
    <s v="Kinangop Fresh Milk 500ml"/>
    <n v="4"/>
    <n v="240"/>
    <n v="220"/>
    <n v="20"/>
    <s v="Cash"/>
    <m/>
    <m/>
    <m/>
    <m/>
  </r>
  <r>
    <x v="19"/>
    <x v="133"/>
    <s v="hoho"/>
    <n v="2"/>
    <n v="20"/>
    <n v="13.333333333333334"/>
    <n v="6.6666666666666661"/>
    <s v="Cash"/>
    <m/>
    <m/>
    <m/>
    <m/>
  </r>
  <r>
    <x v="19"/>
    <x v="133"/>
    <s v="Festive 600g"/>
    <n v="2"/>
    <n v="200"/>
    <n v="180"/>
    <n v="20"/>
    <s v="Cash"/>
    <m/>
    <m/>
    <m/>
    <m/>
  </r>
  <r>
    <x v="19"/>
    <x v="238"/>
    <s v="Gomba"/>
    <n v="6"/>
    <n v="15"/>
    <n v="10.8"/>
    <n v="4.1999999999999993"/>
    <s v="Cash"/>
    <m/>
    <m/>
    <m/>
    <m/>
  </r>
  <r>
    <x v="19"/>
    <x v="238"/>
    <s v="funtime snacks"/>
    <n v="1"/>
    <n v="15"/>
    <n v="9"/>
    <n v="6"/>
    <s v="Cash"/>
    <m/>
    <m/>
    <m/>
    <m/>
  </r>
  <r>
    <x v="19"/>
    <x v="446"/>
    <s v="Mt Kenya milk 200ml"/>
    <n v="1"/>
    <n v="35"/>
    <n v="24.285714285714285"/>
    <n v="10.714285714285715"/>
    <s v="Mpesa"/>
    <m/>
    <m/>
    <m/>
    <m/>
  </r>
  <r>
    <x v="19"/>
    <x v="55"/>
    <s v="Safari"/>
    <n v="3"/>
    <n v="45"/>
    <n v="25.5"/>
    <n v="19.5"/>
    <s v="Mpesa"/>
    <m/>
    <m/>
    <m/>
    <m/>
  </r>
  <r>
    <x v="19"/>
    <x v="194"/>
    <s v="Dhania"/>
    <n v="2"/>
    <n v="10"/>
    <n v="6.666666666666667"/>
    <n v="3.333333333333333"/>
    <s v="Credit"/>
    <s v="Irene"/>
    <m/>
    <m/>
    <m/>
  </r>
  <r>
    <x v="19"/>
    <x v="447"/>
    <s v="Kinangop Fresh Milk 500ml"/>
    <n v="1"/>
    <n v="60"/>
    <n v="55"/>
    <n v="5"/>
    <s v="Cash"/>
    <m/>
    <m/>
    <m/>
    <m/>
  </r>
  <r>
    <x v="19"/>
    <x v="447"/>
    <m/>
    <m/>
    <m/>
    <m/>
    <m/>
    <m/>
    <m/>
    <s v="Ruth"/>
    <n v="780"/>
    <s v="Cash"/>
  </r>
  <r>
    <x v="19"/>
    <x v="447"/>
    <m/>
    <m/>
    <m/>
    <m/>
    <m/>
    <m/>
    <m/>
    <s v="Titus"/>
    <n v="130"/>
    <s v="Cash"/>
  </r>
  <r>
    <x v="19"/>
    <x v="447"/>
    <m/>
    <m/>
    <m/>
    <m/>
    <m/>
    <m/>
    <m/>
    <s v="Vivian"/>
    <n v="30"/>
    <s v="Cash"/>
  </r>
  <r>
    <x v="19"/>
    <x v="447"/>
    <m/>
    <m/>
    <m/>
    <m/>
    <n v="0"/>
    <m/>
    <m/>
    <s v="Shariffa"/>
    <n v="2215"/>
    <s v="Mpesa"/>
  </r>
  <r>
    <x v="19"/>
    <x v="66"/>
    <s v="soda 500ml glass"/>
    <n v="1"/>
    <n v="55"/>
    <n v="50"/>
    <n v="5"/>
    <s v="Mpesa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18">
  <r>
    <d v="2024-07-15T00:00:00"/>
    <d v="1899-12-30T07:38:00"/>
    <s v="Festive Bread 400g"/>
    <n v="2"/>
    <n v="130"/>
    <n v="120"/>
    <n v="10"/>
    <s v="Credit"/>
    <x v="0"/>
    <m/>
    <m/>
    <m/>
  </r>
  <r>
    <d v="2024-07-15T00:00:00"/>
    <d v="1899-12-30T07:38:00"/>
    <s v="BB Bread 400g"/>
    <n v="1"/>
    <n v="65"/>
    <n v="60"/>
    <n v="5"/>
    <s v="Credit"/>
    <x v="1"/>
    <m/>
    <m/>
    <m/>
  </r>
  <r>
    <d v="2024-07-15T00:00:00"/>
    <d v="1899-12-30T07:38:00"/>
    <s v="Mt kenya milk 500ml"/>
    <n v="1"/>
    <n v="65"/>
    <n v="48.333333333333336"/>
    <n v="16.666666666666664"/>
    <s v="Credit"/>
    <x v="1"/>
    <m/>
    <m/>
    <m/>
  </r>
  <r>
    <d v="2024-07-15T00:00:00"/>
    <d v="1899-12-30T07:38:00"/>
    <s v="kensalt 200g"/>
    <n v="1"/>
    <n v="15"/>
    <n v="5.5"/>
    <n v="9.5"/>
    <s v="Credit"/>
    <x v="1"/>
    <m/>
    <m/>
    <m/>
  </r>
  <r>
    <d v="2024-07-15T00:00:00"/>
    <d v="1899-12-30T07:38:00"/>
    <s v="BB Bread 400g"/>
    <n v="1"/>
    <n v="65"/>
    <n v="60"/>
    <n v="5"/>
    <s v="Mpesa"/>
    <x v="2"/>
    <m/>
    <m/>
    <m/>
  </r>
  <r>
    <d v="2024-07-15T00:00:00"/>
    <d v="1899-12-30T10:32:00"/>
    <s v="Mt kenya milk 500ml"/>
    <n v="1"/>
    <n v="65"/>
    <n v="48.333333333333336"/>
    <n v="16.666666666666664"/>
    <s v="Credit"/>
    <x v="3"/>
    <m/>
    <m/>
    <m/>
  </r>
  <r>
    <d v="2024-07-15T00:00:00"/>
    <d v="1899-12-30T10:39:00"/>
    <s v="Maramoja"/>
    <n v="1"/>
    <n v="10"/>
    <n v="7"/>
    <n v="3"/>
    <s v="Cash"/>
    <x v="2"/>
    <m/>
    <m/>
    <m/>
  </r>
  <r>
    <d v="2024-07-15T00:00:00"/>
    <d v="1899-12-30T10:40:00"/>
    <s v="Festive 600g"/>
    <n v="1"/>
    <n v="100"/>
    <n v="90"/>
    <n v="10"/>
    <s v="Credit"/>
    <x v="3"/>
    <m/>
    <m/>
    <m/>
  </r>
  <r>
    <d v="2024-07-15T00:00:00"/>
    <d v="1899-12-30T10:47:00"/>
    <s v="Toss 500g"/>
    <n v="1"/>
    <n v="250"/>
    <n v="175"/>
    <n v="75"/>
    <s v="Credit"/>
    <x v="4"/>
    <m/>
    <m/>
    <m/>
  </r>
  <r>
    <d v="2024-07-15T00:00:00"/>
    <d v="1899-12-30T11:41:00"/>
    <s v="Ginger Bisquit"/>
    <n v="2"/>
    <n v="10"/>
    <n v="8.6666666666666661"/>
    <n v="1.3333333333333339"/>
    <s v="Cash"/>
    <x v="2"/>
    <m/>
    <m/>
    <m/>
  </r>
  <r>
    <d v="2024-07-15T00:00:00"/>
    <d v="1899-12-30T12:41:00"/>
    <s v="Onion"/>
    <n v="1"/>
    <n v="10"/>
    <n v="8"/>
    <n v="2"/>
    <s v="Mpesa"/>
    <x v="2"/>
    <m/>
    <m/>
    <m/>
  </r>
  <r>
    <d v="2024-07-15T00:00:00"/>
    <d v="1899-12-30T12:41:00"/>
    <s v="Tomatoes"/>
    <n v="1"/>
    <n v="10"/>
    <n v="5"/>
    <n v="5"/>
    <s v="Mpesa"/>
    <x v="2"/>
    <m/>
    <m/>
    <m/>
  </r>
  <r>
    <d v="2024-07-15T00:00:00"/>
    <d v="1899-12-30T12:41:00"/>
    <s v="eggs"/>
    <n v="1"/>
    <n v="20"/>
    <n v="14.333333333333334"/>
    <n v="5.6666666666666661"/>
    <s v="Mpesa"/>
    <x v="2"/>
    <m/>
    <m/>
    <m/>
  </r>
  <r>
    <d v="2024-07-15T00:00:00"/>
    <d v="1899-12-30T12:26:00"/>
    <s v="Ginger Bisquit"/>
    <n v="2"/>
    <n v="10"/>
    <n v="8.6666666666666661"/>
    <n v="1.3333333333333339"/>
    <s v="Credit"/>
    <x v="4"/>
    <m/>
    <m/>
    <m/>
  </r>
  <r>
    <d v="2024-07-15T00:00:00"/>
    <d v="1899-12-30T14:05:00"/>
    <s v="eggs"/>
    <n v="2"/>
    <n v="40"/>
    <n v="28.666666666666668"/>
    <n v="11.333333333333332"/>
    <s v="Credit"/>
    <x v="1"/>
    <m/>
    <m/>
    <m/>
  </r>
  <r>
    <d v="2024-07-15T00:00:00"/>
    <d v="1899-12-30T14:05:00"/>
    <s v="Tomatoes"/>
    <n v="1"/>
    <n v="10"/>
    <n v="5"/>
    <n v="5"/>
    <s v="Credit"/>
    <x v="1"/>
    <m/>
    <m/>
    <m/>
  </r>
  <r>
    <d v="2024-07-15T00:00:00"/>
    <d v="1899-12-30T14:22:00"/>
    <s v="predator"/>
    <n v="1"/>
    <n v="70"/>
    <n v="54.166666666666664"/>
    <n v="15.833333333333336"/>
    <s v="Mpesa"/>
    <x v="2"/>
    <m/>
    <m/>
    <m/>
  </r>
  <r>
    <d v="2024-07-15T00:00:00"/>
    <d v="1899-12-30T14:45:00"/>
    <s v="Indomie chicken"/>
    <n v="3"/>
    <n v="150"/>
    <n v="112.5"/>
    <n v="37.5"/>
    <s v="Mpesa"/>
    <x v="2"/>
    <m/>
    <m/>
    <m/>
  </r>
  <r>
    <d v="2024-07-15T00:00:00"/>
    <d v="1899-12-30T14:45:00"/>
    <s v="eggs"/>
    <n v="3"/>
    <n v="60"/>
    <n v="43"/>
    <n v="17"/>
    <s v="Mpesa"/>
    <x v="2"/>
    <m/>
    <m/>
    <m/>
  </r>
  <r>
    <d v="2024-07-15T00:00:00"/>
    <d v="1899-12-30T15:30:00"/>
    <s v="Kdf"/>
    <n v="2"/>
    <n v="20"/>
    <n v="16.666666666666668"/>
    <n v="3.3333333333333321"/>
    <s v="Cash"/>
    <x v="2"/>
    <m/>
    <m/>
    <m/>
  </r>
  <r>
    <d v="2024-07-15T00:00:00"/>
    <d v="1899-12-30T15:35:00"/>
    <s v="Downy lavender"/>
    <n v="2"/>
    <n v="40"/>
    <n v="34.666666666666664"/>
    <n v="5.3333333333333357"/>
    <s v="Mpesa"/>
    <x v="2"/>
    <m/>
    <m/>
    <m/>
  </r>
  <r>
    <d v="2024-07-15T00:00:00"/>
    <d v="1899-12-30T16:23:00"/>
    <s v="Fresh Blue"/>
    <n v="1"/>
    <n v="10"/>
    <n v="5"/>
    <n v="5"/>
    <s v="Mpesa"/>
    <x v="2"/>
    <m/>
    <m/>
    <m/>
  </r>
  <r>
    <d v="2024-07-15T00:00:00"/>
    <d v="1899-12-30T17:30:00"/>
    <s v="Cooking Oil Measured"/>
    <n v="0.25"/>
    <n v="70"/>
    <n v="50"/>
    <n v="20"/>
    <s v="Cash"/>
    <x v="2"/>
    <m/>
    <m/>
    <m/>
  </r>
  <r>
    <d v="2024-07-15T00:00:00"/>
    <d v="1899-12-30T17:30:00"/>
    <s v="eggs"/>
    <n v="3"/>
    <n v="60"/>
    <n v="43"/>
    <n v="17"/>
    <s v="Cash"/>
    <x v="2"/>
    <m/>
    <m/>
    <m/>
  </r>
  <r>
    <d v="2024-07-15T00:00:00"/>
    <d v="1899-12-30T17:55:00"/>
    <s v="Jik"/>
    <n v="1"/>
    <n v="50"/>
    <n v="38.333333333333336"/>
    <n v="11.666666666666664"/>
    <s v="Mpesa"/>
    <x v="2"/>
    <m/>
    <m/>
    <m/>
  </r>
  <r>
    <d v="2024-07-15T00:00:00"/>
    <d v="1899-12-30T18:10:00"/>
    <s v="Panadol Extra"/>
    <n v="1"/>
    <n v="20"/>
    <n v="13"/>
    <n v="7"/>
    <s v="Mpesa"/>
    <x v="2"/>
    <m/>
    <m/>
    <m/>
  </r>
  <r>
    <d v="2024-07-15T00:00:00"/>
    <d v="1899-12-30T18:38:00"/>
    <s v="Maramoja"/>
    <n v="1"/>
    <n v="10"/>
    <n v="7"/>
    <n v="3"/>
    <s v="Mpesa"/>
    <x v="2"/>
    <m/>
    <m/>
    <m/>
  </r>
  <r>
    <d v="2024-07-15T00:00:00"/>
    <d v="1899-12-30T18:38:00"/>
    <s v="Magadi"/>
    <n v="1"/>
    <n v="5"/>
    <n v="3"/>
    <n v="2"/>
    <s v="Mpesa"/>
    <x v="2"/>
    <m/>
    <m/>
    <m/>
  </r>
  <r>
    <d v="2024-07-15T00:00:00"/>
    <d v="1899-12-30T19:07:00"/>
    <s v="Softcare pads"/>
    <n v="1"/>
    <n v="85"/>
    <n v="66"/>
    <n v="19"/>
    <s v="Mpesa"/>
    <x v="2"/>
    <m/>
    <m/>
    <m/>
  </r>
  <r>
    <d v="2024-07-15T00:00:00"/>
    <d v="1899-12-30T19:30:00"/>
    <s v="Icepop"/>
    <n v="1"/>
    <n v="15"/>
    <n v="7.5"/>
    <n v="7.5"/>
    <s v="Cash"/>
    <x v="2"/>
    <m/>
    <m/>
    <m/>
  </r>
  <r>
    <d v="2024-07-15T00:00:00"/>
    <d v="1899-12-30T19:30:00"/>
    <s v="Tropical"/>
    <n v="1"/>
    <n v="5"/>
    <n v="1.5"/>
    <n v="3.5"/>
    <s v="Cash"/>
    <x v="2"/>
    <m/>
    <m/>
    <m/>
  </r>
  <r>
    <d v="2024-07-15T00:00:00"/>
    <d v="1899-12-30T19:36:00"/>
    <s v="Crown Gold Milk 500ml"/>
    <n v="1"/>
    <n v="65"/>
    <n v="54.166666666666664"/>
    <n v="10.833333333333336"/>
    <s v="Credit"/>
    <x v="5"/>
    <m/>
    <m/>
    <m/>
  </r>
  <r>
    <d v="2024-07-15T00:00:00"/>
    <d v="1899-12-30T20:02:00"/>
    <s v="Crown Gold Milk 500ml"/>
    <n v="1"/>
    <n v="65"/>
    <n v="54.166666666666664"/>
    <n v="10.833333333333336"/>
    <s v="Credit"/>
    <x v="3"/>
    <m/>
    <m/>
    <m/>
  </r>
  <r>
    <d v="2024-07-15T00:00:00"/>
    <d v="1899-12-30T08:02:00"/>
    <s v="Brookside milk 500ml"/>
    <n v="1"/>
    <n v="70"/>
    <n v="59"/>
    <n v="11"/>
    <s v="Credit"/>
    <x v="3"/>
    <m/>
    <m/>
    <m/>
  </r>
  <r>
    <d v="2024-07-15T00:00:00"/>
    <d v="1899-12-30T20:08:00"/>
    <s v="BB Bread 400g"/>
    <n v="1"/>
    <n v="65"/>
    <n v="60"/>
    <n v="5"/>
    <s v="Cash"/>
    <x v="2"/>
    <m/>
    <m/>
    <m/>
  </r>
  <r>
    <d v="2024-07-15T00:00:00"/>
    <d v="1899-12-30T20:08:00"/>
    <s v="eggs"/>
    <n v="2"/>
    <n v="40"/>
    <n v="28.666666666666668"/>
    <n v="11.333333333333332"/>
    <s v="Cash"/>
    <x v="2"/>
    <m/>
    <m/>
    <m/>
  </r>
  <r>
    <d v="2024-07-15T00:00:00"/>
    <d v="1899-12-30T20:08:00"/>
    <s v="Banana"/>
    <n v="3"/>
    <n v="30"/>
    <n v="25"/>
    <n v="5"/>
    <s v="Cash"/>
    <x v="2"/>
    <m/>
    <m/>
    <m/>
  </r>
  <r>
    <d v="2024-07-15T00:00:00"/>
    <d v="1899-12-30T20:10:00"/>
    <s v="Kdf"/>
    <n v="2"/>
    <n v="20"/>
    <n v="16.666666666666668"/>
    <n v="3.3333333333333321"/>
    <s v="Credit"/>
    <x v="6"/>
    <m/>
    <m/>
    <m/>
  </r>
  <r>
    <d v="2024-07-15T00:00:00"/>
    <d v="1899-12-30T20:08:00"/>
    <s v="Banana"/>
    <n v="1"/>
    <n v="10"/>
    <n v="8.3333333333333339"/>
    <n v="1.6666666666666661"/>
    <s v="Credit"/>
    <x v="6"/>
    <m/>
    <m/>
    <m/>
  </r>
  <r>
    <d v="2024-07-15T00:00:00"/>
    <d v="1899-12-30T20:13:00"/>
    <s v="Brookside milk 500ml"/>
    <n v="1"/>
    <n v="70"/>
    <n v="59"/>
    <n v="11"/>
    <s v="Credit"/>
    <x v="7"/>
    <m/>
    <m/>
    <m/>
  </r>
  <r>
    <d v="2024-07-16T00:00:00"/>
    <d v="1899-12-30T08:00:00"/>
    <s v="Mt kenya milk 500ml"/>
    <n v="1"/>
    <n v="65"/>
    <n v="48.333333333333336"/>
    <n v="16.666666666666664"/>
    <s v="Cash"/>
    <x v="2"/>
    <m/>
    <m/>
    <m/>
  </r>
  <r>
    <d v="2024-07-16T00:00:00"/>
    <d v="1899-12-30T08:00:00"/>
    <s v="Mt kenya milk 500ml"/>
    <n v="1"/>
    <n v="65"/>
    <n v="48.333333333333336"/>
    <n v="16.666666666666664"/>
    <s v="Cash"/>
    <x v="2"/>
    <m/>
    <m/>
    <m/>
  </r>
  <r>
    <d v="2024-07-16T00:00:00"/>
    <d v="1899-12-30T08:00:00"/>
    <s v="Crown Gold Milk 500ml"/>
    <n v="1"/>
    <n v="65"/>
    <n v="54.166666666666664"/>
    <n v="10.833333333333336"/>
    <s v="Cash"/>
    <x v="2"/>
    <m/>
    <m/>
    <m/>
  </r>
  <r>
    <d v="2024-07-16T00:00:00"/>
    <d v="1899-12-30T08:16:00"/>
    <s v="soda 300ml glass"/>
    <n v="1"/>
    <n v="40"/>
    <n v="32.5"/>
    <n v="7.5"/>
    <s v="Mpesa"/>
    <x v="2"/>
    <m/>
    <m/>
    <m/>
  </r>
  <r>
    <d v="2024-07-16T00:00:00"/>
    <d v="1899-12-30T08:16:00"/>
    <s v="Ngumu"/>
    <n v="1"/>
    <n v="10"/>
    <n v="8.3333333333333339"/>
    <n v="1.6666666666666661"/>
    <s v="Mpesa"/>
    <x v="2"/>
    <m/>
    <m/>
    <m/>
  </r>
  <r>
    <d v="2024-07-16T00:00:00"/>
    <d v="1899-12-30T08:16:00"/>
    <s v="Kinangop Fresh Milk 500ml"/>
    <n v="2"/>
    <n v="120"/>
    <n v="110"/>
    <n v="10"/>
    <s v="Cash"/>
    <x v="2"/>
    <m/>
    <m/>
    <m/>
  </r>
  <r>
    <d v="2024-07-16T00:00:00"/>
    <d v="1899-12-30T08:16:00"/>
    <s v="eggs"/>
    <n v="6"/>
    <n v="120"/>
    <n v="86"/>
    <n v="34"/>
    <s v="Cash"/>
    <x v="2"/>
    <m/>
    <m/>
    <m/>
  </r>
  <r>
    <d v="2024-07-16T00:00:00"/>
    <d v="1899-12-30T09:02:00"/>
    <s v="Festive 800g"/>
    <n v="1"/>
    <n v="130"/>
    <n v="120"/>
    <n v="10"/>
    <s v="Mpesa"/>
    <x v="2"/>
    <m/>
    <m/>
    <m/>
  </r>
  <r>
    <d v="2024-07-16T00:00:00"/>
    <d v="1899-12-30T09:28:00"/>
    <s v="eggs"/>
    <n v="4"/>
    <n v="80"/>
    <n v="57.333333333333336"/>
    <n v="22.666666666666664"/>
    <s v="Cash"/>
    <x v="2"/>
    <m/>
    <m/>
    <m/>
  </r>
  <r>
    <d v="2024-07-16T00:00:00"/>
    <d v="1899-12-30T09:29:00"/>
    <s v="BB Bread 400g"/>
    <n v="2"/>
    <n v="130"/>
    <n v="120"/>
    <n v="10"/>
    <s v="Mpesa"/>
    <x v="2"/>
    <m/>
    <m/>
    <m/>
  </r>
  <r>
    <d v="2024-07-16T00:00:00"/>
    <d v="1899-12-30T09:29:00"/>
    <s v="Banana"/>
    <n v="2"/>
    <n v="20"/>
    <n v="16.666666666666668"/>
    <n v="3.3333333333333321"/>
    <s v="Mpesa"/>
    <x v="2"/>
    <m/>
    <m/>
    <m/>
  </r>
  <r>
    <d v="2024-07-16T00:00:00"/>
    <d v="1899-12-30T09:56:00"/>
    <s v="Kdf"/>
    <n v="1"/>
    <n v="10"/>
    <n v="8.3333333333333339"/>
    <n v="1.6666666666666661"/>
    <s v="Mpesa"/>
    <x v="2"/>
    <m/>
    <m/>
    <m/>
  </r>
  <r>
    <d v="2024-07-16T00:00:00"/>
    <d v="1899-12-30T10:13:00"/>
    <s v="Njugu"/>
    <n v="1"/>
    <n v="20"/>
    <n v="10.666666666666666"/>
    <n v="9.3333333333333339"/>
    <s v="Mpesa"/>
    <x v="2"/>
    <m/>
    <m/>
    <m/>
  </r>
  <r>
    <d v="2024-07-16T00:00:00"/>
    <d v="1899-12-30T10:36:00"/>
    <s v="Whitewash "/>
    <n v="1"/>
    <n v="50"/>
    <n v="33.75"/>
    <n v="16.25"/>
    <s v="Cash"/>
    <x v="2"/>
    <m/>
    <m/>
    <m/>
  </r>
  <r>
    <d v="2024-07-16T00:00:00"/>
    <d v="1899-12-30T10:36:00"/>
    <s v="omo 75g"/>
    <n v="1"/>
    <n v="35"/>
    <n v="27.5"/>
    <n v="7.5"/>
    <s v="Cash"/>
    <x v="2"/>
    <m/>
    <m/>
    <m/>
  </r>
  <r>
    <d v="2024-07-16T00:00:00"/>
    <d v="1899-12-30T10:36:00"/>
    <s v="Mt Kenya milk 200ml"/>
    <n v="1"/>
    <n v="35"/>
    <n v="24.285714285714285"/>
    <n v="10.714285714285715"/>
    <s v="Cash"/>
    <x v="2"/>
    <m/>
    <m/>
    <m/>
  </r>
  <r>
    <d v="2024-07-16T00:00:00"/>
    <d v="1899-12-30T11:44:00"/>
    <s v="Scones"/>
    <n v="2"/>
    <n v="20"/>
    <n v="16.666666666666668"/>
    <n v="3.3333333333333321"/>
    <s v="Mpesa"/>
    <x v="2"/>
    <m/>
    <m/>
    <m/>
  </r>
  <r>
    <d v="2024-07-16T00:00:00"/>
    <d v="1899-12-30T11:45:00"/>
    <s v="Downy lavender"/>
    <n v="1"/>
    <n v="20"/>
    <n v="17.333333333333332"/>
    <n v="2.6666666666666679"/>
    <s v="Mpesa"/>
    <x v="2"/>
    <m/>
    <m/>
    <m/>
  </r>
  <r>
    <d v="2024-07-16T00:00:00"/>
    <d v="1899-12-30T11:45:00"/>
    <s v="Bella Tissue"/>
    <n v="1"/>
    <n v="45"/>
    <n v="35"/>
    <n v="10"/>
    <s v="Mpesa"/>
    <x v="2"/>
    <m/>
    <m/>
    <m/>
  </r>
  <r>
    <d v="2024-07-16T00:00:00"/>
    <d v="1899-12-30T12:46:00"/>
    <s v="1.5ltrs water"/>
    <n v="1"/>
    <n v="70"/>
    <n v="25"/>
    <n v="45"/>
    <s v="Credit"/>
    <x v="4"/>
    <m/>
    <m/>
    <m/>
  </r>
  <r>
    <d v="2024-07-16T00:00:00"/>
    <d v="1899-12-30T12:46:00"/>
    <s v="Glucose 50g"/>
    <n v="1"/>
    <n v="30"/>
    <n v="15.833333333333334"/>
    <n v="14.166666666666666"/>
    <s v="Credit"/>
    <x v="4"/>
    <m/>
    <m/>
    <m/>
  </r>
  <r>
    <d v="2024-07-16T00:00:00"/>
    <d v="1899-12-30T13:35:00"/>
    <s v="Tomatoes"/>
    <n v="3"/>
    <n v="30"/>
    <n v="15"/>
    <n v="15"/>
    <s v="Mpesa"/>
    <x v="2"/>
    <m/>
    <m/>
    <m/>
  </r>
  <r>
    <d v="2024-07-16T00:00:00"/>
    <d v="1899-12-30T13:35:00"/>
    <s v="Dhania"/>
    <n v="1"/>
    <n v="5"/>
    <n v="3.3333333333333335"/>
    <n v="1.6666666666666665"/>
    <s v="Mpesa"/>
    <x v="2"/>
    <m/>
    <m/>
    <m/>
  </r>
  <r>
    <d v="2024-07-16T00:00:00"/>
    <d v="1899-12-30T13:35:00"/>
    <s v="Onion"/>
    <n v="1"/>
    <n v="10"/>
    <n v="8"/>
    <n v="2"/>
    <s v="Mpesa"/>
    <x v="2"/>
    <m/>
    <m/>
    <m/>
  </r>
  <r>
    <d v="2024-07-16T00:00:00"/>
    <d v="1899-12-30T13:35:00"/>
    <s v="Safari"/>
    <n v="2"/>
    <n v="30"/>
    <n v="17"/>
    <n v="13"/>
    <s v="Mpesa"/>
    <x v="2"/>
    <m/>
    <m/>
    <m/>
  </r>
  <r>
    <d v="2024-07-16T00:00:00"/>
    <d v="1899-12-30T13:53:00"/>
    <s v="Royco cubes"/>
    <n v="4"/>
    <n v="20"/>
    <n v="12"/>
    <n v="8"/>
    <s v="Cash"/>
    <x v="2"/>
    <m/>
    <m/>
    <m/>
  </r>
  <r>
    <d v="2024-07-16T00:00:00"/>
    <d v="1899-12-30T13:59:00"/>
    <s v="Pembe 2kg"/>
    <n v="1"/>
    <n v="160"/>
    <n v="123.33333333333333"/>
    <n v="36.666666666666671"/>
    <s v="Cash"/>
    <x v="2"/>
    <m/>
    <m/>
    <m/>
  </r>
  <r>
    <d v="2024-07-16T00:00:00"/>
    <d v="1899-12-30T13:59:00"/>
    <s v="Magadi"/>
    <n v="1"/>
    <n v="5"/>
    <n v="3"/>
    <n v="2"/>
    <s v="Cash"/>
    <x v="2"/>
    <m/>
    <m/>
    <m/>
  </r>
  <r>
    <d v="2024-07-16T00:00:00"/>
    <d v="1899-12-30T13:59:00"/>
    <s v="Royco cubes"/>
    <n v="3"/>
    <n v="15"/>
    <n v="9"/>
    <n v="6"/>
    <s v="Cash"/>
    <x v="2"/>
    <m/>
    <m/>
    <m/>
  </r>
  <r>
    <d v="2024-07-16T00:00:00"/>
    <d v="1899-12-30T14:26:00"/>
    <s v="predator"/>
    <n v="1"/>
    <n v="70"/>
    <n v="54.166666666666664"/>
    <n v="15.833333333333336"/>
    <s v="Cash"/>
    <x v="2"/>
    <m/>
    <m/>
    <m/>
  </r>
  <r>
    <d v="2024-07-16T00:00:00"/>
    <d v="1899-12-30T14:26:00"/>
    <s v="Donuts"/>
    <n v="4"/>
    <n v="20"/>
    <n v="16.666666666666668"/>
    <n v="3.3333333333333321"/>
    <s v="Cash"/>
    <x v="2"/>
    <m/>
    <m/>
    <m/>
  </r>
  <r>
    <d v="2024-07-16T00:00:00"/>
    <d v="1899-12-30T14:34:00"/>
    <s v="Banana"/>
    <n v="2"/>
    <n v="20"/>
    <n v="16.666666666666668"/>
    <n v="3.3333333333333321"/>
    <s v="Mpesa"/>
    <x v="2"/>
    <m/>
    <m/>
    <m/>
  </r>
  <r>
    <d v="2024-07-16T00:00:00"/>
    <d v="1899-12-30T14:35:00"/>
    <s v="Scones"/>
    <n v="4"/>
    <n v="40"/>
    <n v="33.333333333333336"/>
    <n v="6.6666666666666643"/>
    <s v="Credit"/>
    <x v="4"/>
    <m/>
    <m/>
    <m/>
  </r>
  <r>
    <d v="2024-07-16T00:00:00"/>
    <d v="1899-12-30T14:35:00"/>
    <s v="Mt Kenya milk 200ml"/>
    <n v="4"/>
    <n v="140"/>
    <n v="97.142857142857139"/>
    <n v="42.857142857142861"/>
    <s v="Credit"/>
    <x v="4"/>
    <m/>
    <m/>
    <m/>
  </r>
  <r>
    <d v="2024-07-16T00:00:00"/>
    <d v="1899-12-30T14:35:00"/>
    <s v="Carrier bag small"/>
    <n v="1"/>
    <n v="10"/>
    <n v="3"/>
    <n v="7"/>
    <s v="Credit"/>
    <x v="4"/>
    <m/>
    <m/>
    <m/>
  </r>
  <r>
    <d v="2024-07-16T00:00:00"/>
    <d v="1899-12-30T14:56:00"/>
    <s v="Black Shampoo"/>
    <n v="1"/>
    <n v="50"/>
    <n v="28"/>
    <n v="22"/>
    <s v="Mpesa"/>
    <x v="2"/>
    <m/>
    <m/>
    <m/>
  </r>
  <r>
    <d v="2024-07-16T00:00:00"/>
    <d v="1899-12-30T15:40:00"/>
    <s v="Bigboss"/>
    <n v="1"/>
    <n v="5"/>
    <n v="3.5"/>
    <n v="1.5"/>
    <s v="Cash"/>
    <x v="2"/>
    <m/>
    <m/>
    <m/>
  </r>
  <r>
    <d v="2024-07-16T00:00:00"/>
    <d v="1899-12-30T16:17:00"/>
    <s v="soda 2lts"/>
    <n v="1"/>
    <n v="200"/>
    <n v="176.66666666666666"/>
    <n v="23.333333333333343"/>
    <s v="Mpesa"/>
    <x v="2"/>
    <m/>
    <m/>
    <m/>
  </r>
  <r>
    <d v="2024-07-16T00:00:00"/>
    <d v="1899-12-30T16:49:00"/>
    <s v="Brookside milk 500ml"/>
    <n v="2"/>
    <n v="140"/>
    <n v="118"/>
    <n v="22"/>
    <s v="Cash"/>
    <x v="2"/>
    <m/>
    <m/>
    <m/>
  </r>
  <r>
    <d v="2024-07-16T00:00:00"/>
    <d v="1899-12-30T16:49:00"/>
    <s v="Bitez"/>
    <n v="1"/>
    <n v="15"/>
    <n v="8.8000000000000007"/>
    <n v="6.1999999999999993"/>
    <s v="Cash"/>
    <x v="2"/>
    <m/>
    <m/>
    <m/>
  </r>
  <r>
    <d v="2024-07-16T00:00:00"/>
    <d v="1899-12-30T16:50:00"/>
    <s v="Indomie chicken"/>
    <n v="1"/>
    <n v="50"/>
    <n v="37.5"/>
    <n v="12.5"/>
    <s v="Cash"/>
    <x v="2"/>
    <m/>
    <m/>
    <m/>
  </r>
  <r>
    <d v="2024-07-16T00:00:00"/>
    <d v="1899-12-30T16:50:00"/>
    <s v="Dhania"/>
    <n v="1"/>
    <n v="5"/>
    <n v="3.3333333333333335"/>
    <n v="1.6666666666666665"/>
    <s v="Cash"/>
    <x v="2"/>
    <m/>
    <m/>
    <m/>
  </r>
  <r>
    <d v="2024-07-16T00:00:00"/>
    <d v="1899-12-30T17:21:00"/>
    <s v="Hanaan Tissue"/>
    <n v="2"/>
    <n v="100"/>
    <n v="86"/>
    <n v="14"/>
    <s v="Cash"/>
    <x v="2"/>
    <m/>
    <m/>
    <m/>
  </r>
  <r>
    <d v="2024-07-16T00:00:00"/>
    <d v="1899-12-30T17:21:00"/>
    <s v="Whitewash "/>
    <n v="1"/>
    <n v="50"/>
    <n v="33.75"/>
    <n v="16.25"/>
    <s v="Cash"/>
    <x v="2"/>
    <m/>
    <m/>
    <m/>
  </r>
  <r>
    <d v="2024-07-16T00:00:00"/>
    <d v="1899-12-30T17:21:00"/>
    <s v="Colgate 15g"/>
    <n v="1"/>
    <n v="50"/>
    <n v="36.25"/>
    <n v="13.75"/>
    <s v="Cash"/>
    <x v="2"/>
    <m/>
    <m/>
    <m/>
  </r>
  <r>
    <d v="2024-07-16T00:00:00"/>
    <d v="1899-12-30T17:21:00"/>
    <s v="Tomatoes"/>
    <n v="5"/>
    <n v="50"/>
    <n v="25"/>
    <n v="25"/>
    <s v="Cash"/>
    <x v="2"/>
    <m/>
    <m/>
    <m/>
  </r>
  <r>
    <d v="2024-07-16T00:00:00"/>
    <d v="1899-12-30T17:21:00"/>
    <s v="Dhania"/>
    <n v="1"/>
    <n v="5"/>
    <n v="3.3333333333333335"/>
    <n v="1.6666666666666665"/>
    <s v="Cash"/>
    <x v="2"/>
    <m/>
    <m/>
    <m/>
  </r>
  <r>
    <d v="2024-07-16T00:00:00"/>
    <d v="1899-12-30T17:33:00"/>
    <s v="BB Bread 200g"/>
    <n v="1"/>
    <n v="40"/>
    <n v="35"/>
    <n v="5"/>
    <s v="Mpesa"/>
    <x v="2"/>
    <m/>
    <m/>
    <m/>
  </r>
  <r>
    <d v="2024-07-16T00:00:00"/>
    <d v="1899-12-30T17:33:00"/>
    <s v="Mt kenya milk 500ml"/>
    <n v="1"/>
    <n v="65"/>
    <n v="48.333333333333336"/>
    <n v="16.666666666666664"/>
    <s v="Mpesa"/>
    <x v="2"/>
    <m/>
    <m/>
    <m/>
  </r>
  <r>
    <d v="2024-07-16T00:00:00"/>
    <d v="1899-12-30T17:45:00"/>
    <s v="Bigdaddy"/>
    <n v="3"/>
    <n v="30"/>
    <n v="18"/>
    <n v="12"/>
    <s v="Mpesa"/>
    <x v="2"/>
    <m/>
    <m/>
    <m/>
  </r>
  <r>
    <d v="2024-07-16T00:00:00"/>
    <d v="1899-12-30T17:46:00"/>
    <s v="Icepop"/>
    <n v="1"/>
    <n v="15"/>
    <n v="7.5"/>
    <n v="7.5"/>
    <s v="Mpesa"/>
    <x v="2"/>
    <m/>
    <m/>
    <m/>
  </r>
  <r>
    <d v="2024-07-16T00:00:00"/>
    <d v="1899-12-30T18:24:00"/>
    <s v="Patco"/>
    <n v="4"/>
    <n v="10"/>
    <n v="4.8"/>
    <n v="5.2"/>
    <s v="Mpesa"/>
    <x v="2"/>
    <m/>
    <m/>
    <m/>
  </r>
  <r>
    <d v="2024-07-16T00:00:00"/>
    <d v="1899-12-30T18:30:00"/>
    <s v="BB Bread 400g"/>
    <n v="1"/>
    <n v="65"/>
    <n v="60"/>
    <n v="5"/>
    <s v="Cash"/>
    <x v="2"/>
    <m/>
    <m/>
    <m/>
  </r>
  <r>
    <d v="2024-07-16T00:00:00"/>
    <d v="1899-12-30T18:33:00"/>
    <s v="eggs"/>
    <n v="3"/>
    <n v="60"/>
    <n v="43"/>
    <n v="17"/>
    <s v="Mpesa"/>
    <x v="2"/>
    <m/>
    <m/>
    <m/>
  </r>
  <r>
    <d v="2024-07-16T00:00:00"/>
    <d v="1899-12-30T18:33:00"/>
    <s v="Brookside Lala Sweetened"/>
    <n v="1"/>
    <n v="110"/>
    <n v="93"/>
    <n v="17"/>
    <s v="Mpesa"/>
    <x v="2"/>
    <m/>
    <m/>
    <m/>
  </r>
  <r>
    <d v="2024-07-16T00:00:00"/>
    <d v="1899-12-30T18:35:00"/>
    <s v="eggs"/>
    <n v="2"/>
    <n v="40"/>
    <n v="28.666666666666668"/>
    <n v="11.333333333333332"/>
    <s v="Mpesa"/>
    <x v="2"/>
    <m/>
    <m/>
    <m/>
  </r>
  <r>
    <d v="2024-07-16T00:00:00"/>
    <d v="1899-12-30T18:36:00"/>
    <s v="kinangop250g youghurt"/>
    <n v="1"/>
    <n v="60"/>
    <n v="48.333333333333336"/>
    <n v="11.666666666666664"/>
    <s v="Mpesa"/>
    <x v="2"/>
    <m/>
    <m/>
    <m/>
  </r>
  <r>
    <d v="2024-07-16T00:00:00"/>
    <d v="1899-12-30T18:36:00"/>
    <s v="minutemaid 400ml"/>
    <n v="1"/>
    <n v="85"/>
    <n v="62.5"/>
    <n v="22.5"/>
    <s v="Mpesa"/>
    <x v="2"/>
    <m/>
    <m/>
    <m/>
  </r>
  <r>
    <d v="2024-07-16T00:00:00"/>
    <d v="1899-12-30T18:37:00"/>
    <s v="eggs"/>
    <n v="2"/>
    <n v="40"/>
    <n v="28.666666666666668"/>
    <n v="11.333333333333332"/>
    <s v="Mpesa"/>
    <x v="2"/>
    <m/>
    <m/>
    <m/>
  </r>
  <r>
    <d v="2024-07-16T00:00:00"/>
    <d v="1899-12-30T18:38:00"/>
    <s v="Freshfry"/>
    <n v="1"/>
    <n v="350"/>
    <n v="290"/>
    <n v="60"/>
    <s v="Mpesa"/>
    <x v="2"/>
    <m/>
    <m/>
    <m/>
  </r>
  <r>
    <d v="2024-07-16T00:00:00"/>
    <d v="1899-12-30T19:00:00"/>
    <s v="Festive Bread 400g"/>
    <n v="1"/>
    <n v="65"/>
    <n v="60"/>
    <n v="5"/>
    <s v="Credit"/>
    <x v="8"/>
    <m/>
    <m/>
    <m/>
  </r>
  <r>
    <d v="2024-07-16T00:00:00"/>
    <d v="1899-12-30T19:01:00"/>
    <s v="BB Bread 400g"/>
    <n v="1"/>
    <n v="65"/>
    <n v="60"/>
    <n v="5"/>
    <s v="Credit"/>
    <x v="4"/>
    <m/>
    <m/>
    <m/>
  </r>
  <r>
    <d v="2024-07-16T00:00:00"/>
    <d v="1899-12-30T19:01:00"/>
    <s v="Kinangop Fresh Milk 500ml"/>
    <n v="1"/>
    <n v="60"/>
    <n v="17.333333333333332"/>
    <n v="42.666666666666671"/>
    <s v="Credit"/>
    <x v="4"/>
    <m/>
    <m/>
    <m/>
  </r>
  <r>
    <d v="2024-07-16T00:00:00"/>
    <d v="1899-12-30T19:04:00"/>
    <s v="Tukuza 1kg"/>
    <n v="1"/>
    <n v="90"/>
    <n v="61.25"/>
    <n v="28.75"/>
    <s v="Mpesa"/>
    <x v="2"/>
    <m/>
    <m/>
    <m/>
  </r>
  <r>
    <d v="2024-07-16T00:00:00"/>
    <d v="1899-12-30T19:08:00"/>
    <s v="Mt kenya milk 500ml"/>
    <n v="3"/>
    <n v="195"/>
    <n v="145"/>
    <n v="50"/>
    <s v="Cash"/>
    <x v="2"/>
    <m/>
    <m/>
    <m/>
  </r>
  <r>
    <d v="2024-07-16T00:00:00"/>
    <d v="1899-12-30T19:08:00"/>
    <s v="Festive Bread 400g"/>
    <n v="1"/>
    <n v="65"/>
    <n v="60"/>
    <n v="5"/>
    <s v="Cash"/>
    <x v="2"/>
    <m/>
    <m/>
    <m/>
  </r>
  <r>
    <d v="2024-07-16T00:00:00"/>
    <d v="1899-12-30T19:09:00"/>
    <s v="Icepop"/>
    <n v="3"/>
    <n v="45"/>
    <n v="22.5"/>
    <n v="22.5"/>
    <s v="Mpesa"/>
    <x v="2"/>
    <m/>
    <m/>
    <m/>
  </r>
  <r>
    <d v="2024-07-16T00:00:00"/>
    <d v="1899-12-30T19:09:00"/>
    <s v="Pencil"/>
    <n v="1"/>
    <n v="10"/>
    <n v="7.5"/>
    <n v="2.5"/>
    <s v="Mpesa"/>
    <x v="2"/>
    <m/>
    <m/>
    <m/>
  </r>
  <r>
    <d v="2024-07-16T00:00:00"/>
    <d v="1899-12-30T19:19:00"/>
    <s v="kinangop 500g youghurt"/>
    <n v="1"/>
    <n v="120"/>
    <n v="92.5"/>
    <n v="27.5"/>
    <s v="Mpesa"/>
    <x v="2"/>
    <m/>
    <m/>
    <m/>
  </r>
  <r>
    <d v="2024-07-16T00:00:00"/>
    <d v="1899-12-30T19:25:00"/>
    <s v="Brookside Lala Natural"/>
    <n v="1"/>
    <n v="100"/>
    <n v="87"/>
    <n v="13"/>
    <s v="Credit"/>
    <x v="7"/>
    <m/>
    <m/>
    <m/>
  </r>
  <r>
    <d v="2024-07-16T00:00:00"/>
    <d v="1899-12-30T19:25:00"/>
    <s v="Kinangop Fresh Milk 500ml"/>
    <n v="1"/>
    <n v="60"/>
    <n v="55"/>
    <n v="5"/>
    <s v="Credit"/>
    <x v="7"/>
    <m/>
    <m/>
    <m/>
  </r>
  <r>
    <d v="2024-07-16T00:00:00"/>
    <d v="1899-12-30T19:30:00"/>
    <s v="Bitez"/>
    <n v="2"/>
    <n v="30"/>
    <n v="17.600000000000001"/>
    <n v="12.399999999999999"/>
    <s v="Mpesa"/>
    <x v="2"/>
    <m/>
    <m/>
    <m/>
  </r>
  <r>
    <d v="2024-07-16T00:00:00"/>
    <d v="1899-12-30T19:30:00"/>
    <s v="Tamu  Tamu Green"/>
    <n v="1"/>
    <n v="15"/>
    <n v="8.6"/>
    <n v="6.4"/>
    <s v="Mpesa"/>
    <x v="2"/>
    <m/>
    <m/>
    <m/>
  </r>
  <r>
    <d v="2024-07-16T00:00:00"/>
    <d v="1899-12-30T19:30:00"/>
    <s v="Tamu Tamu Red"/>
    <n v="1"/>
    <n v="15"/>
    <n v="8.6"/>
    <n v="6.4"/>
    <s v="Mpesa"/>
    <x v="2"/>
    <m/>
    <m/>
    <m/>
  </r>
  <r>
    <d v="2024-07-16T00:00:00"/>
    <d v="1899-12-30T19:30:00"/>
    <s v="Baloon"/>
    <n v="1"/>
    <n v="10"/>
    <n v="6"/>
    <n v="4"/>
    <s v="Mpesa"/>
    <x v="2"/>
    <m/>
    <m/>
    <m/>
  </r>
  <r>
    <d v="2024-07-16T00:00:00"/>
    <d v="1899-12-30T19:30:00"/>
    <s v="Gomba"/>
    <n v="2"/>
    <n v="5"/>
    <n v="3.6"/>
    <n v="1.4"/>
    <s v="Mpesa"/>
    <x v="2"/>
    <m/>
    <m/>
    <m/>
  </r>
  <r>
    <d v="2024-07-16T00:00:00"/>
    <d v="1899-12-30T19:30:00"/>
    <s v="Sodacans"/>
    <n v="2"/>
    <n v="40"/>
    <n v="30"/>
    <n v="10"/>
    <s v="Mpesa"/>
    <x v="2"/>
    <m/>
    <m/>
    <m/>
  </r>
  <r>
    <d v="2024-07-16T00:00:00"/>
    <d v="1899-12-30T19:47:00"/>
    <s v="minutemaid 400ml"/>
    <n v="1"/>
    <n v="85"/>
    <n v="62.5"/>
    <n v="22.5"/>
    <s v="Mpesa"/>
    <x v="2"/>
    <m/>
    <m/>
    <m/>
  </r>
  <r>
    <d v="2024-07-16T00:00:00"/>
    <d v="1899-12-30T20:02:00"/>
    <s v="Festive Bread 400g"/>
    <n v="1"/>
    <n v="65"/>
    <n v="60"/>
    <n v="5"/>
    <s v="Mpesa"/>
    <x v="2"/>
    <m/>
    <m/>
    <m/>
  </r>
  <r>
    <d v="2024-07-16T00:00:00"/>
    <d v="1899-12-30T20:02:00"/>
    <s v="Banana"/>
    <n v="1"/>
    <n v="10"/>
    <n v="8.3333333333333339"/>
    <n v="1.6666666666666661"/>
    <s v="Mpesa"/>
    <x v="2"/>
    <m/>
    <m/>
    <m/>
  </r>
  <r>
    <d v="2024-07-16T00:00:00"/>
    <d v="1899-12-30T20:30:00"/>
    <s v="5ltrs water"/>
    <n v="1"/>
    <n v="120"/>
    <n v="75"/>
    <n v="45"/>
    <s v="Credit"/>
    <x v="9"/>
    <m/>
    <m/>
    <m/>
  </r>
  <r>
    <d v="2024-07-16T00:00:00"/>
    <d v="1899-12-30T20:30:00"/>
    <s v="Mt Kenya milk 200ml"/>
    <n v="1"/>
    <n v="60"/>
    <n v="55"/>
    <n v="5"/>
    <s v="Credit"/>
    <x v="3"/>
    <m/>
    <m/>
    <m/>
  </r>
  <r>
    <d v="2024-07-17T00:00:00"/>
    <d v="1899-12-30T09:19:00"/>
    <s v="Safari"/>
    <n v="1"/>
    <n v="15"/>
    <n v="8.5"/>
    <n v="6.5"/>
    <s v="Cash"/>
    <x v="2"/>
    <m/>
    <m/>
    <m/>
  </r>
  <r>
    <d v="2024-07-17T00:00:00"/>
    <d v="1899-12-30T09:27:00"/>
    <s v="Half pound cake"/>
    <n v="1"/>
    <n v="100"/>
    <n v="90"/>
    <n v="10"/>
    <s v="Mpesa"/>
    <x v="2"/>
    <m/>
    <m/>
    <m/>
  </r>
  <r>
    <d v="2024-07-17T00:00:00"/>
    <d v="1899-12-30T09:37:00"/>
    <s v="Safaricom 20 Credit"/>
    <n v="1"/>
    <n v="20"/>
    <n v="18"/>
    <n v="2"/>
    <s v="Cash"/>
    <x v="2"/>
    <m/>
    <m/>
    <m/>
  </r>
  <r>
    <d v="2024-07-17T00:00:00"/>
    <d v="1899-12-30T09:37:00"/>
    <s v="Tropical"/>
    <n v="2"/>
    <n v="10"/>
    <n v="3"/>
    <n v="7"/>
    <s v="Cash"/>
    <x v="2"/>
    <m/>
    <m/>
    <m/>
  </r>
  <r>
    <d v="2024-07-17T00:00:00"/>
    <d v="1899-12-30T10:50:00"/>
    <s v="Festive Bread 400g"/>
    <n v="1"/>
    <n v="65"/>
    <n v="60"/>
    <n v="5"/>
    <s v="Mpesa"/>
    <x v="2"/>
    <m/>
    <m/>
    <m/>
  </r>
  <r>
    <d v="2024-07-17T00:00:00"/>
    <d v="1899-12-30T11:20:00"/>
    <s v="Mt kenya milk 500ml"/>
    <n v="1"/>
    <n v="65"/>
    <n v="48.333333333333336"/>
    <n v="16.666666666666664"/>
    <s v="Credit"/>
    <x v="3"/>
    <m/>
    <m/>
    <m/>
  </r>
  <r>
    <d v="2024-07-17T00:00:00"/>
    <d v="1899-12-30T11:43:00"/>
    <s v="soda 300ml glass"/>
    <n v="1"/>
    <n v="40"/>
    <n v="32.5"/>
    <n v="7.5"/>
    <s v="Cash"/>
    <x v="2"/>
    <m/>
    <m/>
    <m/>
  </r>
  <r>
    <d v="2024-07-17T00:00:00"/>
    <d v="1899-12-30T11:43:00"/>
    <s v="Mandazi"/>
    <n v="1"/>
    <n v="5"/>
    <n v="4.166666666666667"/>
    <n v="0.83333333333333304"/>
    <s v="Cash"/>
    <x v="2"/>
    <m/>
    <m/>
    <m/>
  </r>
  <r>
    <d v="2024-07-17T00:00:00"/>
    <d v="1899-12-30T12:11:00"/>
    <s v="Peanut Cookies"/>
    <n v="1"/>
    <n v="35"/>
    <n v="25"/>
    <n v="10"/>
    <s v="Cash"/>
    <x v="2"/>
    <m/>
    <m/>
    <m/>
  </r>
  <r>
    <d v="2024-07-17T00:00:00"/>
    <d v="1899-12-30T12:11:00"/>
    <s v="Peanut Cookies"/>
    <n v="1"/>
    <n v="35"/>
    <n v="25"/>
    <n v="10"/>
    <s v="Mpesa"/>
    <x v="2"/>
    <m/>
    <m/>
    <m/>
  </r>
  <r>
    <d v="2024-07-17T00:00:00"/>
    <d v="1899-12-30T12:11:00"/>
    <s v="Onion"/>
    <n v="1"/>
    <n v="10"/>
    <n v="8"/>
    <n v="2"/>
    <s v="Mpesa"/>
    <x v="2"/>
    <m/>
    <m/>
    <m/>
  </r>
  <r>
    <d v="2024-07-17T00:00:00"/>
    <d v="1899-12-30T12:11:00"/>
    <s v="Tomatoes"/>
    <n v="1"/>
    <n v="10"/>
    <n v="5"/>
    <n v="5"/>
    <s v="Mpesa"/>
    <x v="2"/>
    <m/>
    <m/>
    <m/>
  </r>
  <r>
    <d v="2024-07-17T00:00:00"/>
    <d v="1899-12-30T12:23:00"/>
    <s v="Jumbo Tissue"/>
    <n v="1"/>
    <n v="120"/>
    <n v="90"/>
    <n v="30"/>
    <s v="Cash"/>
    <x v="2"/>
    <m/>
    <m/>
    <m/>
  </r>
  <r>
    <d v="2024-07-17T00:00:00"/>
    <d v="1899-12-30T13:34:00"/>
    <s v="Ndengu"/>
    <n v="0.25"/>
    <n v="40"/>
    <n v="30"/>
    <n v="10"/>
    <s v="Credit"/>
    <x v="4"/>
    <m/>
    <m/>
    <m/>
  </r>
  <r>
    <d v="2024-07-17T00:00:00"/>
    <d v="1899-12-30T13:34:00"/>
    <s v="Tomatoes"/>
    <n v="4"/>
    <n v="40"/>
    <n v="20"/>
    <n v="20"/>
    <s v="Credit"/>
    <x v="4"/>
    <m/>
    <m/>
    <m/>
  </r>
  <r>
    <d v="2024-07-17T00:00:00"/>
    <d v="1899-12-30T13:34:00"/>
    <s v="Onion"/>
    <n v="2"/>
    <n v="20"/>
    <n v="16"/>
    <n v="4"/>
    <s v="Credit"/>
    <x v="4"/>
    <m/>
    <m/>
    <m/>
  </r>
  <r>
    <d v="2024-07-17T00:00:00"/>
    <d v="1899-12-30T13:34:00"/>
    <s v="Dhania"/>
    <n v="1"/>
    <n v="5"/>
    <n v="3.3333333333333335"/>
    <n v="1.6666666666666665"/>
    <s v="Credit"/>
    <x v="4"/>
    <m/>
    <m/>
    <m/>
  </r>
  <r>
    <d v="2024-07-17T00:00:00"/>
    <d v="1899-12-30T13:50:00"/>
    <s v="soda 300ml glass"/>
    <n v="1"/>
    <n v="40"/>
    <n v="32.5"/>
    <n v="7.5"/>
    <s v="Mpesa"/>
    <x v="2"/>
    <m/>
    <m/>
    <m/>
  </r>
  <r>
    <d v="2024-07-17T00:00:00"/>
    <d v="1899-12-30T13:50:00"/>
    <s v="Ngumu"/>
    <n v="2"/>
    <n v="20"/>
    <n v="16.666666666666668"/>
    <n v="3.3333333333333321"/>
    <s v="Mpesa"/>
    <x v="2"/>
    <m/>
    <m/>
    <m/>
  </r>
  <r>
    <d v="2024-07-17T00:00:00"/>
    <d v="1899-12-30T14:05:00"/>
    <s v="Airtel 50 Credit"/>
    <n v="1"/>
    <n v="50"/>
    <n v="47"/>
    <n v="3"/>
    <s v="Cash"/>
    <x v="2"/>
    <m/>
    <m/>
    <m/>
  </r>
  <r>
    <d v="2024-07-17T00:00:00"/>
    <d v="1899-12-30T14:46:00"/>
    <s v="Cooking Oil Measured"/>
    <n v="0.25"/>
    <n v="70"/>
    <n v="50"/>
    <n v="20"/>
    <s v="Credit"/>
    <x v="4"/>
    <m/>
    <m/>
    <m/>
  </r>
  <r>
    <d v="2024-07-17T00:00:00"/>
    <d v="1899-12-30T16:14:00"/>
    <s v="Steel Wire"/>
    <n v="2"/>
    <n v="40"/>
    <n v="20.833333333333332"/>
    <n v="19.166666666666668"/>
    <s v="Credit"/>
    <x v="4"/>
    <m/>
    <m/>
    <m/>
  </r>
  <r>
    <d v="2024-07-17T00:00:00"/>
    <d v="1899-12-30T16:24:00"/>
    <s v="kensalt 500g"/>
    <n v="1"/>
    <n v="25"/>
    <n v="14"/>
    <n v="11"/>
    <s v="Mpesa"/>
    <x v="2"/>
    <m/>
    <m/>
    <m/>
  </r>
  <r>
    <d v="2024-07-17T00:00:00"/>
    <d v="1899-12-30T18:07:00"/>
    <s v="Festive 800g"/>
    <n v="1"/>
    <n v="130"/>
    <n v="120"/>
    <n v="10"/>
    <s v="Mpesa"/>
    <x v="2"/>
    <m/>
    <m/>
    <m/>
  </r>
  <r>
    <d v="2024-07-17T00:00:00"/>
    <d v="1899-12-30T18:23:00"/>
    <s v="Tomatoes"/>
    <n v="10"/>
    <n v="100"/>
    <n v="50"/>
    <n v="50"/>
    <s v="Cash"/>
    <x v="2"/>
    <m/>
    <m/>
    <m/>
  </r>
  <r>
    <d v="2024-07-17T00:00:00"/>
    <d v="1899-12-30T18:23:00"/>
    <s v="Dhania"/>
    <n v="1"/>
    <n v="5"/>
    <n v="3.3333333333333335"/>
    <n v="1.6666666666666665"/>
    <s v="Cash"/>
    <x v="2"/>
    <m/>
    <m/>
    <m/>
  </r>
  <r>
    <d v="2024-07-17T00:00:00"/>
    <d v="1899-12-30T18:23:00"/>
    <s v="Mt kenya milk 500ml"/>
    <n v="1"/>
    <n v="65"/>
    <n v="48.333333333333336"/>
    <n v="16.666666666666664"/>
    <s v="Cash"/>
    <x v="2"/>
    <m/>
    <m/>
    <m/>
  </r>
  <r>
    <d v="2024-07-17T00:00:00"/>
    <d v="1899-12-30T18:25:00"/>
    <s v="Steel Wire"/>
    <n v="1"/>
    <n v="10"/>
    <n v="6"/>
    <n v="4"/>
    <s v="Credit"/>
    <x v="10"/>
    <m/>
    <m/>
    <m/>
  </r>
  <r>
    <d v="2024-07-17T00:00:00"/>
    <d v="1899-12-30T18:30:00"/>
    <s v="Rope"/>
    <n v="1"/>
    <n v="50"/>
    <n v="37.5"/>
    <n v="12.5"/>
    <s v="Credit"/>
    <x v="11"/>
    <m/>
    <m/>
    <m/>
  </r>
  <r>
    <d v="2024-07-17T00:00:00"/>
    <d v="1899-12-30T19:26:00"/>
    <s v="Brookside milk 500ml"/>
    <n v="1"/>
    <n v="70"/>
    <n v="59"/>
    <n v="11"/>
    <s v="Credit"/>
    <x v="10"/>
    <m/>
    <m/>
    <m/>
  </r>
  <r>
    <d v="2024-07-17T00:00:00"/>
    <d v="1899-12-30T19:52:00"/>
    <s v="Kinangop Fresh Milk 500ml"/>
    <n v="1"/>
    <n v="60"/>
    <n v="55"/>
    <n v="5"/>
    <s v="Cash"/>
    <x v="2"/>
    <m/>
    <m/>
    <m/>
  </r>
  <r>
    <d v="2024-07-17T00:00:00"/>
    <d v="1899-12-30T19:52:00"/>
    <s v="Cooking Oil Measured"/>
    <n v="0.25"/>
    <n v="70"/>
    <n v="50"/>
    <n v="20"/>
    <s v="Cash"/>
    <x v="2"/>
    <m/>
    <m/>
    <m/>
  </r>
  <r>
    <d v="2024-07-17T00:00:00"/>
    <d v="1899-12-30T19:52:00"/>
    <s v="Sugar"/>
    <n v="0.5"/>
    <n v="90"/>
    <n v="65"/>
    <n v="25"/>
    <s v="Credit"/>
    <x v="12"/>
    <m/>
    <m/>
    <m/>
  </r>
  <r>
    <d v="2024-07-17T00:00:00"/>
    <d v="1899-12-30T20:20:00"/>
    <s v="Cabbage"/>
    <n v="1"/>
    <n v="180"/>
    <n v="120"/>
    <n v="60"/>
    <s v="Credit"/>
    <x v="8"/>
    <m/>
    <m/>
    <m/>
  </r>
  <r>
    <d v="2024-07-18T00:00:00"/>
    <d v="1899-12-30T07:37:00"/>
    <s v="eggs"/>
    <n v="3"/>
    <n v="60"/>
    <n v="43"/>
    <n v="17"/>
    <s v="Mpesa"/>
    <x v="2"/>
    <m/>
    <m/>
    <m/>
  </r>
  <r>
    <d v="2024-07-18T00:00:00"/>
    <d v="1899-12-30T07:37:00"/>
    <s v="Festive Bread 400g"/>
    <n v="1"/>
    <n v="65"/>
    <n v="60"/>
    <n v="5"/>
    <s v="Mpesa"/>
    <x v="2"/>
    <m/>
    <m/>
    <m/>
  </r>
  <r>
    <d v="2024-07-18T00:00:00"/>
    <d v="1899-12-30T08:26:00"/>
    <s v="Mt kenya milk 500ml"/>
    <n v="1"/>
    <n v="65"/>
    <n v="48.333333333333336"/>
    <n v="16.666666666666664"/>
    <s v="Credit"/>
    <x v="1"/>
    <m/>
    <m/>
    <m/>
  </r>
  <r>
    <d v="2024-07-18T00:00:00"/>
    <d v="1899-12-30T08:26:00"/>
    <s v="BB Bread 400g"/>
    <n v="1"/>
    <n v="65"/>
    <n v="60"/>
    <n v="5"/>
    <s v="Credit"/>
    <x v="1"/>
    <m/>
    <m/>
    <m/>
  </r>
  <r>
    <d v="2024-07-18T00:00:00"/>
    <d v="1899-12-30T08:26:00"/>
    <s v="Sunny girl pad"/>
    <n v="1"/>
    <n v="70"/>
    <n v="56.666666666666664"/>
    <n v="13.333333333333336"/>
    <s v="Credit"/>
    <x v="1"/>
    <m/>
    <m/>
    <m/>
  </r>
  <r>
    <d v="2024-07-18T00:00:00"/>
    <d v="1899-12-30T08:50:00"/>
    <s v="Mt Kenya milk 200ml"/>
    <n v="1"/>
    <n v="35"/>
    <n v="24.285714285714285"/>
    <n v="10.714285714285715"/>
    <s v="Mpesa"/>
    <x v="2"/>
    <m/>
    <m/>
    <m/>
  </r>
  <r>
    <d v="2024-07-18T00:00:00"/>
    <d v="1899-12-30T08:50:00"/>
    <s v="Banana"/>
    <n v="2"/>
    <n v="20"/>
    <n v="16.666666666666668"/>
    <n v="3.3333333333333321"/>
    <s v="Mpesa"/>
    <x v="2"/>
    <m/>
    <m/>
    <m/>
  </r>
  <r>
    <d v="2024-07-18T00:00:00"/>
    <d v="1899-12-30T08:50:00"/>
    <s v="Banana"/>
    <n v="1"/>
    <n v="10"/>
    <n v="8.3333333333333339"/>
    <n v="1.6666666666666661"/>
    <s v="Cash"/>
    <x v="2"/>
    <m/>
    <m/>
    <m/>
  </r>
  <r>
    <d v="2024-07-18T00:00:00"/>
    <d v="1899-12-30T09:56:00"/>
    <s v="omo 75g"/>
    <n v="2"/>
    <n v="70"/>
    <n v="55"/>
    <n v="15"/>
    <s v="Credit"/>
    <x v="13"/>
    <m/>
    <m/>
    <m/>
  </r>
  <r>
    <d v="2024-07-18T00:00:00"/>
    <d v="1899-12-30T09:56:00"/>
    <s v="Downy lavender"/>
    <n v="2"/>
    <n v="40"/>
    <n v="34.666666666666664"/>
    <n v="5.3333333333333357"/>
    <s v="Credit"/>
    <x v="13"/>
    <m/>
    <m/>
    <m/>
  </r>
  <r>
    <d v="2024-07-18T00:00:00"/>
    <d v="1899-12-30T09:56:00"/>
    <s v="Menengai Bar 1kg"/>
    <n v="0.2"/>
    <n v="50"/>
    <n v="38"/>
    <n v="12"/>
    <s v="Credit"/>
    <x v="13"/>
    <m/>
    <m/>
    <m/>
  </r>
  <r>
    <d v="2024-07-18T00:00:00"/>
    <d v="1899-12-30T10:55:00"/>
    <s v="Kdf"/>
    <n v="6"/>
    <n v="60"/>
    <n v="50"/>
    <n v="10"/>
    <s v="Mpesa"/>
    <x v="2"/>
    <m/>
    <m/>
    <m/>
  </r>
  <r>
    <d v="2024-07-18T00:00:00"/>
    <d v="1899-12-30T11:55:00"/>
    <s v="Bigdaddy"/>
    <n v="2"/>
    <n v="20"/>
    <n v="12"/>
    <n v="8"/>
    <s v="Mpesa"/>
    <x v="2"/>
    <m/>
    <m/>
    <m/>
  </r>
  <r>
    <d v="2024-07-18T00:00:00"/>
    <d v="1899-12-30T11:55:00"/>
    <s v="Bigboss"/>
    <n v="1"/>
    <n v="5"/>
    <n v="3.5"/>
    <n v="1.5"/>
    <s v="Mpesa"/>
    <x v="2"/>
    <m/>
    <m/>
    <m/>
  </r>
  <r>
    <d v="2024-07-18T00:00:00"/>
    <d v="1899-12-30T11:02:00"/>
    <s v="eggs"/>
    <n v="2"/>
    <n v="40"/>
    <n v="28.666666666666668"/>
    <n v="11.333333333333332"/>
    <s v="Mpesa"/>
    <x v="2"/>
    <m/>
    <m/>
    <m/>
  </r>
  <r>
    <d v="2024-07-18T00:00:00"/>
    <d v="1899-12-30T11:35:00"/>
    <s v="soda 500ml glass"/>
    <n v="1"/>
    <n v="55"/>
    <n v="50"/>
    <n v="5"/>
    <s v="Cash"/>
    <x v="2"/>
    <m/>
    <m/>
    <m/>
  </r>
  <r>
    <d v="2024-07-18T00:00:00"/>
    <d v="1899-12-30T11:35:00"/>
    <s v="Half pound cake"/>
    <n v="1"/>
    <n v="100"/>
    <n v="90"/>
    <n v="10"/>
    <s v="Cash"/>
    <x v="2"/>
    <m/>
    <m/>
    <m/>
  </r>
  <r>
    <d v="2024-07-18T00:00:00"/>
    <d v="1899-12-30T12:52:00"/>
    <s v="300ml water"/>
    <n v="1"/>
    <n v="30"/>
    <n v="12.5"/>
    <n v="17.5"/>
    <s v="Credit"/>
    <x v="4"/>
    <m/>
    <m/>
    <m/>
  </r>
  <r>
    <d v="2024-07-18T00:00:00"/>
    <d v="1899-12-30T13:27:00"/>
    <s v="Indomie chicken"/>
    <n v="1"/>
    <n v="50"/>
    <n v="37.5"/>
    <n v="12.5"/>
    <s v="Mpesa"/>
    <x v="2"/>
    <m/>
    <m/>
    <m/>
  </r>
  <r>
    <d v="2024-07-18T00:00:00"/>
    <d v="1899-12-30T13:27:00"/>
    <s v="Sonaplast"/>
    <n v="1"/>
    <n v="10"/>
    <n v="7"/>
    <n v="3"/>
    <s v="Mpesa"/>
    <x v="2"/>
    <m/>
    <m/>
    <m/>
  </r>
  <r>
    <d v="2024-07-18T00:00:00"/>
    <d v="1899-12-30T14:00:00"/>
    <s v="Steel Wire"/>
    <n v="1"/>
    <n v="10"/>
    <n v="6"/>
    <n v="4"/>
    <s v="Credit"/>
    <x v="1"/>
    <m/>
    <m/>
    <m/>
  </r>
  <r>
    <d v="2024-07-18T00:00:00"/>
    <d v="1899-12-30T14:32:00"/>
    <s v="Cooking Oil Measured"/>
    <n v="0.5"/>
    <n v="140"/>
    <n v="100"/>
    <n v="40"/>
    <s v="Mpesa"/>
    <x v="2"/>
    <m/>
    <m/>
    <m/>
  </r>
  <r>
    <d v="2024-07-18T00:00:00"/>
    <d v="1899-12-30T14:32:00"/>
    <s v="Mt Kenya milk 200ml"/>
    <n v="1"/>
    <n v="35"/>
    <n v="24.285714285714285"/>
    <n v="10.714285714285715"/>
    <s v="Mpesa"/>
    <x v="2"/>
    <m/>
    <m/>
    <m/>
  </r>
  <r>
    <d v="2024-07-18T00:00:00"/>
    <d v="1899-12-30T15:29:00"/>
    <s v="soda 500ml glass"/>
    <n v="1"/>
    <n v="55"/>
    <n v="50"/>
    <n v="5"/>
    <s v="Mpesa"/>
    <x v="2"/>
    <m/>
    <m/>
    <m/>
  </r>
  <r>
    <d v="2024-07-18T00:00:00"/>
    <d v="1899-12-30T15:29:00"/>
    <s v="Mandazi"/>
    <n v="10"/>
    <n v="50"/>
    <n v="41.666666666666671"/>
    <n v="8.3333333333333286"/>
    <s v="Mpesa"/>
    <x v="2"/>
    <m/>
    <m/>
    <m/>
  </r>
  <r>
    <d v="2024-07-18T00:00:00"/>
    <d v="1899-12-30T16:05:00"/>
    <s v="Airtel 50 Credit"/>
    <n v="1"/>
    <n v="50"/>
    <n v="47"/>
    <n v="3"/>
    <s v="Cash"/>
    <x v="2"/>
    <m/>
    <m/>
    <m/>
  </r>
  <r>
    <d v="2024-07-18T00:00:00"/>
    <d v="1899-12-30T16:05:00"/>
    <s v="Airtel 10 Credit"/>
    <n v="1"/>
    <n v="10"/>
    <n v="9"/>
    <n v="1"/>
    <s v="Cash"/>
    <x v="2"/>
    <m/>
    <m/>
    <m/>
  </r>
  <r>
    <d v="2024-07-18T00:00:00"/>
    <d v="1899-12-30T16:27:00"/>
    <s v="Ngumu"/>
    <n v="1"/>
    <n v="10"/>
    <n v="8.3333333333333339"/>
    <n v="1.6666666666666661"/>
    <s v="Credit"/>
    <x v="14"/>
    <m/>
    <m/>
    <m/>
  </r>
  <r>
    <d v="2024-07-18T00:00:00"/>
    <d v="1899-12-30T16:37:00"/>
    <s v="Indomie chicken"/>
    <n v="1"/>
    <n v="50"/>
    <n v="37.5"/>
    <n v="12.5"/>
    <s v="Cash"/>
    <x v="2"/>
    <m/>
    <m/>
    <m/>
  </r>
  <r>
    <d v="2024-07-18T00:00:00"/>
    <d v="1899-12-30T17:02:00"/>
    <s v="Brookside milk 500ml"/>
    <n v="1"/>
    <n v="70"/>
    <n v="59"/>
    <n v="11"/>
    <s v="Credit"/>
    <x v="10"/>
    <m/>
    <m/>
    <m/>
  </r>
  <r>
    <d v="2024-07-18T00:00:00"/>
    <d v="1899-12-30T17:02:00"/>
    <s v="BB Bread 400g"/>
    <n v="1"/>
    <n v="65"/>
    <n v="60"/>
    <n v="5"/>
    <s v="Credit"/>
    <x v="10"/>
    <m/>
    <m/>
    <m/>
  </r>
  <r>
    <d v="2024-07-18T00:00:00"/>
    <d v="1899-12-30T17:03:00"/>
    <s v="kensalt 500g"/>
    <n v="1"/>
    <n v="25"/>
    <n v="14"/>
    <n v="11"/>
    <s v="Credit"/>
    <x v="12"/>
    <s v="Pauline"/>
    <n v="20"/>
    <s v="Cash"/>
  </r>
  <r>
    <d v="2024-07-18T00:00:00"/>
    <d v="1899-12-30T18:03:00"/>
    <s v="Cooking Oil Measured"/>
    <n v="0.5"/>
    <n v="140"/>
    <n v="100"/>
    <n v="40"/>
    <s v="Credit"/>
    <x v="9"/>
    <m/>
    <m/>
    <m/>
  </r>
  <r>
    <d v="2024-07-18T00:00:00"/>
    <d v="1899-12-30T18:03:00"/>
    <s v="eggs"/>
    <n v="4"/>
    <n v="80"/>
    <n v="57.333333333333336"/>
    <n v="22.666666666666664"/>
    <s v="Credit"/>
    <x v="9"/>
    <m/>
    <m/>
    <m/>
  </r>
  <r>
    <d v="2024-07-18T00:00:00"/>
    <d v="1899-12-30T18:03:00"/>
    <s v="Tomatoes"/>
    <n v="1"/>
    <n v="10"/>
    <n v="5"/>
    <n v="5"/>
    <s v="Credit"/>
    <x v="9"/>
    <m/>
    <m/>
    <m/>
  </r>
  <r>
    <d v="2024-07-18T00:00:00"/>
    <d v="1899-12-30T18:03:00"/>
    <s v="Onion"/>
    <n v="1"/>
    <n v="10"/>
    <n v="8"/>
    <n v="2"/>
    <s v="Credit"/>
    <x v="9"/>
    <m/>
    <m/>
    <m/>
  </r>
  <r>
    <d v="2024-07-18T00:00:00"/>
    <d v="1899-12-30T18:03:00"/>
    <s v="Safari"/>
    <n v="3"/>
    <n v="45"/>
    <n v="25.5"/>
    <n v="19.5"/>
    <s v="Credit"/>
    <x v="9"/>
    <m/>
    <m/>
    <m/>
  </r>
  <r>
    <d v="2024-07-18T00:00:00"/>
    <d v="1899-12-30T18:43:00"/>
    <s v="Brookside milk 500ml"/>
    <n v="2"/>
    <n v="140"/>
    <n v="118"/>
    <n v="22"/>
    <s v="Cash"/>
    <x v="2"/>
    <m/>
    <m/>
    <m/>
  </r>
  <r>
    <d v="2024-07-18T00:00:00"/>
    <d v="1899-12-30T19:00:00"/>
    <s v="Cooking Oil Measured"/>
    <n v="0.5"/>
    <n v="140"/>
    <n v="100"/>
    <n v="40"/>
    <s v="Credit"/>
    <x v="15"/>
    <m/>
    <m/>
    <m/>
  </r>
  <r>
    <d v="2024-07-18T00:00:00"/>
    <d v="1899-12-30T19:00:00"/>
    <s v="eggs"/>
    <n v="5"/>
    <n v="100"/>
    <n v="71.666666666666671"/>
    <n v="28.333333333333329"/>
    <s v="Credit"/>
    <x v="15"/>
    <s v="Mum Worship"/>
    <n v="200"/>
    <s v="Cash"/>
  </r>
  <r>
    <d v="2024-07-18T00:00:00"/>
    <d v="1899-12-30T19:00:00"/>
    <s v="Mt kenya milk 500ml"/>
    <n v="1"/>
    <n v="65"/>
    <n v="48.333333333333336"/>
    <n v="16.666666666666664"/>
    <s v="Credit"/>
    <x v="15"/>
    <m/>
    <m/>
    <m/>
  </r>
  <r>
    <d v="2024-07-18T00:00:00"/>
    <d v="1899-12-30T19:02:00"/>
    <s v="Tomatoes"/>
    <n v="3"/>
    <n v="30"/>
    <n v="15"/>
    <n v="15"/>
    <s v="Cash"/>
    <x v="2"/>
    <m/>
    <m/>
    <m/>
  </r>
  <r>
    <d v="2024-07-18T00:00:00"/>
    <d v="1899-12-30T19:20:00"/>
    <s v="coo"/>
    <n v="2"/>
    <n v="5"/>
    <n v="2.4"/>
    <n v="2.6"/>
    <s v="Cash"/>
    <x v="2"/>
    <m/>
    <m/>
    <m/>
  </r>
  <r>
    <d v="2024-07-18T00:00:00"/>
    <d v="1899-12-30T19:22:00"/>
    <s v="Kaluma Pain Balm Small"/>
    <n v="1"/>
    <n v="30"/>
    <n v="23.333333333333332"/>
    <n v="6.6666666666666679"/>
    <s v="Mpesa"/>
    <x v="2"/>
    <m/>
    <m/>
    <m/>
  </r>
  <r>
    <d v="2024-07-18T00:00:00"/>
    <d v="1899-12-30T19:40:00"/>
    <s v="minutemaid 400ml"/>
    <n v="1"/>
    <n v="85"/>
    <n v="62.5"/>
    <n v="22.5"/>
    <s v="Mpesa"/>
    <x v="2"/>
    <m/>
    <m/>
    <m/>
  </r>
  <r>
    <d v="2024-07-18T00:00:00"/>
    <d v="1899-12-30T19:40:00"/>
    <s v="Ring Cake"/>
    <n v="1"/>
    <n v="50"/>
    <n v="45"/>
    <n v="5"/>
    <s v="Mpesa"/>
    <x v="2"/>
    <m/>
    <m/>
    <m/>
  </r>
  <r>
    <d v="2024-07-18T00:00:00"/>
    <d v="1899-12-30T20:36:00"/>
    <s v="kabras sugar 1kg"/>
    <n v="1"/>
    <n v="180"/>
    <n v="140"/>
    <n v="40"/>
    <s v="Credit"/>
    <x v="16"/>
    <m/>
    <m/>
    <m/>
  </r>
  <r>
    <d v="2024-07-18T00:00:00"/>
    <d v="1899-12-30T20:36:00"/>
    <s v="Mt kenya milk 500ml"/>
    <n v="1"/>
    <n v="65"/>
    <n v="48.333333333333336"/>
    <n v="16.666666666666664"/>
    <s v="Credit"/>
    <x v="16"/>
    <m/>
    <m/>
    <m/>
  </r>
  <r>
    <d v="2024-07-18T00:00:00"/>
    <d v="1899-12-30T20:36:00"/>
    <s v="Indomie chicken"/>
    <n v="1"/>
    <n v="50"/>
    <n v="37.5"/>
    <n v="12.5"/>
    <s v="Credit"/>
    <x v="16"/>
    <m/>
    <m/>
    <m/>
  </r>
  <r>
    <d v="2024-07-18T00:00:00"/>
    <d v="1899-12-30T20:37:00"/>
    <s v="Kinangop Fresh Milk 500ml"/>
    <n v="1"/>
    <n v="60"/>
    <n v="55"/>
    <n v="5"/>
    <s v="Mpesa"/>
    <x v="2"/>
    <m/>
    <m/>
    <m/>
  </r>
  <r>
    <d v="2024-07-18T00:00:00"/>
    <d v="1899-12-30T20:44:00"/>
    <s v="Hanaan Tissue"/>
    <n v="1"/>
    <n v="50"/>
    <n v="43"/>
    <n v="7"/>
    <s v="Credit"/>
    <x v="1"/>
    <m/>
    <m/>
    <m/>
  </r>
  <r>
    <d v="2024-07-18T00:00:00"/>
    <d v="1899-12-30T20:53:00"/>
    <s v="Poa Pekee Tissue"/>
    <n v="1"/>
    <n v="30"/>
    <n v="13.333333333333334"/>
    <n v="16.666666666666664"/>
    <s v="Cash"/>
    <x v="2"/>
    <m/>
    <m/>
    <m/>
  </r>
  <r>
    <d v="2024-07-19T00:00:00"/>
    <d v="1899-12-30T08:00:00"/>
    <s v="Kdf"/>
    <n v="3"/>
    <n v="30"/>
    <n v="25"/>
    <n v="5"/>
    <s v="Cash"/>
    <x v="2"/>
    <m/>
    <m/>
    <m/>
  </r>
  <r>
    <d v="2024-07-19T00:00:00"/>
    <d v="1899-12-30T08:09:00"/>
    <s v="Kinangop Fresh Milk 500ml"/>
    <n v="1"/>
    <n v="60"/>
    <n v="55"/>
    <n v="5"/>
    <s v="Credit"/>
    <x v="3"/>
    <m/>
    <m/>
    <m/>
  </r>
  <r>
    <d v="2024-07-19T00:00:00"/>
    <d v="1899-12-30T08:27:00"/>
    <s v="BB Bread 400g"/>
    <n v="1"/>
    <n v="65"/>
    <n v="60"/>
    <n v="5"/>
    <s v="Credit"/>
    <x v="3"/>
    <m/>
    <m/>
    <m/>
  </r>
  <r>
    <d v="2024-07-19T00:00:00"/>
    <d v="1899-12-30T08:53:00"/>
    <s v="Safari"/>
    <n v="1"/>
    <n v="15"/>
    <n v="8.5"/>
    <n v="6.5"/>
    <s v="Cash"/>
    <x v="2"/>
    <m/>
    <m/>
    <m/>
  </r>
  <r>
    <d v="2024-07-19T00:00:00"/>
    <d v="1899-12-30T09:11:00"/>
    <s v="Battery AAA"/>
    <n v="1"/>
    <n v="15"/>
    <n v="10"/>
    <n v="5"/>
    <s v="Cash"/>
    <x v="2"/>
    <m/>
    <m/>
    <m/>
  </r>
  <r>
    <d v="2024-07-19T00:00:00"/>
    <d v="1899-12-30T10:22:00"/>
    <s v="predator"/>
    <n v="1"/>
    <n v="70"/>
    <n v="54.166666666666664"/>
    <n v="15.833333333333336"/>
    <s v="Cash"/>
    <x v="2"/>
    <m/>
    <m/>
    <m/>
  </r>
  <r>
    <d v="2024-07-19T00:00:00"/>
    <d v="1899-12-30T10:22:00"/>
    <s v="Peanut Cookies"/>
    <n v="1"/>
    <n v="35"/>
    <n v="25"/>
    <n v="10"/>
    <s v="Cash"/>
    <x v="2"/>
    <m/>
    <m/>
    <m/>
  </r>
  <r>
    <d v="2024-07-19T00:00:00"/>
    <d v="1899-12-30T10:57:00"/>
    <s v="Airtel 50 Credit"/>
    <n v="1"/>
    <n v="50"/>
    <n v="47"/>
    <n v="3"/>
    <s v="Cash"/>
    <x v="2"/>
    <m/>
    <m/>
    <m/>
  </r>
  <r>
    <d v="2024-07-19T00:00:00"/>
    <d v="1899-12-30T10:57:00"/>
    <s v="Airtel 10 Credit"/>
    <n v="1"/>
    <n v="10"/>
    <n v="9"/>
    <n v="1"/>
    <s v="Cash"/>
    <x v="2"/>
    <m/>
    <m/>
    <m/>
  </r>
  <r>
    <d v="2024-07-19T00:00:00"/>
    <d v="1899-12-30T10:57:00"/>
    <s v="Bigboss"/>
    <n v="1"/>
    <n v="5"/>
    <n v="3.5"/>
    <n v="1.5"/>
    <s v="Cash"/>
    <x v="2"/>
    <m/>
    <m/>
    <m/>
  </r>
  <r>
    <d v="2024-07-19T00:00:00"/>
    <d v="1899-12-30T12:09:00"/>
    <s v="Bella Tissue"/>
    <n v="2"/>
    <n v="90"/>
    <n v="70"/>
    <n v="20"/>
    <s v="Mpesa"/>
    <x v="2"/>
    <m/>
    <m/>
    <m/>
  </r>
  <r>
    <d v="2024-07-19T00:00:00"/>
    <d v="1899-12-30T12:48:00"/>
    <s v="Cooking Oil Measured"/>
    <n v="0.25"/>
    <n v="70"/>
    <n v="50"/>
    <n v="20"/>
    <s v="Cash"/>
    <x v="2"/>
    <m/>
    <m/>
    <m/>
  </r>
  <r>
    <d v="2024-07-19T00:00:00"/>
    <d v="1899-12-30T13:32:00"/>
    <s v="soda 500ml glass"/>
    <n v="1"/>
    <n v="55"/>
    <n v="50"/>
    <n v="5"/>
    <s v="Cash"/>
    <x v="2"/>
    <m/>
    <m/>
    <m/>
  </r>
  <r>
    <d v="2024-07-19T00:00:00"/>
    <d v="1899-12-30T13:32:00"/>
    <s v="Donuts"/>
    <n v="7"/>
    <n v="35"/>
    <n v="29.166666666666668"/>
    <n v="5.8333333333333321"/>
    <s v="Cash"/>
    <x v="2"/>
    <m/>
    <m/>
    <m/>
  </r>
  <r>
    <d v="2024-07-19T00:00:00"/>
    <d v="1899-12-30T14:21:00"/>
    <s v="Banana"/>
    <n v="3"/>
    <n v="30"/>
    <n v="25"/>
    <n v="5"/>
    <s v="Mpesa"/>
    <x v="2"/>
    <m/>
    <m/>
    <m/>
  </r>
  <r>
    <d v="2024-07-19T00:00:00"/>
    <d v="1899-12-30T14:30:00"/>
    <s v="Kdf"/>
    <n v="3"/>
    <n v="30"/>
    <n v="25"/>
    <n v="5"/>
    <s v="Cash"/>
    <x v="2"/>
    <m/>
    <m/>
    <m/>
  </r>
  <r>
    <d v="2024-07-19T00:00:00"/>
    <d v="1899-12-30T15:02:00"/>
    <s v="Maramoja"/>
    <n v="1"/>
    <n v="10"/>
    <n v="7"/>
    <n v="3"/>
    <s v="Mpesa"/>
    <x v="2"/>
    <m/>
    <m/>
    <m/>
  </r>
  <r>
    <d v="2024-07-19T00:00:00"/>
    <d v="1899-12-30T15:03:00"/>
    <s v="eggs"/>
    <n v="3"/>
    <n v="60"/>
    <n v="43"/>
    <n v="17"/>
    <s v="Cash"/>
    <x v="2"/>
    <m/>
    <m/>
    <m/>
  </r>
  <r>
    <d v="2024-07-19T00:00:00"/>
    <d v="1899-12-30T15:12:00"/>
    <s v="eggs"/>
    <n v="2"/>
    <n v="40"/>
    <n v="28.666666666666668"/>
    <n v="11.333333333333332"/>
    <s v="Mpesa"/>
    <x v="2"/>
    <m/>
    <m/>
    <m/>
  </r>
  <r>
    <d v="2024-07-19T00:00:00"/>
    <d v="1899-12-30T15:13:00"/>
    <s v="Festive Bread 400g"/>
    <n v="1"/>
    <n v="65"/>
    <n v="60"/>
    <n v="5"/>
    <s v="Credit"/>
    <x v="4"/>
    <m/>
    <m/>
    <m/>
  </r>
  <r>
    <d v="2024-07-19T00:00:00"/>
    <d v="1899-12-30T15:13:00"/>
    <s v="soda 500ml plastic"/>
    <n v="1"/>
    <n v="70"/>
    <n v="60.416666666666664"/>
    <n v="9.5833333333333357"/>
    <s v="Credit"/>
    <x v="4"/>
    <m/>
    <m/>
    <m/>
  </r>
  <r>
    <d v="2024-07-19T00:00:00"/>
    <d v="1899-12-30T15:13:00"/>
    <s v="Mt kenya milk 500ml"/>
    <n v="1"/>
    <n v="65"/>
    <n v="48.333333333333336"/>
    <n v="16.666666666666664"/>
    <s v="Credit"/>
    <x v="4"/>
    <m/>
    <m/>
    <m/>
  </r>
  <r>
    <d v="2024-07-19T00:00:00"/>
    <d v="1899-12-30T15:28:00"/>
    <s v="Banana"/>
    <n v="2"/>
    <n v="20"/>
    <n v="16.666666666666668"/>
    <n v="3.3333333333333321"/>
    <s v="Credit"/>
    <x v="17"/>
    <m/>
    <m/>
    <m/>
  </r>
  <r>
    <d v="2024-07-19T00:00:00"/>
    <d v="1899-12-30T16:01:00"/>
    <s v="Banana"/>
    <n v="1"/>
    <n v="10"/>
    <n v="8.3333333333333339"/>
    <n v="1.6666666666666661"/>
    <s v="Cash"/>
    <x v="2"/>
    <m/>
    <m/>
    <m/>
  </r>
  <r>
    <d v="2024-07-19T00:00:00"/>
    <d v="1899-12-30T16:07:00"/>
    <s v="Ringoz Paprika"/>
    <n v="1"/>
    <n v="15"/>
    <n v="8.8000000000000007"/>
    <n v="6.1999999999999993"/>
    <s v="Cash"/>
    <x v="2"/>
    <m/>
    <m/>
    <m/>
  </r>
  <r>
    <d v="2024-07-19T00:00:00"/>
    <d v="1899-12-30T16:07:00"/>
    <s v="Tomatoes"/>
    <n v="1"/>
    <n v="10"/>
    <n v="8.3333333333333339"/>
    <n v="1.6666666666666661"/>
    <s v="Cash"/>
    <x v="2"/>
    <m/>
    <m/>
    <m/>
  </r>
  <r>
    <d v="2024-07-19T00:00:00"/>
    <d v="1899-12-30T16:11:00"/>
    <s v="Kdf"/>
    <n v="3"/>
    <n v="30"/>
    <n v="25"/>
    <n v="5"/>
    <s v="Cash"/>
    <x v="2"/>
    <m/>
    <m/>
    <m/>
  </r>
  <r>
    <d v="2024-07-19T00:00:00"/>
    <d v="1899-12-30T16:59:00"/>
    <s v="Festive 800g"/>
    <n v="1"/>
    <n v="130"/>
    <n v="120"/>
    <n v="10"/>
    <s v="Mpesa"/>
    <x v="2"/>
    <m/>
    <m/>
    <m/>
  </r>
  <r>
    <d v="2024-07-19T00:00:00"/>
    <d v="1899-12-30T16:59:00"/>
    <s v="Brookside milk 500ml"/>
    <n v="1"/>
    <n v="70"/>
    <n v="59"/>
    <n v="11"/>
    <s v="Mpesa"/>
    <x v="2"/>
    <m/>
    <m/>
    <m/>
  </r>
  <r>
    <d v="2024-07-19T00:00:00"/>
    <d v="1899-12-30T17:31:00"/>
    <s v="Goodday Cookies"/>
    <n v="2"/>
    <n v="30"/>
    <n v="18.666666666666668"/>
    <n v="11.333333333333332"/>
    <s v="Cash"/>
    <x v="2"/>
    <m/>
    <m/>
    <m/>
  </r>
  <r>
    <d v="2024-07-19T00:00:00"/>
    <d v="1899-12-30T17:44:00"/>
    <s v="Cooking Oil Measured"/>
    <n v="0.25"/>
    <n v="70"/>
    <n v="50"/>
    <n v="20"/>
    <s v="Cash"/>
    <x v="2"/>
    <m/>
    <m/>
    <m/>
  </r>
  <r>
    <d v="2024-07-19T00:00:00"/>
    <d v="1899-12-30T17:44:00"/>
    <s v="Ngumu"/>
    <n v="7"/>
    <n v="70"/>
    <n v="58.333333333333336"/>
    <n v="11.666666666666664"/>
    <s v="Cash"/>
    <x v="2"/>
    <m/>
    <m/>
    <m/>
  </r>
  <r>
    <d v="2024-07-19T00:00:00"/>
    <d v="1899-12-30T18:39:00"/>
    <s v="eggs"/>
    <n v="2"/>
    <n v="40"/>
    <n v="28.666666666666668"/>
    <n v="11.333333333333332"/>
    <s v="Mpesa"/>
    <x v="2"/>
    <m/>
    <m/>
    <m/>
  </r>
  <r>
    <d v="2024-07-19T00:00:00"/>
    <d v="1899-12-30T18:44:00"/>
    <s v="Pishori rice"/>
    <n v="0.5"/>
    <n v="110"/>
    <n v="90"/>
    <n v="20"/>
    <s v="Mpesa"/>
    <x v="2"/>
    <m/>
    <m/>
    <m/>
  </r>
  <r>
    <d v="2024-07-19T00:00:00"/>
    <d v="1899-12-30T18:44:00"/>
    <s v="waru"/>
    <n v="1"/>
    <n v="50"/>
    <n v="29.999999999999996"/>
    <n v="20.000000000000004"/>
    <s v="Mpesa"/>
    <x v="2"/>
    <m/>
    <m/>
    <m/>
  </r>
  <r>
    <d v="2024-07-19T00:00:00"/>
    <d v="1899-12-30T18:44:00"/>
    <s v="candle"/>
    <n v="1"/>
    <n v="15"/>
    <n v="9.375"/>
    <n v="5.625"/>
    <s v="Mpesa"/>
    <x v="2"/>
    <m/>
    <m/>
    <m/>
  </r>
  <r>
    <d v="2024-07-19T00:00:00"/>
    <d v="1899-12-30T19:00:00"/>
    <s v="Sindano rice"/>
    <n v="1"/>
    <n v="150"/>
    <n v="120"/>
    <n v="30"/>
    <s v="Mpesa"/>
    <x v="2"/>
    <m/>
    <m/>
    <m/>
  </r>
  <r>
    <d v="2024-07-19T00:00:00"/>
    <d v="1899-12-30T19:13:00"/>
    <s v="kinangop250g youghurt"/>
    <n v="1"/>
    <n v="60"/>
    <n v="48.333333333333336"/>
    <n v="11.666666666666664"/>
    <s v="Credit"/>
    <x v="18"/>
    <m/>
    <m/>
    <m/>
  </r>
  <r>
    <d v="2024-07-19T00:00:00"/>
    <d v="1899-12-30T19:13:00"/>
    <s v="Dairy Fresh v"/>
    <n v="1"/>
    <n v="50"/>
    <n v="30"/>
    <n v="20"/>
    <s v="Credit"/>
    <x v="18"/>
    <m/>
    <m/>
    <m/>
  </r>
  <r>
    <d v="2024-07-19T00:00:00"/>
    <d v="1899-12-30T19:20:00"/>
    <s v="Ginger Bisquit"/>
    <n v="4"/>
    <n v="20"/>
    <n v="17.333333333333332"/>
    <n v="2.6666666666666679"/>
    <s v="Cash"/>
    <x v="2"/>
    <m/>
    <m/>
    <m/>
  </r>
  <r>
    <d v="2024-07-19T00:00:00"/>
    <d v="1899-12-30T19:18:00"/>
    <s v="Nescafe 1.5g"/>
    <n v="1"/>
    <n v="15"/>
    <n v="9.1666666666666661"/>
    <n v="5.8333333333333339"/>
    <s v="Mpesa"/>
    <x v="2"/>
    <m/>
    <m/>
    <m/>
  </r>
  <r>
    <d v="2024-07-19T00:00:00"/>
    <d v="1899-12-30T19:18:00"/>
    <s v="Tropical"/>
    <n v="1"/>
    <n v="5"/>
    <n v="1.5"/>
    <n v="3.5"/>
    <s v="Mpesa"/>
    <x v="2"/>
    <m/>
    <m/>
    <m/>
  </r>
  <r>
    <d v="2024-07-19T00:00:00"/>
    <d v="1899-12-30T19:20:00"/>
    <s v="Festive Bread 400g"/>
    <n v="1"/>
    <n v="65"/>
    <n v="60"/>
    <n v="5"/>
    <s v="Credit"/>
    <x v="5"/>
    <m/>
    <m/>
    <m/>
  </r>
  <r>
    <d v="2024-07-19T00:00:00"/>
    <d v="1899-12-30T19:48:00"/>
    <s v="Sugar"/>
    <n v="0.25"/>
    <n v="45"/>
    <n v="32.5"/>
    <n v="12.5"/>
    <s v="Credit"/>
    <x v="5"/>
    <m/>
    <m/>
    <m/>
  </r>
  <r>
    <d v="2024-07-19T00:00:00"/>
    <d v="1899-12-30T19:52:00"/>
    <s v="afia 500ml"/>
    <n v="1"/>
    <n v="85"/>
    <n v="70.833333333333329"/>
    <n v="14.166666666666671"/>
    <s v="Mpesa"/>
    <x v="2"/>
    <m/>
    <m/>
    <m/>
  </r>
  <r>
    <d v="2024-07-19T00:00:00"/>
    <d v="1899-12-30T20:07:00"/>
    <s v="Cooking Oil Measured"/>
    <n v="0.25"/>
    <n v="70"/>
    <n v="50"/>
    <n v="20"/>
    <s v="Cash"/>
    <x v="2"/>
    <m/>
    <m/>
    <m/>
  </r>
  <r>
    <d v="2024-07-19T00:00:00"/>
    <d v="1899-12-30T20:07:00"/>
    <s v="Tomatoes"/>
    <n v="1"/>
    <n v="10"/>
    <n v="5"/>
    <n v="5"/>
    <s v="Cash"/>
    <x v="2"/>
    <m/>
    <m/>
    <m/>
  </r>
  <r>
    <d v="2024-07-19T00:00:00"/>
    <d v="1899-12-30T20:18:00"/>
    <s v="Royco 40pc"/>
    <n v="1"/>
    <n v="140"/>
    <n v="120"/>
    <n v="20"/>
    <s v="Mpesa"/>
    <x v="2"/>
    <m/>
    <m/>
    <m/>
  </r>
  <r>
    <d v="2024-07-19T00:00:00"/>
    <d v="1899-12-30T20:25:00"/>
    <s v="Colgate 15g"/>
    <n v="1"/>
    <n v="50"/>
    <n v="36.25"/>
    <n v="13.75"/>
    <s v="Mpesa"/>
    <x v="2"/>
    <m/>
    <m/>
    <m/>
  </r>
  <r>
    <d v="2024-07-19T00:00:00"/>
    <d v="1899-12-30T20:25:00"/>
    <s v="Arimis small"/>
    <n v="1"/>
    <n v="35"/>
    <n v="23.333333333333332"/>
    <n v="11.666666666666668"/>
    <s v="Mpesa"/>
    <x v="2"/>
    <m/>
    <m/>
    <m/>
  </r>
  <r>
    <d v="2024-07-19T00:00:00"/>
    <d v="1899-12-30T20:25:00"/>
    <s v="Kinangop Fresh Milk 500ml"/>
    <n v="1"/>
    <n v="60"/>
    <n v="55"/>
    <n v="5"/>
    <s v="Mpesa"/>
    <x v="2"/>
    <m/>
    <m/>
    <m/>
  </r>
  <r>
    <d v="2024-07-19T00:00:00"/>
    <d v="1899-12-30T20:44:00"/>
    <s v="BB Bread 400g"/>
    <n v="2"/>
    <n v="130"/>
    <n v="120"/>
    <n v="10"/>
    <s v="Mpesa"/>
    <x v="2"/>
    <m/>
    <m/>
    <m/>
  </r>
  <r>
    <d v="2024-07-19T00:00:00"/>
    <d v="1899-12-30T20:55:00"/>
    <s v="BB Bread 400g"/>
    <n v="1"/>
    <n v="65"/>
    <n v="60"/>
    <n v="5"/>
    <s v="Credit"/>
    <x v="6"/>
    <m/>
    <m/>
    <m/>
  </r>
  <r>
    <d v="2024-07-19T00:00:00"/>
    <d v="1899-12-30T20:55:00"/>
    <s v="Brookside Lala Sweetened"/>
    <n v="1"/>
    <n v="110"/>
    <n v="93"/>
    <n v="17"/>
    <s v="Mpesa"/>
    <x v="2"/>
    <m/>
    <m/>
    <m/>
  </r>
  <r>
    <d v="2024-07-20T00:00:00"/>
    <d v="1899-12-30T07:54:00"/>
    <s v="BB Bread 400g"/>
    <n v="1"/>
    <n v="65"/>
    <n v="60"/>
    <n v="5"/>
    <s v="Mpesa"/>
    <x v="2"/>
    <m/>
    <m/>
    <m/>
  </r>
  <r>
    <d v="2024-07-20T00:00:00"/>
    <d v="1899-12-30T07:54:00"/>
    <s v="Mt kenya milk 500ml"/>
    <n v="1"/>
    <n v="65"/>
    <n v="48.333333333333336"/>
    <n v="16.666666666666664"/>
    <s v="Mpesa"/>
    <x v="2"/>
    <m/>
    <m/>
    <m/>
  </r>
  <r>
    <d v="2024-07-20T00:00:00"/>
    <d v="1899-12-30T07:54:00"/>
    <s v="Downy lavender"/>
    <n v="2"/>
    <n v="40"/>
    <n v="34.666666666666664"/>
    <n v="5.3333333333333357"/>
    <s v="Mpesa"/>
    <x v="2"/>
    <m/>
    <m/>
    <m/>
  </r>
  <r>
    <d v="2024-07-20T00:00:00"/>
    <d v="1899-12-30T08:50:00"/>
    <s v="Safari"/>
    <n v="1"/>
    <n v="15"/>
    <n v="8.5"/>
    <n v="6.5"/>
    <s v="Cash"/>
    <x v="2"/>
    <m/>
    <m/>
    <m/>
  </r>
  <r>
    <d v="2024-07-20T00:00:00"/>
    <d v="1899-12-30T08:56:00"/>
    <s v="Festive 600g"/>
    <n v="1"/>
    <n v="100"/>
    <n v="90"/>
    <n v="10"/>
    <s v="Cash"/>
    <x v="2"/>
    <m/>
    <m/>
    <m/>
  </r>
  <r>
    <d v="2024-07-20T00:00:00"/>
    <d v="1899-12-30T08:56:00"/>
    <s v="Brookside milk 500ml"/>
    <n v="1"/>
    <n v="70"/>
    <n v="59"/>
    <n v="11"/>
    <s v="Cash"/>
    <x v="2"/>
    <m/>
    <m/>
    <m/>
  </r>
  <r>
    <d v="2024-07-20T00:00:00"/>
    <d v="1899-12-30T09:13:00"/>
    <s v="ariel 75g"/>
    <n v="3"/>
    <n v="105"/>
    <n v="82.5"/>
    <n v="22.5"/>
    <s v="Credit"/>
    <x v="19"/>
    <m/>
    <m/>
    <m/>
  </r>
  <r>
    <d v="2024-07-20T00:00:00"/>
    <d v="1899-12-30T09:14:00"/>
    <s v="eggs"/>
    <n v="3"/>
    <n v="60"/>
    <n v="43"/>
    <n v="17"/>
    <s v="Cash"/>
    <x v="2"/>
    <m/>
    <m/>
    <m/>
  </r>
  <r>
    <d v="2024-07-20T00:00:00"/>
    <d v="1899-12-30T09:48:00"/>
    <s v="Canned cookies"/>
    <n v="1"/>
    <n v="60"/>
    <n v="50"/>
    <n v="10"/>
    <s v="Mpesa"/>
    <x v="2"/>
    <m/>
    <m/>
    <m/>
  </r>
  <r>
    <d v="2024-07-20T00:00:00"/>
    <d v="1899-12-30T09:48:00"/>
    <s v="kinangop250g youghurt"/>
    <n v="2"/>
    <n v="120"/>
    <n v="96.666666666666671"/>
    <n v="23.333333333333329"/>
    <s v="Mpesa"/>
    <x v="2"/>
    <m/>
    <m/>
    <m/>
  </r>
  <r>
    <d v="2024-07-20T00:00:00"/>
    <d v="1899-12-30T09:52:00"/>
    <s v="Festive Bread 400g"/>
    <n v="1"/>
    <n v="65"/>
    <n v="60"/>
    <n v="5"/>
    <s v="Mpesa"/>
    <x v="2"/>
    <m/>
    <m/>
    <m/>
  </r>
  <r>
    <d v="2024-07-20T00:00:00"/>
    <d v="1899-12-30T09:26:00"/>
    <s v="Kinangop Fresh Milk 500ml"/>
    <n v="1"/>
    <n v="60"/>
    <n v="55"/>
    <n v="5"/>
    <s v="Mpesa"/>
    <x v="2"/>
    <m/>
    <m/>
    <m/>
  </r>
  <r>
    <d v="2024-07-20T00:00:00"/>
    <d v="1899-12-30T09:26:00"/>
    <s v="BB Bread 400g"/>
    <n v="1"/>
    <n v="65"/>
    <n v="60"/>
    <n v="5"/>
    <s v="Mpesa"/>
    <x v="2"/>
    <m/>
    <m/>
    <m/>
  </r>
  <r>
    <d v="2024-07-20T00:00:00"/>
    <d v="1899-12-30T10:09:00"/>
    <s v="scooter cans"/>
    <n v="2"/>
    <n v="40"/>
    <n v="30"/>
    <n v="10"/>
    <s v="Cash"/>
    <x v="2"/>
    <m/>
    <m/>
    <m/>
  </r>
  <r>
    <d v="2024-07-20T00:00:00"/>
    <d v="1899-12-30T10:21:00"/>
    <s v="Bigdaddy"/>
    <n v="1"/>
    <n v="10"/>
    <n v="6"/>
    <n v="4"/>
    <s v="Cash"/>
    <x v="2"/>
    <m/>
    <m/>
    <m/>
  </r>
  <r>
    <d v="2024-07-20T00:00:00"/>
    <d v="1899-12-30T10:42:00"/>
    <s v="Sunlight 400g"/>
    <n v="1"/>
    <n v="250"/>
    <n v="150"/>
    <n v="100"/>
    <s v="Mpesa"/>
    <x v="2"/>
    <m/>
    <m/>
    <m/>
  </r>
  <r>
    <d v="2024-07-20T00:00:00"/>
    <d v="1899-12-30T10:52:00"/>
    <s v="Bigdaddy"/>
    <n v="2"/>
    <n v="20"/>
    <n v="12"/>
    <n v="8"/>
    <s v="Cash"/>
    <x v="2"/>
    <m/>
    <m/>
    <m/>
  </r>
  <r>
    <d v="2024-07-20T00:00:00"/>
    <d v="1899-12-30T11:02:00"/>
    <s v="Lollipop"/>
    <n v="1"/>
    <n v="5"/>
    <n v="2.4"/>
    <n v="2.6"/>
    <s v="Cash"/>
    <x v="2"/>
    <m/>
    <m/>
    <m/>
  </r>
  <r>
    <d v="2024-07-20T00:00:00"/>
    <d v="1899-12-30T11:02:00"/>
    <s v="Nuvita Bisquit"/>
    <n v="1"/>
    <n v="5"/>
    <n v="4.166666666666667"/>
    <n v="0.83333333333333304"/>
    <s v="Cash"/>
    <x v="2"/>
    <m/>
    <m/>
    <m/>
  </r>
  <r>
    <d v="2024-07-20T00:00:00"/>
    <d v="1899-12-30T11:28:00"/>
    <s v="Safari"/>
    <n v="3"/>
    <n v="45"/>
    <n v="25.5"/>
    <n v="19.5"/>
    <s v="Mpesa"/>
    <x v="2"/>
    <m/>
    <m/>
    <m/>
  </r>
  <r>
    <d v="2024-07-20T00:00:00"/>
    <d v="1899-12-30T11:47:00"/>
    <s v="Brookside milk 500ml"/>
    <n v="1"/>
    <n v="70"/>
    <n v="59"/>
    <n v="11"/>
    <s v="Cash"/>
    <x v="2"/>
    <m/>
    <m/>
    <m/>
  </r>
  <r>
    <d v="2024-07-20T00:00:00"/>
    <d v="1899-12-30T11:47:00"/>
    <s v="scooter cans"/>
    <n v="1"/>
    <n v="20"/>
    <n v="15"/>
    <n v="5"/>
    <s v="Cash"/>
    <x v="2"/>
    <m/>
    <m/>
    <m/>
  </r>
  <r>
    <d v="2024-07-20T00:00:00"/>
    <d v="1899-12-30T11:47:00"/>
    <s v="Baloon"/>
    <n v="1"/>
    <n v="10"/>
    <n v="6"/>
    <n v="4"/>
    <s v="Cash"/>
    <x v="2"/>
    <m/>
    <m/>
    <m/>
  </r>
  <r>
    <d v="2024-07-20T00:00:00"/>
    <d v="1899-12-30T12:52:00"/>
    <s v="Mandazi"/>
    <n v="6"/>
    <n v="30"/>
    <n v="25"/>
    <n v="5"/>
    <s v="Credit"/>
    <x v="16"/>
    <m/>
    <m/>
    <m/>
  </r>
  <r>
    <d v="2024-07-20T00:00:00"/>
    <d v="1899-12-30T13:14:00"/>
    <s v="scooter cans"/>
    <n v="1"/>
    <n v="20"/>
    <n v="15"/>
    <n v="5"/>
    <s v="Mpesa"/>
    <x v="2"/>
    <m/>
    <m/>
    <m/>
  </r>
  <r>
    <d v="2024-07-20T00:00:00"/>
    <d v="1899-12-30T13:15:00"/>
    <s v="afia 500ml"/>
    <n v="1"/>
    <n v="85"/>
    <n v="70.833333333333329"/>
    <n v="14.166666666666671"/>
    <s v="Credit"/>
    <x v="4"/>
    <m/>
    <m/>
    <m/>
  </r>
  <r>
    <d v="2024-07-20T00:00:00"/>
    <d v="1899-12-30T13:15:00"/>
    <s v="Ngumu"/>
    <n v="2"/>
    <n v="20"/>
    <n v="16.666666666666668"/>
    <n v="3.3333333333333321"/>
    <s v="Credit"/>
    <x v="4"/>
    <m/>
    <m/>
    <m/>
  </r>
  <r>
    <d v="2024-07-20T00:00:00"/>
    <d v="1899-12-30T13:42:00"/>
    <s v="waru"/>
    <n v="1"/>
    <n v="50"/>
    <n v="29.999999999999996"/>
    <n v="20.000000000000004"/>
    <s v="Credit"/>
    <x v="1"/>
    <m/>
    <m/>
    <m/>
  </r>
  <r>
    <d v="2024-07-20T00:00:00"/>
    <d v="1899-12-30T13:42:00"/>
    <s v="Cooking Oil Measured"/>
    <n v="0.5"/>
    <n v="140"/>
    <n v="100"/>
    <n v="40"/>
    <s v="Credit"/>
    <x v="1"/>
    <m/>
    <m/>
    <m/>
  </r>
  <r>
    <d v="2024-07-20T00:00:00"/>
    <d v="1899-12-30T14:00:00"/>
    <s v="soda 500ml glass"/>
    <n v="1"/>
    <n v="55"/>
    <n v="50"/>
    <n v="5"/>
    <s v="Cash"/>
    <x v="2"/>
    <m/>
    <m/>
    <m/>
  </r>
  <r>
    <d v="2024-07-20T00:00:00"/>
    <d v="1899-12-30T14:00:00"/>
    <s v="Peanut Cookies"/>
    <n v="1"/>
    <n v="35"/>
    <n v="25"/>
    <n v="10"/>
    <s v="Cash"/>
    <x v="2"/>
    <m/>
    <m/>
    <m/>
  </r>
  <r>
    <d v="2024-07-20T00:00:00"/>
    <d v="1899-12-30T14:16:00"/>
    <s v="soda 350ml plastic"/>
    <n v="1"/>
    <n v="50"/>
    <n v="41.666666666666664"/>
    <n v="8.3333333333333357"/>
    <s v="Mpesa"/>
    <x v="2"/>
    <m/>
    <m/>
    <m/>
  </r>
  <r>
    <d v="2024-07-20T00:00:00"/>
    <d v="1899-12-30T14:16:00"/>
    <s v="eggs"/>
    <n v="6"/>
    <n v="120"/>
    <n v="86"/>
    <n v="34"/>
    <s v="Mpesa"/>
    <x v="2"/>
    <m/>
    <m/>
    <m/>
  </r>
  <r>
    <d v="2024-07-20T00:00:00"/>
    <d v="1899-12-30T14:17:00"/>
    <s v="Indomie chicken"/>
    <n v="4"/>
    <n v="200"/>
    <n v="150"/>
    <n v="50"/>
    <s v="Mpesa"/>
    <x v="2"/>
    <m/>
    <m/>
    <m/>
  </r>
  <r>
    <d v="2024-07-20T00:00:00"/>
    <d v="1899-12-30T14:17:00"/>
    <s v="eggs"/>
    <n v="4"/>
    <n v="80"/>
    <n v="57.333333333333336"/>
    <n v="22.666666666666664"/>
    <s v="Mpesa"/>
    <x v="2"/>
    <m/>
    <m/>
    <m/>
  </r>
  <r>
    <d v="2024-07-20T00:00:00"/>
    <d v="1899-12-30T14:31:00"/>
    <s v="Brookside milk 500ml"/>
    <n v="6"/>
    <n v="420"/>
    <n v="354"/>
    <n v="66"/>
    <s v="Mpesa"/>
    <x v="2"/>
    <m/>
    <m/>
    <m/>
  </r>
  <r>
    <d v="2024-07-20T00:00:00"/>
    <d v="1899-12-30T14:32:00"/>
    <s v="soda 500ml glass"/>
    <n v="1"/>
    <n v="55"/>
    <n v="50"/>
    <n v="5"/>
    <s v="Mpesa"/>
    <x v="2"/>
    <m/>
    <m/>
    <m/>
  </r>
  <r>
    <d v="2024-07-20T00:00:00"/>
    <d v="1899-12-30T15:45:00"/>
    <s v="Pishori rice"/>
    <n v="0.5"/>
    <n v="110"/>
    <n v="90"/>
    <n v="20"/>
    <s v="Credit"/>
    <x v="3"/>
    <m/>
    <m/>
    <m/>
  </r>
  <r>
    <d v="2024-07-20T00:00:00"/>
    <d v="1899-12-30T16:20:00"/>
    <s v="eggs"/>
    <n v="2"/>
    <n v="40"/>
    <n v="28.666666666666668"/>
    <n v="11.333333333333332"/>
    <s v="Cash"/>
    <x v="2"/>
    <m/>
    <m/>
    <m/>
  </r>
  <r>
    <d v="2024-07-20T00:00:00"/>
    <d v="1899-12-30T16:20:00"/>
    <s v="Tomatoes"/>
    <n v="2"/>
    <n v="20"/>
    <n v="10"/>
    <n v="10"/>
    <s v="Cash"/>
    <x v="2"/>
    <m/>
    <m/>
    <m/>
  </r>
  <r>
    <d v="2024-07-20T00:00:00"/>
    <d v="1899-12-30T16:39:00"/>
    <s v="Bigboss"/>
    <n v="1"/>
    <n v="5"/>
    <n v="3.5"/>
    <n v="1.5"/>
    <s v="Mpesa"/>
    <x v="2"/>
    <m/>
    <m/>
    <m/>
  </r>
  <r>
    <d v="2024-07-20T00:00:00"/>
    <d v="1899-12-30T16:36:00"/>
    <s v="Nuvita Bisquit"/>
    <n v="2"/>
    <n v="10"/>
    <n v="8.3333333333333339"/>
    <n v="1.6666666666666661"/>
    <s v="Mpesa"/>
    <x v="2"/>
    <m/>
    <m/>
    <m/>
  </r>
  <r>
    <d v="2024-07-20T00:00:00"/>
    <d v="1899-12-30T16:57:00"/>
    <s v="Kdf"/>
    <n v="2"/>
    <n v="20"/>
    <n v="16.666666666666668"/>
    <n v="3.3333333333333321"/>
    <s v="Credit"/>
    <x v="4"/>
    <m/>
    <m/>
    <m/>
  </r>
  <r>
    <d v="2024-07-20T00:00:00"/>
    <d v="1899-12-30T16:57:00"/>
    <s v="afia 500ml"/>
    <n v="1"/>
    <n v="85"/>
    <n v="70.833333333333329"/>
    <n v="14.166666666666671"/>
    <s v="Credit"/>
    <x v="4"/>
    <m/>
    <m/>
    <m/>
  </r>
  <r>
    <d v="2024-07-20T00:00:00"/>
    <d v="1899-12-30T17:24:00"/>
    <s v="Lollipop"/>
    <n v="1"/>
    <n v="5"/>
    <n v="2.4"/>
    <n v="2.6"/>
    <s v="Cash"/>
    <x v="2"/>
    <m/>
    <m/>
    <m/>
  </r>
  <r>
    <d v="2024-07-20T00:00:00"/>
    <d v="1899-12-30T17:50:00"/>
    <s v="Ring Cake"/>
    <n v="1"/>
    <n v="50"/>
    <n v="45"/>
    <n v="5"/>
    <s v="Cash"/>
    <x v="2"/>
    <m/>
    <m/>
    <m/>
  </r>
  <r>
    <d v="2024-07-20T00:00:00"/>
    <d v="1899-12-30T17:50:00"/>
    <s v="Ring Cake"/>
    <n v="1"/>
    <n v="50"/>
    <n v="45"/>
    <n v="5"/>
    <s v="Mpesa"/>
    <x v="2"/>
    <m/>
    <m/>
    <m/>
  </r>
  <r>
    <d v="2024-07-20T00:00:00"/>
    <d v="1899-12-30T18:22:00"/>
    <s v="Festive 600g"/>
    <n v="1"/>
    <n v="100"/>
    <n v="90"/>
    <n v="10"/>
    <s v="Mpesa"/>
    <x v="2"/>
    <m/>
    <m/>
    <m/>
  </r>
  <r>
    <d v="2024-07-20T00:00:00"/>
    <d v="1899-12-30T18:22:00"/>
    <s v="Festive 800g"/>
    <n v="1"/>
    <n v="130"/>
    <n v="120"/>
    <n v="10"/>
    <s v="Mpesa"/>
    <x v="2"/>
    <m/>
    <m/>
    <m/>
  </r>
  <r>
    <d v="2024-07-20T00:00:00"/>
    <d v="1899-12-30T18:32:00"/>
    <s v="soda 500ml plastic"/>
    <n v="1"/>
    <n v="70"/>
    <n v="60.416666666666664"/>
    <n v="9.5833333333333357"/>
    <s v="Credit"/>
    <x v="20"/>
    <m/>
    <m/>
    <m/>
  </r>
  <r>
    <d v="2024-07-20T00:00:00"/>
    <d v="1899-12-30T19:30:00"/>
    <s v="Indomie chicken"/>
    <n v="2"/>
    <n v="100"/>
    <n v="75"/>
    <n v="25"/>
    <s v="Credit"/>
    <x v="21"/>
    <m/>
    <m/>
    <m/>
  </r>
  <r>
    <d v="2024-07-20T00:00:00"/>
    <d v="1899-12-30T19:30:00"/>
    <s v="Dhania"/>
    <n v="4"/>
    <n v="20"/>
    <n v="13.333333333333334"/>
    <n v="6.6666666666666661"/>
    <s v="Credit"/>
    <x v="21"/>
    <m/>
    <m/>
    <m/>
  </r>
  <r>
    <d v="2024-07-20T00:00:00"/>
    <d v="1899-12-30T19:30:00"/>
    <s v="Onion"/>
    <n v="3"/>
    <n v="30"/>
    <n v="24"/>
    <n v="6"/>
    <s v="Credit"/>
    <x v="21"/>
    <m/>
    <m/>
    <m/>
  </r>
  <r>
    <d v="2024-07-20T00:00:00"/>
    <d v="1899-12-30T19:30:00"/>
    <s v="Tomatoes"/>
    <n v="5"/>
    <n v="50"/>
    <n v="40"/>
    <n v="10"/>
    <s v="Credit"/>
    <x v="21"/>
    <m/>
    <m/>
    <m/>
  </r>
  <r>
    <d v="2024-07-20T00:00:00"/>
    <d v="1899-12-30T19:30:00"/>
    <s v="Ajab 1kg"/>
    <n v="1"/>
    <n v="120"/>
    <n v="87.5"/>
    <n v="32.5"/>
    <s v="Credit"/>
    <x v="21"/>
    <m/>
    <m/>
    <m/>
  </r>
  <r>
    <d v="2024-07-20T00:00:00"/>
    <d v="1899-12-30T19:30:00"/>
    <s v="Tukuza 1kg"/>
    <n v="1"/>
    <n v="90"/>
    <n v="61.25"/>
    <n v="28.75"/>
    <s v="Credit"/>
    <x v="21"/>
    <m/>
    <m/>
    <m/>
  </r>
  <r>
    <d v="2024-07-20T00:00:00"/>
    <d v="1899-12-30T19:30:00"/>
    <s v="Pishori rice"/>
    <n v="1"/>
    <n v="220"/>
    <n v="180"/>
    <n v="40"/>
    <s v="Credit"/>
    <x v="21"/>
    <m/>
    <m/>
    <m/>
  </r>
  <r>
    <d v="2024-07-20T00:00:00"/>
    <d v="1899-12-30T19:30:00"/>
    <s v="eggs"/>
    <n v="5"/>
    <n v="100"/>
    <n v="71.666666666666671"/>
    <n v="28.333333333333329"/>
    <s v="Credit"/>
    <x v="21"/>
    <m/>
    <m/>
    <m/>
  </r>
  <r>
    <d v="2024-07-20T00:00:00"/>
    <d v="1899-12-30T19:30:00"/>
    <s v="Kinangop Fresh Milk 500ml"/>
    <n v="1"/>
    <n v="60"/>
    <n v="55"/>
    <n v="5"/>
    <s v="Credit"/>
    <x v="21"/>
    <m/>
    <m/>
    <m/>
  </r>
  <r>
    <d v="2024-07-20T00:00:00"/>
    <d v="1899-12-30T19:30:00"/>
    <s v="Festive Bread 400g"/>
    <n v="1"/>
    <n v="65"/>
    <n v="60"/>
    <n v="5"/>
    <s v="Credit"/>
    <x v="21"/>
    <m/>
    <m/>
    <m/>
  </r>
  <r>
    <d v="2024-07-20T00:00:00"/>
    <d v="1899-12-30T19:30:00"/>
    <s v="soda 500ml glass"/>
    <n v="1"/>
    <n v="55"/>
    <n v="50"/>
    <n v="5"/>
    <s v="Credit"/>
    <x v="21"/>
    <m/>
    <m/>
    <m/>
  </r>
  <r>
    <d v="2024-07-20T00:00:00"/>
    <d v="1899-12-30T19:30:00"/>
    <s v="Hanaan Tissue"/>
    <n v="1"/>
    <n v="50"/>
    <n v="87.5"/>
    <n v="-37.5"/>
    <s v="Credit"/>
    <x v="21"/>
    <m/>
    <m/>
    <m/>
  </r>
  <r>
    <d v="2024-07-20T00:00:00"/>
    <d v="1899-12-30T19:30:00"/>
    <s v="Sugar"/>
    <n v="0.5"/>
    <n v="90"/>
    <n v="21.5"/>
    <n v="68.5"/>
    <s v="Credit"/>
    <x v="21"/>
    <m/>
    <m/>
    <m/>
  </r>
  <r>
    <d v="2024-07-20T00:00:00"/>
    <d v="1899-12-30T19:30:00"/>
    <s v="Nescafe 1.5g"/>
    <n v="2"/>
    <n v="30"/>
    <n v="18.333333333333332"/>
    <n v="11.666666666666668"/>
    <s v="Credit"/>
    <x v="21"/>
    <m/>
    <m/>
    <m/>
  </r>
  <r>
    <d v="2024-07-20T00:00:00"/>
    <d v="1899-12-30T19:30:00"/>
    <s v="Tangawizi Tea 50g"/>
    <n v="1"/>
    <n v="35"/>
    <n v="29.166666666666668"/>
    <n v="5.8333333333333321"/>
    <s v="Credit"/>
    <x v="21"/>
    <m/>
    <m/>
    <m/>
  </r>
  <r>
    <d v="2024-07-20T00:00:00"/>
    <d v="1899-12-30T19:30:00"/>
    <s v="Fahari Tea 50g"/>
    <n v="1"/>
    <n v="30"/>
    <n v="17.5"/>
    <n v="12.5"/>
    <s v="Credit"/>
    <x v="21"/>
    <m/>
    <m/>
    <m/>
  </r>
  <r>
    <d v="2024-07-20T00:00:00"/>
    <d v="1899-12-30T19:30:00"/>
    <s v="Blueband 250g"/>
    <n v="1"/>
    <n v="190"/>
    <n v="140"/>
    <n v="50"/>
    <s v="Credit"/>
    <x v="21"/>
    <m/>
    <m/>
    <m/>
  </r>
  <r>
    <d v="2024-07-20T00:00:00"/>
    <d v="1899-12-30T19:30:00"/>
    <s v="Geisha big"/>
    <n v="1"/>
    <n v="120"/>
    <n v="95"/>
    <n v="25"/>
    <s v="Credit"/>
    <x v="21"/>
    <m/>
    <m/>
    <m/>
  </r>
  <r>
    <d v="2024-07-20T00:00:00"/>
    <d v="1899-12-30T19:30:00"/>
    <s v="Ndimu"/>
    <n v="1"/>
    <n v="20"/>
    <n v="8.3333333333333339"/>
    <n v="11.666666666666666"/>
    <s v="Credit"/>
    <x v="21"/>
    <m/>
    <m/>
    <m/>
  </r>
  <r>
    <d v="2024-07-20T00:00:00"/>
    <d v="1899-12-30T19:42:00"/>
    <s v="eggs"/>
    <n v="5"/>
    <n v="100"/>
    <n v="71.666666666666671"/>
    <n v="28.333333333333329"/>
    <s v="Mpesa"/>
    <x v="2"/>
    <m/>
    <m/>
    <m/>
  </r>
  <r>
    <d v="2024-07-20T00:00:00"/>
    <d v="1899-12-30T19:42:00"/>
    <s v="Kinangop Fresh Milk 500ml"/>
    <n v="2"/>
    <n v="120"/>
    <n v="110"/>
    <n v="10"/>
    <s v="Mpesa"/>
    <x v="2"/>
    <m/>
    <m/>
    <m/>
  </r>
  <r>
    <d v="2024-07-20T00:00:00"/>
    <d v="1899-12-30T20:28:00"/>
    <s v="Cooking Oil Measured"/>
    <n v="0.5"/>
    <n v="140"/>
    <n v="100"/>
    <n v="40"/>
    <s v="Mpesa"/>
    <x v="2"/>
    <m/>
    <m/>
    <m/>
  </r>
  <r>
    <d v="2024-07-20T00:00:00"/>
    <d v="1899-12-30T20:30:00"/>
    <s v="Tamu  Tamu Green"/>
    <n v="1"/>
    <n v="15"/>
    <n v="8.6"/>
    <n v="6.4"/>
    <s v="Cash"/>
    <x v="2"/>
    <m/>
    <m/>
    <m/>
  </r>
  <r>
    <d v="2024-07-20T00:00:00"/>
    <d v="1899-12-30T20:30:00"/>
    <s v="Sodacans"/>
    <n v="1"/>
    <n v="20"/>
    <n v="15"/>
    <n v="5"/>
    <s v="Cash"/>
    <x v="2"/>
    <m/>
    <m/>
    <m/>
  </r>
  <r>
    <d v="2024-07-20T00:00:00"/>
    <d v="1899-12-30T20:30:00"/>
    <s v="Gomba"/>
    <n v="2"/>
    <n v="5"/>
    <n v="3.6"/>
    <n v="1.4"/>
    <s v="Cash"/>
    <x v="2"/>
    <m/>
    <m/>
    <m/>
  </r>
  <r>
    <d v="2024-07-20T00:00:00"/>
    <d v="1899-12-30T20:30:00"/>
    <s v="Lemon Bisquit"/>
    <n v="1"/>
    <n v="5"/>
    <n v="4.333333333333333"/>
    <n v="0.66666666666666696"/>
    <s v="Cash"/>
    <x v="2"/>
    <m/>
    <m/>
    <m/>
  </r>
  <r>
    <d v="2024-07-20T00:00:00"/>
    <d v="1899-12-30T20:36:00"/>
    <s v="waru"/>
    <n v="2"/>
    <n v="100"/>
    <n v="59.999999999999993"/>
    <n v="40.000000000000007"/>
    <s v="Credit"/>
    <x v="16"/>
    <m/>
    <m/>
    <m/>
  </r>
  <r>
    <d v="2024-07-20T00:00:00"/>
    <d v="1899-12-30T20:51:00"/>
    <s v="Kinangop Fresh Milk 500ml"/>
    <n v="1"/>
    <n v="60"/>
    <n v="55"/>
    <n v="5"/>
    <s v="Mpesa"/>
    <x v="2"/>
    <m/>
    <m/>
    <m/>
  </r>
  <r>
    <d v="2024-07-20T00:00:00"/>
    <d v="1899-12-30T20:51:00"/>
    <s v="BB Bread 400g"/>
    <n v="1"/>
    <n v="65"/>
    <n v="60"/>
    <n v="5"/>
    <s v="Mpesa"/>
    <x v="2"/>
    <m/>
    <m/>
    <m/>
  </r>
  <r>
    <d v="2024-07-21T00:00:00"/>
    <d v="1899-12-30T07:50:00"/>
    <s v="BB Bread 400g"/>
    <n v="1"/>
    <n v="65"/>
    <n v="60"/>
    <n v="5"/>
    <s v="Credit"/>
    <x v="1"/>
    <m/>
    <m/>
    <m/>
  </r>
  <r>
    <d v="2024-07-21T00:00:00"/>
    <d v="1899-12-30T07:50:00"/>
    <s v="Mt kenya milk 500ml"/>
    <n v="1"/>
    <n v="65"/>
    <n v="48.333333333333336"/>
    <n v="16.666666666666664"/>
    <s v="Credit"/>
    <x v="1"/>
    <m/>
    <m/>
    <m/>
  </r>
  <r>
    <d v="2024-07-21T00:00:00"/>
    <d v="1899-12-30T07:50:00"/>
    <s v="omo 75g"/>
    <n v="1"/>
    <n v="35"/>
    <n v="27.5"/>
    <n v="7.5"/>
    <s v="Credit"/>
    <x v="1"/>
    <m/>
    <m/>
    <m/>
  </r>
  <r>
    <d v="2024-07-21T00:00:00"/>
    <d v="1899-12-30T07:52:00"/>
    <s v="Safari"/>
    <n v="4"/>
    <n v="60"/>
    <n v="34"/>
    <n v="26"/>
    <s v="Mpesa"/>
    <x v="2"/>
    <m/>
    <m/>
    <m/>
  </r>
  <r>
    <d v="2024-07-21T00:00:00"/>
    <d v="1899-12-30T07:52:00"/>
    <s v="Match Box"/>
    <n v="1"/>
    <n v="5"/>
    <n v="2.3611111111111112"/>
    <n v="2.6388888888888888"/>
    <s v="Mpesa"/>
    <x v="2"/>
    <m/>
    <m/>
    <m/>
  </r>
  <r>
    <d v="2024-07-21T00:00:00"/>
    <d v="1899-12-30T07:56:00"/>
    <s v="Festive Bread 400g"/>
    <n v="1"/>
    <n v="65"/>
    <n v="60"/>
    <n v="5"/>
    <s v="Credit"/>
    <x v="9"/>
    <m/>
    <m/>
    <m/>
  </r>
  <r>
    <d v="2024-07-21T00:00:00"/>
    <d v="1899-12-30T07:56:00"/>
    <s v="Kinangop Fresh Milk 500ml"/>
    <n v="1"/>
    <n v="60"/>
    <n v="55"/>
    <n v="5"/>
    <s v="Credit"/>
    <x v="9"/>
    <m/>
    <m/>
    <m/>
  </r>
  <r>
    <d v="2024-07-21T00:00:00"/>
    <d v="1899-12-30T08:17:00"/>
    <s v="Festive Bread 400g"/>
    <n v="1"/>
    <n v="65"/>
    <n v="60"/>
    <n v="5"/>
    <s v="Mpesa"/>
    <x v="2"/>
    <m/>
    <m/>
    <m/>
  </r>
  <r>
    <d v="2024-07-21T00:00:00"/>
    <d v="1899-12-30T08:45:00"/>
    <s v="Brookside milk 500ml"/>
    <n v="1"/>
    <n v="70"/>
    <n v="59"/>
    <n v="11"/>
    <s v="Cash"/>
    <x v="2"/>
    <m/>
    <m/>
    <m/>
  </r>
  <r>
    <d v="2024-07-21T00:00:00"/>
    <d v="1899-12-30T09:20:00"/>
    <s v="BB Bread 400g"/>
    <n v="1"/>
    <n v="65"/>
    <n v="60"/>
    <n v="5"/>
    <s v="Credit"/>
    <x v="10"/>
    <m/>
    <m/>
    <m/>
  </r>
  <r>
    <d v="2024-07-21T00:00:00"/>
    <d v="1899-12-30T09:20:00"/>
    <s v="Match Box"/>
    <n v="1"/>
    <n v="5"/>
    <n v="2.3611111111111112"/>
    <n v="2.6388888888888888"/>
    <s v="Credit"/>
    <x v="10"/>
    <m/>
    <m/>
    <m/>
  </r>
  <r>
    <d v="2024-07-21T00:00:00"/>
    <d v="1899-12-30T09:20:00"/>
    <s v="Arimis small"/>
    <n v="1"/>
    <n v="35"/>
    <n v="23.333333333333332"/>
    <n v="11.666666666666668"/>
    <s v="Credit"/>
    <x v="22"/>
    <m/>
    <m/>
    <m/>
  </r>
  <r>
    <d v="2024-07-21T00:00:00"/>
    <d v="1899-12-30T09:37:00"/>
    <s v="Festive Bread 400g"/>
    <n v="1"/>
    <n v="65"/>
    <n v="60"/>
    <n v="5"/>
    <s v="Credit"/>
    <x v="7"/>
    <m/>
    <m/>
    <m/>
  </r>
  <r>
    <d v="2024-07-21T00:00:00"/>
    <d v="1899-12-30T09:37:00"/>
    <s v="Banana"/>
    <n v="5"/>
    <n v="50"/>
    <n v="41.666666666666671"/>
    <n v="8.3333333333333286"/>
    <s v="Credit"/>
    <x v="7"/>
    <m/>
    <m/>
    <m/>
  </r>
  <r>
    <d v="2024-07-21T00:00:00"/>
    <d v="1899-12-30T09:47:00"/>
    <s v="eggs"/>
    <n v="6"/>
    <n v="120"/>
    <n v="86"/>
    <n v="34"/>
    <s v="Mpesa"/>
    <x v="2"/>
    <m/>
    <m/>
    <m/>
  </r>
  <r>
    <d v="2024-07-21T00:00:00"/>
    <d v="1899-12-30T10:14:00"/>
    <s v="omo 20g"/>
    <n v="2"/>
    <n v="30"/>
    <n v="18.333333333333332"/>
    <n v="11.666666666666668"/>
    <s v="Cash"/>
    <x v="2"/>
    <m/>
    <m/>
    <m/>
  </r>
  <r>
    <d v="2024-07-21T00:00:00"/>
    <d v="1899-12-30T10:24:00"/>
    <s v="kinangop250g youghurt"/>
    <n v="2"/>
    <n v="120"/>
    <n v="96.666666666666671"/>
    <n v="23.333333333333329"/>
    <s v="Mpesa"/>
    <x v="2"/>
    <m/>
    <m/>
    <m/>
  </r>
  <r>
    <d v="2024-07-21T00:00:00"/>
    <d v="1899-12-30T10:24:00"/>
    <s v="Tamu Tamu Red"/>
    <n v="2"/>
    <n v="30"/>
    <n v="17.2"/>
    <n v="12.8"/>
    <s v="Mpesa"/>
    <x v="2"/>
    <m/>
    <m/>
    <m/>
  </r>
  <r>
    <d v="2024-07-21T00:00:00"/>
    <d v="1899-12-30T10:24:00"/>
    <s v="Glucose 10g"/>
    <n v="2"/>
    <n v="10"/>
    <n v="7.5"/>
    <n v="2.5"/>
    <s v="Mpesa"/>
    <x v="2"/>
    <m/>
    <m/>
    <m/>
  </r>
  <r>
    <d v="2024-07-21T00:00:00"/>
    <d v="1899-12-30T10:24:00"/>
    <s v="Ring Cake"/>
    <n v="2"/>
    <n v="100"/>
    <n v="90"/>
    <n v="10"/>
    <s v="Mpesa"/>
    <x v="2"/>
    <m/>
    <m/>
    <m/>
  </r>
  <r>
    <d v="2024-07-21T00:00:00"/>
    <d v="1899-12-30T10:30:00"/>
    <s v="Whitewash "/>
    <n v="1"/>
    <n v="50"/>
    <n v="33.75"/>
    <n v="16.25"/>
    <s v="Mpesa"/>
    <x v="2"/>
    <m/>
    <m/>
    <m/>
  </r>
  <r>
    <d v="2024-07-21T00:00:00"/>
    <d v="1899-12-30T10:30:00"/>
    <s v="omo 20g"/>
    <n v="1"/>
    <n v="15"/>
    <n v="9.1666666666666661"/>
    <n v="5.8333333333333339"/>
    <s v="Mpesa"/>
    <x v="2"/>
    <m/>
    <m/>
    <m/>
  </r>
  <r>
    <d v="2024-07-21T00:00:00"/>
    <d v="1899-12-30T11:04:00"/>
    <s v="300ml water"/>
    <n v="1"/>
    <n v="30"/>
    <n v="12.5"/>
    <n v="17.5"/>
    <s v="Credit"/>
    <x v="4"/>
    <m/>
    <m/>
    <m/>
  </r>
  <r>
    <d v="2024-07-21T00:00:00"/>
    <d v="1899-12-30T11:04:00"/>
    <s v="Glucose 50g"/>
    <n v="1"/>
    <n v="30"/>
    <n v="15.833333333333334"/>
    <n v="14.166666666666666"/>
    <s v="Credit"/>
    <x v="4"/>
    <m/>
    <m/>
    <m/>
  </r>
  <r>
    <d v="2024-07-21T00:00:00"/>
    <d v="1899-12-30T11:44:00"/>
    <s v="Whitewash "/>
    <n v="1"/>
    <n v="50"/>
    <n v="33.75"/>
    <n v="16.25"/>
    <s v="Credit"/>
    <x v="12"/>
    <m/>
    <m/>
    <m/>
  </r>
  <r>
    <d v="2024-07-21T00:00:00"/>
    <d v="1899-12-30T12:21:00"/>
    <s v="Icepop"/>
    <n v="2"/>
    <n v="30"/>
    <n v="15"/>
    <n v="15"/>
    <s v="Cash"/>
    <x v="2"/>
    <m/>
    <m/>
    <m/>
  </r>
  <r>
    <d v="2024-07-21T00:00:00"/>
    <d v="1899-12-30T12:21:00"/>
    <s v="Patco"/>
    <n v="2"/>
    <n v="5"/>
    <n v="2.4"/>
    <n v="2.6"/>
    <s v="Cash"/>
    <x v="2"/>
    <m/>
    <m/>
    <m/>
  </r>
  <r>
    <d v="2024-07-21T00:00:00"/>
    <d v="1899-12-30T12:41:00"/>
    <s v="Royco cubes"/>
    <n v="2"/>
    <n v="10"/>
    <n v="6"/>
    <n v="4"/>
    <s v="Credit"/>
    <x v="1"/>
    <m/>
    <m/>
    <m/>
  </r>
  <r>
    <d v="2024-07-21T00:00:00"/>
    <d v="1899-12-30T13:49:00"/>
    <s v="Canned cookies"/>
    <n v="1"/>
    <n v="60"/>
    <n v="50"/>
    <n v="10"/>
    <s v="Cash"/>
    <x v="2"/>
    <m/>
    <m/>
    <m/>
  </r>
  <r>
    <d v="2024-07-21T00:00:00"/>
    <d v="1899-12-30T14:30:00"/>
    <s v="Icepop"/>
    <n v="1"/>
    <n v="15"/>
    <n v="7.5"/>
    <n v="7.5"/>
    <s v="Mpesa"/>
    <x v="2"/>
    <m/>
    <m/>
    <m/>
  </r>
  <r>
    <d v="2024-07-21T00:00:00"/>
    <d v="1899-12-30T14:30:00"/>
    <s v="Bigdaddy"/>
    <n v="2"/>
    <n v="20"/>
    <n v="12"/>
    <n v="8"/>
    <s v="Mpesa"/>
    <x v="2"/>
    <m/>
    <m/>
    <m/>
  </r>
  <r>
    <d v="2024-07-21T00:00:00"/>
    <d v="1899-12-30T14:30:00"/>
    <s v="Super Glue"/>
    <n v="1"/>
    <n v="30"/>
    <n v="23.333333333333332"/>
    <n v="6.6666666666666679"/>
    <s v="Mpesa"/>
    <x v="2"/>
    <m/>
    <m/>
    <m/>
  </r>
  <r>
    <d v="2024-07-21T00:00:00"/>
    <d v="1899-12-30T14:50:00"/>
    <s v="Pembe 2kg"/>
    <n v="1"/>
    <n v="160"/>
    <n v="123.33333333333333"/>
    <n v="36.666666666666671"/>
    <s v="Credit"/>
    <x v="10"/>
    <m/>
    <m/>
    <m/>
  </r>
  <r>
    <d v="2024-07-21T00:00:00"/>
    <d v="1899-12-30T15:24:00"/>
    <s v="Safari"/>
    <n v="4"/>
    <n v="60"/>
    <n v="34"/>
    <n v="26"/>
    <s v="Mpesa"/>
    <x v="2"/>
    <m/>
    <m/>
    <m/>
  </r>
  <r>
    <d v="2024-07-21T00:00:00"/>
    <d v="1899-12-30T15:24:00"/>
    <s v="Tomatoes"/>
    <n v="2"/>
    <n v="20"/>
    <n v="10"/>
    <n v="10"/>
    <s v="Credit"/>
    <x v="9"/>
    <m/>
    <m/>
    <m/>
  </r>
  <r>
    <d v="2024-07-21T00:00:00"/>
    <d v="1899-12-30T15:24:00"/>
    <s v="Onion"/>
    <n v="1"/>
    <n v="10"/>
    <n v="8"/>
    <n v="2"/>
    <s v="Credit"/>
    <x v="9"/>
    <m/>
    <m/>
    <m/>
  </r>
  <r>
    <d v="2024-07-21T00:00:00"/>
    <d v="1899-12-30T15:24:00"/>
    <s v="Dhania"/>
    <n v="2"/>
    <n v="10"/>
    <n v="6.666666666666667"/>
    <n v="3.333333333333333"/>
    <s v="Credit"/>
    <x v="9"/>
    <m/>
    <m/>
    <m/>
  </r>
  <r>
    <d v="2024-07-21T00:00:00"/>
    <d v="1899-12-30T15:29:00"/>
    <s v="Tomatoes"/>
    <n v="3"/>
    <n v="30"/>
    <n v="15"/>
    <n v="15"/>
    <s v="Cash"/>
    <x v="2"/>
    <m/>
    <m/>
    <m/>
  </r>
  <r>
    <d v="2024-07-21T00:00:00"/>
    <d v="1899-12-30T15:29:00"/>
    <s v="Mt Kenya milk 200ml"/>
    <n v="1"/>
    <n v="35"/>
    <n v="24.285714285714285"/>
    <n v="10.714285714285715"/>
    <s v="Mpesa"/>
    <x v="2"/>
    <m/>
    <m/>
    <m/>
  </r>
  <r>
    <d v="2024-07-21T00:00:00"/>
    <d v="1899-12-30T15:45:00"/>
    <s v=" soda 1.25lts"/>
    <n v="1"/>
    <n v="130"/>
    <n v="112.5"/>
    <n v="17.5"/>
    <s v="Credit"/>
    <x v="7"/>
    <m/>
    <m/>
    <m/>
  </r>
  <r>
    <d v="2024-07-21T00:00:00"/>
    <d v="1899-12-30T16:42:00"/>
    <s v="Cooking Oil Measured"/>
    <n v="0.25"/>
    <n v="70"/>
    <n v="50"/>
    <n v="20"/>
    <s v="Cash"/>
    <x v="2"/>
    <m/>
    <m/>
    <m/>
  </r>
  <r>
    <d v="2024-07-21T00:00:00"/>
    <d v="1899-12-30T16:42:00"/>
    <s v="Mt kenya milk 500ml"/>
    <n v="2"/>
    <n v="130"/>
    <n v="96.666666666666671"/>
    <n v="33.333333333333329"/>
    <s v="Cash"/>
    <x v="2"/>
    <m/>
    <m/>
    <m/>
  </r>
  <r>
    <d v="2024-07-21T00:00:00"/>
    <d v="1899-12-30T17:24:00"/>
    <s v="Safaricom 10 Credit"/>
    <n v="2"/>
    <n v="20"/>
    <n v="18"/>
    <n v="2"/>
    <s v="Cash"/>
    <x v="2"/>
    <m/>
    <m/>
    <m/>
  </r>
  <r>
    <d v="2024-07-21T00:00:00"/>
    <d v="1899-12-30T17:24:00"/>
    <s v="Rasor Blade"/>
    <n v="1"/>
    <n v="5"/>
    <n v="2"/>
    <n v="3"/>
    <s v="Cash"/>
    <x v="2"/>
    <m/>
    <m/>
    <m/>
  </r>
  <r>
    <d v="2024-07-21T00:00:00"/>
    <d v="1899-12-30T17:43:00"/>
    <s v="Safari"/>
    <n v="2"/>
    <n v="30"/>
    <n v="17"/>
    <n v="13"/>
    <s v="Mpesa"/>
    <x v="2"/>
    <m/>
    <m/>
    <m/>
  </r>
  <r>
    <d v="2024-07-21T00:00:00"/>
    <d v="1899-12-30T17:50:00"/>
    <s v="Tomato paste"/>
    <n v="1"/>
    <n v="30"/>
    <n v="12.5"/>
    <n v="17.5"/>
    <s v="Mpesa"/>
    <x v="2"/>
    <m/>
    <m/>
    <m/>
  </r>
  <r>
    <d v="2024-07-21T00:00:00"/>
    <d v="1899-12-30T17:50:00"/>
    <s v="Drinking Chocolate 20g"/>
    <n v="1"/>
    <n v="20"/>
    <n v="10.416666666666666"/>
    <n v="9.5833333333333339"/>
    <s v="Mpesa"/>
    <x v="2"/>
    <m/>
    <m/>
    <m/>
  </r>
  <r>
    <d v="2024-07-21T00:00:00"/>
    <d v="1899-12-30T17:50:00"/>
    <s v="Kdf"/>
    <n v="2"/>
    <n v="20"/>
    <n v="16.666666666666668"/>
    <n v="3.3333333333333321"/>
    <s v="Mpesa"/>
    <x v="2"/>
    <m/>
    <m/>
    <m/>
  </r>
  <r>
    <d v="2024-07-21T00:00:00"/>
    <d v="1899-12-30T17:50:00"/>
    <s v="BB Bread 400g"/>
    <n v="1"/>
    <n v="65"/>
    <n v="60"/>
    <n v="5"/>
    <s v="Mpesa"/>
    <x v="2"/>
    <m/>
    <m/>
    <m/>
  </r>
  <r>
    <d v="2024-07-21T00:00:00"/>
    <d v="1899-12-30T18:01:00"/>
    <s v="Cooking Oil Measured"/>
    <n v="0.25"/>
    <n v="70"/>
    <n v="50"/>
    <n v="20"/>
    <s v="Mpesa"/>
    <x v="2"/>
    <m/>
    <m/>
    <m/>
  </r>
  <r>
    <d v="2024-07-21T00:00:00"/>
    <d v="1899-12-30T18:32:00"/>
    <s v="Tomatoes"/>
    <n v="3"/>
    <n v="30"/>
    <n v="15"/>
    <n v="15"/>
    <s v="Mpesa"/>
    <x v="2"/>
    <m/>
    <m/>
    <m/>
  </r>
  <r>
    <d v="2024-07-21T00:00:00"/>
    <d v="1899-12-30T18:32:00"/>
    <s v="Onion"/>
    <n v="1"/>
    <n v="10"/>
    <n v="8"/>
    <n v="2"/>
    <s v="Mpesa"/>
    <x v="2"/>
    <m/>
    <m/>
    <m/>
  </r>
  <r>
    <d v="2024-07-21T00:00:00"/>
    <d v="1899-12-30T18:32:00"/>
    <s v="Goodday Cookies"/>
    <n v="1"/>
    <n v="15"/>
    <n v="9.3333333333333339"/>
    <n v="5.6666666666666661"/>
    <s v="Mpesa"/>
    <x v="2"/>
    <m/>
    <m/>
    <m/>
  </r>
  <r>
    <d v="2024-07-21T00:00:00"/>
    <d v="1899-12-30T18:32:00"/>
    <s v="Bigboss"/>
    <n v="3"/>
    <n v="15"/>
    <n v="10.5"/>
    <n v="4.5"/>
    <s v="Mpesa"/>
    <x v="2"/>
    <m/>
    <m/>
    <m/>
  </r>
  <r>
    <d v="2024-07-21T00:00:00"/>
    <d v="1899-12-30T18:37:00"/>
    <s v="eggs"/>
    <n v="3"/>
    <n v="60"/>
    <n v="43"/>
    <n v="17"/>
    <s v="Credit"/>
    <x v="23"/>
    <m/>
    <m/>
    <m/>
  </r>
  <r>
    <d v="2024-07-21T00:00:00"/>
    <d v="1899-12-30T18:37:00"/>
    <s v="Tomatoes"/>
    <n v="1"/>
    <n v="10"/>
    <n v="5"/>
    <n v="5"/>
    <s v="Credit"/>
    <x v="23"/>
    <m/>
    <m/>
    <m/>
  </r>
  <r>
    <d v="2024-07-21T00:00:00"/>
    <d v="1899-12-30T18:57:00"/>
    <s v="Rubber"/>
    <n v="1"/>
    <n v="10"/>
    <n v="5.6"/>
    <n v="4.4000000000000004"/>
    <s v="Credit"/>
    <x v="7"/>
    <m/>
    <m/>
    <m/>
  </r>
  <r>
    <d v="2024-07-21T00:00:00"/>
    <d v="1899-12-30T18:57:00"/>
    <s v="Kinangop Fresh Milk 500ml"/>
    <n v="2"/>
    <n v="120"/>
    <n v="110"/>
    <n v="10"/>
    <s v="Credit"/>
    <x v="7"/>
    <m/>
    <m/>
    <m/>
  </r>
  <r>
    <d v="2024-07-21T00:00:00"/>
    <d v="1899-12-30T19:33:00"/>
    <s v="Arimis big"/>
    <n v="1"/>
    <n v="60"/>
    <n v="45.833333333333336"/>
    <n v="14.166666666666664"/>
    <s v="Mpesa"/>
    <x v="2"/>
    <m/>
    <m/>
    <m/>
  </r>
  <r>
    <d v="2024-07-21T00:00:00"/>
    <d v="1899-12-30T20:21:00"/>
    <s v="Curry Powder"/>
    <n v="1"/>
    <n v="15"/>
    <n v="7.5"/>
    <n v="7.5"/>
    <s v="Cash"/>
    <x v="2"/>
    <m/>
    <m/>
    <m/>
  </r>
  <r>
    <d v="2024-07-21T00:00:00"/>
    <d v="1899-12-30T20:21:00"/>
    <s v="Garlic"/>
    <n v="1"/>
    <n v="30"/>
    <n v="20"/>
    <n v="10"/>
    <s v="Cash"/>
    <x v="2"/>
    <m/>
    <m/>
    <m/>
  </r>
  <r>
    <d v="2024-07-21T00:00:00"/>
    <d v="1899-12-30T20:22:00"/>
    <s v="210 Maize Meal 2kg"/>
    <n v="1"/>
    <n v="160"/>
    <n v="117.08333333333333"/>
    <n v="42.916666666666671"/>
    <s v="Credit"/>
    <x v="16"/>
    <m/>
    <m/>
    <m/>
  </r>
  <r>
    <d v="2024-07-22T00:00:00"/>
    <d v="1899-12-30T07:31:00"/>
    <s v="Safari"/>
    <n v="3"/>
    <n v="45"/>
    <n v="25.5"/>
    <n v="19.5"/>
    <s v="Mpesa"/>
    <x v="2"/>
    <m/>
    <m/>
    <m/>
  </r>
  <r>
    <d v="2024-07-22T00:00:00"/>
    <d v="1899-12-30T07:48:00"/>
    <s v="Nescafe 1.5g"/>
    <n v="1"/>
    <n v="15"/>
    <n v="9.1666666666666661"/>
    <n v="5.8333333333333339"/>
    <s v="Mpesa"/>
    <x v="2"/>
    <m/>
    <m/>
    <m/>
  </r>
  <r>
    <d v="2024-07-22T00:00:00"/>
    <d v="1899-12-30T08:05:00"/>
    <s v="Sportsman"/>
    <n v="1"/>
    <n v="20"/>
    <n v="13"/>
    <n v="7"/>
    <s v="Cash"/>
    <x v="2"/>
    <m/>
    <m/>
    <m/>
  </r>
  <r>
    <d v="2024-07-22T00:00:00"/>
    <d v="1899-12-30T08:31:00"/>
    <s v="Festive Bread 400g"/>
    <n v="1"/>
    <n v="65"/>
    <n v="60"/>
    <n v="5"/>
    <s v="Cash"/>
    <x v="2"/>
    <m/>
    <m/>
    <m/>
  </r>
  <r>
    <d v="2024-07-22T00:00:00"/>
    <d v="1899-12-30T08:43:00"/>
    <s v="BB Bread 400g"/>
    <n v="1"/>
    <n v="65"/>
    <n v="60"/>
    <n v="5"/>
    <s v="Credit"/>
    <x v="10"/>
    <m/>
    <m/>
    <m/>
  </r>
  <r>
    <d v="2024-07-22T00:00:00"/>
    <d v="1899-12-30T08:56:00"/>
    <s v="predator"/>
    <n v="1"/>
    <n v="70"/>
    <n v="54.166666666666664"/>
    <n v="15.833333333333336"/>
    <s v="Cash"/>
    <x v="2"/>
    <m/>
    <m/>
    <m/>
  </r>
  <r>
    <d v="2024-07-22T00:00:00"/>
    <d v="1899-12-30T08:56:00"/>
    <s v="Peanut Cookies"/>
    <n v="1"/>
    <n v="35"/>
    <n v="25"/>
    <n v="10"/>
    <s v="Cash"/>
    <x v="2"/>
    <m/>
    <m/>
    <m/>
  </r>
  <r>
    <d v="2024-07-22T00:00:00"/>
    <d v="1899-12-30T09:07:00"/>
    <s v="Sportsman"/>
    <n v="2"/>
    <n v="40"/>
    <n v="26"/>
    <n v="14"/>
    <s v="Mpesa"/>
    <x v="2"/>
    <m/>
    <m/>
    <m/>
  </r>
  <r>
    <d v="2024-07-22T00:00:00"/>
    <d v="1899-12-30T09:34:00"/>
    <s v="Kinangop Fresh Milk 500ml"/>
    <n v="1"/>
    <n v="60"/>
    <n v="55"/>
    <n v="5"/>
    <s v="Credit"/>
    <x v="3"/>
    <m/>
    <m/>
    <m/>
  </r>
  <r>
    <d v="2024-07-22T00:00:00"/>
    <d v="1899-12-30T10:11:00"/>
    <s v="Bella Tissue"/>
    <n v="2"/>
    <n v="320"/>
    <n v="246.66666666666666"/>
    <n v="73.333333333333343"/>
    <s v="Cash"/>
    <x v="2"/>
    <m/>
    <m/>
    <m/>
  </r>
  <r>
    <d v="2024-07-22T00:00:00"/>
    <d v="1899-12-30T10:40:00"/>
    <s v="Sportsman"/>
    <n v="2"/>
    <n v="40"/>
    <n v="26"/>
    <n v="14"/>
    <s v="Mpesa"/>
    <x v="2"/>
    <m/>
    <m/>
    <m/>
  </r>
  <r>
    <d v="2024-07-22T00:00:00"/>
    <d v="1899-12-30T11:51:00"/>
    <s v="Sugar"/>
    <n v="0.5"/>
    <n v="90"/>
    <n v="65"/>
    <n v="25"/>
    <s v="Mpesa"/>
    <x v="2"/>
    <m/>
    <m/>
    <m/>
  </r>
  <r>
    <d v="2024-07-22T00:00:00"/>
    <d v="1899-12-30T13:32:00"/>
    <s v="Tomatoes"/>
    <n v="10"/>
    <n v="100"/>
    <n v="50"/>
    <n v="50"/>
    <s v="Mpesa"/>
    <x v="2"/>
    <m/>
    <m/>
    <m/>
  </r>
  <r>
    <d v="2024-07-22T00:00:00"/>
    <d v="1899-12-30T13:35:00"/>
    <s v="1.5ltrs water"/>
    <n v="1"/>
    <n v="70"/>
    <n v="25"/>
    <n v="45"/>
    <s v="Credit"/>
    <x v="4"/>
    <m/>
    <m/>
    <m/>
  </r>
  <r>
    <d v="2024-07-22T00:00:00"/>
    <d v="1899-12-30T13:35:00"/>
    <s v="Tropical"/>
    <n v="2"/>
    <n v="10"/>
    <n v="3"/>
    <n v="7"/>
    <s v="Credit"/>
    <x v="4"/>
    <m/>
    <m/>
    <m/>
  </r>
  <r>
    <d v="2024-07-22T00:00:00"/>
    <d v="1899-12-30T14:12:00"/>
    <s v="Indomie chicken"/>
    <n v="2"/>
    <n v="100"/>
    <n v="75"/>
    <n v="25"/>
    <s v="Cash"/>
    <x v="2"/>
    <m/>
    <m/>
    <m/>
  </r>
  <r>
    <d v="2024-07-22T00:00:00"/>
    <d v="1899-12-30T14:12:00"/>
    <s v="Scissors"/>
    <n v="1"/>
    <n v="30"/>
    <n v="15"/>
    <n v="15"/>
    <s v="Cash"/>
    <x v="2"/>
    <m/>
    <m/>
    <m/>
  </r>
  <r>
    <d v="2024-07-22T00:00:00"/>
    <d v="1899-12-30T14:31:00"/>
    <s v="Airtel 50 Credit"/>
    <n v="2"/>
    <n v="100"/>
    <n v="94"/>
    <n v="6"/>
    <s v="Cash"/>
    <x v="2"/>
    <m/>
    <m/>
    <m/>
  </r>
  <r>
    <d v="2024-07-22T00:00:00"/>
    <d v="1899-12-30T14:48:00"/>
    <s v="afia 500ml"/>
    <n v="1"/>
    <n v="85"/>
    <n v="70.833333333333329"/>
    <n v="14.166666666666671"/>
    <s v="Credit"/>
    <x v="4"/>
    <m/>
    <m/>
    <m/>
  </r>
  <r>
    <d v="2024-07-22T00:00:00"/>
    <d v="1899-12-30T14:48:00"/>
    <s v="Coconut Cakes"/>
    <n v="2"/>
    <n v="20"/>
    <n v="16.666666666666668"/>
    <n v="3.3333333333333321"/>
    <s v="Credit"/>
    <x v="4"/>
    <m/>
    <m/>
    <m/>
  </r>
  <r>
    <d v="2024-07-22T00:00:00"/>
    <d v="1899-12-30T14:49:00"/>
    <s v="Pishori rice"/>
    <n v="1"/>
    <n v="220"/>
    <n v="180"/>
    <n v="40"/>
    <s v="Credit"/>
    <x v="3"/>
    <m/>
    <m/>
    <m/>
  </r>
  <r>
    <d v="2024-07-22T00:00:00"/>
    <d v="1899-12-30T14:51:00"/>
    <s v="soda 300ml glass"/>
    <n v="1"/>
    <n v="40"/>
    <n v="32.5"/>
    <n v="7.5"/>
    <s v="Mpesa"/>
    <x v="2"/>
    <m/>
    <m/>
    <m/>
  </r>
  <r>
    <d v="2024-07-22T00:00:00"/>
    <d v="1899-12-30T14:51:00"/>
    <s v="Half pound cake"/>
    <n v="1"/>
    <n v="100"/>
    <n v="90"/>
    <n v="10"/>
    <s v="Mpesa"/>
    <x v="2"/>
    <m/>
    <m/>
    <m/>
  </r>
  <r>
    <d v="2024-07-22T00:00:00"/>
    <d v="1899-12-30T15:46:00"/>
    <s v="soda 2lts"/>
    <n v="1"/>
    <n v="200"/>
    <n v="176.66666666666666"/>
    <n v="23.333333333333343"/>
    <s v="Cash"/>
    <x v="2"/>
    <m/>
    <m/>
    <m/>
  </r>
  <r>
    <d v="2024-07-22T00:00:00"/>
    <d v="1899-12-30T15:46:00"/>
    <s v="omo 75g"/>
    <n v="1"/>
    <n v="35"/>
    <n v="27.5"/>
    <n v="7.5"/>
    <s v="Cash"/>
    <x v="2"/>
    <m/>
    <m/>
    <m/>
  </r>
  <r>
    <d v="2024-07-22T00:00:00"/>
    <d v="1899-12-30T16:22:00"/>
    <s v="BB Bread 400g"/>
    <n v="1"/>
    <n v="65"/>
    <n v="60"/>
    <n v="5"/>
    <s v="Mpesa"/>
    <x v="2"/>
    <m/>
    <m/>
    <m/>
  </r>
  <r>
    <d v="2024-07-22T00:00:00"/>
    <d v="1899-12-30T17:15:00"/>
    <s v="Baloon"/>
    <n v="2"/>
    <n v="20"/>
    <n v="12"/>
    <n v="8"/>
    <s v="Cash"/>
    <x v="2"/>
    <m/>
    <m/>
    <m/>
  </r>
  <r>
    <d v="2024-07-22T00:00:00"/>
    <d v="1899-12-30T18:47:00"/>
    <s v="Sodacans"/>
    <n v="1"/>
    <n v="20"/>
    <n v="15"/>
    <n v="5"/>
    <s v="Cash"/>
    <x v="2"/>
    <m/>
    <m/>
    <m/>
  </r>
  <r>
    <d v="2024-07-22T00:00:00"/>
    <d v="1899-12-30T18:50:00"/>
    <s v="eggs"/>
    <n v="4"/>
    <n v="80"/>
    <n v="57.333333333333336"/>
    <n v="22.666666666666664"/>
    <s v="Mpesa"/>
    <x v="2"/>
    <m/>
    <m/>
    <m/>
  </r>
  <r>
    <d v="2024-07-22T00:00:00"/>
    <d v="1899-12-30T18:50:00"/>
    <s v="Coconut Cakes"/>
    <n v="4"/>
    <n v="40"/>
    <n v="33.333333333333336"/>
    <n v="6.6666666666666643"/>
    <s v="Mpesa"/>
    <x v="2"/>
    <m/>
    <m/>
    <m/>
  </r>
  <r>
    <d v="2024-07-22T00:00:00"/>
    <d v="1899-12-30T19:08:00"/>
    <s v="Festive Bread 400g"/>
    <n v="1"/>
    <n v="65"/>
    <n v="60"/>
    <n v="5"/>
    <s v="Mpesa"/>
    <x v="2"/>
    <m/>
    <m/>
    <m/>
  </r>
  <r>
    <d v="2024-07-22T00:00:00"/>
    <d v="1899-12-30T19:29:00"/>
    <s v="afia 500ml"/>
    <n v="1"/>
    <n v="30"/>
    <n v="23.333333333333332"/>
    <n v="6.6666666666666679"/>
    <s v="Mpesa"/>
    <x v="2"/>
    <m/>
    <m/>
    <m/>
  </r>
  <r>
    <d v="2024-07-22T00:00:00"/>
    <d v="1899-12-30T19:39:00"/>
    <s v="Ginger"/>
    <n v="2"/>
    <n v="40"/>
    <n v="20"/>
    <n v="20"/>
    <s v="Mpesa"/>
    <x v="2"/>
    <m/>
    <m/>
    <m/>
  </r>
  <r>
    <d v="2024-07-22T00:00:00"/>
    <d v="1899-12-30T19:42:00"/>
    <s v="Kinangop Fresh Milk 500ml"/>
    <n v="1"/>
    <n v="60"/>
    <n v="55"/>
    <n v="5"/>
    <s v="Credit"/>
    <x v="8"/>
    <m/>
    <m/>
    <m/>
  </r>
  <r>
    <d v="2024-07-22T00:00:00"/>
    <d v="1899-12-30T20:01:00"/>
    <s v="Blueband 100g"/>
    <n v="1"/>
    <n v="70"/>
    <n v="58.333333333333336"/>
    <n v="11.666666666666664"/>
    <s v="Credit"/>
    <x v="21"/>
    <m/>
    <m/>
    <m/>
  </r>
  <r>
    <d v="2024-07-22T00:00:00"/>
    <d v="1899-12-30T20:01:00"/>
    <s v="Coconut Cakes"/>
    <n v="6"/>
    <n v="60"/>
    <n v="50"/>
    <n v="10"/>
    <s v="Credit"/>
    <x v="21"/>
    <m/>
    <m/>
    <m/>
  </r>
  <r>
    <d v="2024-07-22T00:00:00"/>
    <d v="1899-12-30T20:01:00"/>
    <s v="Festive Bread 400g"/>
    <n v="1"/>
    <n v="65"/>
    <n v="60"/>
    <n v="5"/>
    <s v="Credit"/>
    <x v="21"/>
    <m/>
    <m/>
    <m/>
  </r>
  <r>
    <d v="2024-07-22T00:00:00"/>
    <d v="1899-12-30T20:01:00"/>
    <s v="eggs"/>
    <n v="6"/>
    <n v="120"/>
    <n v="86"/>
    <n v="34"/>
    <s v="Credit"/>
    <x v="21"/>
    <m/>
    <m/>
    <m/>
  </r>
  <r>
    <d v="2024-07-22T00:00:00"/>
    <d v="1899-12-30T20:01:00"/>
    <s v="Brookside milk 500ml"/>
    <n v="1"/>
    <n v="70"/>
    <n v="59"/>
    <n v="11"/>
    <s v="Credit"/>
    <x v="21"/>
    <m/>
    <m/>
    <m/>
  </r>
  <r>
    <d v="2024-07-22T00:00:00"/>
    <d v="1899-12-30T20:01:00"/>
    <s v="soda 500ml glass"/>
    <n v="1"/>
    <n v="55"/>
    <n v="50"/>
    <n v="5"/>
    <s v="Credit"/>
    <x v="21"/>
    <m/>
    <m/>
    <m/>
  </r>
  <r>
    <d v="2024-07-22T00:00:00"/>
    <d v="1899-12-30T20:03:00"/>
    <s v="Cooking Oil Measured"/>
    <n v="0.25"/>
    <n v="70"/>
    <n v="50"/>
    <n v="20"/>
    <s v="Mpesa"/>
    <x v="2"/>
    <m/>
    <m/>
    <m/>
  </r>
  <r>
    <d v="2024-07-22T00:00:00"/>
    <d v="1899-12-30T20:11:00"/>
    <s v="Cabbage"/>
    <n v="1"/>
    <n v="180"/>
    <n v="120"/>
    <n v="60"/>
    <s v="Credit"/>
    <x v="7"/>
    <m/>
    <m/>
    <m/>
  </r>
  <r>
    <d v="2024-07-22T00:00:00"/>
    <d v="1899-12-30T20:13:00"/>
    <s v="5ltrs water"/>
    <n v="1"/>
    <n v="120"/>
    <n v="75"/>
    <n v="45"/>
    <s v="Credit"/>
    <x v="1"/>
    <m/>
    <m/>
    <m/>
  </r>
  <r>
    <d v="2024-07-22T00:00:00"/>
    <d v="1899-12-30T20:13:00"/>
    <s v="eggs"/>
    <n v="3"/>
    <n v="60"/>
    <n v="43"/>
    <n v="17"/>
    <s v="Credit"/>
    <x v="1"/>
    <m/>
    <m/>
    <m/>
  </r>
  <r>
    <d v="2024-07-22T00:00:00"/>
    <d v="1899-12-30T20:13:00"/>
    <s v="Onion"/>
    <n v="1"/>
    <n v="10"/>
    <n v="8"/>
    <n v="2"/>
    <s v="Credit"/>
    <x v="1"/>
    <m/>
    <m/>
    <m/>
  </r>
  <r>
    <d v="2024-07-22T00:00:00"/>
    <d v="1899-12-30T20:24:00"/>
    <s v="Tukuza 1kg"/>
    <n v="1"/>
    <n v="90"/>
    <n v="61.25"/>
    <n v="28.75"/>
    <s v="Credit"/>
    <x v="7"/>
    <m/>
    <m/>
    <m/>
  </r>
  <r>
    <d v="2024-07-22T00:00:00"/>
    <d v="1899-12-30T20:53:00"/>
    <s v="Kdf"/>
    <n v="1"/>
    <n v="15"/>
    <n v="8.5"/>
    <n v="6.5"/>
    <s v="Credit"/>
    <x v="3"/>
    <m/>
    <m/>
    <m/>
  </r>
  <r>
    <d v="2024-07-22T00:00:00"/>
    <d v="1899-12-30T20:53:00"/>
    <s v="Mt Kenya milk 200ml"/>
    <n v="1"/>
    <n v="35"/>
    <n v="24.285714285714285"/>
    <n v="10.714285714285715"/>
    <s v="Credit"/>
    <x v="3"/>
    <m/>
    <m/>
    <m/>
  </r>
  <r>
    <d v="2024-07-22T00:00:00"/>
    <d v="1899-12-30T20:57:00"/>
    <m/>
    <m/>
    <m/>
    <m/>
    <m/>
    <m/>
    <x v="2"/>
    <s v="Tracy"/>
    <n v="145"/>
    <s v="Mpesa"/>
  </r>
  <r>
    <d v="2024-07-23T00:00:00"/>
    <d v="1899-12-30T08:22:00"/>
    <s v="Ajab 2kg"/>
    <n v="1"/>
    <n v="220"/>
    <n v="175"/>
    <n v="45"/>
    <s v="Credit"/>
    <x v="10"/>
    <m/>
    <m/>
    <m/>
  </r>
  <r>
    <d v="2024-07-23T00:00:00"/>
    <d v="1899-12-30T08:48:00"/>
    <s v="Kinangop Fresh Milk 500ml"/>
    <n v="1"/>
    <n v="60"/>
    <n v="55"/>
    <n v="5"/>
    <s v="Credit"/>
    <x v="3"/>
    <m/>
    <m/>
    <m/>
  </r>
  <r>
    <d v="2024-07-23T00:00:00"/>
    <d v="1899-12-30T08:48:00"/>
    <s v="BB Bread 400g"/>
    <n v="1"/>
    <n v="65"/>
    <n v="60"/>
    <n v="5"/>
    <s v="Credit"/>
    <x v="3"/>
    <m/>
    <m/>
    <m/>
  </r>
  <r>
    <d v="2024-07-23T00:00:00"/>
    <d v="1899-12-30T09:11:00"/>
    <s v="Festive 600g"/>
    <n v="1"/>
    <n v="100"/>
    <n v="90"/>
    <n v="10"/>
    <s v="Cash"/>
    <x v="2"/>
    <m/>
    <m/>
    <m/>
  </r>
  <r>
    <d v="2024-07-23T00:00:00"/>
    <d v="1899-12-30T09:11:00"/>
    <s v="Festive Bread 400g"/>
    <n v="1"/>
    <n v="65"/>
    <n v="60"/>
    <n v="5"/>
    <s v="Cash"/>
    <x v="2"/>
    <m/>
    <m/>
    <m/>
  </r>
  <r>
    <d v="2024-07-23T00:00:00"/>
    <d v="1899-12-30T09:11:00"/>
    <s v="Gomba"/>
    <n v="2"/>
    <n v="5"/>
    <n v="3.6"/>
    <n v="1.4"/>
    <s v="Cash"/>
    <x v="2"/>
    <m/>
    <m/>
    <m/>
  </r>
  <r>
    <d v="2024-07-23T00:00:00"/>
    <d v="1899-12-30T09:22:00"/>
    <s v="Cough drops"/>
    <n v="2"/>
    <n v="10"/>
    <n v="8"/>
    <n v="2"/>
    <s v="Mpesa"/>
    <x v="2"/>
    <m/>
    <m/>
    <m/>
  </r>
  <r>
    <d v="2024-07-23T00:00:00"/>
    <d v="1899-12-30T09:27:00"/>
    <s v="BB Bread 400g"/>
    <n v="1"/>
    <n v="65"/>
    <n v="60"/>
    <n v="5"/>
    <s v="Cash"/>
    <x v="2"/>
    <m/>
    <m/>
    <m/>
  </r>
  <r>
    <d v="2024-07-23T00:00:00"/>
    <d v="1899-12-30T09:32:00"/>
    <s v="Blueband 500g"/>
    <n v="1"/>
    <n v="350"/>
    <n v="250"/>
    <n v="100"/>
    <s v="Mpesa"/>
    <x v="2"/>
    <m/>
    <m/>
    <m/>
  </r>
  <r>
    <d v="2024-07-23T00:00:00"/>
    <d v="1899-12-30T09:34:00"/>
    <s v="Kinangop Fresh Milk 500ml"/>
    <n v="1"/>
    <n v="60"/>
    <n v="55"/>
    <n v="5"/>
    <s v="Credit"/>
    <x v="7"/>
    <m/>
    <m/>
    <m/>
  </r>
  <r>
    <d v="2024-07-23T00:00:00"/>
    <d v="1899-12-30T09:44:00"/>
    <s v="minutemaid 400ml"/>
    <n v="1"/>
    <n v="85"/>
    <n v="62.5"/>
    <n v="22.5"/>
    <s v="Credit"/>
    <x v="24"/>
    <m/>
    <m/>
    <m/>
  </r>
  <r>
    <d v="2024-07-23T00:00:00"/>
    <d v="1899-12-30T09:44:00"/>
    <s v="Baloon"/>
    <n v="3"/>
    <n v="30"/>
    <n v="18"/>
    <n v="12"/>
    <s v="Credit"/>
    <x v="24"/>
    <m/>
    <m/>
    <m/>
  </r>
  <r>
    <d v="2024-07-23T00:00:00"/>
    <d v="1899-12-30T09:44:00"/>
    <s v="Bitez"/>
    <n v="3"/>
    <n v="45"/>
    <n v="26.400000000000002"/>
    <n v="18.599999999999998"/>
    <s v="Credit"/>
    <x v="24"/>
    <m/>
    <m/>
    <m/>
  </r>
  <r>
    <d v="2024-07-23T00:00:00"/>
    <d v="1899-12-30T09:48:00"/>
    <s v="Safaricom 50 Credit"/>
    <n v="2"/>
    <n v="100"/>
    <n v="94"/>
    <n v="6"/>
    <s v="Cash"/>
    <x v="2"/>
    <m/>
    <m/>
    <m/>
  </r>
  <r>
    <d v="2024-07-23T00:00:00"/>
    <d v="1899-12-30T10:58:00"/>
    <s v="predator"/>
    <n v="1"/>
    <n v="70"/>
    <n v="54.166666666666664"/>
    <n v="15.833333333333336"/>
    <s v="Cash"/>
    <x v="2"/>
    <m/>
    <m/>
    <m/>
  </r>
  <r>
    <d v="2024-07-23T00:00:00"/>
    <d v="1899-12-30T10:59:00"/>
    <s v="Tamu Tamu Red"/>
    <n v="2"/>
    <n v="30"/>
    <n v="17.2"/>
    <n v="12.8"/>
    <s v="Credit"/>
    <x v="7"/>
    <m/>
    <m/>
    <m/>
  </r>
  <r>
    <d v="2024-07-23T00:00:00"/>
    <d v="1899-12-30T11:50:00"/>
    <s v="Dairy Fresh v"/>
    <n v="1"/>
    <n v="85"/>
    <n v="75"/>
    <n v="10"/>
    <s v="Cash"/>
    <x v="2"/>
    <m/>
    <m/>
    <m/>
  </r>
  <r>
    <d v="2024-07-23T00:00:00"/>
    <d v="1899-12-30T11:50:00"/>
    <s v="Sodacans"/>
    <n v="1"/>
    <n v="20"/>
    <n v="15"/>
    <n v="5"/>
    <s v="Cash"/>
    <x v="2"/>
    <m/>
    <m/>
    <m/>
  </r>
  <r>
    <d v="2024-07-23T00:00:00"/>
    <d v="1899-12-30T11:50:00"/>
    <s v="Icepop"/>
    <n v="1"/>
    <n v="15"/>
    <n v="7.5"/>
    <n v="7.5"/>
    <s v="Cash"/>
    <x v="2"/>
    <m/>
    <m/>
    <m/>
  </r>
  <r>
    <d v="2024-07-23T00:00:00"/>
    <d v="1899-12-30T11:58:00"/>
    <s v="BB Bread 400g"/>
    <n v="1"/>
    <n v="65"/>
    <n v="60"/>
    <n v="5"/>
    <s v="Credit"/>
    <x v="4"/>
    <m/>
    <m/>
    <m/>
  </r>
  <r>
    <d v="2024-07-23T00:00:00"/>
    <d v="1899-12-30T11:58:00"/>
    <s v="Crown Gold Milk 500ml"/>
    <n v="2"/>
    <n v="130"/>
    <n v="108.33333333333333"/>
    <n v="21.666666666666671"/>
    <s v="Credit"/>
    <x v="4"/>
    <m/>
    <m/>
    <m/>
  </r>
  <r>
    <d v="2024-07-23T00:00:00"/>
    <d v="1899-12-30T11:58:00"/>
    <s v="Blueband 100g"/>
    <n v="1"/>
    <n v="70"/>
    <n v="58.333333333333336"/>
    <n v="11.666666666666664"/>
    <s v="Credit"/>
    <x v="4"/>
    <m/>
    <m/>
    <m/>
  </r>
  <r>
    <d v="2024-07-23T00:00:00"/>
    <d v="1899-12-30T12:25:00"/>
    <s v="Kichungi small"/>
    <n v="1"/>
    <n v="20"/>
    <n v="15"/>
    <n v="5"/>
    <s v="Credit"/>
    <x v="4"/>
    <m/>
    <m/>
    <m/>
  </r>
  <r>
    <d v="2024-07-23T00:00:00"/>
    <d v="1899-12-30T12:36:00"/>
    <s v="predator"/>
    <n v="1"/>
    <n v="70"/>
    <n v="54.166666666666664"/>
    <n v="15.833333333333336"/>
    <s v="Cash"/>
    <x v="2"/>
    <m/>
    <m/>
    <m/>
  </r>
  <r>
    <d v="2024-07-23T00:00:00"/>
    <d v="1899-12-30T12:36:00"/>
    <s v="Peanut Cookies"/>
    <n v="1"/>
    <n v="35"/>
    <n v="25"/>
    <n v="10"/>
    <s v="Cash"/>
    <x v="2"/>
    <m/>
    <m/>
    <m/>
  </r>
  <r>
    <d v="2024-07-23T00:00:00"/>
    <d v="1899-12-30T13:54:00"/>
    <s v="scooter cans"/>
    <n v="1"/>
    <n v="20"/>
    <n v="15"/>
    <n v="5"/>
    <s v="Cash"/>
    <x v="2"/>
    <m/>
    <m/>
    <m/>
  </r>
  <r>
    <d v="2024-07-23T00:00:00"/>
    <d v="1899-12-30T13:54:00"/>
    <s v="Ringoz Paprika"/>
    <n v="1"/>
    <n v="15"/>
    <n v="8.8000000000000007"/>
    <n v="6.1999999999999993"/>
    <s v="Cash"/>
    <x v="2"/>
    <m/>
    <m/>
    <m/>
  </r>
  <r>
    <d v="2024-07-23T00:00:00"/>
    <d v="1899-12-30T13:54:00"/>
    <s v="Lollipop"/>
    <n v="1"/>
    <n v="5"/>
    <n v="2.4"/>
    <n v="2.6"/>
    <s v="Cash"/>
    <x v="2"/>
    <m/>
    <m/>
    <m/>
  </r>
  <r>
    <d v="2024-07-23T00:00:00"/>
    <d v="1899-12-30T14:05:00"/>
    <s v="kensalt 200g"/>
    <n v="1"/>
    <n v="15"/>
    <n v="5.5"/>
    <n v="9.5"/>
    <s v="Cash"/>
    <x v="2"/>
    <m/>
    <m/>
    <m/>
  </r>
  <r>
    <d v="2024-07-23T00:00:00"/>
    <d v="1899-12-30T14:05:00"/>
    <s v="Royco cubes"/>
    <n v="1"/>
    <n v="5"/>
    <n v="3"/>
    <n v="2"/>
    <s v="Cash"/>
    <x v="2"/>
    <m/>
    <m/>
    <m/>
  </r>
  <r>
    <d v="2024-07-23T00:00:00"/>
    <d v="1899-12-30T14:07:00"/>
    <s v="eggs"/>
    <n v="4"/>
    <n v="80"/>
    <n v="57.333333333333336"/>
    <n v="22.666666666666664"/>
    <s v="Cash"/>
    <x v="2"/>
    <m/>
    <m/>
    <m/>
  </r>
  <r>
    <d v="2024-07-23T00:00:00"/>
    <d v="1899-12-30T15:12:00"/>
    <s v="Gomba"/>
    <n v="4"/>
    <n v="10"/>
    <n v="7.2"/>
    <n v="2.8"/>
    <s v="Cash"/>
    <x v="2"/>
    <m/>
    <m/>
    <m/>
  </r>
  <r>
    <d v="2024-07-23T00:00:00"/>
    <d v="1899-12-30T15:12:00"/>
    <m/>
    <m/>
    <m/>
    <m/>
    <m/>
    <m/>
    <x v="2"/>
    <s v="Ken"/>
    <n v="20"/>
    <s v="Mpesa"/>
  </r>
  <r>
    <d v="2024-07-23T00:00:00"/>
    <d v="1899-12-30T15:44:00"/>
    <s v=" soda 1.25lts"/>
    <n v="1"/>
    <n v="130"/>
    <n v="112.5"/>
    <n v="17.5"/>
    <s v="Credit"/>
    <x v="7"/>
    <m/>
    <m/>
    <m/>
  </r>
  <r>
    <d v="2024-07-23T00:00:00"/>
    <d v="1899-12-30T15:47:00"/>
    <s v="soda 350ml plastic"/>
    <n v="1"/>
    <n v="50"/>
    <n v="41.666666666666664"/>
    <n v="8.3333333333333357"/>
    <s v="Mpesa"/>
    <x v="2"/>
    <m/>
    <m/>
    <m/>
  </r>
  <r>
    <d v="2024-07-23T00:00:00"/>
    <d v="1899-12-30T15:47:00"/>
    <s v="Coconut Cakes"/>
    <n v="1"/>
    <n v="10"/>
    <n v="8.3333333333333339"/>
    <n v="1.6666666666666661"/>
    <s v="Mpesa"/>
    <x v="2"/>
    <m/>
    <m/>
    <m/>
  </r>
  <r>
    <d v="2024-07-23T00:00:00"/>
    <d v="1899-12-30T16:06:00"/>
    <s v="Super Glue"/>
    <n v="1"/>
    <n v="30"/>
    <n v="23.333333333333332"/>
    <n v="6.6666666666666679"/>
    <s v="Mpesa"/>
    <x v="2"/>
    <m/>
    <m/>
    <m/>
  </r>
  <r>
    <d v="2024-07-23T00:00:00"/>
    <d v="1899-12-30T16:37:00"/>
    <s v="Crown Gold Milk 500ml"/>
    <n v="4"/>
    <n v="260"/>
    <n v="216.66666666666666"/>
    <n v="43.333333333333343"/>
    <s v="Mpesa"/>
    <x v="2"/>
    <m/>
    <m/>
    <m/>
  </r>
  <r>
    <d v="2024-07-23T00:00:00"/>
    <d v="1899-12-30T16:50:00"/>
    <s v="Brookside milk 500ml"/>
    <n v="1"/>
    <n v="70"/>
    <n v="59"/>
    <n v="11"/>
    <s v="Mpesa"/>
    <x v="2"/>
    <m/>
    <m/>
    <m/>
  </r>
  <r>
    <d v="2024-07-23T00:00:00"/>
    <d v="1899-12-30T16:50:00"/>
    <s v="Mt kenya milk 500ml"/>
    <n v="1"/>
    <n v="65"/>
    <n v="48.333333333333336"/>
    <n v="16.666666666666664"/>
    <s v="Mpesa"/>
    <x v="2"/>
    <m/>
    <m/>
    <m/>
  </r>
  <r>
    <d v="2024-07-23T00:00:00"/>
    <d v="1899-12-30T16:50:00"/>
    <s v="Festive Bread 400g"/>
    <n v="1"/>
    <n v="65"/>
    <n v="60"/>
    <n v="5"/>
    <s v="Mpesa"/>
    <x v="2"/>
    <m/>
    <m/>
    <m/>
  </r>
  <r>
    <d v="2024-07-23T00:00:00"/>
    <d v="1899-12-30T17:49:00"/>
    <s v="Brookside milk 500ml"/>
    <n v="1"/>
    <n v="70"/>
    <n v="59"/>
    <n v="11"/>
    <s v="Cash"/>
    <x v="2"/>
    <m/>
    <m/>
    <m/>
  </r>
  <r>
    <d v="2024-07-23T00:00:00"/>
    <d v="1899-12-30T17:49:00"/>
    <s v="Glucose 10g"/>
    <n v="1"/>
    <n v="5"/>
    <n v="3.75"/>
    <n v="1.25"/>
    <s v="Cash"/>
    <x v="2"/>
    <m/>
    <m/>
    <m/>
  </r>
  <r>
    <d v="2024-07-23T00:00:00"/>
    <d v="1899-12-30T18:31:00"/>
    <s v="Tomatoes"/>
    <n v="1"/>
    <n v="10"/>
    <n v="5"/>
    <n v="5"/>
    <s v="Mpesa"/>
    <x v="2"/>
    <m/>
    <m/>
    <m/>
  </r>
  <r>
    <d v="2024-07-23T00:00:00"/>
    <d v="1899-12-30T18:31:00"/>
    <s v="Onion"/>
    <n v="3"/>
    <n v="30"/>
    <n v="24"/>
    <n v="6"/>
    <s v="Mpesa"/>
    <x v="2"/>
    <m/>
    <m/>
    <m/>
  </r>
  <r>
    <d v="2024-07-23T00:00:00"/>
    <d v="1899-12-30T18:33:00"/>
    <s v="Medium Colgate Toothbrush"/>
    <n v="1"/>
    <n v="40"/>
    <n v="25"/>
    <n v="15"/>
    <s v="Mpesa"/>
    <x v="2"/>
    <m/>
    <m/>
    <m/>
  </r>
  <r>
    <d v="2024-07-23T00:00:00"/>
    <d v="1899-12-30T18:33:00"/>
    <s v="Softcare pads"/>
    <n v="1"/>
    <n v="85"/>
    <n v="66"/>
    <n v="19"/>
    <s v="Mpesa"/>
    <x v="2"/>
    <m/>
    <m/>
    <m/>
  </r>
  <r>
    <d v="2024-07-23T00:00:00"/>
    <d v="1899-12-30T18:45:00"/>
    <s v="300ml water"/>
    <n v="1"/>
    <n v="30"/>
    <n v="12.5"/>
    <n v="17.5"/>
    <s v="Mpesa"/>
    <x v="2"/>
    <m/>
    <m/>
    <m/>
  </r>
  <r>
    <d v="2024-07-23T00:00:00"/>
    <d v="1899-12-30T18:45:00"/>
    <s v="Bigdaddy"/>
    <n v="3"/>
    <n v="30"/>
    <n v="18"/>
    <n v="12"/>
    <s v="Mpesa"/>
    <x v="2"/>
    <m/>
    <m/>
    <m/>
  </r>
  <r>
    <d v="2024-07-23T00:00:00"/>
    <d v="1899-12-30T18:51:00"/>
    <s v="eggs"/>
    <n v="1"/>
    <n v="20"/>
    <n v="14.333333333333334"/>
    <n v="5.6666666666666661"/>
    <s v="Cash"/>
    <x v="2"/>
    <m/>
    <m/>
    <m/>
  </r>
  <r>
    <d v="2024-07-23T00:00:00"/>
    <d v="1899-12-30T18:51:00"/>
    <s v="Onion"/>
    <n v="1"/>
    <n v="10"/>
    <n v="8"/>
    <n v="2"/>
    <s v="Cash"/>
    <x v="2"/>
    <m/>
    <m/>
    <m/>
  </r>
  <r>
    <d v="2024-07-23T00:00:00"/>
    <d v="1899-12-30T18:51:00"/>
    <s v="Tomatoes"/>
    <n v="1"/>
    <n v="10"/>
    <n v="5"/>
    <n v="5"/>
    <s v="Cash"/>
    <x v="2"/>
    <m/>
    <m/>
    <m/>
  </r>
  <r>
    <d v="2024-07-23T00:00:00"/>
    <d v="1899-12-30T19:02:00"/>
    <m/>
    <m/>
    <m/>
    <m/>
    <m/>
    <m/>
    <x v="2"/>
    <s v="Janet Mkale"/>
    <n v="95"/>
    <s v="Mpesa"/>
  </r>
  <r>
    <d v="2024-07-23T00:00:00"/>
    <d v="1899-12-30T19:25:00"/>
    <s v="Mt Kenya milk 200ml"/>
    <n v="2"/>
    <n v="70"/>
    <n v="48.571428571428569"/>
    <n v="21.428571428571431"/>
    <s v="Cash"/>
    <x v="2"/>
    <m/>
    <m/>
    <m/>
  </r>
  <r>
    <d v="2024-07-23T00:00:00"/>
    <d v="1899-12-30T19:25:00"/>
    <m/>
    <m/>
    <m/>
    <m/>
    <m/>
    <m/>
    <x v="2"/>
    <s v="Shariffa"/>
    <n v="360"/>
    <s v="Mpesa"/>
  </r>
  <r>
    <d v="2024-07-23T00:00:00"/>
    <d v="1899-12-30T19:25:00"/>
    <s v="BB Bread 200g"/>
    <n v="1"/>
    <n v="40"/>
    <n v="35"/>
    <n v="5"/>
    <s v="Cash"/>
    <x v="2"/>
    <m/>
    <m/>
    <m/>
  </r>
  <r>
    <d v="2024-07-23T00:00:00"/>
    <d v="1899-12-30T19:25:00"/>
    <s v="hoho"/>
    <n v="2"/>
    <n v="20"/>
    <n v="13.333333333333334"/>
    <n v="6.6666666666666661"/>
    <s v="Cash"/>
    <x v="2"/>
    <m/>
    <m/>
    <m/>
  </r>
  <r>
    <d v="2024-07-23T00:00:00"/>
    <d v="1899-12-30T19:25:00"/>
    <s v="Dhania"/>
    <n v="1"/>
    <n v="5"/>
    <n v="3.3333333333333335"/>
    <n v="1.6666666666666665"/>
    <s v="Cash"/>
    <x v="2"/>
    <m/>
    <m/>
    <m/>
  </r>
  <r>
    <d v="2024-07-23T00:00:00"/>
    <d v="1899-12-30T19:25:00"/>
    <s v="Tomatoes"/>
    <n v="6"/>
    <n v="60"/>
    <n v="30"/>
    <n v="30"/>
    <s v="Cash"/>
    <x v="2"/>
    <m/>
    <m/>
    <m/>
  </r>
  <r>
    <d v="2024-07-23T00:00:00"/>
    <d v="1899-12-30T19:33:00"/>
    <s v="minutemaid 400ml"/>
    <n v="1"/>
    <n v="85"/>
    <n v="62.5"/>
    <n v="22.5"/>
    <s v="Cash"/>
    <x v="2"/>
    <m/>
    <m/>
    <m/>
  </r>
  <r>
    <d v="2024-07-23T00:00:00"/>
    <d v="1899-12-30T19:33:00"/>
    <s v="Goodday Cookies"/>
    <n v="1"/>
    <n v="15"/>
    <n v="9.3333333333333339"/>
    <n v="5.6666666666666661"/>
    <s v="Cash"/>
    <x v="2"/>
    <m/>
    <m/>
    <m/>
  </r>
  <r>
    <d v="2024-07-23T00:00:00"/>
    <d v="1899-12-30T19:34:00"/>
    <s v="Banana"/>
    <n v="1"/>
    <n v="10"/>
    <n v="8.3333333333333339"/>
    <n v="1.6666666666666661"/>
    <s v="Credit"/>
    <x v="15"/>
    <m/>
    <m/>
    <m/>
  </r>
  <r>
    <d v="2024-07-23T00:00:00"/>
    <d v="1899-12-30T19:35:00"/>
    <s v="Kinangop Fresh Milk 500ml"/>
    <n v="1"/>
    <n v="60"/>
    <n v="55"/>
    <n v="5"/>
    <s v="Mpesa"/>
    <x v="2"/>
    <m/>
    <m/>
    <m/>
  </r>
  <r>
    <d v="2024-07-23T00:00:00"/>
    <d v="1899-12-30T19:28:00"/>
    <s v="Ajab 1kg"/>
    <n v="1"/>
    <n v="120"/>
    <n v="87.5"/>
    <n v="32.5"/>
    <s v="Mpesa"/>
    <x v="2"/>
    <m/>
    <m/>
    <m/>
  </r>
  <r>
    <d v="2024-07-23T00:00:00"/>
    <d v="1899-12-30T19:28:00"/>
    <s v="Mt Kenya milk 200ml"/>
    <n v="1"/>
    <n v="35"/>
    <n v="24.285714285714285"/>
    <n v="10.714285714285715"/>
    <s v="Mpesa"/>
    <x v="2"/>
    <m/>
    <m/>
    <m/>
  </r>
  <r>
    <d v="2024-07-23T00:00:00"/>
    <d v="1899-12-30T20:06:00"/>
    <m/>
    <m/>
    <m/>
    <m/>
    <m/>
    <m/>
    <x v="2"/>
    <s v="Ruth"/>
    <n v="180"/>
    <s v="Mpesa"/>
  </r>
  <r>
    <d v="2024-07-23T00:00:00"/>
    <d v="1899-12-30T20:07:00"/>
    <s v="5ltrs water"/>
    <n v="1"/>
    <n v="120"/>
    <n v="75"/>
    <n v="45"/>
    <s v="Mpesa"/>
    <x v="2"/>
    <m/>
    <m/>
    <m/>
  </r>
  <r>
    <d v="2024-07-23T00:00:00"/>
    <d v="1899-12-30T20:16:00"/>
    <s v="Medium Colgate Toothbrush"/>
    <n v="1"/>
    <n v="40"/>
    <n v="25"/>
    <n v="15"/>
    <s v="Mpesa"/>
    <x v="2"/>
    <m/>
    <m/>
    <m/>
  </r>
  <r>
    <d v="2024-07-24T00:00:00"/>
    <d v="1899-12-30T08:25:00"/>
    <s v="Sportsman"/>
    <n v="1"/>
    <n v="20"/>
    <n v="13"/>
    <n v="7"/>
    <s v="Cash"/>
    <x v="2"/>
    <m/>
    <m/>
    <m/>
  </r>
  <r>
    <d v="2024-07-24T00:00:00"/>
    <d v="1899-12-30T09:10:00"/>
    <s v="Mt Kenya milk 200ml"/>
    <n v="1"/>
    <n v="35"/>
    <n v="24.285714285714285"/>
    <n v="10.714285714285715"/>
    <s v="Credit"/>
    <x v="5"/>
    <m/>
    <m/>
    <m/>
  </r>
  <r>
    <d v="2024-07-24T00:00:00"/>
    <d v="1899-12-30T09:18:00"/>
    <s v="Safaricom 50 Credit"/>
    <n v="1"/>
    <n v="50"/>
    <n v="47"/>
    <n v="3"/>
    <s v="Cash"/>
    <x v="2"/>
    <m/>
    <m/>
    <m/>
  </r>
  <r>
    <d v="2024-07-24T00:00:00"/>
    <d v="1899-12-30T09:30:00"/>
    <s v="Safaricom 20 Credit"/>
    <n v="1"/>
    <n v="20"/>
    <n v="18"/>
    <n v="2"/>
    <s v="Cash"/>
    <x v="2"/>
    <m/>
    <m/>
    <m/>
  </r>
  <r>
    <d v="2024-07-24T00:00:00"/>
    <d v="1899-12-30T10:09:00"/>
    <s v="Kdf"/>
    <n v="4"/>
    <n v="40"/>
    <n v="24"/>
    <n v="16"/>
    <s v="Cash"/>
    <x v="2"/>
    <m/>
    <m/>
    <m/>
  </r>
  <r>
    <d v="2024-07-24T00:00:00"/>
    <d v="1899-12-30T10:30:00"/>
    <s v="Peanut Cookies"/>
    <n v="1"/>
    <n v="35"/>
    <n v="25"/>
    <n v="10"/>
    <s v="Cash"/>
    <x v="2"/>
    <m/>
    <m/>
    <m/>
  </r>
  <r>
    <d v="2024-07-24T00:00:00"/>
    <d v="1899-12-30T10:30:00"/>
    <s v="predator"/>
    <n v="1"/>
    <n v="70"/>
    <n v="54.166666666666664"/>
    <n v="15.833333333333336"/>
    <s v="Cash"/>
    <x v="2"/>
    <m/>
    <m/>
    <m/>
  </r>
  <r>
    <d v="2024-07-24T00:00:00"/>
    <d v="1899-12-30T11:25:00"/>
    <s v="Poa Pekee Tissue"/>
    <n v="1"/>
    <n v="30"/>
    <n v="13.333333333333334"/>
    <n v="16.666666666666664"/>
    <s v="Cash"/>
    <x v="2"/>
    <m/>
    <m/>
    <m/>
  </r>
  <r>
    <d v="2024-07-24T00:00:00"/>
    <d v="1899-12-30T11:25:00"/>
    <m/>
    <m/>
    <m/>
    <m/>
    <m/>
    <m/>
    <x v="2"/>
    <s v="Mark"/>
    <n v="160"/>
    <s v="Cash"/>
  </r>
  <r>
    <d v="2024-07-24T00:00:00"/>
    <d v="1899-12-30T11:27:00"/>
    <s v="BB Bread 400g"/>
    <n v="1"/>
    <n v="65"/>
    <n v="60"/>
    <n v="5"/>
    <s v="Mpesa"/>
    <x v="2"/>
    <m/>
    <m/>
    <m/>
  </r>
  <r>
    <d v="2024-07-24T00:00:00"/>
    <d v="1899-12-30T11:50:00"/>
    <s v="eggs"/>
    <n v="2"/>
    <n v="40"/>
    <n v="28.666666666666668"/>
    <n v="11.333333333333332"/>
    <s v="Credit"/>
    <x v="13"/>
    <m/>
    <m/>
    <m/>
  </r>
  <r>
    <d v="2024-07-24T00:00:00"/>
    <d v="1899-12-30T11:50:00"/>
    <s v="Tomatoes"/>
    <n v="2"/>
    <n v="20"/>
    <n v="10"/>
    <n v="10"/>
    <s v="Credit"/>
    <x v="13"/>
    <m/>
    <m/>
    <m/>
  </r>
  <r>
    <d v="2024-07-24T00:00:00"/>
    <d v="1899-12-30T11:55:00"/>
    <s v="soda 350ml plastic"/>
    <n v="1"/>
    <n v="50"/>
    <n v="41.666666666666664"/>
    <n v="8.3333333333333357"/>
    <s v="Cash"/>
    <x v="2"/>
    <m/>
    <m/>
    <m/>
  </r>
  <r>
    <d v="2024-07-24T00:00:00"/>
    <d v="1899-12-30T11:55:00"/>
    <s v="Ngumu"/>
    <n v="2"/>
    <n v="20"/>
    <n v="16.666666666666668"/>
    <n v="3.3333333333333321"/>
    <s v="Cash"/>
    <x v="2"/>
    <m/>
    <m/>
    <m/>
  </r>
  <r>
    <d v="2024-07-24T00:00:00"/>
    <d v="1899-12-30T12:59:00"/>
    <s v="Bigdaddy"/>
    <n v="2"/>
    <n v="20"/>
    <n v="12"/>
    <n v="8"/>
    <s v="Cash"/>
    <x v="2"/>
    <m/>
    <m/>
    <m/>
  </r>
  <r>
    <d v="2024-07-24T00:00:00"/>
    <d v="1899-12-30T13:29:00"/>
    <s v="Poa Pekee Tissue"/>
    <n v="1"/>
    <n v="30"/>
    <n v="13.333333333333334"/>
    <n v="16.666666666666664"/>
    <s v="Cash"/>
    <x v="2"/>
    <m/>
    <m/>
    <m/>
  </r>
  <r>
    <d v="2024-07-24T00:00:00"/>
    <d v="1899-12-30T13:44:00"/>
    <s v="afia 300ml"/>
    <n v="1"/>
    <n v="60"/>
    <n v="45.833333333333336"/>
    <n v="14.166666666666664"/>
    <s v="Mpesa"/>
    <x v="2"/>
    <m/>
    <m/>
    <m/>
  </r>
  <r>
    <d v="2024-07-24T00:00:00"/>
    <d v="1899-12-30T13:44:00"/>
    <s v="soda 350ml plastic"/>
    <n v="1"/>
    <n v="50"/>
    <n v="41.666666666666664"/>
    <n v="8.3333333333333357"/>
    <s v="Mpesa"/>
    <x v="2"/>
    <m/>
    <m/>
    <m/>
  </r>
  <r>
    <d v="2024-07-24T00:00:00"/>
    <d v="1899-12-30T13:44:00"/>
    <s v="minutemaid 400ml"/>
    <n v="1"/>
    <n v="85"/>
    <n v="62.5"/>
    <n v="22.5"/>
    <s v="Mpesa"/>
    <x v="2"/>
    <m/>
    <m/>
    <m/>
  </r>
  <r>
    <d v="2024-07-24T00:00:00"/>
    <d v="1899-12-30T13:44:00"/>
    <s v="Lollipop"/>
    <n v="2"/>
    <n v="10"/>
    <n v="4.8"/>
    <n v="5.2"/>
    <s v="Mpesa"/>
    <x v="2"/>
    <m/>
    <m/>
    <m/>
  </r>
  <r>
    <d v="2024-07-24T00:00:00"/>
    <d v="1899-12-30T13:44:00"/>
    <s v="Ngumu"/>
    <n v="10"/>
    <n v="100"/>
    <n v="83.333333333333343"/>
    <n v="16.666666666666657"/>
    <s v="Mpesa"/>
    <x v="2"/>
    <m/>
    <m/>
    <m/>
  </r>
  <r>
    <d v="2024-07-24T00:00:00"/>
    <d v="1899-12-30T14:20:00"/>
    <s v="soda 300ml glass"/>
    <n v="1"/>
    <n v="40"/>
    <n v="32.5"/>
    <n v="7.5"/>
    <s v="Mpesa"/>
    <x v="2"/>
    <m/>
    <m/>
    <m/>
  </r>
  <r>
    <d v="2024-07-24T00:00:00"/>
    <d v="1899-12-30T14:20:00"/>
    <s v="Peanut Cookies"/>
    <n v="1"/>
    <n v="35"/>
    <n v="25"/>
    <n v="10"/>
    <s v="Mpesa"/>
    <x v="2"/>
    <m/>
    <m/>
    <m/>
  </r>
  <r>
    <d v="2024-07-24T00:00:00"/>
    <d v="1899-12-30T14:23:00"/>
    <s v="eggs"/>
    <n v="4"/>
    <n v="80"/>
    <n v="57.333333333333336"/>
    <n v="22.666666666666664"/>
    <s v="Mpesa"/>
    <x v="2"/>
    <m/>
    <m/>
    <m/>
  </r>
  <r>
    <d v="2024-07-24T00:00:00"/>
    <d v="1899-12-30T14:23:00"/>
    <s v="Tomatoes"/>
    <n v="1"/>
    <n v="10"/>
    <n v="5"/>
    <n v="5"/>
    <s v="Mpesa"/>
    <x v="2"/>
    <m/>
    <m/>
    <m/>
  </r>
  <r>
    <d v="2024-07-24T00:00:00"/>
    <d v="1899-12-30T14:23:00"/>
    <s v="Curry Powder"/>
    <n v="1"/>
    <n v="15"/>
    <n v="7.5"/>
    <n v="7.5"/>
    <s v="Mpesa"/>
    <x v="2"/>
    <m/>
    <m/>
    <m/>
  </r>
  <r>
    <d v="2024-07-24T00:00:00"/>
    <d v="1899-12-30T14:23:00"/>
    <s v="Dhania"/>
    <n v="1"/>
    <n v="5"/>
    <n v="3.3333333333333335"/>
    <n v="1.6666666666666665"/>
    <s v="Mpesa"/>
    <x v="2"/>
    <m/>
    <m/>
    <m/>
  </r>
  <r>
    <d v="2024-07-24T00:00:00"/>
    <d v="1899-12-30T14:30:00"/>
    <s v="Mandazi"/>
    <n v="4"/>
    <n v="20"/>
    <n v="16.666666666666668"/>
    <n v="3.3333333333333321"/>
    <s v="Mpesa"/>
    <x v="2"/>
    <m/>
    <m/>
    <m/>
  </r>
  <r>
    <d v="2024-07-24T00:00:00"/>
    <d v="1899-12-30T15:30:00"/>
    <s v="soda 300ml glass"/>
    <n v="1"/>
    <n v="40"/>
    <n v="32.5"/>
    <n v="7.5"/>
    <s v="Cash"/>
    <x v="2"/>
    <m/>
    <m/>
    <m/>
  </r>
  <r>
    <d v="2024-07-24T00:00:00"/>
    <d v="1899-12-30T15:50:00"/>
    <s v="soda 300ml glass"/>
    <n v="1"/>
    <n v="40"/>
    <n v="32.5"/>
    <n v="7.5"/>
    <s v="Cash"/>
    <x v="2"/>
    <m/>
    <m/>
    <m/>
  </r>
  <r>
    <d v="2024-07-24T00:00:00"/>
    <d v="1899-12-30T16:07:00"/>
    <s v="soda 500ml plastic"/>
    <n v="1"/>
    <n v="70"/>
    <n v="60.416666666666664"/>
    <n v="9.5833333333333357"/>
    <s v="Mpesa"/>
    <x v="2"/>
    <m/>
    <m/>
    <m/>
  </r>
  <r>
    <d v="2024-07-24T00:00:00"/>
    <d v="1899-12-30T16:07:00"/>
    <s v="300ml water"/>
    <n v="1"/>
    <n v="30"/>
    <n v="12.5"/>
    <n v="17.5"/>
    <s v="Mpesa"/>
    <x v="2"/>
    <m/>
    <m/>
    <m/>
  </r>
  <r>
    <d v="2024-07-24T00:00:00"/>
    <d v="1899-12-30T16:26:00"/>
    <s v="Royco Beef Mchuzi Mix"/>
    <n v="2"/>
    <n v="20"/>
    <n v="16.666666666666668"/>
    <n v="3.3333333333333321"/>
    <s v="Cash"/>
    <x v="2"/>
    <m/>
    <m/>
    <m/>
  </r>
  <r>
    <d v="2024-07-24T00:00:00"/>
    <d v="1899-12-30T17:51:00"/>
    <s v="Kinangop Fresh Milk 500ml"/>
    <n v="4"/>
    <n v="240"/>
    <n v="220"/>
    <n v="20"/>
    <s v="Cash"/>
    <x v="2"/>
    <m/>
    <m/>
    <m/>
  </r>
  <r>
    <d v="2024-07-24T00:00:00"/>
    <d v="1899-12-30T17:51:00"/>
    <s v="Ringoz Paprika"/>
    <n v="1"/>
    <n v="15"/>
    <n v="8.8000000000000007"/>
    <n v="6.1999999999999993"/>
    <s v="Cash"/>
    <x v="2"/>
    <m/>
    <m/>
    <m/>
  </r>
  <r>
    <d v="2024-07-24T00:00:00"/>
    <d v="1899-12-30T17:51:00"/>
    <s v="Baloon"/>
    <n v="3"/>
    <n v="30"/>
    <n v="18"/>
    <n v="12"/>
    <s v="Cash"/>
    <x v="2"/>
    <m/>
    <m/>
    <m/>
  </r>
  <r>
    <d v="2024-07-24T00:00:00"/>
    <d v="1899-12-30T18:39:00"/>
    <s v="predator"/>
    <n v="1"/>
    <n v="70"/>
    <n v="54.166666666666664"/>
    <n v="15.833333333333336"/>
    <s v="Mpesa"/>
    <x v="2"/>
    <m/>
    <m/>
    <m/>
  </r>
  <r>
    <d v="2024-07-24T00:00:00"/>
    <d v="1899-12-30T18:46:00"/>
    <s v="Kamande"/>
    <n v="1"/>
    <n v="350"/>
    <n v="300"/>
    <n v="50"/>
    <s v="Mpesa"/>
    <x v="2"/>
    <m/>
    <m/>
    <m/>
  </r>
  <r>
    <d v="2024-07-24T00:00:00"/>
    <d v="1899-12-30T18:46:00"/>
    <s v="Yellow Beans"/>
    <n v="1"/>
    <n v="180"/>
    <n v="125"/>
    <n v="55"/>
    <s v="Mpesa"/>
    <x v="2"/>
    <m/>
    <m/>
    <m/>
  </r>
  <r>
    <d v="2024-07-24T00:00:00"/>
    <d v="1899-12-30T18:46:00"/>
    <s v="5ltrs water"/>
    <n v="1"/>
    <n v="120"/>
    <n v="75"/>
    <n v="45"/>
    <s v="Mpesa"/>
    <x v="2"/>
    <m/>
    <m/>
    <m/>
  </r>
  <r>
    <d v="2024-07-24T00:00:00"/>
    <d v="1899-12-30T18:48:00"/>
    <s v="Kienyeji  Eggs"/>
    <n v="10"/>
    <n v="300"/>
    <n v="200"/>
    <n v="100"/>
    <s v="Mpesa"/>
    <x v="2"/>
    <m/>
    <m/>
    <m/>
  </r>
  <r>
    <d v="2024-07-24T00:00:00"/>
    <d v="1899-12-30T18:49:00"/>
    <s v="Onion"/>
    <n v="10"/>
    <n v="100"/>
    <n v="80"/>
    <n v="20"/>
    <s v="Credit"/>
    <x v="25"/>
    <m/>
    <m/>
    <m/>
  </r>
  <r>
    <d v="2024-07-24T00:00:00"/>
    <d v="1899-12-30T18:49:00"/>
    <s v="Bigdaddy"/>
    <n v="1"/>
    <n v="10"/>
    <n v="6"/>
    <n v="4"/>
    <s v="Credit"/>
    <x v="25"/>
    <m/>
    <m/>
    <m/>
  </r>
  <r>
    <d v="2024-07-24T00:00:00"/>
    <d v="1899-12-30T18:53:00"/>
    <s v="Lemon Bisquit"/>
    <n v="1"/>
    <n v="5"/>
    <n v="4.333333333333333"/>
    <n v="0.66666666666666696"/>
    <s v="Cash"/>
    <x v="2"/>
    <m/>
    <m/>
    <m/>
  </r>
  <r>
    <d v="2024-07-24T00:00:00"/>
    <d v="1899-12-30T18:53:00"/>
    <s v="Bigboss"/>
    <n v="1"/>
    <n v="5"/>
    <n v="3.5"/>
    <n v="1.5"/>
    <s v="Cash"/>
    <x v="2"/>
    <m/>
    <m/>
    <m/>
  </r>
  <r>
    <d v="2024-07-24T00:00:00"/>
    <d v="1899-12-30T18:55:00"/>
    <s v="Brookside milk 500ml"/>
    <n v="1"/>
    <n v="70"/>
    <n v="59"/>
    <n v="11"/>
    <s v="Credit"/>
    <x v="7"/>
    <m/>
    <m/>
    <m/>
  </r>
  <r>
    <d v="2024-07-24T00:00:00"/>
    <d v="1899-12-30T18:55:00"/>
    <s v="Match Box"/>
    <n v="1"/>
    <n v="5"/>
    <n v="2.3611111111111112"/>
    <n v="2.6388888888888888"/>
    <s v="Credit"/>
    <x v="7"/>
    <m/>
    <m/>
    <m/>
  </r>
  <r>
    <d v="2024-07-24T00:00:00"/>
    <d v="1899-12-30T18:57:00"/>
    <s v="soda 300ml glass"/>
    <n v="1"/>
    <n v="40"/>
    <n v="32.5"/>
    <n v="7.5"/>
    <s v="Mpesa"/>
    <x v="2"/>
    <m/>
    <m/>
    <m/>
  </r>
  <r>
    <d v="2024-07-24T00:00:00"/>
    <d v="1899-12-30T19:03:00"/>
    <s v="soda 500ml plastic"/>
    <n v="1"/>
    <n v="70"/>
    <n v="60.416666666666664"/>
    <n v="9.5833333333333357"/>
    <s v="Mpesa"/>
    <x v="2"/>
    <m/>
    <m/>
    <m/>
  </r>
  <r>
    <d v="2024-07-24T00:00:00"/>
    <d v="1899-12-30T19:03:00"/>
    <s v="Goodday Cookies"/>
    <n v="1"/>
    <n v="15"/>
    <n v="9.3333333333333339"/>
    <n v="5.6666666666666661"/>
    <s v="Mpesa"/>
    <x v="2"/>
    <m/>
    <m/>
    <m/>
  </r>
  <r>
    <d v="2024-07-24T00:00:00"/>
    <d v="1899-12-30T19:13:00"/>
    <s v="Cooking Oil Measured"/>
    <n v="0.25"/>
    <n v="70"/>
    <n v="50"/>
    <n v="20"/>
    <s v="Mpesa"/>
    <x v="2"/>
    <m/>
    <m/>
    <m/>
  </r>
  <r>
    <d v="2024-07-24T00:00:00"/>
    <d v="1899-12-30T19:14:00"/>
    <s v="Lemon Bisquit"/>
    <n v="2"/>
    <n v="10"/>
    <n v="8.6666666666666661"/>
    <n v="1.3333333333333339"/>
    <s v="Credit"/>
    <x v="12"/>
    <m/>
    <m/>
    <m/>
  </r>
  <r>
    <d v="2024-07-24T00:00:00"/>
    <d v="1899-12-30T19:40:00"/>
    <s v="210 Maize Meal 2kg"/>
    <n v="1"/>
    <n v="160"/>
    <n v="117.08333333333333"/>
    <n v="42.916666666666671"/>
    <s v="Mpesa"/>
    <x v="2"/>
    <m/>
    <m/>
    <m/>
  </r>
  <r>
    <d v="2024-07-24T00:00:00"/>
    <d v="1899-12-30T19:42:00"/>
    <s v="eggs"/>
    <n v="2"/>
    <n v="40"/>
    <n v="28.666666666666668"/>
    <n v="11.333333333333332"/>
    <s v="Mpesa"/>
    <x v="2"/>
    <m/>
    <m/>
    <m/>
  </r>
  <r>
    <d v="2024-07-24T00:00:00"/>
    <d v="1899-12-30T20:02:00"/>
    <s v="BB Bread 400g"/>
    <n v="1"/>
    <n v="65"/>
    <n v="60"/>
    <n v="5"/>
    <s v="Cash"/>
    <x v="2"/>
    <m/>
    <m/>
    <m/>
  </r>
  <r>
    <d v="2024-07-24T00:00:00"/>
    <d v="1899-12-30T20:02:00"/>
    <s v="soda 500ml plastic"/>
    <n v="1"/>
    <n v="70"/>
    <n v="60.416666666666664"/>
    <n v="9.5833333333333357"/>
    <s v="Credit"/>
    <x v="20"/>
    <m/>
    <m/>
    <m/>
  </r>
  <r>
    <d v="2024-07-24T00:00:00"/>
    <d v="1899-12-30T20:30:00"/>
    <s v="waru"/>
    <n v="1"/>
    <n v="50"/>
    <n v="29.999999999999996"/>
    <n v="20.000000000000004"/>
    <s v="Cash"/>
    <x v="2"/>
    <m/>
    <m/>
    <m/>
  </r>
  <r>
    <d v="2024-07-24T00:00:00"/>
    <d v="1899-12-30T20:30:00"/>
    <s v="Indomie chicken"/>
    <n v="1"/>
    <n v="50"/>
    <n v="37.5"/>
    <n v="12.5"/>
    <s v="Cash"/>
    <x v="2"/>
    <m/>
    <m/>
    <m/>
  </r>
  <r>
    <d v="2024-07-24T00:00:00"/>
    <d v="1899-12-30T20:50:00"/>
    <s v="Ajab 2kg"/>
    <n v="1"/>
    <n v="220"/>
    <n v="175"/>
    <n v="45"/>
    <s v="Credit"/>
    <x v="3"/>
    <m/>
    <m/>
    <m/>
  </r>
  <r>
    <d v="2024-07-24T00:00:00"/>
    <d v="1899-12-30T20:50:00"/>
    <s v="Mt Kenya milk 200ml"/>
    <n v="1"/>
    <n v="35"/>
    <n v="24.285714285714285"/>
    <n v="10.714285714285715"/>
    <s v="Credit"/>
    <x v="3"/>
    <m/>
    <m/>
    <m/>
  </r>
  <r>
    <d v="2024-07-24T00:00:00"/>
    <d v="1899-12-30T20:50:00"/>
    <s v="Brookside Lala Sweetened"/>
    <n v="1"/>
    <n v="110"/>
    <n v="93"/>
    <n v="17"/>
    <s v="Credit"/>
    <x v="3"/>
    <m/>
    <m/>
    <m/>
  </r>
  <r>
    <d v="2024-07-25T00:00:00"/>
    <d v="1899-12-30T09:07:00"/>
    <s v="Kinangop Fresh Milk 500ml"/>
    <n v="1"/>
    <n v="60"/>
    <n v="55"/>
    <n v="5"/>
    <s v="Credit"/>
    <x v="3"/>
    <m/>
    <m/>
    <m/>
  </r>
  <r>
    <d v="2024-07-25T00:00:00"/>
    <d v="1899-12-30T09:07:00"/>
    <s v="Tangawizi Tea 50g"/>
    <n v="1"/>
    <n v="35"/>
    <n v="29.166666666666668"/>
    <n v="5.8333333333333321"/>
    <s v="Credit"/>
    <x v="3"/>
    <m/>
    <m/>
    <m/>
  </r>
  <r>
    <d v="2024-07-25T00:00:00"/>
    <d v="1899-12-30T10:37:00"/>
    <s v="Safaricom 20 Credit"/>
    <n v="1"/>
    <n v="20"/>
    <n v="18"/>
    <n v="2"/>
    <s v="Cash"/>
    <x v="2"/>
    <m/>
    <m/>
    <m/>
  </r>
  <r>
    <d v="2024-07-25T00:00:00"/>
    <d v="1899-12-30T11:24:00"/>
    <s v="ariel 10g"/>
    <n v="2"/>
    <n v="30"/>
    <n v="18.333333333333332"/>
    <n v="11.666666666666668"/>
    <s v="Cash"/>
    <x v="2"/>
    <m/>
    <m/>
    <m/>
  </r>
  <r>
    <d v="2024-07-25T00:00:00"/>
    <d v="1899-12-30T11:24:00"/>
    <s v="Tropical"/>
    <n v="1"/>
    <n v="5"/>
    <n v="1.5"/>
    <n v="3.5"/>
    <s v="Cash"/>
    <x v="2"/>
    <m/>
    <m/>
    <m/>
  </r>
  <r>
    <d v="2024-07-25T00:00:00"/>
    <d v="1899-12-30T11:56:00"/>
    <s v="Jik"/>
    <n v="1"/>
    <n v="50"/>
    <n v="38.333333333333336"/>
    <n v="11.666666666666664"/>
    <s v="Credit"/>
    <x v="1"/>
    <m/>
    <m/>
    <m/>
  </r>
  <r>
    <d v="2024-07-25T00:00:00"/>
    <d v="1899-12-30T11:56:00"/>
    <s v="omo 75g"/>
    <n v="1"/>
    <n v="35"/>
    <n v="27.5"/>
    <n v="7.5"/>
    <s v="Credit"/>
    <x v="1"/>
    <m/>
    <m/>
    <m/>
  </r>
  <r>
    <d v="2024-07-25T00:00:00"/>
    <d v="1899-12-30T12:51:00"/>
    <m/>
    <m/>
    <m/>
    <m/>
    <m/>
    <m/>
    <x v="2"/>
    <s v="Florence"/>
    <n v="1915"/>
    <s v="Mpesa"/>
  </r>
  <r>
    <d v="2024-07-25T00:00:00"/>
    <d v="1899-12-30T13:38:00"/>
    <s v="soda 500ml glass"/>
    <n v="1"/>
    <n v="55"/>
    <n v="50"/>
    <n v="5"/>
    <s v="Cash"/>
    <x v="2"/>
    <m/>
    <m/>
    <m/>
  </r>
  <r>
    <d v="2024-07-25T00:00:00"/>
    <d v="1899-12-30T13:38:00"/>
    <s v="Coconut Cakes"/>
    <n v="1"/>
    <n v="10"/>
    <n v="8.3333333333333339"/>
    <n v="1.6666666666666661"/>
    <s v="Cash"/>
    <x v="2"/>
    <m/>
    <m/>
    <m/>
  </r>
  <r>
    <d v="2024-07-25T00:00:00"/>
    <d v="1899-12-30T13:38:00"/>
    <s v="Lemon Bisquit"/>
    <n v="1"/>
    <n v="5"/>
    <n v="4.333333333333333"/>
    <n v="0.66666666666666696"/>
    <s v="Cash"/>
    <x v="2"/>
    <m/>
    <m/>
    <m/>
  </r>
  <r>
    <d v="2024-07-25T00:00:00"/>
    <d v="1899-12-30T13:38:00"/>
    <s v="soda 500ml glass"/>
    <n v="1"/>
    <n v="55"/>
    <n v="50"/>
    <n v="5"/>
    <s v="Mpesa"/>
    <x v="2"/>
    <m/>
    <m/>
    <m/>
  </r>
  <r>
    <d v="2024-07-25T00:00:00"/>
    <d v="1899-12-30T13:38:00"/>
    <s v="Ginger Bisquit"/>
    <n v="2"/>
    <n v="10"/>
    <n v="8.6666666666666661"/>
    <n v="1.3333333333333339"/>
    <s v="Mpesa"/>
    <x v="2"/>
    <m/>
    <m/>
    <m/>
  </r>
  <r>
    <d v="2024-07-25T00:00:00"/>
    <d v="1899-12-30T13:38:00"/>
    <s v="Nuvita Bisquit"/>
    <n v="1"/>
    <n v="5"/>
    <n v="4.166666666666667"/>
    <n v="0.83333333333333304"/>
    <s v="Cash"/>
    <x v="2"/>
    <m/>
    <m/>
    <m/>
  </r>
  <r>
    <d v="2024-07-25T00:00:00"/>
    <d v="1899-12-30T13:47:00"/>
    <s v="Indomie chicken"/>
    <n v="3"/>
    <n v="150"/>
    <n v="112.5"/>
    <n v="37.5"/>
    <s v="Credit"/>
    <x v="12"/>
    <m/>
    <m/>
    <m/>
  </r>
  <r>
    <d v="2024-07-25T00:00:00"/>
    <d v="1899-12-30T13:47:00"/>
    <s v="eggs"/>
    <n v="3"/>
    <n v="60"/>
    <n v="43"/>
    <n v="17"/>
    <s v="Credit"/>
    <x v="12"/>
    <m/>
    <m/>
    <m/>
  </r>
  <r>
    <d v="2024-07-25T00:00:00"/>
    <d v="1899-12-30T14:35:00"/>
    <s v="waru"/>
    <n v="2"/>
    <n v="100"/>
    <n v="59.999999999999993"/>
    <n v="40.000000000000007"/>
    <s v="Credit"/>
    <x v="3"/>
    <m/>
    <m/>
    <m/>
  </r>
  <r>
    <d v="2024-07-25T00:00:00"/>
    <d v="1899-12-30T14:35:00"/>
    <s v="Pishori rice"/>
    <n v="1"/>
    <n v="220"/>
    <n v="180"/>
    <n v="40"/>
    <s v="Credit"/>
    <x v="3"/>
    <m/>
    <m/>
    <m/>
  </r>
  <r>
    <d v="2024-07-25T00:00:00"/>
    <d v="1899-12-30T15:03:00"/>
    <s v="eggs"/>
    <n v="2"/>
    <n v="40"/>
    <n v="28.666666666666668"/>
    <n v="11.333333333333332"/>
    <s v="Mpesa"/>
    <x v="2"/>
    <m/>
    <m/>
    <m/>
  </r>
  <r>
    <d v="2024-07-25T00:00:00"/>
    <d v="1899-12-30T15:03:00"/>
    <s v="Coconut Cakes"/>
    <n v="1"/>
    <n v="10"/>
    <n v="8.3333333333333339"/>
    <n v="1.6666666666666661"/>
    <s v="Mpesa"/>
    <x v="2"/>
    <m/>
    <m/>
    <m/>
  </r>
  <r>
    <d v="2024-07-25T00:00:00"/>
    <d v="1899-12-30T15:07:00"/>
    <s v="soda 300ml glass"/>
    <n v="1"/>
    <n v="40"/>
    <n v="32.5"/>
    <n v="7.5"/>
    <s v="Mpesa"/>
    <x v="2"/>
    <m/>
    <m/>
    <m/>
  </r>
  <r>
    <d v="2024-07-25T00:00:00"/>
    <d v="1899-12-30T15:07:00"/>
    <s v="Coconut Cakes"/>
    <n v="1"/>
    <n v="10"/>
    <n v="8.3333333333333339"/>
    <n v="1.6666666666666661"/>
    <s v="Mpesa"/>
    <x v="2"/>
    <m/>
    <m/>
    <m/>
  </r>
  <r>
    <d v="2024-07-25T00:00:00"/>
    <d v="1899-12-30T15:15:00"/>
    <s v="Kinangop Fresh Milk 500ml"/>
    <n v="3"/>
    <n v="180"/>
    <n v="165"/>
    <n v="15"/>
    <s v="Cash"/>
    <x v="2"/>
    <m/>
    <m/>
    <m/>
  </r>
  <r>
    <d v="2024-07-25T00:00:00"/>
    <d v="1899-12-30T15:15:00"/>
    <s v="Baloon"/>
    <n v="1"/>
    <n v="10"/>
    <n v="6"/>
    <n v="4"/>
    <s v="Cash"/>
    <x v="2"/>
    <m/>
    <m/>
    <m/>
  </r>
  <r>
    <d v="2024-07-25T00:00:00"/>
    <d v="1899-12-30T16:05:00"/>
    <s v="soda 500ml plastic"/>
    <n v="1"/>
    <n v="70"/>
    <n v="60.416666666666664"/>
    <n v="9.5833333333333357"/>
    <s v="Mpesa"/>
    <x v="2"/>
    <m/>
    <m/>
    <m/>
  </r>
  <r>
    <d v="2024-07-25T00:00:00"/>
    <d v="1899-12-30T16:05:00"/>
    <s v="BB Bread 200g"/>
    <n v="1"/>
    <n v="40"/>
    <n v="35"/>
    <n v="5"/>
    <s v="Mpesa"/>
    <x v="2"/>
    <m/>
    <m/>
    <m/>
  </r>
  <r>
    <d v="2024-07-25T00:00:00"/>
    <d v="1899-12-30T16:05:00"/>
    <s v="300ml water"/>
    <n v="1"/>
    <n v="30"/>
    <n v="12.5"/>
    <n v="17.5"/>
    <s v="Mpesa"/>
    <x v="2"/>
    <m/>
    <m/>
    <m/>
  </r>
  <r>
    <d v="2024-07-25T00:00:00"/>
    <d v="1899-12-30T16:47:00"/>
    <s v="eggs"/>
    <n v="10"/>
    <n v="200"/>
    <n v="143.33333333333334"/>
    <n v="56.666666666666657"/>
    <s v="Cash"/>
    <x v="2"/>
    <m/>
    <m/>
    <m/>
  </r>
  <r>
    <d v="2024-07-25T00:00:00"/>
    <d v="1899-12-30T16:47:00"/>
    <s v="Festive 600g"/>
    <n v="1"/>
    <n v="100"/>
    <n v="90"/>
    <n v="10"/>
    <s v="Cash"/>
    <x v="2"/>
    <m/>
    <m/>
    <m/>
  </r>
  <r>
    <d v="2024-07-25T00:00:00"/>
    <d v="1899-12-30T16:49:00"/>
    <s v="Festive 600g"/>
    <n v="1"/>
    <n v="100"/>
    <n v="90"/>
    <n v="10"/>
    <s v="Cash"/>
    <x v="2"/>
    <m/>
    <m/>
    <m/>
  </r>
  <r>
    <d v="2024-07-25T00:00:00"/>
    <d v="1899-12-30T17:24:00"/>
    <s v="Bigdaddy"/>
    <n v="3"/>
    <n v="30"/>
    <n v="18"/>
    <n v="12"/>
    <s v="Credit"/>
    <x v="25"/>
    <m/>
    <m/>
    <m/>
  </r>
  <r>
    <d v="2024-07-25T00:00:00"/>
    <d v="1899-12-30T17:58:00"/>
    <s v="Cabbage"/>
    <n v="1"/>
    <n v="180"/>
    <n v="120"/>
    <n v="60"/>
    <s v="Mpesa"/>
    <x v="2"/>
    <m/>
    <m/>
    <m/>
  </r>
  <r>
    <d v="2024-07-25T00:00:00"/>
    <d v="1899-12-30T17:58:00"/>
    <s v="Tamu  Tamu Green"/>
    <n v="3"/>
    <n v="45"/>
    <n v="25.799999999999997"/>
    <n v="19.200000000000003"/>
    <s v="Mpesa"/>
    <x v="2"/>
    <m/>
    <m/>
    <m/>
  </r>
  <r>
    <d v="2024-07-25T00:00:00"/>
    <d v="1899-12-30T17:58:00"/>
    <s v="Patco"/>
    <n v="8"/>
    <n v="20"/>
    <n v="9.6"/>
    <n v="10.4"/>
    <s v="Mpesa"/>
    <x v="2"/>
    <m/>
    <m/>
    <m/>
  </r>
  <r>
    <d v="2024-07-25T00:00:00"/>
    <d v="1899-12-30T17:58:00"/>
    <s v="Bigdaddy"/>
    <n v="1"/>
    <n v="10"/>
    <n v="6"/>
    <n v="4"/>
    <s v="Mpesa"/>
    <x v="2"/>
    <m/>
    <m/>
    <m/>
  </r>
  <r>
    <d v="2024-07-25T00:00:00"/>
    <d v="1899-12-30T17:58:00"/>
    <s v="Dhania"/>
    <n v="9"/>
    <n v="45"/>
    <n v="30"/>
    <n v="15"/>
    <s v="Mpesa"/>
    <x v="2"/>
    <m/>
    <m/>
    <m/>
  </r>
  <r>
    <d v="2024-07-25T00:00:00"/>
    <d v="1899-12-30T18:03:00"/>
    <s v="BB Bread 400g"/>
    <n v="1"/>
    <n v="65"/>
    <n v="60"/>
    <n v="5"/>
    <s v="Cash"/>
    <x v="2"/>
    <m/>
    <m/>
    <m/>
  </r>
  <r>
    <d v="2024-07-25T00:00:00"/>
    <d v="1899-12-30T18:03:00"/>
    <s v="Match Box"/>
    <n v="1"/>
    <n v="5"/>
    <n v="2.3611111111111112"/>
    <n v="2.6388888888888888"/>
    <s v="Cash"/>
    <x v="2"/>
    <m/>
    <m/>
    <m/>
  </r>
  <r>
    <d v="2024-07-25T00:00:00"/>
    <d v="1899-12-30T18:03:00"/>
    <s v="Icepop"/>
    <n v="1"/>
    <n v="15"/>
    <n v="7.5"/>
    <n v="7.5"/>
    <s v="Cash"/>
    <x v="2"/>
    <m/>
    <m/>
    <m/>
  </r>
  <r>
    <d v="2024-07-25T00:00:00"/>
    <d v="1899-12-30T18:13:00"/>
    <s v="Njugu"/>
    <n v="1"/>
    <n v="20"/>
    <n v="10.666666666666666"/>
    <n v="9.3333333333333339"/>
    <s v="Cash"/>
    <x v="2"/>
    <m/>
    <m/>
    <m/>
  </r>
  <r>
    <d v="2024-07-25T00:00:00"/>
    <d v="1899-12-30T18:28:00"/>
    <s v="Glucose 10g"/>
    <n v="1"/>
    <n v="5"/>
    <n v="3.75"/>
    <n v="1.25"/>
    <s v="Cash"/>
    <x v="2"/>
    <m/>
    <m/>
    <m/>
  </r>
  <r>
    <d v="2024-07-25T00:00:00"/>
    <d v="1899-12-30T18:59:00"/>
    <s v="Choc-chip Cookies"/>
    <n v="1"/>
    <n v="35"/>
    <n v="25"/>
    <n v="10"/>
    <s v="Cash"/>
    <x v="2"/>
    <m/>
    <m/>
    <m/>
  </r>
  <r>
    <d v="2024-07-25T00:00:00"/>
    <d v="1899-12-30T19:13:00"/>
    <s v="Panadol Extra"/>
    <n v="1"/>
    <n v="20"/>
    <n v="13"/>
    <n v="7"/>
    <s v="Cash"/>
    <x v="2"/>
    <m/>
    <m/>
    <m/>
  </r>
  <r>
    <d v="2024-07-25T00:00:00"/>
    <d v="1899-12-30T19:16:00"/>
    <s v="waru"/>
    <n v="1"/>
    <n v="50"/>
    <n v="29.999999999999996"/>
    <n v="20.000000000000004"/>
    <s v="Mpesa"/>
    <x v="2"/>
    <m/>
    <m/>
    <m/>
  </r>
  <r>
    <d v="2024-07-25T00:00:00"/>
    <d v="1899-12-30T19:16:00"/>
    <s v="Kinangop Fresh Milk 500ml"/>
    <n v="1"/>
    <n v="60"/>
    <n v="55"/>
    <n v="5"/>
    <s v="Mpesa"/>
    <x v="2"/>
    <m/>
    <m/>
    <m/>
  </r>
  <r>
    <d v="2024-07-25T00:00:00"/>
    <d v="1899-12-30T19:32:00"/>
    <s v="BB Bread 400g"/>
    <n v="2"/>
    <n v="130"/>
    <n v="120"/>
    <n v="10"/>
    <s v="Mpesa"/>
    <x v="2"/>
    <m/>
    <m/>
    <m/>
  </r>
  <r>
    <d v="2024-07-25T00:00:00"/>
    <d v="1899-12-30T19:39:00"/>
    <s v="Kaluma King"/>
    <n v="1"/>
    <n v="20"/>
    <n v="13"/>
    <n v="7"/>
    <s v="Cash"/>
    <x v="2"/>
    <m/>
    <m/>
    <m/>
  </r>
  <r>
    <d v="2024-07-25T00:00:00"/>
    <d v="1899-12-30T19:44:00"/>
    <s v="eggs"/>
    <n v="5"/>
    <n v="100"/>
    <n v="71.666666666666671"/>
    <n v="28.333333333333329"/>
    <s v="Mpesa"/>
    <x v="2"/>
    <m/>
    <m/>
    <m/>
  </r>
  <r>
    <d v="2024-07-25T00:00:00"/>
    <d v="1899-12-30T19:44:00"/>
    <s v="soda 350ml plastic"/>
    <n v="1"/>
    <n v="50"/>
    <n v="41.666666666666664"/>
    <n v="8.3333333333333357"/>
    <s v="Mpesa"/>
    <x v="2"/>
    <m/>
    <m/>
    <m/>
  </r>
  <r>
    <d v="2024-07-25T00:00:00"/>
    <d v="1899-12-30T19:47:00"/>
    <s v="afia 500ml"/>
    <n v="1"/>
    <n v="85"/>
    <n v="70.833333333333329"/>
    <n v="14.166666666666671"/>
    <s v="Credit"/>
    <x v="26"/>
    <m/>
    <m/>
    <m/>
  </r>
  <r>
    <d v="2024-07-25T00:00:00"/>
    <d v="1899-12-30T19:58:00"/>
    <s v="Aspirin"/>
    <n v="1"/>
    <n v="10"/>
    <n v="7"/>
    <n v="3"/>
    <s v="Credit"/>
    <x v="7"/>
    <m/>
    <m/>
    <m/>
  </r>
  <r>
    <d v="2024-07-25T00:00:00"/>
    <d v="1899-12-30T19:58:00"/>
    <s v="Brookside milk 500ml"/>
    <n v="1"/>
    <n v="70"/>
    <n v="59"/>
    <n v="11"/>
    <s v="Credit"/>
    <x v="7"/>
    <m/>
    <m/>
    <m/>
  </r>
  <r>
    <d v="2024-07-25T00:00:00"/>
    <d v="1899-12-30T19:58:00"/>
    <s v="Ndimu"/>
    <n v="2"/>
    <n v="40"/>
    <n v="16.666666666666668"/>
    <n v="23.333333333333332"/>
    <s v="Credit"/>
    <x v="7"/>
    <m/>
    <m/>
    <m/>
  </r>
  <r>
    <d v="2024-07-25T00:00:00"/>
    <d v="1899-12-30T20:00:00"/>
    <s v="Indomie chicken"/>
    <n v="2"/>
    <n v="100"/>
    <n v="75"/>
    <n v="25"/>
    <s v="Mpesa"/>
    <x v="2"/>
    <m/>
    <m/>
    <m/>
  </r>
  <r>
    <d v="2024-07-25T00:00:00"/>
    <d v="1899-12-30T20:20:00"/>
    <s v="Brookside Lala Sweetened"/>
    <n v="1"/>
    <n v="110"/>
    <n v="93"/>
    <n v="17"/>
    <s v="Credit"/>
    <x v="5"/>
    <m/>
    <m/>
    <m/>
  </r>
  <r>
    <d v="2024-07-25T00:00:00"/>
    <d v="1899-12-30T20:20:00"/>
    <s v="Sugar"/>
    <n v="0.25"/>
    <n v="45"/>
    <n v="32.5"/>
    <n v="12.5"/>
    <s v="Credit"/>
    <x v="5"/>
    <m/>
    <m/>
    <m/>
  </r>
  <r>
    <d v="2024-07-25T00:00:00"/>
    <d v="1899-12-30T20:20:00"/>
    <s v="Match Box"/>
    <n v="1"/>
    <n v="5"/>
    <n v="2.3611111111111112"/>
    <n v="2.6388888888888888"/>
    <s v="Credit"/>
    <x v="5"/>
    <m/>
    <m/>
    <m/>
  </r>
  <r>
    <d v="2024-07-25T00:00:00"/>
    <d v="1899-12-30T20:20:00"/>
    <s v="Festive 800g"/>
    <n v="1"/>
    <n v="130"/>
    <n v="120"/>
    <n v="10"/>
    <s v="Credit"/>
    <x v="7"/>
    <m/>
    <m/>
    <m/>
  </r>
  <r>
    <d v="2024-07-26T00:00:00"/>
    <d v="1899-12-30T08:10:00"/>
    <s v="Match Box"/>
    <n v="1"/>
    <n v="5"/>
    <n v="2.3611111111111112"/>
    <n v="2.6388888888888888"/>
    <s v="Cash"/>
    <x v="2"/>
    <m/>
    <m/>
    <m/>
  </r>
  <r>
    <d v="2024-07-26T00:00:00"/>
    <d v="1899-12-30T08:13:00"/>
    <s v="Festive 800g"/>
    <n v="1"/>
    <n v="130"/>
    <n v="120"/>
    <n v="10"/>
    <s v="Cash"/>
    <x v="2"/>
    <m/>
    <m/>
    <m/>
  </r>
  <r>
    <d v="2024-07-26T00:00:00"/>
    <d v="1899-12-30T08:13:00"/>
    <s v="Airtel 50 Credit"/>
    <n v="1"/>
    <n v="50"/>
    <n v="47"/>
    <n v="3"/>
    <s v="Cash"/>
    <x v="2"/>
    <m/>
    <m/>
    <m/>
  </r>
  <r>
    <d v="2024-07-26T00:00:00"/>
    <d v="1899-12-30T08:30:00"/>
    <s v="Festive Bread 400g"/>
    <n v="1"/>
    <n v="65"/>
    <n v="60"/>
    <n v="5"/>
    <s v="Cash"/>
    <x v="2"/>
    <m/>
    <m/>
    <m/>
  </r>
  <r>
    <d v="2024-07-26T00:00:00"/>
    <d v="1899-12-30T08:39:00"/>
    <s v="Indomie beef"/>
    <n v="2"/>
    <n v="100"/>
    <n v="76"/>
    <n v="24"/>
    <s v="Cash"/>
    <x v="2"/>
    <m/>
    <m/>
    <m/>
  </r>
  <r>
    <d v="2024-07-26T00:00:00"/>
    <d v="1899-12-30T08:51:00"/>
    <s v="Safari"/>
    <n v="1"/>
    <n v="15"/>
    <n v="8.5"/>
    <n v="6.5"/>
    <s v="Cash"/>
    <x v="2"/>
    <m/>
    <m/>
    <m/>
  </r>
  <r>
    <d v="2024-07-26T00:00:00"/>
    <d v="1899-12-30T09:05:00"/>
    <s v="Kinangop Fresh Milk 500ml"/>
    <n v="1"/>
    <n v="60"/>
    <n v="55"/>
    <n v="5"/>
    <s v="Mpesa"/>
    <x v="2"/>
    <m/>
    <m/>
    <m/>
  </r>
  <r>
    <d v="2024-07-26T00:00:00"/>
    <d v="1899-12-30T09:05:00"/>
    <m/>
    <m/>
    <m/>
    <m/>
    <m/>
    <m/>
    <x v="2"/>
    <s v="Faith"/>
    <n v="1000"/>
    <s v="Mpesa"/>
  </r>
  <r>
    <d v="2024-07-26T00:00:00"/>
    <d v="1899-12-30T09:05:00"/>
    <s v="BB Bread 400g"/>
    <n v="1"/>
    <n v="65"/>
    <n v="60"/>
    <n v="5"/>
    <s v="Mpesa"/>
    <x v="2"/>
    <m/>
    <m/>
    <m/>
  </r>
  <r>
    <d v="2024-07-26T00:00:00"/>
    <d v="1899-12-30T09:17:00"/>
    <s v="Safari"/>
    <n v="3"/>
    <n v="45"/>
    <n v="25.5"/>
    <n v="19.5"/>
    <s v="Mpesa"/>
    <x v="2"/>
    <m/>
    <m/>
    <m/>
  </r>
  <r>
    <d v="2024-07-26T00:00:00"/>
    <d v="1899-12-30T09:22:00"/>
    <s v="Airtel 20 Credit"/>
    <n v="1"/>
    <n v="20"/>
    <n v="18"/>
    <n v="2"/>
    <s v="Mpesa"/>
    <x v="2"/>
    <m/>
    <m/>
    <m/>
  </r>
  <r>
    <d v="2024-07-26T00:00:00"/>
    <d v="1899-12-30T09:22:00"/>
    <s v="Airtel 10 Credit"/>
    <n v="1"/>
    <n v="10"/>
    <n v="9"/>
    <n v="1"/>
    <s v="Mpesa"/>
    <x v="2"/>
    <m/>
    <m/>
    <m/>
  </r>
  <r>
    <d v="2024-07-26T00:00:00"/>
    <d v="1899-12-30T09:49:00"/>
    <s v="Festive Bread 400g"/>
    <n v="1"/>
    <n v="65"/>
    <n v="60"/>
    <n v="5"/>
    <s v="Mpesa"/>
    <x v="2"/>
    <m/>
    <m/>
    <m/>
  </r>
  <r>
    <d v="2024-07-26T00:00:00"/>
    <d v="1899-12-30T09:50:00"/>
    <s v="eggs"/>
    <n v="2"/>
    <n v="40"/>
    <n v="28.666666666666668"/>
    <n v="11.333333333333332"/>
    <s v="Mpesa"/>
    <x v="2"/>
    <m/>
    <m/>
    <m/>
  </r>
  <r>
    <d v="2024-07-26T00:00:00"/>
    <d v="1899-12-30T10:14:00"/>
    <s v="Safaricom 10 Credit"/>
    <n v="1"/>
    <n v="10"/>
    <n v="9"/>
    <n v="1"/>
    <s v="Cash"/>
    <x v="2"/>
    <m/>
    <m/>
    <m/>
  </r>
  <r>
    <d v="2024-07-26T00:00:00"/>
    <d v="1899-12-30T12:07:00"/>
    <s v="Downy lavender"/>
    <n v="2"/>
    <n v="40"/>
    <n v="34.666666666666664"/>
    <n v="5.3333333333333357"/>
    <s v="Mpesa"/>
    <x v="2"/>
    <m/>
    <m/>
    <m/>
  </r>
  <r>
    <d v="2024-07-26T00:00:00"/>
    <d v="1899-12-30T12:19:00"/>
    <s v="Softcare pads"/>
    <n v="1"/>
    <n v="85"/>
    <n v="66"/>
    <n v="19"/>
    <s v="Mpesa"/>
    <x v="2"/>
    <m/>
    <m/>
    <m/>
  </r>
  <r>
    <d v="2024-07-26T00:00:00"/>
    <d v="1899-12-30T13:06:00"/>
    <s v="Pishori rice"/>
    <n v="0.5"/>
    <n v="110"/>
    <n v="90"/>
    <n v="20"/>
    <s v="Cash"/>
    <x v="2"/>
    <m/>
    <m/>
    <m/>
  </r>
  <r>
    <d v="2024-07-26T00:00:00"/>
    <d v="1899-12-30T13:15:00"/>
    <s v="hoho"/>
    <n v="1"/>
    <n v="10"/>
    <n v="6.666666666666667"/>
    <n v="3.333333333333333"/>
    <s v="Mpesa"/>
    <x v="2"/>
    <m/>
    <m/>
    <m/>
  </r>
  <r>
    <d v="2024-07-26T00:00:00"/>
    <d v="1899-12-30T13:15:00"/>
    <s v="Royco cubes"/>
    <n v="1"/>
    <n v="5"/>
    <n v="3"/>
    <n v="2"/>
    <s v="Mpesa"/>
    <x v="2"/>
    <m/>
    <m/>
    <m/>
  </r>
  <r>
    <d v="2024-07-26T00:00:00"/>
    <d v="1899-12-30T14:58:00"/>
    <s v="Yellow Beans"/>
    <n v="0.5"/>
    <n v="90"/>
    <n v="62.5"/>
    <n v="27.5"/>
    <s v="Credit"/>
    <x v="1"/>
    <m/>
    <m/>
    <m/>
  </r>
  <r>
    <d v="2024-07-26T00:00:00"/>
    <d v="1899-12-30T14:58:00"/>
    <s v="soda 300ml glass"/>
    <n v="1"/>
    <n v="40"/>
    <n v="32.5"/>
    <n v="7.5"/>
    <s v="Cash"/>
    <x v="2"/>
    <m/>
    <m/>
    <m/>
  </r>
  <r>
    <d v="2024-07-26T00:00:00"/>
    <d v="1899-12-30T14:58:00"/>
    <s v="Peanut Cookies"/>
    <n v="1"/>
    <n v="35"/>
    <n v="25"/>
    <n v="10"/>
    <s v="Cash"/>
    <x v="2"/>
    <m/>
    <m/>
    <m/>
  </r>
  <r>
    <d v="2024-07-26T00:00:00"/>
    <d v="1899-12-30T15:15:00"/>
    <s v="eggs"/>
    <n v="3"/>
    <n v="60"/>
    <n v="43"/>
    <n v="17"/>
    <s v="Mpesa"/>
    <x v="2"/>
    <m/>
    <m/>
    <m/>
  </r>
  <r>
    <d v="2024-07-26T00:00:00"/>
    <d v="1899-12-30T15:20:00"/>
    <s v="300ml water"/>
    <n v="1"/>
    <n v="30"/>
    <n v="12.5"/>
    <n v="17.5"/>
    <s v="Cash"/>
    <x v="2"/>
    <m/>
    <m/>
    <m/>
  </r>
  <r>
    <d v="2024-07-26T00:00:00"/>
    <d v="1899-12-30T15:30:00"/>
    <s v="Peanut Cookies"/>
    <n v="1"/>
    <n v="35"/>
    <n v="25"/>
    <n v="10"/>
    <s v="Cash"/>
    <x v="2"/>
    <m/>
    <m/>
    <m/>
  </r>
  <r>
    <d v="2024-07-26T00:00:00"/>
    <d v="1899-12-30T15:32:00"/>
    <s v="Kinangop Fresh Milk 500ml"/>
    <n v="2"/>
    <n v="120"/>
    <n v="110"/>
    <n v="10"/>
    <s v="Cash"/>
    <x v="2"/>
    <m/>
    <m/>
    <m/>
  </r>
  <r>
    <d v="2024-07-26T00:00:00"/>
    <d v="1899-12-30T15:36:00"/>
    <s v="Safaricom 50 Credit"/>
    <n v="1"/>
    <n v="50"/>
    <n v="47"/>
    <n v="3"/>
    <s v="Mpesa"/>
    <x v="2"/>
    <m/>
    <m/>
    <m/>
  </r>
  <r>
    <d v="2024-07-26T00:00:00"/>
    <d v="1899-12-30T17:25:00"/>
    <s v="Mt kenya milk 500ml"/>
    <n v="1"/>
    <n v="65"/>
    <n v="48.333333333333336"/>
    <n v="16.666666666666664"/>
    <s v="Mpesa"/>
    <x v="2"/>
    <m/>
    <m/>
    <m/>
  </r>
  <r>
    <d v="2024-07-26T00:00:00"/>
    <d v="1899-12-30T18:47:00"/>
    <s v="Drinking Chocolate 20g"/>
    <n v="1"/>
    <n v="20"/>
    <n v="10.416666666666666"/>
    <n v="9.5833333333333339"/>
    <s v="Mpesa"/>
    <x v="2"/>
    <m/>
    <m/>
    <m/>
  </r>
  <r>
    <d v="2024-07-26T00:00:00"/>
    <d v="1899-12-30T18:47:00"/>
    <s v="Colgate 15g"/>
    <n v="1"/>
    <n v="50"/>
    <n v="36.25"/>
    <n v="13.75"/>
    <s v="Mpesa"/>
    <x v="2"/>
    <m/>
    <m/>
    <m/>
  </r>
  <r>
    <d v="2024-07-26T00:00:00"/>
    <d v="1899-12-30T18:47:00"/>
    <s v="Nescafe 1.5g"/>
    <n v="1"/>
    <n v="15"/>
    <n v="9.1666666666666661"/>
    <n v="5.8333333333333339"/>
    <s v="Mpesa"/>
    <x v="2"/>
    <m/>
    <m/>
    <m/>
  </r>
  <r>
    <d v="2024-07-26T00:00:00"/>
    <d v="1899-12-30T19:26:00"/>
    <s v="Poa Pekee Tissue"/>
    <n v="1"/>
    <n v="30"/>
    <n v="13.333333333333334"/>
    <n v="16.666666666666664"/>
    <s v="Cash"/>
    <x v="2"/>
    <m/>
    <m/>
    <m/>
  </r>
  <r>
    <d v="2024-07-26T00:00:00"/>
    <d v="1899-12-30T19:26:00"/>
    <s v="Banana"/>
    <n v="1"/>
    <n v="10"/>
    <n v="8.3333333333333339"/>
    <n v="1.6666666666666661"/>
    <s v="Cash"/>
    <x v="2"/>
    <m/>
    <m/>
    <m/>
  </r>
  <r>
    <d v="2024-07-26T00:00:00"/>
    <d v="1899-12-30T19:26:00"/>
    <m/>
    <m/>
    <m/>
    <m/>
    <m/>
    <m/>
    <x v="2"/>
    <s v="Oburu"/>
    <n v="20"/>
    <s v="Cash"/>
  </r>
  <r>
    <d v="2024-07-26T00:00:00"/>
    <d v="1899-12-30T19:40:00"/>
    <s v="Tomato paste"/>
    <n v="1"/>
    <n v="30"/>
    <n v="12.5"/>
    <n v="17.5"/>
    <s v="Mpesa"/>
    <x v="2"/>
    <m/>
    <m/>
    <m/>
  </r>
  <r>
    <d v="2024-07-26T00:00:00"/>
    <d v="1899-12-30T19:40:00"/>
    <s v="Drinking Chocolate 20g"/>
    <n v="1"/>
    <n v="20"/>
    <n v="10.416666666666666"/>
    <n v="9.5833333333333339"/>
    <s v="Mpesa"/>
    <x v="2"/>
    <m/>
    <m/>
    <m/>
  </r>
  <r>
    <d v="2024-07-26T00:00:00"/>
    <d v="1899-12-30T19:50:00"/>
    <s v="Kinangop Fresh Milk 500ml"/>
    <n v="1"/>
    <n v="60"/>
    <n v="55"/>
    <n v="5"/>
    <s v="Cash"/>
    <x v="2"/>
    <m/>
    <m/>
    <m/>
  </r>
  <r>
    <d v="2024-07-26T00:00:00"/>
    <d v="1899-12-30T19:50:00"/>
    <s v="Brookside Lala Natural"/>
    <n v="1"/>
    <n v="100"/>
    <n v="87"/>
    <n v="13"/>
    <s v="Cash"/>
    <x v="2"/>
    <m/>
    <m/>
    <m/>
  </r>
  <r>
    <d v="2024-07-26T00:00:00"/>
    <d v="1899-12-30T19:52:00"/>
    <s v="Ndimu"/>
    <n v="1"/>
    <n v="20"/>
    <n v="8.3333333333333339"/>
    <n v="11.666666666666666"/>
    <s v="Mpesa"/>
    <x v="2"/>
    <m/>
    <m/>
    <m/>
  </r>
  <r>
    <d v="2024-07-26T00:00:00"/>
    <d v="1899-12-30T20:08:00"/>
    <s v="eggs"/>
    <n v="1"/>
    <n v="20"/>
    <n v="14.333333333333334"/>
    <n v="5.6666666666666661"/>
    <s v="Mpesa"/>
    <x v="2"/>
    <m/>
    <m/>
    <m/>
  </r>
  <r>
    <d v="2024-07-26T00:00:00"/>
    <d v="1899-12-30T20:08:00"/>
    <s v="Tomatoes"/>
    <n v="1"/>
    <n v="10"/>
    <n v="5"/>
    <n v="5"/>
    <s v="Mpesa"/>
    <x v="2"/>
    <m/>
    <m/>
    <m/>
  </r>
  <r>
    <d v="2024-07-26T00:00:00"/>
    <d v="1899-12-30T20:08:00"/>
    <s v="Onion"/>
    <n v="1"/>
    <n v="10"/>
    <n v="8"/>
    <n v="2"/>
    <s v="Mpesa"/>
    <x v="2"/>
    <m/>
    <m/>
    <m/>
  </r>
  <r>
    <d v="2024-07-26T00:00:00"/>
    <d v="1899-12-30T20:11:00"/>
    <s v="Sindano rice"/>
    <n v="0.5"/>
    <n v="75"/>
    <n v="60"/>
    <n v="15"/>
    <s v="Mpesa"/>
    <x v="2"/>
    <m/>
    <m/>
    <m/>
  </r>
  <r>
    <d v="2024-07-26T00:00:00"/>
    <d v="1899-12-30T20:14:00"/>
    <s v="Glucose 50g"/>
    <n v="1"/>
    <n v="30"/>
    <n v="15.833333333333334"/>
    <n v="14.166666666666666"/>
    <s v="Mpesa"/>
    <x v="2"/>
    <m/>
    <m/>
    <m/>
  </r>
  <r>
    <d v="2024-07-26T00:00:00"/>
    <d v="1899-12-30T20:21:00"/>
    <s v="Bitez"/>
    <n v="2"/>
    <n v="30"/>
    <n v="17.600000000000001"/>
    <n v="12.399999999999999"/>
    <s v="Mpesa"/>
    <x v="2"/>
    <m/>
    <m/>
    <m/>
  </r>
  <r>
    <d v="2024-07-26T00:00:00"/>
    <d v="1899-12-30T20:21:00"/>
    <s v="eggs"/>
    <n v="2"/>
    <n v="40"/>
    <n v="28.666666666666668"/>
    <n v="11.333333333333332"/>
    <s v="Mpesa"/>
    <x v="2"/>
    <m/>
    <m/>
    <m/>
  </r>
  <r>
    <d v="2024-07-26T00:00:00"/>
    <d v="1899-12-30T20:21:00"/>
    <s v="Royco cubes"/>
    <n v="4"/>
    <n v="20"/>
    <n v="12"/>
    <n v="8"/>
    <s v="Mpesa"/>
    <x v="2"/>
    <m/>
    <m/>
    <m/>
  </r>
  <r>
    <d v="2024-07-26T00:00:00"/>
    <d v="1899-12-30T20:26:00"/>
    <s v="Mt kenya milk 500ml"/>
    <n v="1"/>
    <n v="65"/>
    <n v="48.333333333333336"/>
    <n v="16.666666666666664"/>
    <s v="Mpesa"/>
    <x v="2"/>
    <m/>
    <m/>
    <m/>
  </r>
  <r>
    <d v="2024-07-26T00:00:00"/>
    <d v="1899-12-30T20:26:00"/>
    <s v="Choc-chip Cookies"/>
    <n v="1"/>
    <n v="35"/>
    <n v="25"/>
    <n v="10"/>
    <s v="Mpesa"/>
    <x v="2"/>
    <m/>
    <m/>
    <m/>
  </r>
  <r>
    <d v="2024-07-26T00:00:00"/>
    <d v="1899-12-30T20:37:00"/>
    <s v="kensalt 200g"/>
    <n v="1"/>
    <n v="15"/>
    <n v="5.5"/>
    <n v="9.5"/>
    <s v="Mpesa"/>
    <x v="2"/>
    <m/>
    <m/>
    <m/>
  </r>
  <r>
    <d v="2024-07-26T00:00:00"/>
    <d v="1899-12-30T20:37:00"/>
    <s v="predator"/>
    <n v="1"/>
    <n v="70"/>
    <n v="54.166666666666664"/>
    <n v="15.833333333333336"/>
    <s v="Credit"/>
    <x v="19"/>
    <m/>
    <m/>
    <m/>
  </r>
  <r>
    <d v="2024-07-26T00:00:00"/>
    <d v="1899-12-30T20:51:00"/>
    <s v="eggs"/>
    <n v="2"/>
    <n v="40"/>
    <n v="28.666666666666668"/>
    <n v="11.333333333333332"/>
    <s v="Credit"/>
    <x v="16"/>
    <m/>
    <m/>
    <m/>
  </r>
  <r>
    <d v="2024-07-26T00:00:00"/>
    <d v="1899-12-30T20:51:00"/>
    <s v="Tomatoes"/>
    <n v="3"/>
    <n v="30"/>
    <n v="15"/>
    <n v="15"/>
    <s v="Credit"/>
    <x v="16"/>
    <m/>
    <m/>
    <m/>
  </r>
  <r>
    <d v="2024-07-26T00:00:00"/>
    <d v="1899-12-30T20:53:00"/>
    <s v="Dhania"/>
    <n v="1"/>
    <n v="5"/>
    <n v="3.3333333333333335"/>
    <n v="1.6666666666666665"/>
    <s v="Mpesa"/>
    <x v="2"/>
    <m/>
    <m/>
    <m/>
  </r>
  <r>
    <d v="2024-07-26T00:00:00"/>
    <d v="1899-12-30T20:53:00"/>
    <s v="Tomatoes"/>
    <n v="2"/>
    <n v="20"/>
    <n v="10"/>
    <n v="10"/>
    <s v="Mpesa"/>
    <x v="2"/>
    <m/>
    <m/>
    <m/>
  </r>
  <r>
    <d v="2024-07-26T00:00:00"/>
    <d v="1899-12-30T20:53:00"/>
    <s v="soda 300ml glass"/>
    <n v="1"/>
    <n v="40"/>
    <n v="32.5"/>
    <n v="7.5"/>
    <s v="Mpesa"/>
    <x v="2"/>
    <m/>
    <m/>
    <m/>
  </r>
  <r>
    <d v="2024-07-27T00:00:00"/>
    <d v="1899-12-30T08:12:00"/>
    <s v="Safari"/>
    <n v="3"/>
    <n v="45"/>
    <n v="25.5"/>
    <n v="19.5"/>
    <s v="Mpesa"/>
    <x v="2"/>
    <m/>
    <m/>
    <m/>
  </r>
  <r>
    <d v="2024-07-27T00:00:00"/>
    <d v="1899-12-30T08:10:00"/>
    <s v="Kinangop Fresh Milk 500ml"/>
    <n v="1"/>
    <n v="60"/>
    <n v="55"/>
    <n v="5"/>
    <s v="Mpesa"/>
    <x v="2"/>
    <m/>
    <m/>
    <m/>
  </r>
  <r>
    <d v="2024-07-27T00:00:00"/>
    <d v="1899-12-30T08:12:00"/>
    <s v="ilara 250g yoghurt"/>
    <n v="1"/>
    <n v="85"/>
    <n v="73"/>
    <n v="12"/>
    <s v="Mpesa"/>
    <x v="2"/>
    <m/>
    <m/>
    <m/>
  </r>
  <r>
    <d v="2024-07-27T00:00:00"/>
    <d v="1899-12-30T08:12:00"/>
    <s v="T.Heat Potato crisps vinegar and salt 25g"/>
    <n v="2"/>
    <n v="60"/>
    <n v="45.833333333333336"/>
    <n v="14.166666666666664"/>
    <s v="Mpesa"/>
    <x v="2"/>
    <m/>
    <m/>
    <m/>
  </r>
  <r>
    <d v="2024-07-27T00:00:00"/>
    <d v="1899-12-30T08:20:00"/>
    <s v="BB Bread 400g"/>
    <n v="1"/>
    <n v="65"/>
    <n v="60"/>
    <n v="5"/>
    <s v="Mpesa"/>
    <x v="2"/>
    <m/>
    <m/>
    <m/>
  </r>
  <r>
    <d v="2024-07-27T00:00:00"/>
    <d v="1899-12-30T08:22:00"/>
    <s v="Safari"/>
    <n v="2"/>
    <n v="30"/>
    <n v="17"/>
    <n v="13"/>
    <s v="Mpesa"/>
    <x v="2"/>
    <m/>
    <m/>
    <m/>
  </r>
  <r>
    <d v="2024-07-27T00:00:00"/>
    <d v="1899-12-30T08:22:00"/>
    <s v="Toss 100g"/>
    <n v="1"/>
    <n v="60"/>
    <n v="36.666666666666664"/>
    <n v="23.333333333333336"/>
    <s v="Mpesa"/>
    <x v="2"/>
    <m/>
    <m/>
    <m/>
  </r>
  <r>
    <d v="2024-07-27T00:00:00"/>
    <d v="1899-12-30T08:22:00"/>
    <s v="omo 75g"/>
    <n v="1"/>
    <n v="35"/>
    <n v="27.5"/>
    <n v="7.5"/>
    <s v="Mpesa"/>
    <x v="2"/>
    <m/>
    <m/>
    <m/>
  </r>
  <r>
    <d v="2024-07-27T00:00:00"/>
    <d v="1899-12-30T08:25:00"/>
    <s v="Festive Bread 400g"/>
    <n v="1"/>
    <n v="65"/>
    <n v="60"/>
    <n v="5"/>
    <s v="Cash"/>
    <x v="2"/>
    <m/>
    <m/>
    <m/>
  </r>
  <r>
    <d v="2024-07-27T00:00:00"/>
    <d v="1899-12-30T08:25:00"/>
    <s v="Mt kenya milk 500ml"/>
    <n v="2"/>
    <n v="130"/>
    <n v="96.666666666666671"/>
    <n v="33.333333333333329"/>
    <s v="Cash"/>
    <x v="2"/>
    <m/>
    <m/>
    <m/>
  </r>
  <r>
    <d v="2024-07-27T00:00:00"/>
    <d v="1899-12-30T08:30:00"/>
    <s v="BB Bread 400g"/>
    <n v="1"/>
    <n v="65"/>
    <n v="60"/>
    <n v="5"/>
    <s v="Cash"/>
    <x v="2"/>
    <m/>
    <m/>
    <m/>
  </r>
  <r>
    <d v="2024-07-27T00:00:00"/>
    <d v="1899-12-30T08:35:00"/>
    <s v="Kinangop Fresh Milk 500ml"/>
    <n v="1"/>
    <n v="60"/>
    <n v="55"/>
    <n v="5"/>
    <s v="Credit"/>
    <x v="3"/>
    <m/>
    <m/>
    <m/>
  </r>
  <r>
    <d v="2024-07-27T00:00:00"/>
    <d v="1899-12-30T08:35:00"/>
    <s v="BB Bread 400g"/>
    <n v="1"/>
    <n v="65"/>
    <n v="60"/>
    <n v="5"/>
    <s v="Credit"/>
    <x v="3"/>
    <m/>
    <m/>
    <m/>
  </r>
  <r>
    <d v="2024-07-27T00:00:00"/>
    <d v="1899-12-30T09:06:00"/>
    <s v="eggs"/>
    <n v="3"/>
    <n v="60"/>
    <n v="43"/>
    <n v="17"/>
    <s v="Mpesa"/>
    <x v="2"/>
    <m/>
    <m/>
    <m/>
  </r>
  <r>
    <d v="2024-07-27T00:00:00"/>
    <d v="1899-12-30T09:06:00"/>
    <s v="Safari"/>
    <n v="1"/>
    <n v="15"/>
    <n v="8.5"/>
    <n v="6.5"/>
    <s v="Cash"/>
    <x v="2"/>
    <m/>
    <m/>
    <m/>
  </r>
  <r>
    <d v="2024-07-27T00:00:00"/>
    <d v="1899-12-30T09:49:00"/>
    <s v="BB Bread 400g"/>
    <n v="1"/>
    <n v="65"/>
    <n v="60"/>
    <n v="5"/>
    <s v="Credit"/>
    <x v="19"/>
    <s v="Titus"/>
    <n v="40"/>
    <s v="Cash"/>
  </r>
  <r>
    <d v="2024-07-27T00:00:00"/>
    <d v="1899-12-30T09:49:00"/>
    <s v="Menengai Bar 1kg"/>
    <n v="0.2"/>
    <n v="50"/>
    <n v="38"/>
    <n v="12"/>
    <s v="Credit"/>
    <x v="19"/>
    <m/>
    <m/>
    <m/>
  </r>
  <r>
    <d v="2024-07-27T00:00:00"/>
    <d v="1899-12-30T09:58:00"/>
    <s v="Festive Bread 400g"/>
    <n v="1"/>
    <n v="65"/>
    <n v="60"/>
    <n v="5"/>
    <s v="Mpesa"/>
    <x v="2"/>
    <m/>
    <m/>
    <m/>
  </r>
  <r>
    <d v="2024-07-27T00:00:00"/>
    <d v="1899-12-30T09:56:00"/>
    <s v="eggs"/>
    <n v="10"/>
    <n v="200"/>
    <n v="143.33333333333334"/>
    <n v="56.666666666666657"/>
    <s v="Mpesa"/>
    <x v="2"/>
    <m/>
    <m/>
    <m/>
  </r>
  <r>
    <d v="2024-07-27T00:00:00"/>
    <d v="1899-12-30T10:04:00"/>
    <s v="Indomie chicken"/>
    <n v="1"/>
    <n v="50"/>
    <n v="37.5"/>
    <n v="12.5"/>
    <s v="Cash"/>
    <x v="2"/>
    <m/>
    <m/>
    <m/>
  </r>
  <r>
    <d v="2024-07-27T00:00:00"/>
    <d v="1899-12-30T10:04:00"/>
    <s v="eggs"/>
    <n v="2"/>
    <n v="40"/>
    <n v="28.666666666666668"/>
    <n v="11.333333333333332"/>
    <s v="Cash"/>
    <x v="2"/>
    <m/>
    <m/>
    <m/>
  </r>
  <r>
    <d v="2024-07-27T00:00:00"/>
    <d v="1899-12-30T10:18:00"/>
    <s v="Safari"/>
    <n v="3"/>
    <n v="45"/>
    <n v="25.5"/>
    <n v="19.5"/>
    <s v="Mpesa"/>
    <x v="2"/>
    <m/>
    <m/>
    <m/>
  </r>
  <r>
    <d v="2024-07-27T00:00:00"/>
    <d v="1899-12-30T10:23:00"/>
    <s v="BB Bread 400g"/>
    <n v="1"/>
    <n v="65"/>
    <n v="60"/>
    <n v="5"/>
    <s v="Cash"/>
    <x v="2"/>
    <m/>
    <m/>
    <m/>
  </r>
  <r>
    <d v="2024-07-27T00:00:00"/>
    <d v="1899-12-30T10:25:00"/>
    <s v="Bigdaddy"/>
    <n v="2"/>
    <n v="20"/>
    <n v="12"/>
    <n v="8"/>
    <s v="Cash"/>
    <x v="2"/>
    <m/>
    <m/>
    <m/>
  </r>
  <r>
    <d v="2024-07-27T00:00:00"/>
    <d v="1899-12-30T10:29:00"/>
    <s v="Fahari Tea 15g"/>
    <n v="1"/>
    <n v="15"/>
    <n v="9.1666666666666661"/>
    <n v="5.8333333333333339"/>
    <s v="Credit"/>
    <x v="19"/>
    <m/>
    <m/>
    <m/>
  </r>
  <r>
    <d v="2024-07-27T00:00:00"/>
    <d v="1899-12-30T10:29:00"/>
    <s v="Nescafe 1.5g"/>
    <n v="1"/>
    <n v="15"/>
    <n v="9.1666666666666661"/>
    <n v="5.8333333333333339"/>
    <s v="Credit"/>
    <x v="19"/>
    <m/>
    <m/>
    <m/>
  </r>
  <r>
    <d v="2024-07-27T00:00:00"/>
    <d v="1899-12-30T10:29:00"/>
    <s v="Mt kenya milk 500ml"/>
    <n v="2"/>
    <n v="130"/>
    <n v="96.666666666666671"/>
    <n v="33.333333333333329"/>
    <s v="Mpesa"/>
    <x v="2"/>
    <m/>
    <m/>
    <m/>
  </r>
  <r>
    <d v="2024-07-27T00:00:00"/>
    <d v="1899-12-30T11:46:00"/>
    <s v="Ring Cake"/>
    <n v="1"/>
    <n v="50"/>
    <n v="45"/>
    <n v="5"/>
    <s v="Mpesa"/>
    <x v="2"/>
    <m/>
    <m/>
    <m/>
  </r>
  <r>
    <d v="2024-07-27T00:00:00"/>
    <d v="1899-12-30T11:56:00"/>
    <s v="Downy lavender"/>
    <n v="1"/>
    <n v="20"/>
    <n v="17.333333333333332"/>
    <n v="2.6666666666666679"/>
    <s v="Cash"/>
    <x v="2"/>
    <m/>
    <m/>
    <m/>
  </r>
  <r>
    <d v="2024-07-27T00:00:00"/>
    <d v="1899-12-30T12:13:00"/>
    <s v="ariel 10g"/>
    <n v="1"/>
    <n v="15"/>
    <n v="9.1666666666666661"/>
    <n v="5.8333333333333339"/>
    <s v="Mpesa"/>
    <x v="2"/>
    <m/>
    <m/>
    <m/>
  </r>
  <r>
    <d v="2024-07-27T00:00:00"/>
    <d v="1899-12-30T12:13:00"/>
    <s v="eggs"/>
    <n v="2"/>
    <n v="40"/>
    <n v="28.666666666666668"/>
    <n v="11.333333333333332"/>
    <s v="Mpesa"/>
    <x v="2"/>
    <m/>
    <m/>
    <m/>
  </r>
  <r>
    <d v="2024-07-27T00:00:00"/>
    <d v="1899-12-30T12:43:00"/>
    <s v="Cooking Oil Measured"/>
    <n v="0.5"/>
    <n v="140"/>
    <n v="100"/>
    <n v="40"/>
    <s v="Credit"/>
    <x v="1"/>
    <m/>
    <m/>
    <m/>
  </r>
  <r>
    <d v="2024-07-27T00:00:00"/>
    <d v="1899-12-30T12:43:00"/>
    <s v="Royco cubes"/>
    <n v="2"/>
    <n v="10"/>
    <n v="6"/>
    <n v="4"/>
    <s v="Credit"/>
    <x v="1"/>
    <m/>
    <m/>
    <m/>
  </r>
  <r>
    <d v="2024-07-27T00:00:00"/>
    <d v="1899-12-30T12:49:00"/>
    <s v="Safaricom 50 Credit"/>
    <n v="1"/>
    <n v="50"/>
    <n v="47"/>
    <n v="3"/>
    <s v="Cash"/>
    <x v="2"/>
    <m/>
    <m/>
    <m/>
  </r>
  <r>
    <d v="2024-07-27T00:00:00"/>
    <d v="1899-12-30T13:26:00"/>
    <s v="Tamu  Tamu Green"/>
    <n v="2"/>
    <n v="30"/>
    <n v="17.2"/>
    <n v="12.8"/>
    <s v="Cash"/>
    <x v="2"/>
    <m/>
    <m/>
    <m/>
  </r>
  <r>
    <d v="2024-07-27T00:00:00"/>
    <d v="1899-12-30T13:26:00"/>
    <s v="Sodacans"/>
    <n v="1"/>
    <n v="20"/>
    <n v="15"/>
    <n v="5"/>
    <s v="Cash"/>
    <x v="2"/>
    <m/>
    <m/>
    <m/>
  </r>
  <r>
    <d v="2024-07-27T00:00:00"/>
    <d v="1899-12-30T13:26:00"/>
    <s v="Ginger Bisquit"/>
    <n v="3"/>
    <n v="15"/>
    <n v="13"/>
    <n v="2"/>
    <s v="Cash"/>
    <x v="2"/>
    <m/>
    <m/>
    <m/>
  </r>
  <r>
    <d v="2024-07-27T00:00:00"/>
    <d v="1899-12-30T13:26:00"/>
    <s v="Pencil"/>
    <n v="1"/>
    <n v="10"/>
    <n v="7.5"/>
    <n v="2.5"/>
    <s v="Cash"/>
    <x v="2"/>
    <m/>
    <m/>
    <m/>
  </r>
  <r>
    <d v="2024-07-27T00:00:00"/>
    <d v="1899-12-30T13:41:00"/>
    <s v="Indomie chicken"/>
    <n v="4"/>
    <n v="200"/>
    <n v="150"/>
    <n v="50"/>
    <s v="Mpesa"/>
    <x v="2"/>
    <m/>
    <m/>
    <m/>
  </r>
  <r>
    <d v="2024-07-27T00:00:00"/>
    <d v="1899-12-30T13:41:00"/>
    <s v="eggs"/>
    <n v="3"/>
    <n v="60"/>
    <n v="43"/>
    <n v="17"/>
    <s v="Mpesa"/>
    <x v="2"/>
    <m/>
    <m/>
    <m/>
  </r>
  <r>
    <d v="2024-07-27T00:00:00"/>
    <d v="1899-12-30T14:21:00"/>
    <s v="Kinangop Fresh Milk 500ml"/>
    <n v="5"/>
    <n v="300"/>
    <n v="275"/>
    <n v="25"/>
    <s v="Cash"/>
    <x v="2"/>
    <m/>
    <m/>
    <m/>
  </r>
  <r>
    <d v="2024-07-27T00:00:00"/>
    <d v="1899-12-30T14:21:00"/>
    <s v="Brookside milk 500ml"/>
    <n v="3"/>
    <n v="210"/>
    <n v="177"/>
    <n v="33"/>
    <s v="Cash"/>
    <x v="2"/>
    <m/>
    <m/>
    <m/>
  </r>
  <r>
    <d v="2024-07-27T00:00:00"/>
    <d v="1899-12-30T15:11:00"/>
    <s v="Sindano rice"/>
    <n v="0.5"/>
    <n v="75"/>
    <n v="60"/>
    <n v="15"/>
    <s v="Mpesa"/>
    <x v="2"/>
    <m/>
    <m/>
    <m/>
  </r>
  <r>
    <d v="2024-07-27T00:00:00"/>
    <d v="1899-12-30T15:49:00"/>
    <s v="ariel 10g"/>
    <n v="1"/>
    <n v="15"/>
    <n v="9.1666666666666661"/>
    <n v="5.8333333333333339"/>
    <s v="Mpesa"/>
    <x v="2"/>
    <m/>
    <m/>
    <m/>
  </r>
  <r>
    <d v="2024-07-27T00:00:00"/>
    <d v="1899-12-30T15:49:00"/>
    <s v="Safari"/>
    <n v="3"/>
    <n v="45"/>
    <n v="25.5"/>
    <n v="19.5"/>
    <s v="Mpesa"/>
    <x v="2"/>
    <m/>
    <m/>
    <m/>
  </r>
  <r>
    <d v="2024-07-27T00:00:00"/>
    <d v="1899-12-30T16:19:00"/>
    <m/>
    <m/>
    <m/>
    <m/>
    <m/>
    <m/>
    <x v="2"/>
    <s v="Grace"/>
    <n v="260"/>
    <s v="Mpesa"/>
  </r>
  <r>
    <d v="2024-07-27T00:00:00"/>
    <d v="1899-12-30T16:49:00"/>
    <s v="Black Shampoo"/>
    <n v="1"/>
    <n v="50"/>
    <n v="28"/>
    <n v="22"/>
    <s v="Cash"/>
    <x v="2"/>
    <m/>
    <m/>
    <m/>
  </r>
  <r>
    <d v="2024-07-27T00:00:00"/>
    <d v="1899-12-30T16:49:00"/>
    <s v="Tomatoes"/>
    <n v="10"/>
    <n v="100"/>
    <n v="50"/>
    <n v="50"/>
    <s v="Cash"/>
    <x v="2"/>
    <m/>
    <m/>
    <m/>
  </r>
  <r>
    <d v="2024-07-27T00:00:00"/>
    <d v="1899-12-30T16:49:00"/>
    <s v="Airtel 50 Credit"/>
    <n v="1"/>
    <n v="50"/>
    <n v="47"/>
    <n v="3"/>
    <s v="Cash"/>
    <x v="2"/>
    <m/>
    <m/>
    <m/>
  </r>
  <r>
    <d v="2024-07-27T00:00:00"/>
    <d v="1899-12-30T17:04:00"/>
    <s v="Mt kenya milk 500ml"/>
    <n v="2"/>
    <n v="130"/>
    <n v="96.666666666666671"/>
    <n v="33.333333333333329"/>
    <s v="Mpesa"/>
    <x v="2"/>
    <m/>
    <m/>
    <m/>
  </r>
  <r>
    <d v="2024-07-27T00:00:00"/>
    <d v="1899-12-30T18:18:00"/>
    <s v="Safari"/>
    <n v="3"/>
    <n v="45"/>
    <n v="25.5"/>
    <n v="19.5"/>
    <s v="Mpesa"/>
    <x v="2"/>
    <m/>
    <m/>
    <m/>
  </r>
  <r>
    <d v="2024-07-27T00:00:00"/>
    <d v="1899-12-30T18:30:00"/>
    <m/>
    <m/>
    <m/>
    <m/>
    <m/>
    <m/>
    <x v="2"/>
    <s v="Cate"/>
    <n v="10"/>
    <s v="Cash"/>
  </r>
  <r>
    <d v="2024-07-27T00:00:00"/>
    <d v="1899-12-30T19:01:00"/>
    <s v="waru"/>
    <n v="1"/>
    <n v="50"/>
    <n v="29.999999999999996"/>
    <n v="20.000000000000004"/>
    <s v="Mpesa"/>
    <x v="2"/>
    <m/>
    <m/>
    <m/>
  </r>
  <r>
    <d v="2024-07-27T00:00:00"/>
    <d v="1899-12-30T19:21:00"/>
    <s v="Festive 800g"/>
    <n v="1"/>
    <n v="130"/>
    <n v="120"/>
    <n v="10"/>
    <s v="Mpesa"/>
    <x v="2"/>
    <m/>
    <m/>
    <m/>
  </r>
  <r>
    <d v="2024-07-27T00:00:00"/>
    <d v="1899-12-30T19:55:00"/>
    <s v="eggs"/>
    <n v="5"/>
    <n v="100"/>
    <n v="71.666666666666671"/>
    <n v="28.333333333333329"/>
    <s v="Cash"/>
    <x v="2"/>
    <m/>
    <m/>
    <m/>
  </r>
  <r>
    <d v="2024-07-27T00:00:00"/>
    <d v="1899-12-30T19:55:00"/>
    <s v="Festive Bread 400g"/>
    <n v="1"/>
    <n v="65"/>
    <n v="60"/>
    <n v="5"/>
    <s v="Mpesa"/>
    <x v="2"/>
    <m/>
    <m/>
    <m/>
  </r>
  <r>
    <d v="2024-07-27T00:00:00"/>
    <d v="1899-12-30T19:55:00"/>
    <s v="Drinking Chocolate 20g"/>
    <n v="1"/>
    <n v="20"/>
    <n v="10.416666666666666"/>
    <n v="9.5833333333333339"/>
    <s v="Mpesa"/>
    <x v="2"/>
    <m/>
    <m/>
    <m/>
  </r>
  <r>
    <d v="2024-07-27T00:00:00"/>
    <d v="1899-12-30T19:55:00"/>
    <m/>
    <m/>
    <m/>
    <m/>
    <m/>
    <m/>
    <x v="2"/>
    <s v="Milly"/>
    <n v="760"/>
    <s v="Cash"/>
  </r>
  <r>
    <d v="2024-07-27T00:00:00"/>
    <d v="1899-12-30T19:55:00"/>
    <s v="Ginger Bisquit"/>
    <n v="4"/>
    <n v="20"/>
    <n v="17.333333333333332"/>
    <n v="2.6666666666666679"/>
    <s v="Mpesa"/>
    <x v="2"/>
    <m/>
    <m/>
    <m/>
  </r>
  <r>
    <d v="2024-07-27T00:00:00"/>
    <d v="1899-12-30T20:00:00"/>
    <s v="Brookside milk 500ml"/>
    <n v="1"/>
    <n v="70"/>
    <n v="59"/>
    <n v="11"/>
    <s v="Credit"/>
    <x v="8"/>
    <s v="Ruth"/>
    <n v="15"/>
    <s v="Mpesa"/>
  </r>
  <r>
    <d v="2024-07-27T00:00:00"/>
    <d v="1899-12-30T20:00:00"/>
    <s v="eggs"/>
    <n v="2"/>
    <n v="40"/>
    <n v="28.666666666666668"/>
    <n v="11.333333333333332"/>
    <s v="Credit"/>
    <x v="8"/>
    <m/>
    <m/>
    <m/>
  </r>
  <r>
    <d v="2024-07-27T00:00:00"/>
    <d v="1899-12-30T20:00:00"/>
    <s v="Dhania"/>
    <n v="1"/>
    <n v="5"/>
    <n v="3.3333333333333335"/>
    <n v="1.6666666666666665"/>
    <s v="Credit"/>
    <x v="8"/>
    <m/>
    <m/>
    <m/>
  </r>
  <r>
    <d v="2024-07-27T00:00:00"/>
    <d v="1899-12-30T20:09:00"/>
    <s v="Maramoja"/>
    <n v="1"/>
    <n v="10"/>
    <n v="7"/>
    <n v="3"/>
    <s v="Mpesa"/>
    <x v="2"/>
    <m/>
    <m/>
    <m/>
  </r>
  <r>
    <d v="2024-07-27T00:00:00"/>
    <d v="1899-12-30T20:24:00"/>
    <s v="Ginger Bisquit"/>
    <n v="8"/>
    <n v="40"/>
    <n v="34.666666666666664"/>
    <n v="5.3333333333333357"/>
    <s v="Mpesa"/>
    <x v="2"/>
    <m/>
    <m/>
    <m/>
  </r>
  <r>
    <d v="2024-07-27T00:00:00"/>
    <d v="1899-12-30T20:24:00"/>
    <s v="Nescafe 1.5g"/>
    <n v="1"/>
    <n v="15"/>
    <n v="9.1666666666666661"/>
    <n v="5.8333333333333339"/>
    <s v="Mpesa"/>
    <x v="2"/>
    <m/>
    <m/>
    <m/>
  </r>
  <r>
    <d v="2024-07-27T00:00:00"/>
    <d v="1899-12-30T20:33:00"/>
    <s v="Indomie beef"/>
    <n v="1"/>
    <n v="50"/>
    <n v="38"/>
    <n v="12"/>
    <s v="Credit"/>
    <x v="3"/>
    <m/>
    <m/>
    <m/>
  </r>
  <r>
    <d v="2024-07-27T00:00:00"/>
    <d v="1899-12-30T20:33:00"/>
    <s v="Kienyeji  Eggs"/>
    <n v="1"/>
    <n v="30"/>
    <n v="20"/>
    <n v="10"/>
    <s v="Credit"/>
    <x v="3"/>
    <m/>
    <m/>
    <m/>
  </r>
  <r>
    <d v="2024-07-27T00:00:00"/>
    <d v="1899-12-30T20:33:00"/>
    <s v="Banana"/>
    <n v="1"/>
    <n v="10"/>
    <n v="8.3333333333333339"/>
    <n v="1.6666666666666661"/>
    <s v="Credit"/>
    <x v="3"/>
    <m/>
    <m/>
    <m/>
  </r>
  <r>
    <d v="2024-07-28T00:00:00"/>
    <d v="1899-12-30T08:30:00"/>
    <s v="Safari"/>
    <n v="3"/>
    <n v="45"/>
    <n v="25.5"/>
    <n v="19.5"/>
    <s v="Credit"/>
    <x v="9"/>
    <m/>
    <m/>
    <m/>
  </r>
  <r>
    <d v="2024-07-28T00:00:00"/>
    <d v="1899-12-30T08:30:00"/>
    <s v="Tomatoes"/>
    <n v="3"/>
    <n v="30"/>
    <n v="15"/>
    <n v="15"/>
    <s v="Credit"/>
    <x v="9"/>
    <m/>
    <m/>
    <m/>
  </r>
  <r>
    <d v="2024-07-28T00:00:00"/>
    <d v="1899-12-30T08:30:00"/>
    <s v="Onion"/>
    <n v="1"/>
    <n v="10"/>
    <n v="8"/>
    <n v="2"/>
    <s v="Credit"/>
    <x v="9"/>
    <m/>
    <m/>
    <m/>
  </r>
  <r>
    <d v="2024-07-28T00:00:00"/>
    <d v="1899-12-30T08:30:00"/>
    <s v="Dhania"/>
    <n v="1"/>
    <n v="5"/>
    <n v="3.3333333333333335"/>
    <n v="1.6666666666666665"/>
    <s v="Credit"/>
    <x v="9"/>
    <m/>
    <m/>
    <m/>
  </r>
  <r>
    <d v="2024-07-28T00:00:00"/>
    <d v="1899-12-30T08:46:00"/>
    <s v="Festive Bread 400g"/>
    <n v="1"/>
    <n v="65"/>
    <n v="60"/>
    <n v="5"/>
    <s v="Mpesa"/>
    <x v="2"/>
    <m/>
    <m/>
    <m/>
  </r>
  <r>
    <d v="2024-07-28T00:00:00"/>
    <d v="1899-12-30T09:57:00"/>
    <s v="Pishori rice"/>
    <n v="1"/>
    <n v="220"/>
    <n v="180"/>
    <n v="40"/>
    <s v="Cash"/>
    <x v="2"/>
    <m/>
    <m/>
    <m/>
  </r>
  <r>
    <d v="2024-07-28T00:00:00"/>
    <d v="1899-12-30T09:57:00"/>
    <m/>
    <m/>
    <m/>
    <m/>
    <m/>
    <m/>
    <x v="2"/>
    <s v="Mum Worship"/>
    <n v="115"/>
    <s v="Cash"/>
  </r>
  <r>
    <d v="2024-07-28T00:00:00"/>
    <d v="1899-12-30T09:57:00"/>
    <m/>
    <m/>
    <m/>
    <m/>
    <m/>
    <m/>
    <x v="2"/>
    <s v="Mum Victor"/>
    <n v="760"/>
    <s v="Cash"/>
  </r>
  <r>
    <d v="2024-07-28T00:00:00"/>
    <d v="1899-12-30T09:57:00"/>
    <s v="Bigdaddy"/>
    <n v="2"/>
    <n v="20"/>
    <n v="12"/>
    <n v="8"/>
    <s v="Cash"/>
    <x v="2"/>
    <m/>
    <m/>
    <m/>
  </r>
  <r>
    <d v="2024-07-28T00:00:00"/>
    <d v="1899-12-30T10:35:00"/>
    <s v="Festive 600g"/>
    <n v="1"/>
    <n v="100"/>
    <n v="90"/>
    <n v="10"/>
    <s v="Mpesa"/>
    <x v="2"/>
    <m/>
    <m/>
    <m/>
  </r>
  <r>
    <d v="2024-07-28T00:00:00"/>
    <d v="1899-12-30T10:57:00"/>
    <s v="Drinking Chocolate 20g"/>
    <n v="1"/>
    <n v="20"/>
    <n v="10.416666666666666"/>
    <n v="9.5833333333333339"/>
    <s v="Mpesa"/>
    <x v="2"/>
    <m/>
    <m/>
    <m/>
  </r>
  <r>
    <d v="2024-07-28T00:00:00"/>
    <d v="1899-12-30T10:57:00"/>
    <s v="Bigdaddy"/>
    <n v="1"/>
    <n v="10"/>
    <n v="6"/>
    <n v="4"/>
    <s v="Mpesa"/>
    <x v="2"/>
    <m/>
    <m/>
    <m/>
  </r>
  <r>
    <d v="2024-07-28T00:00:00"/>
    <d v="1899-12-30T11:18:00"/>
    <s v="Kienyeji  Eggs"/>
    <n v="2"/>
    <n v="60"/>
    <n v="40"/>
    <n v="20"/>
    <s v="Mpesa"/>
    <x v="2"/>
    <m/>
    <m/>
    <m/>
  </r>
  <r>
    <d v="2024-07-28T00:00:00"/>
    <d v="1899-12-30T11:18:00"/>
    <s v="eggs"/>
    <n v="2"/>
    <n v="40"/>
    <n v="28.666666666666668"/>
    <n v="11.333333333333332"/>
    <s v="Mpesa"/>
    <x v="2"/>
    <m/>
    <m/>
    <m/>
  </r>
  <r>
    <d v="2024-07-28T00:00:00"/>
    <d v="1899-12-30T11:18:00"/>
    <s v="Festive Bread 400g"/>
    <n v="1"/>
    <n v="65"/>
    <n v="60"/>
    <n v="5"/>
    <s v="Mpesa"/>
    <x v="2"/>
    <m/>
    <m/>
    <m/>
  </r>
  <r>
    <d v="2024-07-28T00:00:00"/>
    <d v="1899-12-30T11:18:00"/>
    <s v="Tomatoes"/>
    <n v="4"/>
    <n v="40"/>
    <n v="20"/>
    <n v="20"/>
    <s v="Mpesa"/>
    <x v="2"/>
    <m/>
    <m/>
    <m/>
  </r>
  <r>
    <d v="2024-07-28T00:00:00"/>
    <d v="1899-12-30T11:18:00"/>
    <s v="Onion"/>
    <n v="3"/>
    <n v="30"/>
    <n v="24"/>
    <n v="6"/>
    <s v="Mpesa"/>
    <x v="2"/>
    <m/>
    <m/>
    <m/>
  </r>
  <r>
    <d v="2024-07-28T00:00:00"/>
    <d v="1899-12-30T11:18:00"/>
    <s v="Dhania"/>
    <n v="1"/>
    <n v="5"/>
    <n v="3.3333333333333335"/>
    <n v="1.6666666666666665"/>
    <s v="Mpesa"/>
    <x v="2"/>
    <m/>
    <m/>
    <m/>
  </r>
  <r>
    <d v="2024-07-28T00:00:00"/>
    <d v="1899-12-30T11:18:00"/>
    <s v="hoho"/>
    <n v="1"/>
    <n v="10"/>
    <n v="6.666666666666667"/>
    <n v="3.333333333333333"/>
    <s v="Mpesa"/>
    <x v="2"/>
    <m/>
    <m/>
    <m/>
  </r>
  <r>
    <d v="2024-07-28T00:00:00"/>
    <d v="1899-12-30T12:02:00"/>
    <s v="omo 75g"/>
    <n v="1"/>
    <n v="35"/>
    <n v="27.5"/>
    <n v="7.5"/>
    <s v="Credit"/>
    <x v="3"/>
    <m/>
    <m/>
    <m/>
  </r>
  <r>
    <d v="2024-07-28T00:00:00"/>
    <d v="1899-12-30T12:23:00"/>
    <s v="Safari"/>
    <n v="3"/>
    <n v="45"/>
    <n v="25.5"/>
    <n v="19.5"/>
    <s v="Credit"/>
    <x v="9"/>
    <m/>
    <m/>
    <m/>
  </r>
  <r>
    <d v="2024-07-28T00:00:00"/>
    <d v="1899-12-30T12:40:00"/>
    <s v="soda 300ml glass"/>
    <n v="1"/>
    <n v="40"/>
    <n v="32.5"/>
    <n v="7.5"/>
    <s v="Cash"/>
    <x v="2"/>
    <m/>
    <m/>
    <m/>
  </r>
  <r>
    <d v="2024-07-28T00:00:00"/>
    <d v="1899-12-30T13:11:00"/>
    <s v="Ginger Bisquit"/>
    <n v="4"/>
    <n v="20"/>
    <n v="17.333333333333332"/>
    <n v="2.6666666666666679"/>
    <s v="Cash"/>
    <x v="2"/>
    <m/>
    <m/>
    <m/>
  </r>
  <r>
    <d v="2024-07-28T00:00:00"/>
    <d v="1899-12-30T13:11:00"/>
    <s v="Menengai Bar 1kg"/>
    <n v="0.2"/>
    <n v="50"/>
    <n v="38"/>
    <n v="12"/>
    <s v="Cash"/>
    <x v="2"/>
    <m/>
    <m/>
    <m/>
  </r>
  <r>
    <d v="2024-07-28T00:00:00"/>
    <d v="1899-12-30T13:11:00"/>
    <s v="Lighter"/>
    <n v="1"/>
    <n v="30"/>
    <n v="15"/>
    <n v="15"/>
    <s v="Cash"/>
    <x v="2"/>
    <m/>
    <m/>
    <m/>
  </r>
  <r>
    <d v="2024-07-28T00:00:00"/>
    <d v="1899-12-30T13:11:00"/>
    <s v="Match Box"/>
    <n v="1"/>
    <n v="5"/>
    <n v="2.3611111111111112"/>
    <n v="2.6388888888888888"/>
    <s v="Cash"/>
    <x v="2"/>
    <m/>
    <m/>
    <m/>
  </r>
  <r>
    <d v="2024-07-28T00:00:00"/>
    <d v="1899-12-30T13:11:00"/>
    <s v="omo 20g"/>
    <n v="1"/>
    <n v="15"/>
    <n v="9.1666666666666661"/>
    <n v="5.8333333333333339"/>
    <s v="Cash"/>
    <x v="2"/>
    <m/>
    <m/>
    <m/>
  </r>
  <r>
    <d v="2024-07-28T00:00:00"/>
    <d v="1899-12-30T13:12:00"/>
    <s v="BB Bread 400g"/>
    <n v="1"/>
    <n v="65"/>
    <n v="60"/>
    <n v="5"/>
    <s v="Credit"/>
    <x v="23"/>
    <m/>
    <m/>
    <m/>
  </r>
  <r>
    <d v="2024-07-28T00:00:00"/>
    <d v="1899-12-30T13:12:00"/>
    <s v="Indomie beef"/>
    <n v="1"/>
    <n v="50"/>
    <n v="38"/>
    <n v="12"/>
    <s v="Credit"/>
    <x v="23"/>
    <m/>
    <m/>
    <m/>
  </r>
  <r>
    <d v="2024-07-28T00:00:00"/>
    <d v="1899-12-30T14:04:00"/>
    <s v="Brookside Lala Natural"/>
    <n v="1"/>
    <n v="100"/>
    <n v="87"/>
    <n v="13"/>
    <s v="Cash"/>
    <x v="2"/>
    <m/>
    <m/>
    <m/>
  </r>
  <r>
    <d v="2024-07-28T00:00:00"/>
    <d v="1899-12-30T14:09:00"/>
    <s v="Bigdaddy"/>
    <n v="2"/>
    <n v="20"/>
    <n v="12"/>
    <n v="8"/>
    <s v="Mpesa"/>
    <x v="2"/>
    <m/>
    <m/>
    <m/>
  </r>
  <r>
    <d v="2024-07-28T00:00:00"/>
    <d v="1899-12-30T14:27:00"/>
    <s v="Indomie beef"/>
    <n v="5"/>
    <n v="250"/>
    <n v="190"/>
    <n v="60"/>
    <s v="Mpesa"/>
    <x v="2"/>
    <m/>
    <m/>
    <m/>
  </r>
  <r>
    <d v="2024-07-28T00:00:00"/>
    <d v="1899-12-30T14:43:00"/>
    <s v="Indomie beef"/>
    <n v="4"/>
    <n v="200"/>
    <n v="152"/>
    <n v="48"/>
    <s v="Mpesa"/>
    <x v="2"/>
    <m/>
    <m/>
    <m/>
  </r>
  <r>
    <d v="2024-07-28T00:00:00"/>
    <d v="1899-12-30T14:43:00"/>
    <s v="soda 500ml glass"/>
    <n v="1"/>
    <n v="55"/>
    <n v="50"/>
    <n v="5"/>
    <s v="Mpesa"/>
    <x v="2"/>
    <m/>
    <m/>
    <m/>
  </r>
  <r>
    <d v="2024-07-28T00:00:00"/>
    <d v="1899-12-30T15:44:00"/>
    <s v="Geisha big"/>
    <n v="1"/>
    <n v="120"/>
    <n v="95"/>
    <n v="25"/>
    <s v="Mpesa"/>
    <x v="2"/>
    <m/>
    <m/>
    <m/>
  </r>
  <r>
    <d v="2024-07-28T00:00:00"/>
    <d v="1899-12-30T15:44:00"/>
    <s v="Kienyeji  Eggs"/>
    <n v="2"/>
    <n v="60"/>
    <n v="40"/>
    <n v="20"/>
    <s v="Mpesa"/>
    <x v="2"/>
    <m/>
    <m/>
    <m/>
  </r>
  <r>
    <d v="2024-07-28T00:00:00"/>
    <d v="1899-12-30T16:30:00"/>
    <s v="omo 20g"/>
    <n v="1"/>
    <n v="15"/>
    <n v="9.1666666666666661"/>
    <n v="5.8333333333333339"/>
    <s v="Credit"/>
    <x v="12"/>
    <m/>
    <m/>
    <m/>
  </r>
  <r>
    <d v="2024-07-28T00:00:00"/>
    <d v="1899-12-30T16:35:00"/>
    <s v="scooter cans"/>
    <n v="1"/>
    <n v="20"/>
    <n v="15"/>
    <n v="5"/>
    <s v="Cash"/>
    <x v="2"/>
    <m/>
    <m/>
    <m/>
  </r>
  <r>
    <d v="2024-07-28T00:00:00"/>
    <d v="1899-12-30T16:35:00"/>
    <s v="Gomba"/>
    <n v="8"/>
    <n v="20"/>
    <n v="14.4"/>
    <n v="5.6"/>
    <s v="Cash"/>
    <x v="2"/>
    <m/>
    <m/>
    <m/>
  </r>
  <r>
    <d v="2024-07-28T00:00:00"/>
    <d v="1899-12-30T16:35:00"/>
    <s v="T.Heat Potato crisps salted 25g"/>
    <n v="1"/>
    <n v="30"/>
    <n v="22.916666666666668"/>
    <n v="7.0833333333333321"/>
    <s v="Cash"/>
    <x v="2"/>
    <m/>
    <m/>
    <m/>
  </r>
  <r>
    <d v="2024-07-28T00:00:00"/>
    <d v="1899-12-30T16:35:00"/>
    <s v="Fresh green"/>
    <n v="4"/>
    <n v="40"/>
    <n v="20"/>
    <n v="20"/>
    <s v="Cash"/>
    <x v="2"/>
    <m/>
    <m/>
    <m/>
  </r>
  <r>
    <d v="2024-07-28T00:00:00"/>
    <d v="1899-12-30T16:35:00"/>
    <s v="Bigdaddy"/>
    <n v="1"/>
    <n v="10"/>
    <n v="6"/>
    <n v="4"/>
    <s v="Cash"/>
    <x v="2"/>
    <m/>
    <m/>
    <m/>
  </r>
  <r>
    <d v="2024-07-28T00:00:00"/>
    <d v="1899-12-30T16:28:00"/>
    <s v="omo 20g"/>
    <n v="1"/>
    <n v="15"/>
    <n v="9.1666666666666661"/>
    <n v="5.8333333333333339"/>
    <s v="Mpesa"/>
    <x v="2"/>
    <m/>
    <m/>
    <m/>
  </r>
  <r>
    <d v="2024-07-28T00:00:00"/>
    <d v="1899-12-30T16:28:00"/>
    <s v="Whitewash "/>
    <n v="1"/>
    <n v="50"/>
    <n v="33.75"/>
    <n v="16.25"/>
    <s v="Mpesa"/>
    <x v="2"/>
    <m/>
    <m/>
    <m/>
  </r>
  <r>
    <d v="2024-07-28T00:00:00"/>
    <d v="1899-12-30T16:41:00"/>
    <s v="Cabbage"/>
    <n v="1"/>
    <n v="180"/>
    <n v="120"/>
    <n v="60"/>
    <s v="Cash"/>
    <x v="2"/>
    <m/>
    <m/>
    <m/>
  </r>
  <r>
    <d v="2024-07-28T00:00:00"/>
    <d v="1899-12-30T16:43:00"/>
    <s v="Indomie beef"/>
    <n v="1"/>
    <n v="50"/>
    <n v="38"/>
    <n v="12"/>
    <s v="Cash"/>
    <x v="2"/>
    <m/>
    <m/>
    <m/>
  </r>
  <r>
    <d v="2024-07-28T00:00:00"/>
    <d v="1899-12-30T16:43:00"/>
    <s v="Kienyeji  Eggs"/>
    <n v="1"/>
    <n v="30"/>
    <n v="20"/>
    <n v="10"/>
    <s v="Cash"/>
    <x v="2"/>
    <m/>
    <m/>
    <m/>
  </r>
  <r>
    <d v="2024-07-28T00:00:00"/>
    <d v="1899-12-30T16:43:00"/>
    <s v="Nuvita Bisquit"/>
    <n v="2"/>
    <n v="10"/>
    <n v="8.3333333333333339"/>
    <n v="1.6666666666666661"/>
    <s v="Cash"/>
    <x v="2"/>
    <m/>
    <m/>
    <m/>
  </r>
  <r>
    <d v="2024-07-28T00:00:00"/>
    <d v="1899-12-30T17:40:00"/>
    <s v="Mt kenya milk 500ml"/>
    <n v="1"/>
    <n v="65"/>
    <n v="48.333333333333336"/>
    <n v="16.666666666666664"/>
    <s v="Cash"/>
    <x v="2"/>
    <m/>
    <m/>
    <m/>
  </r>
  <r>
    <d v="2024-07-28T00:00:00"/>
    <d v="1899-12-30T17:40:00"/>
    <s v="BB Bread 200g"/>
    <n v="1"/>
    <n v="40"/>
    <n v="35"/>
    <n v="5"/>
    <s v="Credit"/>
    <x v="3"/>
    <m/>
    <m/>
    <m/>
  </r>
  <r>
    <d v="2024-07-28T00:00:00"/>
    <d v="1899-12-30T17:40:00"/>
    <s v="Mt kenya milk 500ml"/>
    <n v="1"/>
    <n v="65"/>
    <n v="48.333333333333336"/>
    <n v="16.666666666666664"/>
    <s v="Credit"/>
    <x v="3"/>
    <m/>
    <m/>
    <m/>
  </r>
  <r>
    <d v="2024-07-28T00:00:00"/>
    <d v="1899-12-30T17:57:00"/>
    <s v="waru"/>
    <n v="2"/>
    <n v="100"/>
    <n v="59.999999999999993"/>
    <n v="40.000000000000007"/>
    <s v="Credit"/>
    <x v="23"/>
    <m/>
    <m/>
    <m/>
  </r>
  <r>
    <d v="2024-07-28T00:00:00"/>
    <d v="1899-12-30T17:57:00"/>
    <s v="Tomato sauce"/>
    <n v="1"/>
    <n v="70"/>
    <n v="50"/>
    <n v="20"/>
    <s v="Credit"/>
    <x v="23"/>
    <m/>
    <m/>
    <m/>
  </r>
  <r>
    <d v="2024-07-28T00:00:00"/>
    <d v="1899-12-30T18:02:00"/>
    <s v="waru"/>
    <n v="1"/>
    <n v="50"/>
    <n v="29.999999999999996"/>
    <n v="20.000000000000004"/>
    <s v="Mpesa"/>
    <x v="2"/>
    <m/>
    <m/>
    <m/>
  </r>
  <r>
    <d v="2024-07-28T00:00:00"/>
    <d v="1899-12-30T18:35:00"/>
    <s v=" soda 1.25lts"/>
    <n v="1"/>
    <n v="130"/>
    <n v="112.5"/>
    <n v="17.5"/>
    <s v="Mpesa"/>
    <x v="2"/>
    <m/>
    <m/>
    <m/>
  </r>
  <r>
    <d v="2024-07-28T00:00:00"/>
    <d v="1899-12-30T19:20:00"/>
    <s v="Cooking Oil Measured"/>
    <n v="0.25"/>
    <n v="70"/>
    <n v="50"/>
    <n v="20"/>
    <s v="Cash"/>
    <x v="2"/>
    <m/>
    <m/>
    <m/>
  </r>
  <r>
    <d v="2024-07-28T00:00:00"/>
    <d v="1899-12-30T19:27:00"/>
    <s v="Ringoz Paprika"/>
    <n v="1"/>
    <n v="15"/>
    <n v="8.8000000000000007"/>
    <n v="6.1999999999999993"/>
    <s v="Mpesa"/>
    <x v="2"/>
    <m/>
    <m/>
    <m/>
  </r>
  <r>
    <d v="2024-07-28T00:00:00"/>
    <d v="1899-12-30T19:30:00"/>
    <s v="Hanaan Tissue"/>
    <n v="1"/>
    <n v="50"/>
    <n v="43"/>
    <n v="7"/>
    <s v="Mpesa"/>
    <x v="2"/>
    <m/>
    <m/>
    <m/>
  </r>
  <r>
    <d v="2024-07-28T00:00:00"/>
    <d v="1899-12-30T19:30:00"/>
    <s v="Royco cubes"/>
    <n v="7"/>
    <n v="35"/>
    <n v="21"/>
    <n v="14"/>
    <s v="Mpesa"/>
    <x v="2"/>
    <m/>
    <m/>
    <m/>
  </r>
  <r>
    <d v="2024-07-28T00:00:00"/>
    <d v="1899-12-30T19:37:00"/>
    <s v="Brookside milk 500ml"/>
    <n v="1"/>
    <n v="70"/>
    <n v="59"/>
    <n v="11"/>
    <s v="Cash"/>
    <x v="2"/>
    <m/>
    <m/>
    <m/>
  </r>
  <r>
    <d v="2024-07-28T00:00:00"/>
    <d v="1899-12-30T19:37:00"/>
    <s v="Festive Bread 400g"/>
    <n v="1"/>
    <n v="65"/>
    <n v="60"/>
    <n v="5"/>
    <s v="Cash"/>
    <x v="2"/>
    <m/>
    <m/>
    <m/>
  </r>
  <r>
    <d v="2024-07-28T00:00:00"/>
    <d v="1899-12-30T19:37:00"/>
    <s v="Dhania"/>
    <n v="1"/>
    <n v="5"/>
    <n v="3.3333333333333335"/>
    <n v="1.6666666666666665"/>
    <s v="Cash"/>
    <x v="2"/>
    <m/>
    <m/>
    <m/>
  </r>
  <r>
    <d v="2024-07-28T00:00:00"/>
    <d v="1899-12-30T19:43:00"/>
    <s v="Royco cubes"/>
    <n v="2"/>
    <n v="10"/>
    <n v="6"/>
    <n v="4"/>
    <s v="Credit"/>
    <x v="5"/>
    <m/>
    <m/>
    <m/>
  </r>
  <r>
    <d v="2024-07-28T00:00:00"/>
    <d v="1899-12-30T20:18:00"/>
    <s v="ariel 10g"/>
    <n v="1"/>
    <n v="15"/>
    <n v="9.1666666666666661"/>
    <n v="5.8333333333333339"/>
    <s v="Credit"/>
    <x v="5"/>
    <m/>
    <m/>
    <m/>
  </r>
  <r>
    <d v="2024-07-28T00:00:00"/>
    <d v="1899-12-30T20:18:00"/>
    <s v="Whitewash "/>
    <n v="1"/>
    <n v="50"/>
    <n v="33.75"/>
    <n v="16.25"/>
    <s v="Credit"/>
    <x v="5"/>
    <m/>
    <m/>
    <m/>
  </r>
  <r>
    <d v="2024-07-28T00:00:00"/>
    <d v="1899-12-30T20:18:00"/>
    <s v="predator"/>
    <n v="1"/>
    <n v="70"/>
    <n v="54.166666666666664"/>
    <n v="15.833333333333336"/>
    <s v="Credit"/>
    <x v="5"/>
    <m/>
    <m/>
    <m/>
  </r>
  <r>
    <d v="2024-07-28T00:00:00"/>
    <d v="1899-12-30T20:18:00"/>
    <s v="6kg grill stand"/>
    <n v="1"/>
    <n v="300"/>
    <n v="190"/>
    <n v="110"/>
    <s v="Credit"/>
    <x v="5"/>
    <m/>
    <m/>
    <m/>
  </r>
  <r>
    <d v="2024-07-29T00:00:00"/>
    <d v="1899-12-30T08:24:00"/>
    <s v="BB Bread 400g"/>
    <n v="1"/>
    <n v="65"/>
    <n v="60"/>
    <n v="5"/>
    <s v="Mpesa"/>
    <x v="2"/>
    <m/>
    <m/>
    <m/>
  </r>
  <r>
    <d v="2024-07-29T00:00:00"/>
    <d v="1899-12-30T08:24:00"/>
    <s v="Blueband 100g"/>
    <n v="1"/>
    <n v="70"/>
    <n v="58.333333333333336"/>
    <n v="11.666666666666664"/>
    <s v="Mpesa"/>
    <x v="2"/>
    <m/>
    <m/>
    <m/>
  </r>
  <r>
    <d v="2024-07-29T00:00:00"/>
    <d v="1899-12-30T08:48:00"/>
    <s v="Kinangop Fresh Milk 500ml"/>
    <n v="1"/>
    <n v="60"/>
    <n v="55"/>
    <n v="5"/>
    <s v="Credit"/>
    <x v="3"/>
    <m/>
    <m/>
    <m/>
  </r>
  <r>
    <d v="2024-07-29T00:00:00"/>
    <d v="1899-12-30T08:48:00"/>
    <s v="BB Bread 400g"/>
    <n v="1"/>
    <n v="65"/>
    <n v="60"/>
    <n v="5"/>
    <s v="Credit"/>
    <x v="3"/>
    <m/>
    <m/>
    <m/>
  </r>
  <r>
    <d v="2024-07-29T00:00:00"/>
    <d v="1899-12-30T08:53:00"/>
    <s v="BB Bread 400g"/>
    <n v="1"/>
    <n v="65"/>
    <n v="60"/>
    <n v="5"/>
    <s v="Mpesa"/>
    <x v="2"/>
    <m/>
    <m/>
    <m/>
  </r>
  <r>
    <d v="2024-07-29T00:00:00"/>
    <d v="1899-12-30T08:53:00"/>
    <s v="Blueband 100g"/>
    <n v="1"/>
    <n v="70"/>
    <n v="58.333333333333336"/>
    <n v="11.666666666666664"/>
    <s v="Mpesa"/>
    <x v="2"/>
    <m/>
    <m/>
    <m/>
  </r>
  <r>
    <d v="2024-07-29T00:00:00"/>
    <d v="1899-12-30T09:56:00"/>
    <s v="Hanaan Tissue"/>
    <n v="1"/>
    <n v="50"/>
    <n v="43"/>
    <n v="7"/>
    <s v="Cash"/>
    <x v="2"/>
    <m/>
    <m/>
    <m/>
  </r>
  <r>
    <d v="2024-07-29T00:00:00"/>
    <d v="1899-12-30T10:18:00"/>
    <s v="predator"/>
    <n v="1"/>
    <n v="70"/>
    <n v="54.166666666666664"/>
    <n v="15.833333333333336"/>
    <s v="Mpesa"/>
    <x v="2"/>
    <m/>
    <m/>
    <m/>
  </r>
  <r>
    <d v="2024-07-29T00:00:00"/>
    <d v="1899-12-30T10:18:00"/>
    <s v="Peanut Cookies"/>
    <n v="1"/>
    <n v="35"/>
    <n v="25"/>
    <n v="10"/>
    <s v="Credit"/>
    <x v="19"/>
    <s v="Titus"/>
    <n v="25"/>
    <s v="Cash"/>
  </r>
  <r>
    <d v="2024-07-29T00:00:00"/>
    <d v="1899-12-30T10:20:00"/>
    <s v="Sunny girl pad"/>
    <n v="1"/>
    <n v="70"/>
    <n v="56.666666666666664"/>
    <n v="13.333333333333336"/>
    <s v="Cash"/>
    <x v="2"/>
    <m/>
    <m/>
    <m/>
  </r>
  <r>
    <d v="2024-07-29T00:00:00"/>
    <d v="1899-12-30T10:29:00"/>
    <s v="Jumbo Tissue"/>
    <n v="1"/>
    <n v="120"/>
    <n v="90"/>
    <n v="30"/>
    <s v="Mpesa"/>
    <x v="2"/>
    <m/>
    <m/>
    <m/>
  </r>
  <r>
    <d v="2024-07-29T00:00:00"/>
    <d v="1899-12-30T10:29:00"/>
    <s v="omo 75g"/>
    <n v="1"/>
    <n v="35"/>
    <n v="27.5"/>
    <n v="7.5"/>
    <s v="Mpesa"/>
    <x v="2"/>
    <m/>
    <m/>
    <m/>
  </r>
  <r>
    <d v="2024-07-29T00:00:00"/>
    <d v="1899-12-30T10:52:00"/>
    <s v="Panadol Extra"/>
    <n v="1"/>
    <n v="20"/>
    <n v="13"/>
    <n v="7"/>
    <s v="Mpesa"/>
    <x v="2"/>
    <m/>
    <m/>
    <m/>
  </r>
  <r>
    <d v="2024-07-29T00:00:00"/>
    <d v="1899-12-30T10:52:00"/>
    <s v="Bigboss"/>
    <n v="1"/>
    <n v="5"/>
    <n v="3.5"/>
    <n v="1.5"/>
    <s v="Mpesa"/>
    <x v="2"/>
    <m/>
    <m/>
    <m/>
  </r>
  <r>
    <d v="2024-07-29T00:00:00"/>
    <d v="1899-12-30T11:59:00"/>
    <s v="Banana"/>
    <n v="2"/>
    <n v="20"/>
    <n v="16.666666666666668"/>
    <n v="3.3333333333333321"/>
    <s v="Cash"/>
    <x v="2"/>
    <m/>
    <m/>
    <m/>
  </r>
  <r>
    <d v="2024-07-29T00:00:00"/>
    <d v="1899-12-30T12:25:00"/>
    <s v="eggs"/>
    <n v="4"/>
    <n v="80"/>
    <n v="57.333333333333336"/>
    <n v="22.666666666666664"/>
    <s v="Credit"/>
    <x v="1"/>
    <m/>
    <m/>
    <m/>
  </r>
  <r>
    <d v="2024-07-29T00:00:00"/>
    <d v="1899-12-30T12:25:00"/>
    <s v="Aspirin"/>
    <n v="1"/>
    <n v="10"/>
    <n v="7"/>
    <n v="3"/>
    <s v="Credit"/>
    <x v="1"/>
    <m/>
    <m/>
    <m/>
  </r>
  <r>
    <d v="2024-07-29T00:00:00"/>
    <d v="1899-12-30T12:35:00"/>
    <s v="Pembe 2kg"/>
    <n v="2"/>
    <n v="320"/>
    <n v="246.66666666666666"/>
    <n v="73.333333333333343"/>
    <s v="Credit"/>
    <x v="19"/>
    <m/>
    <m/>
    <m/>
  </r>
  <r>
    <d v="2024-07-29T00:00:00"/>
    <d v="1899-12-30T12:35:00"/>
    <s v="Tomatoes"/>
    <n v="1"/>
    <n v="10"/>
    <n v="5"/>
    <n v="5"/>
    <s v="Credit"/>
    <x v="19"/>
    <m/>
    <m/>
    <m/>
  </r>
  <r>
    <d v="2024-07-29T00:00:00"/>
    <d v="1899-12-30T12:35:00"/>
    <s v="Cooking Oil Measured"/>
    <n v="0.5"/>
    <n v="140"/>
    <n v="100"/>
    <n v="40"/>
    <s v="Credit"/>
    <x v="19"/>
    <m/>
    <m/>
    <m/>
  </r>
  <r>
    <d v="2024-07-29T00:00:00"/>
    <d v="1899-12-30T12:35:00"/>
    <s v="Onion"/>
    <n v="1"/>
    <n v="10"/>
    <n v="8"/>
    <n v="2"/>
    <s v="Credit"/>
    <x v="19"/>
    <m/>
    <m/>
    <m/>
  </r>
  <r>
    <d v="2024-07-29T00:00:00"/>
    <d v="1899-12-30T14:01:00"/>
    <s v="Indomie chicken"/>
    <n v="4"/>
    <n v="200"/>
    <n v="150"/>
    <n v="50"/>
    <s v="Mpesa"/>
    <x v="2"/>
    <m/>
    <m/>
    <m/>
  </r>
  <r>
    <d v="2024-07-29T00:00:00"/>
    <d v="1899-12-30T14:01:00"/>
    <s v="eggs"/>
    <n v="3"/>
    <n v="60"/>
    <n v="43"/>
    <n v="17"/>
    <s v="Mpesa"/>
    <x v="2"/>
    <m/>
    <m/>
    <m/>
  </r>
  <r>
    <d v="2024-07-29T00:00:00"/>
    <d v="1899-12-30T14:23:00"/>
    <s v="Softcare pads"/>
    <n v="1"/>
    <n v="85"/>
    <n v="66"/>
    <n v="19"/>
    <s v="Credit"/>
    <x v="8"/>
    <m/>
    <m/>
    <m/>
  </r>
  <r>
    <d v="2024-07-29T00:00:00"/>
    <d v="1899-12-30T14:23:00"/>
    <s v="BB Bread 400g"/>
    <n v="1"/>
    <n v="65"/>
    <n v="60"/>
    <n v="5"/>
    <s v="Credit"/>
    <x v="8"/>
    <m/>
    <m/>
    <m/>
  </r>
  <r>
    <d v="2024-07-29T00:00:00"/>
    <d v="1899-12-30T15:08:00"/>
    <s v="eggs"/>
    <n v="1"/>
    <n v="20"/>
    <n v="14.333333333333334"/>
    <n v="5.6666666666666661"/>
    <s v="Cash"/>
    <x v="2"/>
    <m/>
    <m/>
    <m/>
  </r>
  <r>
    <d v="2024-07-29T00:00:00"/>
    <d v="1899-12-30T16:31:00"/>
    <s v="Festive Bread 400g"/>
    <n v="1"/>
    <n v="65"/>
    <n v="60"/>
    <n v="5"/>
    <s v="Mpesa"/>
    <x v="2"/>
    <m/>
    <m/>
    <m/>
  </r>
  <r>
    <d v="2024-07-29T00:00:00"/>
    <d v="1899-12-30T16:56:00"/>
    <s v="eggs"/>
    <n v="3"/>
    <n v="60"/>
    <n v="43"/>
    <n v="17"/>
    <s v="Cash"/>
    <x v="2"/>
    <m/>
    <m/>
    <m/>
  </r>
  <r>
    <d v="2024-07-29T00:00:00"/>
    <d v="1899-12-30T16:56:00"/>
    <s v="scooter cans"/>
    <n v="1"/>
    <n v="20"/>
    <n v="15"/>
    <n v="5"/>
    <s v="Cash"/>
    <x v="2"/>
    <m/>
    <m/>
    <m/>
  </r>
  <r>
    <d v="2024-07-29T00:00:00"/>
    <d v="1899-12-30T18:28:00"/>
    <s v="kabras sugar 1kg"/>
    <n v="1"/>
    <n v="180"/>
    <n v="140"/>
    <n v="40"/>
    <s v="Mpesa"/>
    <x v="2"/>
    <m/>
    <m/>
    <m/>
  </r>
  <r>
    <d v="2024-07-29T00:00:00"/>
    <d v="1899-12-30T18:28:00"/>
    <s v="Kinangop Fresh Milk 500ml"/>
    <n v="1"/>
    <n v="60"/>
    <n v="55"/>
    <n v="5"/>
    <s v="Mpesa"/>
    <x v="2"/>
    <m/>
    <m/>
    <m/>
  </r>
  <r>
    <d v="2024-07-29T00:00:00"/>
    <d v="1899-12-30T18:48:00"/>
    <s v="Pishori rice"/>
    <n v="1"/>
    <n v="220"/>
    <n v="180"/>
    <n v="40"/>
    <s v="Mpesa"/>
    <x v="2"/>
    <m/>
    <m/>
    <m/>
  </r>
  <r>
    <d v="2024-07-29T00:00:00"/>
    <d v="1899-12-30T18:48:00"/>
    <s v="Mt kenya milk 500ml"/>
    <n v="2"/>
    <n v="130"/>
    <n v="96.666666666666671"/>
    <n v="33.333333333333329"/>
    <s v="Mpesa"/>
    <x v="2"/>
    <m/>
    <m/>
    <m/>
  </r>
  <r>
    <d v="2024-07-29T00:00:00"/>
    <d v="1899-12-30T18:48:00"/>
    <s v="BB Bread 200g"/>
    <n v="1"/>
    <n v="40"/>
    <n v="35"/>
    <n v="5"/>
    <s v="Mpesa"/>
    <x v="2"/>
    <m/>
    <m/>
    <m/>
  </r>
  <r>
    <d v="2024-07-29T00:00:00"/>
    <d v="1899-12-30T18:48:00"/>
    <s v="hoho"/>
    <n v="2"/>
    <n v="20"/>
    <n v="13.333333333333334"/>
    <n v="6.6666666666666661"/>
    <s v="Mpesa"/>
    <x v="2"/>
    <m/>
    <m/>
    <m/>
  </r>
  <r>
    <d v="2024-07-29T00:00:00"/>
    <d v="1899-12-30T18:48:00"/>
    <s v="Dhania"/>
    <n v="1"/>
    <n v="5"/>
    <n v="3.3333333333333335"/>
    <n v="1.6666666666666665"/>
    <s v="Mpesa"/>
    <x v="2"/>
    <m/>
    <m/>
    <m/>
  </r>
  <r>
    <d v="2024-07-29T00:00:00"/>
    <d v="1899-12-30T18:48:00"/>
    <s v="Colgate 35g"/>
    <n v="1"/>
    <n v="80"/>
    <n v="62.5"/>
    <n v="17.5"/>
    <s v="Mpesa"/>
    <x v="2"/>
    <m/>
    <m/>
    <m/>
  </r>
  <r>
    <d v="2024-07-29T00:00:00"/>
    <d v="1899-12-30T19:07:00"/>
    <s v="Kaluma King"/>
    <n v="2"/>
    <n v="40"/>
    <n v="26"/>
    <n v="14"/>
    <s v="Mpesa"/>
    <x v="2"/>
    <m/>
    <m/>
    <m/>
  </r>
  <r>
    <d v="2024-07-29T00:00:00"/>
    <d v="1899-12-30T19:12:00"/>
    <s v="sossi"/>
    <n v="1"/>
    <n v="50"/>
    <n v="37.5"/>
    <n v="12.5"/>
    <s v="Mpesa"/>
    <x v="2"/>
    <m/>
    <m/>
    <m/>
  </r>
  <r>
    <d v="2024-07-29T00:00:00"/>
    <d v="1899-12-30T19:12:00"/>
    <s v="Festive Bread 400g"/>
    <n v="1"/>
    <n v="65"/>
    <n v="60"/>
    <n v="5"/>
    <s v="Mpesa"/>
    <x v="2"/>
    <m/>
    <m/>
    <m/>
  </r>
  <r>
    <d v="2024-07-29T00:00:00"/>
    <d v="1899-12-30T19:41:00"/>
    <s v="Tropical"/>
    <n v="4"/>
    <n v="20"/>
    <n v="6"/>
    <n v="14"/>
    <s v="Cash"/>
    <x v="2"/>
    <m/>
    <m/>
    <m/>
  </r>
  <r>
    <d v="2024-07-29T00:00:00"/>
    <d v="1899-12-30T20:10:00"/>
    <s v="Tomatoes"/>
    <n v="2"/>
    <n v="20"/>
    <n v="10"/>
    <n v="10"/>
    <s v="Credit"/>
    <x v="8"/>
    <m/>
    <m/>
    <m/>
  </r>
  <r>
    <d v="2024-07-29T00:00:00"/>
    <d v="1899-12-30T20:10:00"/>
    <s v="waru"/>
    <n v="1"/>
    <n v="50"/>
    <n v="29.999999999999996"/>
    <n v="20.000000000000004"/>
    <s v="Credit"/>
    <x v="8"/>
    <m/>
    <m/>
    <m/>
  </r>
  <r>
    <d v="2024-07-29T00:00:00"/>
    <d v="1899-12-30T20:10:00"/>
    <s v="Onion"/>
    <n v="1"/>
    <n v="10"/>
    <n v="8"/>
    <n v="2"/>
    <s v="Credit"/>
    <x v="8"/>
    <m/>
    <m/>
    <m/>
  </r>
  <r>
    <d v="2024-07-29T00:00:00"/>
    <d v="1899-12-30T20:10:00"/>
    <s v="Dhania"/>
    <n v="1"/>
    <n v="5"/>
    <n v="3.3333333333333335"/>
    <n v="1.6666666666666665"/>
    <s v="Credit"/>
    <x v="8"/>
    <m/>
    <m/>
    <m/>
  </r>
  <r>
    <d v="2024-07-29T00:00:00"/>
    <d v="1899-12-30T20:31:00"/>
    <s v="Hanaan Tissue"/>
    <n v="1"/>
    <n v="50"/>
    <n v="43"/>
    <n v="7"/>
    <s v="Mpesa"/>
    <x v="2"/>
    <m/>
    <m/>
    <m/>
  </r>
  <r>
    <d v="2024-07-29T00:00:00"/>
    <d v="1899-12-30T20:31:00"/>
    <s v="Brookside Lala Sweetened"/>
    <n v="1"/>
    <n v="110"/>
    <n v="93"/>
    <n v="17"/>
    <s v="Mpesa"/>
    <x v="2"/>
    <m/>
    <m/>
    <m/>
  </r>
  <r>
    <d v="2024-07-30T00:00:00"/>
    <d v="1899-12-30T07:40:00"/>
    <s v="Toss 500g"/>
    <n v="1"/>
    <n v="250"/>
    <n v="175"/>
    <n v="75"/>
    <s v="Cash"/>
    <x v="2"/>
    <m/>
    <m/>
    <m/>
  </r>
  <r>
    <d v="2024-07-30T00:00:00"/>
    <d v="1899-12-30T07:45:00"/>
    <s v="BB Bread 400g"/>
    <n v="1"/>
    <n v="65"/>
    <n v="60"/>
    <n v="5"/>
    <s v="Credit"/>
    <x v="1"/>
    <m/>
    <m/>
    <m/>
  </r>
  <r>
    <d v="2024-07-30T00:00:00"/>
    <d v="1899-12-30T07:45:00"/>
    <s v="eggs"/>
    <n v="3"/>
    <n v="60"/>
    <n v="43"/>
    <n v="17"/>
    <s v="Credit"/>
    <x v="1"/>
    <m/>
    <m/>
    <m/>
  </r>
  <r>
    <d v="2024-07-30T00:00:00"/>
    <d v="1899-12-30T07:45:00"/>
    <s v="Onion"/>
    <n v="1"/>
    <n v="10"/>
    <n v="8"/>
    <n v="2"/>
    <s v="Credit"/>
    <x v="1"/>
    <m/>
    <m/>
    <m/>
  </r>
  <r>
    <d v="2024-07-30T00:00:00"/>
    <d v="1899-12-30T07:45:00"/>
    <s v="Tomatoes"/>
    <n v="1"/>
    <n v="10"/>
    <n v="5"/>
    <n v="5"/>
    <s v="Credit"/>
    <x v="1"/>
    <m/>
    <m/>
    <m/>
  </r>
  <r>
    <d v="2024-07-30T00:00:00"/>
    <d v="1899-12-30T08:24:00"/>
    <s v="Airtel 20 Credit"/>
    <n v="1"/>
    <n v="20"/>
    <n v="18"/>
    <n v="2"/>
    <s v="Cash"/>
    <x v="2"/>
    <m/>
    <m/>
    <m/>
  </r>
  <r>
    <d v="2024-07-30T00:00:00"/>
    <d v="1899-12-30T08:24:00"/>
    <s v="Airtel 10 Credit"/>
    <n v="1"/>
    <n v="10"/>
    <n v="9"/>
    <n v="1"/>
    <s v="Cash"/>
    <x v="2"/>
    <m/>
    <m/>
    <m/>
  </r>
  <r>
    <d v="2024-07-30T00:00:00"/>
    <d v="1899-12-30T08:45:00"/>
    <s v="Safari"/>
    <n v="1"/>
    <n v="15"/>
    <n v="8.5"/>
    <n v="6.5"/>
    <s v="Cash"/>
    <x v="2"/>
    <m/>
    <m/>
    <m/>
  </r>
  <r>
    <d v="2024-07-30T00:00:00"/>
    <d v="1899-12-30T09:10:00"/>
    <s v="Kinangop Fresh Milk 500ml"/>
    <n v="1"/>
    <n v="60"/>
    <n v="55"/>
    <n v="5"/>
    <s v="Credit"/>
    <x v="3"/>
    <m/>
    <m/>
    <m/>
  </r>
  <r>
    <d v="2024-07-30T00:00:00"/>
    <d v="1899-12-30T09:10:00"/>
    <s v="BB Bread 400g"/>
    <n v="1"/>
    <n v="65"/>
    <n v="60"/>
    <n v="5"/>
    <s v="Credit"/>
    <x v="3"/>
    <m/>
    <m/>
    <m/>
  </r>
  <r>
    <d v="2024-07-30T00:00:00"/>
    <d v="1899-12-30T09:12:00"/>
    <s v="Kdf"/>
    <n v="2"/>
    <n v="20"/>
    <n v="16.666666666666668"/>
    <n v="3.3333333333333321"/>
    <s v="Mpesa"/>
    <x v="2"/>
    <m/>
    <m/>
    <m/>
  </r>
  <r>
    <d v="2024-07-30T00:00:00"/>
    <d v="1899-12-30T09:12:00"/>
    <s v="Salama Condom"/>
    <n v="1"/>
    <n v="50"/>
    <n v="40"/>
    <n v="10"/>
    <s v="Mpesa"/>
    <x v="2"/>
    <m/>
    <m/>
    <m/>
  </r>
  <r>
    <d v="2024-07-30T00:00:00"/>
    <d v="1899-12-30T10:02:00"/>
    <s v="Mt Kenya milk 200ml"/>
    <n v="1"/>
    <n v="35"/>
    <n v="24.285714285714285"/>
    <n v="10.714285714285715"/>
    <s v="Credit"/>
    <x v="5"/>
    <m/>
    <m/>
    <m/>
  </r>
  <r>
    <d v="2024-07-30T00:00:00"/>
    <d v="1899-12-30T10:20:00"/>
    <s v="Kinangop Fresh Milk 500ml"/>
    <n v="1"/>
    <n v="60"/>
    <n v="55"/>
    <n v="5"/>
    <s v="Cash"/>
    <x v="2"/>
    <m/>
    <m/>
    <m/>
  </r>
  <r>
    <d v="2024-07-30T00:00:00"/>
    <d v="1899-12-30T10:42:00"/>
    <s v="Kdf"/>
    <n v="6"/>
    <n v="60"/>
    <n v="50"/>
    <n v="10"/>
    <s v="Cash"/>
    <x v="2"/>
    <m/>
    <m/>
    <m/>
  </r>
  <r>
    <d v="2024-07-30T00:00:00"/>
    <d v="1899-12-30T10:42:00"/>
    <s v="Peanut Cookies"/>
    <n v="1"/>
    <n v="35"/>
    <n v="25"/>
    <n v="10"/>
    <s v="Cash"/>
    <x v="2"/>
    <m/>
    <m/>
    <m/>
  </r>
  <r>
    <d v="2024-07-30T00:00:00"/>
    <d v="1899-12-30T10:49:00"/>
    <s v="Festive 600g"/>
    <n v="1"/>
    <n v="100"/>
    <n v="90"/>
    <n v="10"/>
    <s v="Mpesa"/>
    <x v="2"/>
    <m/>
    <m/>
    <m/>
  </r>
  <r>
    <d v="2024-07-30T00:00:00"/>
    <d v="1899-12-30T11:44:00"/>
    <s v="Medium Colgate Toothbrush"/>
    <n v="2"/>
    <n v="80"/>
    <n v="50"/>
    <n v="30"/>
    <s v="Mpesa"/>
    <x v="2"/>
    <m/>
    <m/>
    <m/>
  </r>
  <r>
    <d v="2024-07-30T00:00:00"/>
    <d v="1899-12-30T12:04:00"/>
    <s v="Match Box"/>
    <n v="8"/>
    <n v="40"/>
    <n v="18.888888888888889"/>
    <n v="21.111111111111111"/>
    <s v="Cash"/>
    <x v="2"/>
    <m/>
    <m/>
    <m/>
  </r>
  <r>
    <d v="2024-07-30T00:00:00"/>
    <d v="1899-12-30T12:39:00"/>
    <s v="soda 500ml glass"/>
    <n v="1"/>
    <n v="55"/>
    <n v="50"/>
    <n v="5"/>
    <s v="Mpesa"/>
    <x v="2"/>
    <m/>
    <m/>
    <m/>
  </r>
  <r>
    <d v="2024-07-30T00:00:00"/>
    <d v="1899-12-30T12:39:00"/>
    <s v="Kdf"/>
    <n v="4"/>
    <n v="40"/>
    <n v="33.333333333333336"/>
    <n v="6.6666666666666643"/>
    <s v="Mpesa"/>
    <x v="2"/>
    <m/>
    <m/>
    <m/>
  </r>
  <r>
    <d v="2024-07-30T00:00:00"/>
    <d v="1899-12-30T13:13:00"/>
    <s v="Onion"/>
    <n v="2"/>
    <n v="20"/>
    <n v="16"/>
    <n v="4"/>
    <s v="Cash"/>
    <x v="2"/>
    <m/>
    <m/>
    <m/>
  </r>
  <r>
    <d v="2024-07-30T00:00:00"/>
    <d v="1899-12-30T13:14:00"/>
    <s v="soda 300ml glass"/>
    <n v="1"/>
    <n v="40"/>
    <n v="32.5"/>
    <n v="7.5"/>
    <s v="Mpesa"/>
    <x v="2"/>
    <m/>
    <m/>
    <m/>
  </r>
  <r>
    <d v="2024-07-30T00:00:00"/>
    <d v="1899-12-30T13:14:00"/>
    <s v="Coconut Cakes"/>
    <n v="1"/>
    <n v="10"/>
    <n v="8.3333333333333339"/>
    <n v="1.6666666666666661"/>
    <s v="Mpesa"/>
    <x v="2"/>
    <m/>
    <m/>
    <m/>
  </r>
  <r>
    <d v="2024-07-30T00:00:00"/>
    <d v="1899-12-30T13:16:00"/>
    <s v="eggs"/>
    <n v="30"/>
    <n v="600"/>
    <n v="430"/>
    <n v="170"/>
    <s v="Mpesa"/>
    <x v="2"/>
    <m/>
    <m/>
    <m/>
  </r>
  <r>
    <d v="2024-07-30T00:00:00"/>
    <d v="1899-12-30T13:16:00"/>
    <s v="Goodday Cookies"/>
    <n v="1"/>
    <n v="15"/>
    <n v="9.3333333333333339"/>
    <n v="5.6666666666666661"/>
    <s v="Credit"/>
    <x v="25"/>
    <m/>
    <m/>
    <m/>
  </r>
  <r>
    <d v="2024-07-30T00:00:00"/>
    <d v="1899-12-30T14:03:00"/>
    <s v="Safaricom 10 Credit"/>
    <n v="1"/>
    <n v="10"/>
    <n v="9"/>
    <n v="1"/>
    <s v="Cash"/>
    <x v="2"/>
    <m/>
    <m/>
    <m/>
  </r>
  <r>
    <d v="2024-07-30T00:00:00"/>
    <d v="1899-12-30T17:51:00"/>
    <s v="Indomie chicken"/>
    <n v="1"/>
    <n v="50"/>
    <n v="37.5"/>
    <n v="12.5"/>
    <s v="Cash"/>
    <x v="2"/>
    <m/>
    <m/>
    <m/>
  </r>
  <r>
    <d v="2024-07-30T00:00:00"/>
    <d v="1899-12-30T17:56:00"/>
    <s v="Match Box"/>
    <n v="3"/>
    <n v="15"/>
    <n v="7.0833333333333339"/>
    <n v="7.9166666666666661"/>
    <s v="Cash"/>
    <x v="2"/>
    <m/>
    <m/>
    <m/>
  </r>
  <r>
    <d v="2024-07-30T00:00:00"/>
    <d v="1899-12-30T17:58:00"/>
    <s v="Coconut Cakes"/>
    <n v="4"/>
    <n v="40"/>
    <n v="33.333333333333336"/>
    <n v="6.6666666666666643"/>
    <s v="Mpesa"/>
    <x v="2"/>
    <m/>
    <m/>
    <m/>
  </r>
  <r>
    <d v="2024-07-30T00:00:00"/>
    <d v="1899-12-30T17:58:00"/>
    <s v="Tamu  Tamu Green"/>
    <n v="2"/>
    <n v="30"/>
    <n v="17.2"/>
    <n v="12.8"/>
    <s v="Mpesa"/>
    <x v="2"/>
    <m/>
    <m/>
    <m/>
  </r>
  <r>
    <d v="2024-07-30T00:00:00"/>
    <d v="1899-12-30T17:58:00"/>
    <s v="Milo"/>
    <n v="1"/>
    <n v="20"/>
    <n v="17.916666666666668"/>
    <n v="2.0833333333333321"/>
    <s v="Mpesa"/>
    <x v="2"/>
    <m/>
    <m/>
    <m/>
  </r>
  <r>
    <d v="2024-07-30T00:00:00"/>
    <d v="1899-12-30T17:58:00"/>
    <s v="Bigdaddy"/>
    <n v="1"/>
    <n v="10"/>
    <n v="6"/>
    <n v="4"/>
    <s v="Mpesa"/>
    <x v="2"/>
    <m/>
    <m/>
    <m/>
  </r>
  <r>
    <d v="2024-07-30T00:00:00"/>
    <d v="1899-12-30T18:28:00"/>
    <s v="eggs"/>
    <n v="5"/>
    <n v="100"/>
    <n v="71.666666666666671"/>
    <n v="28.333333333333329"/>
    <s v="Mpesa"/>
    <x v="2"/>
    <m/>
    <m/>
    <m/>
  </r>
  <r>
    <d v="2024-07-30T00:00:00"/>
    <d v="1899-12-30T18:28:00"/>
    <s v="Pembe 2kg"/>
    <n v="1"/>
    <n v="160"/>
    <n v="123.33333333333333"/>
    <n v="36.666666666666671"/>
    <s v="Mpesa"/>
    <x v="2"/>
    <m/>
    <m/>
    <m/>
  </r>
  <r>
    <d v="2024-07-30T00:00:00"/>
    <d v="1899-12-30T18:28:00"/>
    <s v="Dhania"/>
    <n v="1"/>
    <n v="5"/>
    <n v="3.3333333333333335"/>
    <n v="1.6666666666666665"/>
    <s v="Mpesa"/>
    <x v="2"/>
    <m/>
    <m/>
    <m/>
  </r>
  <r>
    <d v="2024-07-30T00:00:00"/>
    <d v="1899-12-30T18:28:00"/>
    <s v="Hanaan Tissue"/>
    <n v="1"/>
    <n v="50"/>
    <n v="43"/>
    <n v="7"/>
    <s v="Mpesa"/>
    <x v="2"/>
    <m/>
    <m/>
    <m/>
  </r>
  <r>
    <d v="2024-07-30T00:00:00"/>
    <d v="1899-12-30T18:28:00"/>
    <s v="Mt kenya milk 500ml"/>
    <n v="1"/>
    <n v="65"/>
    <n v="48.333333333333336"/>
    <n v="16.666666666666664"/>
    <s v="Mpesa"/>
    <x v="2"/>
    <m/>
    <m/>
    <m/>
  </r>
  <r>
    <d v="2024-07-30T00:00:00"/>
    <d v="1899-12-30T18:39:00"/>
    <s v="Cooking Oil Measured"/>
    <n v="0.25"/>
    <n v="70"/>
    <n v="50"/>
    <n v="20"/>
    <s v="Mpesa"/>
    <x v="2"/>
    <m/>
    <m/>
    <m/>
  </r>
  <r>
    <d v="2024-07-30T00:00:00"/>
    <d v="1899-12-30T18:41:00"/>
    <s v="Arimis big"/>
    <n v="1"/>
    <n v="60"/>
    <n v="45.833333333333336"/>
    <n v="14.166666666666664"/>
    <s v="Credit"/>
    <x v="14"/>
    <m/>
    <m/>
    <m/>
  </r>
  <r>
    <d v="2024-07-30T00:00:00"/>
    <d v="1899-12-30T18:41:00"/>
    <s v="Safari"/>
    <n v="3"/>
    <n v="45"/>
    <n v="25.5"/>
    <n v="19.5"/>
    <s v="Credit"/>
    <x v="9"/>
    <s v="Masaku"/>
    <n v="35"/>
    <s v="Mpesa"/>
  </r>
  <r>
    <d v="2024-07-30T00:00:00"/>
    <d v="1899-12-30T19:25:00"/>
    <m/>
    <m/>
    <m/>
    <m/>
    <m/>
    <m/>
    <x v="2"/>
    <s v="Masaku"/>
    <n v="715"/>
    <s v="Mpesa"/>
  </r>
  <r>
    <d v="2024-07-30T00:00:00"/>
    <d v="1899-12-30T19:25:00"/>
    <s v="afia 500ml"/>
    <n v="1"/>
    <n v="85"/>
    <n v="70.833333333333329"/>
    <n v="14.166666666666671"/>
    <s v="Mpesa"/>
    <x v="2"/>
    <m/>
    <m/>
    <m/>
  </r>
  <r>
    <d v="2024-07-30T00:00:00"/>
    <d v="1899-12-30T19:26:00"/>
    <s v="5ltrs water"/>
    <n v="1"/>
    <n v="120"/>
    <n v="75"/>
    <n v="45"/>
    <s v="Credit"/>
    <x v="9"/>
    <m/>
    <m/>
    <m/>
  </r>
  <r>
    <d v="2024-07-30T00:00:00"/>
    <d v="1899-12-30T19:26:00"/>
    <s v="Kinangop Fresh Milk 500ml"/>
    <n v="1"/>
    <n v="60"/>
    <n v="55"/>
    <n v="5"/>
    <s v="Credit"/>
    <x v="9"/>
    <m/>
    <m/>
    <m/>
  </r>
  <r>
    <d v="2024-07-30T00:00:00"/>
    <d v="1899-12-30T19:26:00"/>
    <s v="Festive Bread 400g"/>
    <n v="1"/>
    <n v="65"/>
    <n v="60"/>
    <n v="5"/>
    <s v="Credit"/>
    <x v="9"/>
    <m/>
    <m/>
    <m/>
  </r>
  <r>
    <d v="2024-07-30T00:00:00"/>
    <d v="1899-12-30T19:26:00"/>
    <s v="Blueband 100g"/>
    <n v="1"/>
    <n v="70"/>
    <n v="58.333333333333336"/>
    <n v="11.666666666666664"/>
    <s v="Credit"/>
    <x v="9"/>
    <m/>
    <m/>
    <m/>
  </r>
  <r>
    <d v="2024-07-30T00:00:00"/>
    <d v="1899-12-30T20:08:00"/>
    <s v="waru"/>
    <n v="1"/>
    <n v="50"/>
    <n v="29.999999999999996"/>
    <n v="20.000000000000004"/>
    <s v="Credit"/>
    <x v="8"/>
    <m/>
    <m/>
    <m/>
  </r>
  <r>
    <d v="2024-07-30T00:00:00"/>
    <d v="1899-12-30T20:08:00"/>
    <s v="Tomatoes"/>
    <n v="2"/>
    <n v="20"/>
    <n v="10"/>
    <n v="10"/>
    <s v="Credit"/>
    <x v="8"/>
    <m/>
    <m/>
    <m/>
  </r>
  <r>
    <d v="2024-07-30T00:00:00"/>
    <d v="1899-12-30T20:08:00"/>
    <s v="Onion"/>
    <n v="1"/>
    <n v="10"/>
    <n v="8"/>
    <n v="2"/>
    <s v="Credit"/>
    <x v="8"/>
    <m/>
    <m/>
    <m/>
  </r>
  <r>
    <d v="2024-07-30T00:00:00"/>
    <d v="1899-12-30T20:08:00"/>
    <s v="Dhania"/>
    <n v="1"/>
    <n v="5"/>
    <n v="3.3333333333333335"/>
    <n v="1.6666666666666665"/>
    <s v="Credit"/>
    <x v="8"/>
    <m/>
    <m/>
    <m/>
  </r>
  <r>
    <d v="2024-07-30T00:00:00"/>
    <d v="1899-12-30T20:08:00"/>
    <s v="eggs"/>
    <n v="4"/>
    <n v="80"/>
    <n v="57.333333333333336"/>
    <n v="22.666666666666664"/>
    <s v="Credit"/>
    <x v="8"/>
    <m/>
    <m/>
    <m/>
  </r>
  <r>
    <d v="2024-07-30T00:00:00"/>
    <d v="1899-12-30T20:08:00"/>
    <s v="Kinangop Fresh Milk 500ml"/>
    <n v="1"/>
    <n v="60"/>
    <n v="55"/>
    <n v="5"/>
    <s v="Credit"/>
    <x v="8"/>
    <m/>
    <m/>
    <m/>
  </r>
  <r>
    <d v="2024-07-30T00:00:00"/>
    <d v="1899-12-30T20:08:00"/>
    <s v="Kinangop Fresh Milk 500ml"/>
    <n v="2"/>
    <n v="120"/>
    <n v="110"/>
    <n v="10"/>
    <s v="Credit"/>
    <x v="3"/>
    <m/>
    <m/>
    <m/>
  </r>
  <r>
    <d v="2024-07-30T00:00:00"/>
    <d v="1899-12-30T20:08:00"/>
    <s v="Kdf"/>
    <n v="2"/>
    <n v="20"/>
    <n v="16.666666666666668"/>
    <n v="3.3333333333333321"/>
    <s v="Credit"/>
    <x v="3"/>
    <m/>
    <m/>
    <m/>
  </r>
  <r>
    <d v="2024-07-30T00:00:00"/>
    <d v="1899-12-30T20:08:00"/>
    <s v="familla porriedge"/>
    <n v="1"/>
    <n v="100"/>
    <n v="80"/>
    <n v="20"/>
    <s v="Credit"/>
    <x v="3"/>
    <m/>
    <m/>
    <m/>
  </r>
  <r>
    <d v="2024-07-30T00:00:00"/>
    <d v="1899-12-30T20:31:00"/>
    <s v="Carrier bag small"/>
    <n v="1"/>
    <n v="10"/>
    <n v="3"/>
    <n v="7"/>
    <s v="Cash"/>
    <x v="2"/>
    <m/>
    <m/>
    <m/>
  </r>
  <r>
    <d v="2024-07-30T00:00:00"/>
    <d v="1899-12-30T20:31:00"/>
    <s v="Ginger Bisquit"/>
    <n v="8"/>
    <n v="40"/>
    <n v="34.666666666666664"/>
    <n v="5.3333333333333357"/>
    <s v="Cash"/>
    <x v="2"/>
    <m/>
    <m/>
    <m/>
  </r>
  <r>
    <d v="2024-07-31T00:00:00"/>
    <d v="1899-12-30T07:50:00"/>
    <s v="Festive Bread 400g"/>
    <n v="1"/>
    <n v="65"/>
    <n v="60"/>
    <n v="5"/>
    <s v="Cash"/>
    <x v="2"/>
    <m/>
    <m/>
    <m/>
  </r>
  <r>
    <d v="2024-07-31T00:00:00"/>
    <d v="1899-12-30T08:34:00"/>
    <s v="Brookside milk 500ml"/>
    <n v="1"/>
    <n v="70"/>
    <n v="59"/>
    <n v="11"/>
    <s v="Mpesa"/>
    <x v="2"/>
    <m/>
    <m/>
    <m/>
  </r>
  <r>
    <d v="2024-07-31T00:00:00"/>
    <d v="1899-12-30T08:45:00"/>
    <s v="Safari"/>
    <n v="1"/>
    <n v="15"/>
    <n v="8.5"/>
    <n v="6.5"/>
    <s v="Cash"/>
    <x v="2"/>
    <m/>
    <m/>
    <m/>
  </r>
  <r>
    <d v="2024-07-31T00:00:00"/>
    <d v="1899-12-30T10:02:00"/>
    <s v="Super Glue"/>
    <n v="1"/>
    <n v="30"/>
    <n v="23.333333333333332"/>
    <n v="6.6666666666666679"/>
    <s v="Mpesa"/>
    <x v="2"/>
    <m/>
    <m/>
    <m/>
  </r>
  <r>
    <d v="2024-07-31T00:00:00"/>
    <d v="1899-12-30T10:02:00"/>
    <s v="Peanut Cookies"/>
    <n v="1"/>
    <n v="35"/>
    <n v="25"/>
    <n v="10"/>
    <s v="Mpesa"/>
    <x v="2"/>
    <m/>
    <m/>
    <m/>
  </r>
  <r>
    <d v="2024-07-31T00:00:00"/>
    <d v="1899-12-30T10:06:00"/>
    <s v="Festive 800g"/>
    <n v="1"/>
    <n v="130"/>
    <n v="120"/>
    <n v="10"/>
    <s v="Mpesa"/>
    <x v="2"/>
    <m/>
    <m/>
    <m/>
  </r>
  <r>
    <d v="2024-07-31T00:00:00"/>
    <d v="1899-12-30T11:11:00"/>
    <s v="Peanut Cookies"/>
    <n v="1"/>
    <n v="35"/>
    <n v="25"/>
    <n v="10"/>
    <s v="Mpesa"/>
    <x v="2"/>
    <m/>
    <m/>
    <m/>
  </r>
  <r>
    <d v="2024-07-31T00:00:00"/>
    <d v="1899-12-30T11:11:00"/>
    <s v="Half pound cake"/>
    <n v="1"/>
    <n v="100"/>
    <n v="90"/>
    <n v="10"/>
    <s v="Mpesa"/>
    <x v="2"/>
    <m/>
    <m/>
    <m/>
  </r>
  <r>
    <d v="2024-07-31T00:00:00"/>
    <d v="1899-12-30T11:12:00"/>
    <s v="omo 75g"/>
    <n v="1"/>
    <n v="35"/>
    <n v="27.5"/>
    <n v="7.5"/>
    <s v="Mpesa"/>
    <x v="2"/>
    <m/>
    <m/>
    <m/>
  </r>
  <r>
    <d v="2024-07-31T00:00:00"/>
    <d v="1899-12-30T11:12:00"/>
    <s v="Whitewash "/>
    <n v="1"/>
    <n v="50"/>
    <n v="33.75"/>
    <n v="16.25"/>
    <s v="Mpesa"/>
    <x v="2"/>
    <m/>
    <m/>
    <m/>
  </r>
  <r>
    <d v="2024-07-31T00:00:00"/>
    <d v="1899-12-30T11:21:00"/>
    <s v="Indomie chicken"/>
    <n v="1"/>
    <n v="50"/>
    <n v="37.5"/>
    <n v="12.5"/>
    <s v="Cash"/>
    <x v="2"/>
    <m/>
    <m/>
    <m/>
  </r>
  <r>
    <d v="2024-07-31T00:00:00"/>
    <d v="1899-12-30T11:54:00"/>
    <s v="Peanut Cookies"/>
    <n v="1"/>
    <n v="35"/>
    <n v="25"/>
    <n v="10"/>
    <s v="Cash"/>
    <x v="2"/>
    <m/>
    <m/>
    <m/>
  </r>
  <r>
    <d v="2024-07-31T00:00:00"/>
    <d v="1899-12-30T11:54:00"/>
    <s v="Banana"/>
    <n v="1"/>
    <n v="10"/>
    <n v="8.3333333333333339"/>
    <n v="1.6666666666666661"/>
    <s v="Cash"/>
    <x v="2"/>
    <m/>
    <m/>
    <m/>
  </r>
  <r>
    <d v="2024-07-31T00:00:00"/>
    <d v="1899-12-30T12:05:00"/>
    <s v="Match Box"/>
    <n v="12"/>
    <n v="50"/>
    <n v="28.333333333333336"/>
    <n v="21.666666666666664"/>
    <s v="Cash"/>
    <x v="2"/>
    <m/>
    <m/>
    <m/>
  </r>
  <r>
    <d v="2024-07-31T00:00:00"/>
    <d v="1899-12-30T12:05:00"/>
    <s v="Bigdaddy"/>
    <n v="2"/>
    <n v="20"/>
    <n v="12"/>
    <n v="8"/>
    <s v="Cash"/>
    <x v="2"/>
    <m/>
    <m/>
    <m/>
  </r>
  <r>
    <d v="2024-07-31T00:00:00"/>
    <d v="1899-12-30T12:40:00"/>
    <s v="eggs"/>
    <n v="2"/>
    <n v="40"/>
    <n v="28.666666666666668"/>
    <n v="11.333333333333332"/>
    <s v="Mpesa"/>
    <x v="2"/>
    <m/>
    <m/>
    <m/>
  </r>
  <r>
    <d v="2024-07-31T00:00:00"/>
    <d v="1899-12-30T12:44:00"/>
    <s v="eggs"/>
    <n v="5"/>
    <n v="100"/>
    <n v="71.666666666666671"/>
    <n v="28.333333333333329"/>
    <s v="Cash"/>
    <x v="2"/>
    <m/>
    <m/>
    <m/>
  </r>
  <r>
    <d v="2024-07-31T00:00:00"/>
    <d v="1899-12-30T12:44:00"/>
    <s v="Downy lavender"/>
    <n v="1"/>
    <n v="20"/>
    <n v="17.333333333333332"/>
    <n v="2.6666666666666679"/>
    <s v="Cash"/>
    <x v="2"/>
    <m/>
    <m/>
    <m/>
  </r>
  <r>
    <d v="2024-07-31T00:00:00"/>
    <d v="1899-12-30T12:45:00"/>
    <s v="BB Bread 400g"/>
    <n v="1"/>
    <n v="65"/>
    <n v="60"/>
    <n v="5"/>
    <s v="Mpesa"/>
    <x v="2"/>
    <m/>
    <m/>
    <m/>
  </r>
  <r>
    <d v="2024-07-31T00:00:00"/>
    <d v="1899-12-30T12:45:00"/>
    <s v="Peanut Cookies"/>
    <n v="1"/>
    <n v="35"/>
    <n v="25"/>
    <n v="10"/>
    <s v="Mpesa"/>
    <x v="2"/>
    <m/>
    <m/>
    <m/>
  </r>
  <r>
    <d v="2024-07-31T00:00:00"/>
    <d v="1899-12-30T12:50:00"/>
    <s v="Pishori rice"/>
    <n v="1"/>
    <n v="220"/>
    <n v="180"/>
    <n v="40"/>
    <s v="Cash"/>
    <x v="2"/>
    <m/>
    <m/>
    <m/>
  </r>
  <r>
    <d v="2024-07-31T00:00:00"/>
    <d v="1899-12-30T12:50:00"/>
    <s v="Airtel 50 Credit"/>
    <n v="2"/>
    <n v="100"/>
    <n v="94"/>
    <n v="6"/>
    <s v="Cash"/>
    <x v="2"/>
    <m/>
    <m/>
    <m/>
  </r>
  <r>
    <d v="2024-07-31T00:00:00"/>
    <d v="1899-12-30T12:50:00"/>
    <s v="Bigboss"/>
    <n v="4"/>
    <n v="20"/>
    <n v="14"/>
    <n v="6"/>
    <s v="Cash"/>
    <x v="2"/>
    <m/>
    <m/>
    <m/>
  </r>
  <r>
    <d v="2024-07-31T00:00:00"/>
    <d v="1899-12-30T13:04:00"/>
    <s v="Cabbage"/>
    <n v="1"/>
    <n v="180"/>
    <n v="120"/>
    <n v="60"/>
    <s v="Credit"/>
    <x v="1"/>
    <m/>
    <m/>
    <m/>
  </r>
  <r>
    <d v="2024-07-31T00:00:00"/>
    <d v="1899-12-30T13:04:00"/>
    <s v="Royco cubes"/>
    <n v="2"/>
    <n v="10"/>
    <n v="6"/>
    <n v="4"/>
    <s v="Credit"/>
    <x v="1"/>
    <m/>
    <m/>
    <m/>
  </r>
  <r>
    <d v="2024-07-31T00:00:00"/>
    <d v="1899-12-30T13:04:00"/>
    <s v="hoho"/>
    <n v="2"/>
    <n v="20"/>
    <n v="13.333333333333334"/>
    <n v="6.6666666666666661"/>
    <s v="Credit"/>
    <x v="1"/>
    <m/>
    <m/>
    <m/>
  </r>
  <r>
    <d v="2024-07-31T00:00:00"/>
    <d v="1899-12-30T14:05:00"/>
    <s v="soda 500ml glass"/>
    <n v="2"/>
    <n v="110"/>
    <n v="100"/>
    <n v="10"/>
    <s v="Mpesa"/>
    <x v="2"/>
    <m/>
    <m/>
    <m/>
  </r>
  <r>
    <d v="2024-07-31T00:00:00"/>
    <d v="1899-12-30T14:05:00"/>
    <s v="Kdf"/>
    <n v="4"/>
    <n v="40"/>
    <n v="33.333333333333336"/>
    <n v="6.6666666666666643"/>
    <s v="Mpesa"/>
    <x v="2"/>
    <m/>
    <m/>
    <m/>
  </r>
  <r>
    <d v="2024-07-31T00:00:00"/>
    <d v="1899-12-30T14:05:00"/>
    <s v="Nuvita Bisquit"/>
    <n v="8"/>
    <n v="40"/>
    <n v="33.333333333333336"/>
    <n v="6.6666666666666643"/>
    <s v="Mpesa"/>
    <x v="2"/>
    <m/>
    <m/>
    <m/>
  </r>
  <r>
    <d v="2024-07-31T00:00:00"/>
    <d v="1899-12-30T14:05:00"/>
    <s v="BB Bread 400g"/>
    <n v="1"/>
    <n v="65"/>
    <n v="60"/>
    <n v="5"/>
    <s v="Mpesa"/>
    <x v="2"/>
    <m/>
    <m/>
    <m/>
  </r>
  <r>
    <d v="2024-07-31T00:00:00"/>
    <d v="1899-12-30T14:40:00"/>
    <s v="eggs"/>
    <n v="2"/>
    <n v="40"/>
    <n v="28.666666666666668"/>
    <n v="11.333333333333332"/>
    <s v="Mpesa"/>
    <x v="2"/>
    <m/>
    <m/>
    <m/>
  </r>
  <r>
    <d v="2024-07-31T00:00:00"/>
    <d v="1899-12-30T14:40:00"/>
    <s v="Festive Bread 400g"/>
    <n v="1"/>
    <n v="65"/>
    <n v="60"/>
    <n v="5"/>
    <s v="Mpesa"/>
    <x v="2"/>
    <m/>
    <m/>
    <m/>
  </r>
  <r>
    <d v="2024-07-31T00:00:00"/>
    <d v="1899-12-30T14:51:00"/>
    <s v="Gomba"/>
    <n v="2"/>
    <n v="5"/>
    <n v="3.6"/>
    <n v="1.4"/>
    <s v="Cash"/>
    <x v="2"/>
    <m/>
    <m/>
    <m/>
  </r>
  <r>
    <d v="2024-07-31T00:00:00"/>
    <d v="1899-12-30T15:40:00"/>
    <s v="Maramoja"/>
    <n v="2"/>
    <n v="20"/>
    <n v="14"/>
    <n v="6"/>
    <s v="Mpesa"/>
    <x v="2"/>
    <m/>
    <m/>
    <m/>
  </r>
  <r>
    <d v="2024-07-31T00:00:00"/>
    <d v="1899-12-30T16:24:00"/>
    <s v="Ring Cake"/>
    <n v="1"/>
    <n v="50"/>
    <n v="45"/>
    <n v="5"/>
    <s v="Cash"/>
    <x v="2"/>
    <m/>
    <m/>
    <m/>
  </r>
  <r>
    <d v="2024-07-31T00:00:00"/>
    <d v="1899-12-30T16:25:00"/>
    <s v="Festive Bread 400g"/>
    <n v="1"/>
    <n v="65"/>
    <n v="60"/>
    <n v="5"/>
    <s v="Credit"/>
    <x v="8"/>
    <s v="Ruth"/>
    <n v="60"/>
    <s v="Mpesa"/>
  </r>
  <r>
    <d v="2024-07-31T00:00:00"/>
    <d v="1899-12-30T16:29:00"/>
    <s v="Royco Beef Mchuzi Mix"/>
    <n v="1"/>
    <n v="10"/>
    <n v="8.3333333333333339"/>
    <n v="1.6666666666666661"/>
    <s v="Mpesa"/>
    <x v="2"/>
    <m/>
    <m/>
    <m/>
  </r>
  <r>
    <d v="2024-07-31T00:00:00"/>
    <d v="1899-12-30T16:29:00"/>
    <s v="Onion"/>
    <n v="3"/>
    <n v="45"/>
    <n v="24"/>
    <n v="21"/>
    <s v="Credit"/>
    <x v="27"/>
    <m/>
    <m/>
    <m/>
  </r>
  <r>
    <d v="2024-07-31T00:00:00"/>
    <d v="1899-12-30T16:50:00"/>
    <s v="Mt kenya milk 500ml"/>
    <n v="2"/>
    <n v="130"/>
    <n v="96.666666666666671"/>
    <n v="33.333333333333329"/>
    <s v="Mpesa"/>
    <x v="2"/>
    <m/>
    <m/>
    <m/>
  </r>
  <r>
    <d v="2024-07-31T00:00:00"/>
    <d v="1899-12-30T17:50:00"/>
    <s v="Tamu  Tamu Green"/>
    <n v="2"/>
    <n v="30"/>
    <n v="17.2"/>
    <n v="12.8"/>
    <s v="Cash"/>
    <x v="2"/>
    <m/>
    <m/>
    <m/>
  </r>
  <r>
    <d v="2024-07-31T00:00:00"/>
    <d v="1899-12-30T17:50:00"/>
    <s v="Nuvita Bisquit"/>
    <n v="4"/>
    <n v="20"/>
    <n v="16.666666666666668"/>
    <n v="3.3333333333333321"/>
    <s v="Cash"/>
    <x v="2"/>
    <m/>
    <m/>
    <m/>
  </r>
  <r>
    <d v="2024-07-31T00:00:00"/>
    <d v="1899-12-30T17:55:00"/>
    <s v="Garlic"/>
    <n v="2"/>
    <n v="60"/>
    <n v="40"/>
    <n v="20"/>
    <s v="Cash"/>
    <x v="2"/>
    <m/>
    <m/>
    <m/>
  </r>
  <r>
    <d v="2024-07-31T00:00:00"/>
    <d v="1899-12-30T18:01:00"/>
    <s v=" soda 1.25lts"/>
    <n v="1"/>
    <n v="130"/>
    <n v="112.5"/>
    <n v="17.5"/>
    <s v="Mpesa"/>
    <x v="2"/>
    <m/>
    <m/>
    <m/>
  </r>
  <r>
    <d v="2024-07-31T00:00:00"/>
    <d v="1899-12-30T18:01:00"/>
    <s v="Tomatoes"/>
    <n v="10"/>
    <n v="100"/>
    <n v="50"/>
    <n v="50"/>
    <s v="Mpesa"/>
    <x v="2"/>
    <m/>
    <m/>
    <m/>
  </r>
  <r>
    <d v="2024-07-31T00:00:00"/>
    <d v="1899-12-30T18:01:00"/>
    <s v="Carrier bag small"/>
    <n v="1"/>
    <n v="10"/>
    <n v="3"/>
    <n v="7"/>
    <s v="Mpesa"/>
    <x v="2"/>
    <m/>
    <m/>
    <m/>
  </r>
  <r>
    <d v="2024-07-31T00:00:00"/>
    <d v="1899-12-30T18:07:00"/>
    <s v="Festive 600g"/>
    <n v="1"/>
    <n v="100"/>
    <n v="90"/>
    <n v="10"/>
    <s v="Mpesa"/>
    <x v="2"/>
    <m/>
    <m/>
    <m/>
  </r>
  <r>
    <d v="2024-07-31T00:00:00"/>
    <d v="1899-12-30T18:40:00"/>
    <s v="Festive Bread 400g"/>
    <n v="2"/>
    <n v="130"/>
    <n v="120"/>
    <n v="10"/>
    <s v="Mpesa"/>
    <x v="2"/>
    <m/>
    <m/>
    <m/>
  </r>
  <r>
    <d v="2024-07-31T00:00:00"/>
    <d v="1899-12-30T18:50:00"/>
    <s v="eggs"/>
    <n v="3"/>
    <n v="60"/>
    <n v="43"/>
    <n v="17"/>
    <s v="Cash"/>
    <x v="2"/>
    <m/>
    <m/>
    <m/>
  </r>
  <r>
    <d v="2024-07-31T00:00:00"/>
    <d v="1899-12-30T18:50:00"/>
    <s v="eggs"/>
    <n v="1"/>
    <n v="20"/>
    <n v="14.333333333333334"/>
    <n v="5.6666666666666661"/>
    <s v="Credit"/>
    <x v="19"/>
    <m/>
    <m/>
    <m/>
  </r>
  <r>
    <d v="2024-07-31T00:00:00"/>
    <d v="1899-12-30T18:50:00"/>
    <s v="Onion"/>
    <n v="1"/>
    <n v="10"/>
    <n v="8"/>
    <n v="2"/>
    <s v="Credit"/>
    <x v="19"/>
    <m/>
    <m/>
    <m/>
  </r>
  <r>
    <d v="2024-07-31T00:00:00"/>
    <d v="1899-12-30T18:50:00"/>
    <s v="Tomatoes"/>
    <n v="1"/>
    <n v="10"/>
    <n v="5"/>
    <n v="5"/>
    <s v="Credit"/>
    <x v="19"/>
    <m/>
    <m/>
    <m/>
  </r>
  <r>
    <d v="2024-07-31T00:00:00"/>
    <d v="1899-12-30T18:50:00"/>
    <s v="210 Maize Meal 2kg"/>
    <n v="2"/>
    <n v="320"/>
    <n v="234.16666666666666"/>
    <n v="85.833333333333343"/>
    <s v="Credit"/>
    <x v="19"/>
    <m/>
    <m/>
    <m/>
  </r>
  <r>
    <d v="2024-07-31T00:00:00"/>
    <d v="1899-12-30T18:52:00"/>
    <s v="Bigdaddy"/>
    <n v="1"/>
    <n v="10"/>
    <n v="6"/>
    <n v="4"/>
    <s v="Cash"/>
    <x v="2"/>
    <m/>
    <m/>
    <m/>
  </r>
  <r>
    <d v="2024-07-31T00:00:00"/>
    <d v="1899-12-30T18:52:00"/>
    <s v="Bigdaddy"/>
    <n v="2"/>
    <n v="20"/>
    <n v="12"/>
    <n v="8"/>
    <s v="Cash"/>
    <x v="2"/>
    <m/>
    <m/>
    <m/>
  </r>
  <r>
    <d v="2024-07-31T00:00:00"/>
    <d v="1899-12-30T19:14:00"/>
    <s v="210 Maize Meal 2kg"/>
    <n v="1"/>
    <n v="160"/>
    <n v="117.08333333333333"/>
    <n v="42.916666666666671"/>
    <s v="Mpesa"/>
    <x v="2"/>
    <m/>
    <m/>
    <m/>
  </r>
  <r>
    <d v="2024-07-31T00:00:00"/>
    <d v="1899-12-30T19:14:00"/>
    <s v="eggs"/>
    <n v="3"/>
    <n v="60"/>
    <n v="43"/>
    <n v="17"/>
    <s v="Mpesa"/>
    <x v="2"/>
    <m/>
    <m/>
    <m/>
  </r>
  <r>
    <d v="2024-07-31T00:00:00"/>
    <d v="1899-12-30T19:14:00"/>
    <s v="Mt Kenya milk 200ml"/>
    <n v="1"/>
    <n v="35"/>
    <n v="24.285714285714285"/>
    <n v="10.714285714285715"/>
    <s v="Mpesa"/>
    <x v="2"/>
    <m/>
    <m/>
    <m/>
  </r>
  <r>
    <d v="2024-07-31T00:00:00"/>
    <d v="1899-12-30T19:28:00"/>
    <s v="Cooking Oil Measured"/>
    <n v="2"/>
    <n v="560"/>
    <n v="400"/>
    <n v="160"/>
    <s v="Mpesa"/>
    <x v="2"/>
    <m/>
    <m/>
    <m/>
  </r>
  <r>
    <d v="2024-07-31T00:00:00"/>
    <d v="1899-12-30T19:28:00"/>
    <s v="Menengai Bar 1kg"/>
    <n v="0.2"/>
    <n v="50"/>
    <n v="38"/>
    <n v="12"/>
    <s v="Credit"/>
    <x v="19"/>
    <m/>
    <m/>
    <m/>
  </r>
  <r>
    <d v="2024-07-31T00:00:00"/>
    <d v="1899-12-30T20:10:00"/>
    <s v="Cooking Oil Measured"/>
    <n v="0.25"/>
    <n v="70"/>
    <n v="50"/>
    <n v="20"/>
    <s v="Mpesa"/>
    <x v="2"/>
    <m/>
    <m/>
    <m/>
  </r>
  <r>
    <d v="2024-07-31T00:00:00"/>
    <d v="1899-12-30T20:10:00"/>
    <s v="BB Bread 200g"/>
    <n v="1"/>
    <n v="40"/>
    <n v="35"/>
    <n v="5"/>
    <s v="Mpesa"/>
    <x v="2"/>
    <m/>
    <m/>
    <m/>
  </r>
  <r>
    <d v="2024-07-31T00:00:00"/>
    <d v="1899-12-30T20:10:00"/>
    <s v="waru"/>
    <n v="1"/>
    <n v="50"/>
    <n v="29.999999999999996"/>
    <n v="20.000000000000004"/>
    <s v="Mpesa"/>
    <x v="2"/>
    <m/>
    <m/>
    <m/>
  </r>
  <r>
    <d v="2024-07-31T00:00:00"/>
    <d v="1899-12-30T20:10:00"/>
    <s v="Brookside Lala Sweetened"/>
    <n v="1"/>
    <n v="110"/>
    <n v="93"/>
    <n v="17"/>
    <s v="Credit"/>
    <x v="16"/>
    <m/>
    <m/>
    <m/>
  </r>
  <r>
    <d v="2024-07-31T00:00:00"/>
    <d v="1899-12-30T20:10:00"/>
    <s v="Indomie chicken"/>
    <n v="3"/>
    <n v="150"/>
    <n v="112.5"/>
    <n v="37.5"/>
    <s v="Credit"/>
    <x v="23"/>
    <m/>
    <m/>
    <m/>
  </r>
  <r>
    <d v="2024-08-01T00:00:00"/>
    <d v="1899-12-30T07:56:00"/>
    <s v="Festive 800g"/>
    <n v="1"/>
    <n v="130"/>
    <n v="120"/>
    <n v="10"/>
    <s v="Credit"/>
    <x v="8"/>
    <m/>
    <m/>
    <m/>
  </r>
  <r>
    <d v="2024-08-01T00:00:00"/>
    <d v="1899-12-30T08:12:00"/>
    <s v="Ajab 2kg"/>
    <n v="2"/>
    <n v="440"/>
    <n v="350"/>
    <n v="90"/>
    <s v="Credit"/>
    <x v="5"/>
    <m/>
    <m/>
    <m/>
  </r>
  <r>
    <d v="2024-08-01T00:00:00"/>
    <d v="1899-12-30T08:12:00"/>
    <s v="kabras sugar 1kg"/>
    <n v="1"/>
    <n v="180"/>
    <n v="140"/>
    <n v="40"/>
    <s v="Credit"/>
    <x v="5"/>
    <m/>
    <m/>
    <m/>
  </r>
  <r>
    <d v="2024-08-01T00:00:00"/>
    <d v="1899-12-30T08:12:00"/>
    <s v="Colgate Herbal 70g"/>
    <n v="1"/>
    <n v="160"/>
    <n v="133.33333333333334"/>
    <n v="26.666666666666657"/>
    <s v="Credit"/>
    <x v="5"/>
    <m/>
    <m/>
    <m/>
  </r>
  <r>
    <d v="2024-08-01T00:00:00"/>
    <d v="1899-12-30T08:12:00"/>
    <s v="Menengai Bar 1kg"/>
    <n v="1"/>
    <n v="250"/>
    <n v="190"/>
    <n v="60"/>
    <s v="Credit"/>
    <x v="5"/>
    <m/>
    <m/>
    <m/>
  </r>
  <r>
    <d v="2024-08-01T00:00:00"/>
    <d v="1899-12-30T08:24:00"/>
    <s v="Kinangop Fresh Milk 500ml"/>
    <n v="1"/>
    <n v="60"/>
    <n v="55"/>
    <n v="5"/>
    <s v="Credit"/>
    <x v="3"/>
    <m/>
    <m/>
    <m/>
  </r>
  <r>
    <d v="2024-08-01T00:00:00"/>
    <d v="1899-12-30T08:24:00"/>
    <s v="BB Bread 400g"/>
    <n v="1"/>
    <n v="65"/>
    <n v="60"/>
    <n v="5"/>
    <s v="Credit"/>
    <x v="3"/>
    <m/>
    <m/>
    <m/>
  </r>
  <r>
    <d v="2024-08-01T00:00:00"/>
    <d v="1899-12-30T08:24:00"/>
    <s v="Fahari Tea 50g"/>
    <n v="1"/>
    <n v="30"/>
    <n v="17.5"/>
    <n v="12.5"/>
    <s v="Credit"/>
    <x v="3"/>
    <m/>
    <m/>
    <m/>
  </r>
  <r>
    <d v="2024-08-01T00:00:00"/>
    <d v="1899-12-30T08:24:00"/>
    <m/>
    <m/>
    <m/>
    <m/>
    <m/>
    <m/>
    <x v="2"/>
    <s v="Faith"/>
    <n v="595"/>
    <s v="Cash"/>
  </r>
  <r>
    <d v="2024-08-01T00:00:00"/>
    <d v="1899-12-30T08:24:00"/>
    <m/>
    <m/>
    <m/>
    <m/>
    <m/>
    <m/>
    <x v="2"/>
    <s v="Gladys"/>
    <n v="50"/>
    <s v="Mpesa"/>
  </r>
  <r>
    <d v="2024-08-01T00:00:00"/>
    <d v="1899-12-30T08:24:00"/>
    <m/>
    <m/>
    <m/>
    <m/>
    <n v="0"/>
    <m/>
    <x v="2"/>
    <s v="Grace"/>
    <n v="75"/>
    <s v="Cash"/>
  </r>
  <r>
    <d v="2024-08-01T00:00:00"/>
    <d v="1899-12-30T08:39:00"/>
    <s v="Choc-chip Cookies"/>
    <n v="1"/>
    <n v="35"/>
    <n v="25"/>
    <n v="10"/>
    <s v="Mpesa"/>
    <x v="2"/>
    <m/>
    <m/>
    <m/>
  </r>
  <r>
    <d v="2024-08-01T00:00:00"/>
    <d v="1899-12-30T08:39:00"/>
    <s v="Festive Bread 400g"/>
    <n v="1"/>
    <n v="65"/>
    <n v="60"/>
    <n v="5"/>
    <s v="Mpesa"/>
    <x v="2"/>
    <m/>
    <m/>
    <m/>
  </r>
  <r>
    <d v="2024-08-01T00:00:00"/>
    <d v="1899-12-30T08:39:00"/>
    <s v="Medium Colgate Toothbrush"/>
    <n v="2"/>
    <n v="80"/>
    <n v="50"/>
    <n v="30"/>
    <s v="Mpesa"/>
    <x v="2"/>
    <m/>
    <m/>
    <m/>
  </r>
  <r>
    <d v="2024-08-01T00:00:00"/>
    <d v="1899-12-30T09:19:00"/>
    <s v="Pishori rice"/>
    <n v="1"/>
    <n v="220"/>
    <n v="180"/>
    <n v="40"/>
    <s v="Mpesa"/>
    <x v="2"/>
    <m/>
    <m/>
    <m/>
  </r>
  <r>
    <d v="2024-08-01T00:00:00"/>
    <d v="1899-12-30T09:19:00"/>
    <s v="kabras sugar 1kg"/>
    <n v="1"/>
    <n v="180"/>
    <n v="140"/>
    <n v="40"/>
    <s v="Mpesa"/>
    <x v="2"/>
    <m/>
    <m/>
    <m/>
  </r>
  <r>
    <d v="2024-08-01T00:00:00"/>
    <d v="1899-12-30T09:19:00"/>
    <s v="Freshfry"/>
    <n v="1"/>
    <n v="350"/>
    <n v="290"/>
    <n v="60"/>
    <s v="Mpesa"/>
    <x v="2"/>
    <m/>
    <m/>
    <m/>
  </r>
  <r>
    <d v="2024-08-01T00:00:00"/>
    <d v="1899-12-30T09:19:00"/>
    <s v="Hanaan Tissue"/>
    <n v="2"/>
    <n v="100"/>
    <n v="86"/>
    <n v="14"/>
    <s v="Mpesa"/>
    <x v="2"/>
    <m/>
    <m/>
    <m/>
  </r>
  <r>
    <d v="2024-08-01T00:00:00"/>
    <d v="1899-12-30T09:19:00"/>
    <s v="Downy lavender"/>
    <n v="3"/>
    <n v="60"/>
    <n v="52"/>
    <n v="8"/>
    <s v="Mpesa"/>
    <x v="2"/>
    <m/>
    <m/>
    <m/>
  </r>
  <r>
    <d v="2024-08-01T00:00:00"/>
    <d v="1899-12-30T09:19:00"/>
    <s v="Tomatoes"/>
    <n v="3"/>
    <n v="30"/>
    <n v="15"/>
    <n v="15"/>
    <s v="Mpesa"/>
    <x v="2"/>
    <m/>
    <m/>
    <m/>
  </r>
  <r>
    <d v="2024-08-01T00:00:00"/>
    <d v="1899-12-30T09:19:00"/>
    <s v="Brookside milk 500ml"/>
    <n v="1"/>
    <n v="70"/>
    <n v="59"/>
    <n v="11"/>
    <s v="Mpesa"/>
    <x v="2"/>
    <m/>
    <m/>
    <m/>
  </r>
  <r>
    <d v="2024-08-01T00:00:00"/>
    <d v="1899-12-30T09:19:00"/>
    <s v="eggs"/>
    <n v="10"/>
    <n v="200"/>
    <n v="143.33333333333334"/>
    <n v="56.666666666666657"/>
    <s v="Mpesa"/>
    <x v="2"/>
    <m/>
    <m/>
    <m/>
  </r>
  <r>
    <d v="2024-08-01T00:00:00"/>
    <d v="1899-12-30T09:19:00"/>
    <s v="Whitewash "/>
    <n v="1"/>
    <n v="50"/>
    <n v="33.75"/>
    <n v="16.25"/>
    <s v="Mpesa"/>
    <x v="2"/>
    <m/>
    <m/>
    <m/>
  </r>
  <r>
    <d v="2024-08-01T00:00:00"/>
    <d v="1899-12-30T09:19:00"/>
    <s v="Bitez"/>
    <n v="2"/>
    <n v="30"/>
    <n v="17.600000000000001"/>
    <n v="12.399999999999999"/>
    <s v="Mpesa"/>
    <x v="2"/>
    <m/>
    <m/>
    <m/>
  </r>
  <r>
    <d v="2024-08-01T00:00:00"/>
    <d v="1899-12-30T09:19:00"/>
    <s v="Royco cubes"/>
    <n v="6"/>
    <n v="30"/>
    <n v="18"/>
    <n v="12"/>
    <s v="Mpesa"/>
    <x v="2"/>
    <m/>
    <m/>
    <m/>
  </r>
  <r>
    <d v="2024-08-01T00:00:00"/>
    <d v="1899-12-30T09:19:00"/>
    <s v="Match Box"/>
    <n v="4"/>
    <n v="20"/>
    <n v="9.4444444444444446"/>
    <n v="10.555555555555555"/>
    <s v="Mpesa"/>
    <x v="2"/>
    <m/>
    <m/>
    <m/>
  </r>
  <r>
    <d v="2024-08-01T00:00:00"/>
    <d v="1899-12-30T09:19:00"/>
    <s v="Ajab 2kg"/>
    <n v="1"/>
    <n v="220"/>
    <n v="175"/>
    <n v="45"/>
    <s v="Mpesa"/>
    <x v="2"/>
    <m/>
    <m/>
    <m/>
  </r>
  <r>
    <d v="2024-08-01T00:00:00"/>
    <d v="1899-12-30T09:19:00"/>
    <s v="Tukuza 1kg"/>
    <n v="1"/>
    <n v="90"/>
    <n v="61.25"/>
    <n v="28.75"/>
    <s v="Mpesa"/>
    <x v="2"/>
    <m/>
    <m/>
    <m/>
  </r>
  <r>
    <d v="2024-08-01T00:00:00"/>
    <d v="1899-12-30T09:19:00"/>
    <s v="Indomie chicken"/>
    <n v="2"/>
    <n v="100"/>
    <n v="75"/>
    <n v="25"/>
    <s v="Mpesa"/>
    <x v="2"/>
    <m/>
    <m/>
    <m/>
  </r>
  <r>
    <d v="2024-08-01T00:00:00"/>
    <d v="1899-12-30T09:19:00"/>
    <s v="soda 500ml glass"/>
    <n v="1"/>
    <n v="55"/>
    <n v="50"/>
    <n v="5"/>
    <s v="Mpesa"/>
    <x v="2"/>
    <m/>
    <m/>
    <m/>
  </r>
  <r>
    <d v="2024-08-01T00:00:00"/>
    <d v="1899-12-30T09:19:00"/>
    <s v="Sunlight 400g"/>
    <n v="1"/>
    <n v="250"/>
    <n v="150"/>
    <n v="100"/>
    <s v="Mpesa"/>
    <x v="2"/>
    <m/>
    <m/>
    <m/>
  </r>
  <r>
    <d v="2024-08-01T00:00:00"/>
    <d v="1899-12-30T09:33:00"/>
    <s v="Safari"/>
    <n v="1"/>
    <n v="15"/>
    <n v="8.5"/>
    <n v="6.5"/>
    <s v="Cash"/>
    <x v="2"/>
    <m/>
    <m/>
    <m/>
  </r>
  <r>
    <d v="2024-08-01T00:00:00"/>
    <d v="1899-12-30T09:35:00"/>
    <s v="BB Bread 400g"/>
    <n v="1"/>
    <n v="65"/>
    <n v="60"/>
    <n v="5"/>
    <s v="Credit"/>
    <x v="10"/>
    <m/>
    <m/>
    <m/>
  </r>
  <r>
    <d v="2024-08-01T00:00:00"/>
    <d v="1899-12-30T09:37:00"/>
    <s v="Mt Kenya milk 200ml"/>
    <n v="1"/>
    <n v="35"/>
    <n v="24.285714285714285"/>
    <n v="10.714285714285715"/>
    <s v="Cash"/>
    <x v="2"/>
    <m/>
    <m/>
    <m/>
  </r>
  <r>
    <d v="2024-08-01T00:00:00"/>
    <d v="1899-12-30T09:37:00"/>
    <s v="Sugar"/>
    <n v="0.5"/>
    <n v="90"/>
    <n v="65"/>
    <n v="25"/>
    <s v="Cash"/>
    <x v="2"/>
    <m/>
    <m/>
    <m/>
  </r>
  <r>
    <d v="2024-08-01T00:00:00"/>
    <d v="1899-12-30T09:50:00"/>
    <s v="Mt kenya milk 500ml"/>
    <n v="1"/>
    <n v="65"/>
    <n v="48.333333333333336"/>
    <n v="16.666666666666664"/>
    <s v="Mpesa"/>
    <x v="2"/>
    <m/>
    <m/>
    <m/>
  </r>
  <r>
    <d v="2024-08-01T00:00:00"/>
    <d v="1899-12-30T09:50:00"/>
    <s v="BB Bread 400g"/>
    <n v="1"/>
    <n v="65"/>
    <n v="60"/>
    <n v="5"/>
    <s v="Mpesa"/>
    <x v="2"/>
    <m/>
    <m/>
    <m/>
  </r>
  <r>
    <d v="2024-08-01T00:00:00"/>
    <d v="1899-12-30T10:47:00"/>
    <s v="Kinangop Fresh Milk 500ml"/>
    <n v="1"/>
    <n v="60"/>
    <n v="55"/>
    <n v="5"/>
    <s v="Mpesa"/>
    <x v="2"/>
    <m/>
    <m/>
    <m/>
  </r>
  <r>
    <d v="2024-08-01T00:00:00"/>
    <d v="1899-12-30T10:47:00"/>
    <s v="omo 75g"/>
    <n v="1"/>
    <n v="35"/>
    <n v="27.5"/>
    <n v="7.5"/>
    <s v="Mpesa"/>
    <x v="2"/>
    <m/>
    <m/>
    <m/>
  </r>
  <r>
    <d v="2024-08-01T00:00:00"/>
    <d v="1899-12-30T10:47:00"/>
    <s v="Whitewash "/>
    <n v="1"/>
    <n v="50"/>
    <n v="33.75"/>
    <n v="16.25"/>
    <s v="Mpesa"/>
    <x v="2"/>
    <m/>
    <m/>
    <m/>
  </r>
  <r>
    <d v="2024-08-01T00:00:00"/>
    <d v="1899-12-30T11:25:00"/>
    <s v="Pishori rice"/>
    <n v="1"/>
    <n v="220"/>
    <n v="180"/>
    <n v="40"/>
    <s v="Credit"/>
    <x v="7"/>
    <s v="Mum Victor"/>
    <n v="200"/>
    <s v="Mpesa"/>
  </r>
  <r>
    <d v="2024-08-01T00:00:00"/>
    <d v="1899-12-30T11:25:00"/>
    <m/>
    <m/>
    <m/>
    <m/>
    <m/>
    <m/>
    <x v="2"/>
    <s v="Ruth"/>
    <n v="100"/>
    <s v="Mpesa"/>
  </r>
  <r>
    <d v="2024-08-01T00:00:00"/>
    <d v="1899-12-30T11:37:00"/>
    <s v="Sugar"/>
    <n v="0.5"/>
    <n v="90"/>
    <n v="65"/>
    <n v="25"/>
    <s v="Mpesa"/>
    <x v="2"/>
    <m/>
    <m/>
    <m/>
  </r>
  <r>
    <d v="2024-08-01T00:00:00"/>
    <d v="1899-12-30T12:42:00"/>
    <s v="Colgate 15g"/>
    <n v="1"/>
    <n v="50"/>
    <n v="36.25"/>
    <n v="13.75"/>
    <s v="Mpesa"/>
    <x v="2"/>
    <m/>
    <m/>
    <m/>
  </r>
  <r>
    <d v="2024-08-01T00:00:00"/>
    <d v="1899-12-30T12:42:00"/>
    <m/>
    <m/>
    <m/>
    <m/>
    <m/>
    <m/>
    <x v="2"/>
    <s v="Jescah"/>
    <n v="40"/>
    <s v="Cash"/>
  </r>
  <r>
    <d v="2024-08-01T00:00:00"/>
    <d v="1899-12-30T13:16:00"/>
    <s v="soda 300ml glass"/>
    <n v="1"/>
    <n v="40"/>
    <n v="32.5"/>
    <n v="7.5"/>
    <s v="Cash"/>
    <x v="2"/>
    <m/>
    <m/>
    <m/>
  </r>
  <r>
    <d v="2024-08-01T00:00:00"/>
    <d v="1899-12-30T13:16:00"/>
    <s v="Banana"/>
    <n v="2"/>
    <n v="20"/>
    <n v="16.666666666666668"/>
    <n v="3.3333333333333321"/>
    <s v="Cash"/>
    <x v="2"/>
    <m/>
    <m/>
    <m/>
  </r>
  <r>
    <d v="2024-08-01T00:00:00"/>
    <d v="1899-12-30T13:29:00"/>
    <s v="Ring Cake"/>
    <n v="1"/>
    <n v="50"/>
    <n v="45"/>
    <n v="5"/>
    <s v="Cash"/>
    <x v="2"/>
    <m/>
    <m/>
    <m/>
  </r>
  <r>
    <d v="2024-08-01T00:00:00"/>
    <d v="1899-12-30T13:29:00"/>
    <s v="Banana"/>
    <n v="1"/>
    <n v="10"/>
    <n v="8.3333333333333339"/>
    <n v="1.6666666666666661"/>
    <s v="Cash"/>
    <x v="2"/>
    <m/>
    <m/>
    <m/>
  </r>
  <r>
    <d v="2024-08-01T00:00:00"/>
    <d v="1899-12-30T13:35:00"/>
    <s v="Kinangop Fresh Milk 500ml"/>
    <n v="1"/>
    <n v="60"/>
    <n v="55"/>
    <n v="5"/>
    <s v="Mpesa"/>
    <x v="2"/>
    <m/>
    <m/>
    <m/>
  </r>
  <r>
    <d v="2024-08-01T00:00:00"/>
    <d v="1899-12-30T14:18:00"/>
    <s v="Cooking Oil Measured"/>
    <n v="0.25"/>
    <n v="70"/>
    <n v="50"/>
    <n v="20"/>
    <s v="Mpesa"/>
    <x v="2"/>
    <m/>
    <m/>
    <m/>
  </r>
  <r>
    <d v="2024-08-01T00:00:00"/>
    <d v="1899-12-30T14:18:00"/>
    <s v="Tomatoes"/>
    <n v="3"/>
    <n v="30"/>
    <n v="15"/>
    <n v="15"/>
    <s v="Mpesa"/>
    <x v="2"/>
    <m/>
    <m/>
    <m/>
  </r>
  <r>
    <d v="2024-08-01T00:00:00"/>
    <d v="1899-12-30T14:18:00"/>
    <s v="Onion"/>
    <n v="2"/>
    <n v="20"/>
    <n v="16"/>
    <n v="4"/>
    <s v="Mpesa"/>
    <x v="2"/>
    <m/>
    <m/>
    <m/>
  </r>
  <r>
    <d v="2024-08-01T00:00:00"/>
    <d v="1899-12-30T14:18:00"/>
    <s v="Dhania"/>
    <n v="1"/>
    <n v="5"/>
    <n v="3.3333333333333335"/>
    <n v="1.6666666666666665"/>
    <s v="Mpesa"/>
    <x v="2"/>
    <m/>
    <m/>
    <m/>
  </r>
  <r>
    <d v="2024-08-01T00:00:00"/>
    <d v="1899-12-30T14:57:00"/>
    <s v="Royco cubes"/>
    <n v="2"/>
    <n v="10"/>
    <n v="6"/>
    <n v="4"/>
    <s v="Mpesa"/>
    <x v="2"/>
    <m/>
    <m/>
    <m/>
  </r>
  <r>
    <d v="2024-08-01T00:00:00"/>
    <d v="1899-12-30T14:57:00"/>
    <s v="Tropical"/>
    <n v="1"/>
    <n v="5"/>
    <n v="1.5"/>
    <n v="3.5"/>
    <s v="Cash"/>
    <x v="2"/>
    <m/>
    <m/>
    <m/>
  </r>
  <r>
    <d v="2024-08-01T00:00:00"/>
    <d v="1899-12-30T14:57:00"/>
    <s v="Lollipop"/>
    <n v="1"/>
    <n v="5"/>
    <n v="2.4"/>
    <n v="2.6"/>
    <s v="Cash"/>
    <x v="2"/>
    <m/>
    <m/>
    <m/>
  </r>
  <r>
    <d v="2024-08-01T00:00:00"/>
    <d v="1899-12-30T15:15:00"/>
    <s v="soda 500ml glass"/>
    <n v="2"/>
    <n v="110"/>
    <n v="100"/>
    <n v="10"/>
    <s v="Mpesa"/>
    <x v="2"/>
    <m/>
    <m/>
    <m/>
  </r>
  <r>
    <d v="2024-08-01T00:00:00"/>
    <d v="1899-12-30T15:15:00"/>
    <s v="Nuvita Bisquit"/>
    <n v="8"/>
    <n v="40"/>
    <n v="33.333333333333336"/>
    <n v="6.6666666666666643"/>
    <s v="Mpesa"/>
    <x v="2"/>
    <m/>
    <m/>
    <m/>
  </r>
  <r>
    <d v="2024-08-01T00:00:00"/>
    <d v="1899-12-30T15:15:00"/>
    <m/>
    <m/>
    <m/>
    <m/>
    <m/>
    <m/>
    <x v="2"/>
    <s v="Haston"/>
    <n v="85"/>
    <s v="Mpesa"/>
  </r>
  <r>
    <d v="2024-08-01T00:00:00"/>
    <d v="1899-12-30T15:15:00"/>
    <s v="Banana"/>
    <n v="3"/>
    <n v="30"/>
    <n v="25"/>
    <n v="5"/>
    <s v="Mpesa"/>
    <x v="2"/>
    <m/>
    <m/>
    <m/>
  </r>
  <r>
    <d v="2024-08-01T00:00:00"/>
    <d v="1899-12-30T15:18:00"/>
    <s v="action"/>
    <n v="1"/>
    <n v="10"/>
    <n v="6"/>
    <n v="4"/>
    <s v="Cash"/>
    <x v="2"/>
    <m/>
    <m/>
    <m/>
  </r>
  <r>
    <d v="2024-08-01T00:00:00"/>
    <d v="1899-12-30T15:18:00"/>
    <s v="Ndimu"/>
    <n v="1"/>
    <n v="20"/>
    <n v="8.3333333333333339"/>
    <n v="11.666666666666666"/>
    <s v="Cash"/>
    <x v="2"/>
    <m/>
    <m/>
    <m/>
  </r>
  <r>
    <d v="2024-08-01T00:00:00"/>
    <d v="1899-12-30T15:23:00"/>
    <m/>
    <m/>
    <m/>
    <m/>
    <m/>
    <m/>
    <x v="2"/>
    <s v="Msanii"/>
    <n v="1080"/>
    <s v="Mpesa"/>
  </r>
  <r>
    <d v="2024-08-01T00:00:00"/>
    <d v="1899-12-30T15:51:00"/>
    <s v="T.Heat Potato crisps vinegar and salt 25g"/>
    <n v="2"/>
    <n v="60"/>
    <n v="45.833333333333336"/>
    <n v="14.166666666666664"/>
    <s v="Cash"/>
    <x v="2"/>
    <m/>
    <m/>
    <m/>
  </r>
  <r>
    <d v="2024-08-01T00:00:00"/>
    <d v="1899-12-30T15:51:00"/>
    <s v="Patco"/>
    <n v="4"/>
    <n v="10"/>
    <n v="4.8"/>
    <n v="5.2"/>
    <s v="Cash"/>
    <x v="2"/>
    <m/>
    <m/>
    <m/>
  </r>
  <r>
    <d v="2024-08-01T00:00:00"/>
    <d v="1899-12-30T15:51:00"/>
    <s v="coo"/>
    <n v="4"/>
    <n v="10"/>
    <n v="4.8"/>
    <n v="5.2"/>
    <s v="Cash"/>
    <x v="2"/>
    <m/>
    <m/>
    <m/>
  </r>
  <r>
    <d v="2024-08-01T00:00:00"/>
    <d v="1899-12-30T15:51:00"/>
    <s v="Glucose 10g"/>
    <n v="2"/>
    <n v="10"/>
    <n v="7.5"/>
    <n v="2.5"/>
    <s v="Cash"/>
    <x v="2"/>
    <m/>
    <m/>
    <m/>
  </r>
  <r>
    <d v="2024-08-01T00:00:00"/>
    <d v="1899-12-30T15:51:00"/>
    <s v="Bigdaddy"/>
    <n v="1"/>
    <n v="10"/>
    <n v="6"/>
    <n v="4"/>
    <s v="Cash"/>
    <x v="2"/>
    <m/>
    <m/>
    <m/>
  </r>
  <r>
    <d v="2024-08-01T00:00:00"/>
    <d v="1899-12-30T15:58:00"/>
    <m/>
    <m/>
    <m/>
    <m/>
    <m/>
    <m/>
    <x v="2"/>
    <s v="Mum Victor"/>
    <n v="450"/>
    <s v="Mpesa"/>
  </r>
  <r>
    <d v="2024-08-01T00:00:00"/>
    <d v="1899-12-30T16:04:00"/>
    <s v="Kinangop Fresh Milk 500ml"/>
    <n v="3"/>
    <n v="180"/>
    <n v="165"/>
    <n v="15"/>
    <s v="Cash"/>
    <x v="2"/>
    <m/>
    <m/>
    <m/>
  </r>
  <r>
    <d v="2024-08-01T00:00:00"/>
    <d v="1899-12-30T16:55:00"/>
    <s v="5ltrs water"/>
    <n v="1"/>
    <n v="120"/>
    <n v="75"/>
    <n v="45"/>
    <s v="Mpesa"/>
    <x v="2"/>
    <m/>
    <m/>
    <m/>
  </r>
  <r>
    <d v="2024-08-01T00:00:00"/>
    <d v="1899-12-30T16:56:00"/>
    <s v="eggs"/>
    <n v="1"/>
    <n v="20"/>
    <n v="14.333333333333334"/>
    <n v="5.6666666666666661"/>
    <s v="Mpesa"/>
    <x v="2"/>
    <m/>
    <m/>
    <m/>
  </r>
  <r>
    <d v="2024-08-01T00:00:00"/>
    <d v="1899-12-30T17:08:00"/>
    <s v="1.5ltrs water"/>
    <n v="1"/>
    <n v="70"/>
    <n v="25"/>
    <n v="45"/>
    <s v="Mpesa"/>
    <x v="2"/>
    <m/>
    <m/>
    <m/>
  </r>
  <r>
    <d v="2024-08-01T00:00:00"/>
    <d v="1899-12-30T17:16:00"/>
    <s v="300ml water"/>
    <n v="1"/>
    <n v="30"/>
    <n v="12.5"/>
    <n v="17.5"/>
    <s v="Cash"/>
    <x v="2"/>
    <m/>
    <m/>
    <m/>
  </r>
  <r>
    <d v="2024-08-01T00:00:00"/>
    <d v="1899-12-30T17:16:00"/>
    <s v="Poa Pekee Tissue"/>
    <n v="1"/>
    <n v="30"/>
    <n v="13.333333333333334"/>
    <n v="16.666666666666664"/>
    <s v="Cash"/>
    <x v="2"/>
    <m/>
    <m/>
    <m/>
  </r>
  <r>
    <d v="2024-08-01T00:00:00"/>
    <d v="1899-12-30T17:38:00"/>
    <s v="Tropical"/>
    <n v="10"/>
    <n v="50"/>
    <n v="15"/>
    <n v="35"/>
    <s v="Cash"/>
    <x v="2"/>
    <m/>
    <m/>
    <m/>
  </r>
  <r>
    <d v="2024-08-01T00:00:00"/>
    <d v="1899-12-30T17:38:00"/>
    <s v="Nuvita Bisquit"/>
    <n v="10"/>
    <n v="50"/>
    <n v="41.666666666666671"/>
    <n v="8.3333333333333286"/>
    <s v="Cash"/>
    <x v="2"/>
    <m/>
    <m/>
    <m/>
  </r>
  <r>
    <d v="2024-08-01T00:00:00"/>
    <d v="1899-12-30T18:01:00"/>
    <s v="Bigdaddy"/>
    <n v="2"/>
    <n v="20"/>
    <n v="12"/>
    <n v="8"/>
    <s v="Cash"/>
    <x v="2"/>
    <m/>
    <m/>
    <m/>
  </r>
  <r>
    <d v="2024-08-01T00:00:00"/>
    <d v="1899-12-30T18:01:00"/>
    <s v="Nuvita Bisquit"/>
    <n v="2"/>
    <n v="10"/>
    <n v="8.3333333333333339"/>
    <n v="1.6666666666666661"/>
    <s v="Cash"/>
    <x v="2"/>
    <m/>
    <m/>
    <m/>
  </r>
  <r>
    <d v="2024-08-01T00:00:00"/>
    <d v="1899-12-30T18:14:00"/>
    <s v="scooter cans"/>
    <n v="3"/>
    <n v="60"/>
    <n v="45"/>
    <n v="15"/>
    <s v="Cash"/>
    <x v="2"/>
    <m/>
    <m/>
    <m/>
  </r>
  <r>
    <d v="2024-08-01T00:00:00"/>
    <d v="1899-12-30T18:14:00"/>
    <s v="kensalt 1kg"/>
    <n v="1"/>
    <n v="50"/>
    <n v="35"/>
    <n v="15"/>
    <s v="Cash"/>
    <x v="2"/>
    <m/>
    <m/>
    <m/>
  </r>
  <r>
    <d v="2024-08-01T00:00:00"/>
    <d v="1899-12-30T18:14:00"/>
    <s v="Safaricom 20 Credit"/>
    <n v="1"/>
    <n v="20"/>
    <n v="18"/>
    <n v="2"/>
    <s v="Cash"/>
    <x v="2"/>
    <m/>
    <m/>
    <m/>
  </r>
  <r>
    <d v="2024-08-01T00:00:00"/>
    <d v="1899-12-30T18:21:00"/>
    <s v="Bigdaddy"/>
    <n v="2"/>
    <n v="20"/>
    <n v="12"/>
    <n v="8"/>
    <s v="Cash"/>
    <x v="2"/>
    <m/>
    <m/>
    <m/>
  </r>
  <r>
    <d v="2024-08-01T00:00:00"/>
    <d v="1899-12-30T18:21:00"/>
    <s v="Glucose 10g"/>
    <n v="1"/>
    <n v="5"/>
    <n v="3.75"/>
    <n v="1.25"/>
    <s v="Cash"/>
    <x v="2"/>
    <m/>
    <m/>
    <m/>
  </r>
  <r>
    <d v="2024-08-01T00:00:00"/>
    <d v="1899-12-30T18:30:00"/>
    <s v="Festive 600g"/>
    <n v="1"/>
    <n v="100"/>
    <n v="90"/>
    <n v="10"/>
    <s v="Cash"/>
    <x v="2"/>
    <m/>
    <m/>
    <m/>
  </r>
  <r>
    <d v="2024-08-01T00:00:00"/>
    <d v="1899-12-30T18:41:00"/>
    <s v="pens"/>
    <n v="1"/>
    <n v="10"/>
    <n v="6"/>
    <n v="4"/>
    <s v="Cash"/>
    <x v="2"/>
    <m/>
    <m/>
    <m/>
  </r>
  <r>
    <d v="2024-08-01T00:00:00"/>
    <d v="1899-12-30T18:41:00"/>
    <s v="Nuvita Bisquit"/>
    <n v="2"/>
    <n v="10"/>
    <n v="8.3333333333333339"/>
    <n v="1.6666666666666661"/>
    <s v="Cash"/>
    <x v="2"/>
    <m/>
    <m/>
    <m/>
  </r>
  <r>
    <d v="2024-08-01T00:00:00"/>
    <d v="1899-12-30T19:00:00"/>
    <s v="waru"/>
    <n v="1"/>
    <n v="50"/>
    <n v="29.999999999999996"/>
    <n v="20.000000000000004"/>
    <s v="Mpesa"/>
    <x v="2"/>
    <m/>
    <m/>
    <m/>
  </r>
  <r>
    <d v="2024-08-01T00:00:00"/>
    <d v="1899-12-30T19:00:00"/>
    <s v="hoho"/>
    <n v="2"/>
    <n v="20"/>
    <n v="13.333333333333334"/>
    <n v="6.6666666666666661"/>
    <s v="Mpesa"/>
    <x v="2"/>
    <m/>
    <m/>
    <m/>
  </r>
  <r>
    <d v="2024-08-01T00:00:00"/>
    <d v="1899-12-30T19:00:00"/>
    <s v="Dhania"/>
    <n v="1"/>
    <n v="5"/>
    <n v="3.3333333333333335"/>
    <n v="1.6666666666666665"/>
    <s v="Mpesa"/>
    <x v="2"/>
    <m/>
    <m/>
    <m/>
  </r>
  <r>
    <d v="2024-08-01T00:00:00"/>
    <d v="1899-12-30T19:01:00"/>
    <s v="Airtel 50 Credit"/>
    <n v="1"/>
    <n v="50"/>
    <n v="47"/>
    <n v="3"/>
    <s v="Cash"/>
    <x v="2"/>
    <m/>
    <m/>
    <m/>
  </r>
  <r>
    <d v="2024-08-01T00:00:00"/>
    <d v="1899-12-30T19:13:00"/>
    <s v="Tomatoes"/>
    <n v="5"/>
    <n v="50"/>
    <n v="25"/>
    <n v="25"/>
    <s v="Credit"/>
    <x v="7"/>
    <m/>
    <m/>
    <m/>
  </r>
  <r>
    <d v="2024-08-01T00:00:00"/>
    <d v="1899-12-30T19:13:00"/>
    <s v="eggs"/>
    <n v="5"/>
    <n v="100"/>
    <n v="71.666666666666671"/>
    <n v="28.333333333333329"/>
    <s v="Credit"/>
    <x v="7"/>
    <m/>
    <m/>
    <m/>
  </r>
  <r>
    <d v="2024-08-01T00:00:00"/>
    <d v="1899-12-30T19:15:00"/>
    <s v="Magadi"/>
    <n v="2"/>
    <n v="10"/>
    <n v="6"/>
    <n v="4"/>
    <s v="Cash"/>
    <x v="2"/>
    <m/>
    <m/>
    <m/>
  </r>
  <r>
    <d v="2024-08-01T00:00:00"/>
    <d v="1899-12-30T19:29:00"/>
    <s v="Tukuza 1kg"/>
    <n v="1"/>
    <n v="90"/>
    <n v="61.25"/>
    <n v="28.75"/>
    <s v="Credit"/>
    <x v="12"/>
    <s v="Pauline"/>
    <n v="35"/>
    <s v="Mpesa"/>
  </r>
  <r>
    <d v="2024-08-01T00:00:00"/>
    <d v="1899-12-30T19:36:00"/>
    <s v="Crown Gold Milk 500ml"/>
    <n v="1"/>
    <n v="65"/>
    <n v="54.166666666666664"/>
    <n v="10.833333333333336"/>
    <s v="Cash"/>
    <x v="2"/>
    <m/>
    <m/>
    <m/>
  </r>
  <r>
    <d v="2024-08-01T00:00:00"/>
    <d v="1899-12-30T19:51:00"/>
    <s v="5ltrs water"/>
    <n v="1"/>
    <n v="120"/>
    <n v="75"/>
    <n v="45"/>
    <s v="Mpesa"/>
    <x v="2"/>
    <m/>
    <m/>
    <m/>
  </r>
  <r>
    <d v="2024-08-01T00:00:00"/>
    <d v="1899-12-30T19:51:00"/>
    <s v="tumbocide"/>
    <n v="2"/>
    <n v="20"/>
    <n v="14"/>
    <n v="6"/>
    <s v="Mpesa"/>
    <x v="2"/>
    <m/>
    <m/>
    <m/>
  </r>
  <r>
    <d v="2024-08-01T00:00:00"/>
    <d v="1899-12-30T19:51:00"/>
    <s v="Crown Gold Milk 500ml"/>
    <n v="1"/>
    <n v="65"/>
    <n v="54.166666666666664"/>
    <n v="10.833333333333336"/>
    <s v="Mpesa"/>
    <x v="2"/>
    <m/>
    <m/>
    <m/>
  </r>
  <r>
    <d v="2024-08-01T00:00:00"/>
    <d v="1899-12-30T19:51:00"/>
    <s v="Lighter"/>
    <n v="1"/>
    <n v="30"/>
    <n v="15"/>
    <n v="15"/>
    <s v="Mpesa"/>
    <x v="2"/>
    <m/>
    <m/>
    <m/>
  </r>
  <r>
    <d v="2024-08-01T00:00:00"/>
    <d v="1899-12-30T20:04:00"/>
    <s v="Safari"/>
    <n v="2"/>
    <n v="30"/>
    <n v="17"/>
    <n v="13"/>
    <s v="Mpesa"/>
    <x v="2"/>
    <m/>
    <m/>
    <m/>
  </r>
  <r>
    <d v="2024-08-01T00:00:00"/>
    <d v="1899-12-30T20:04:00"/>
    <s v="mosquito stick"/>
    <n v="1"/>
    <n v="10"/>
    <n v="9"/>
    <n v="1"/>
    <s v="Mpesa"/>
    <x v="2"/>
    <m/>
    <m/>
    <m/>
  </r>
  <r>
    <d v="2024-08-01T00:00:00"/>
    <d v="1899-12-30T20:36:00"/>
    <s v="Cooking Oil Measured"/>
    <n v="0.25"/>
    <n v="70"/>
    <n v="50"/>
    <n v="20"/>
    <s v="Credit"/>
    <x v="19"/>
    <s v="Titus"/>
    <n v="20"/>
    <s v="Mpesa"/>
  </r>
  <r>
    <d v="2024-08-02T00:00:00"/>
    <d v="1899-12-30T08:22:00"/>
    <s v="ilara 250g yoghurt"/>
    <n v="1"/>
    <n v="85"/>
    <n v="73"/>
    <n v="12"/>
    <s v="Mpesa"/>
    <x v="2"/>
    <m/>
    <m/>
    <m/>
  </r>
  <r>
    <d v="2024-08-02T00:00:00"/>
    <d v="1899-12-30T08:37:00"/>
    <s v="eggs"/>
    <n v="2"/>
    <n v="40"/>
    <n v="28.666666666666668"/>
    <n v="11.333333333333332"/>
    <s v="Mpesa"/>
    <x v="2"/>
    <m/>
    <m/>
    <m/>
  </r>
  <r>
    <d v="2024-08-02T00:00:00"/>
    <d v="1899-12-30T08:37:00"/>
    <s v="Mt kenya milk 500ml"/>
    <n v="1"/>
    <n v="65"/>
    <n v="48.333333333333336"/>
    <n v="16.666666666666664"/>
    <s v="Mpesa"/>
    <x v="2"/>
    <m/>
    <m/>
    <m/>
  </r>
  <r>
    <d v="2024-08-02T00:00:00"/>
    <d v="1899-12-30T08:48:00"/>
    <s v="Mt kenya milk 500ml"/>
    <n v="1"/>
    <n v="65"/>
    <n v="48.333333333333336"/>
    <n v="16.666666666666664"/>
    <s v="Cash"/>
    <x v="2"/>
    <m/>
    <m/>
    <m/>
  </r>
  <r>
    <d v="2024-08-02T00:00:00"/>
    <d v="1899-12-30T08:48:00"/>
    <s v="Mt kenya milk 500ml"/>
    <n v="1"/>
    <n v="65"/>
    <n v="48.333333333333336"/>
    <n v="16.666666666666664"/>
    <s v="Cash"/>
    <x v="2"/>
    <m/>
    <m/>
    <m/>
  </r>
  <r>
    <d v="2024-08-02T00:00:00"/>
    <d v="1899-12-30T09:30:00"/>
    <s v="Mt kenya milk 500ml"/>
    <n v="1"/>
    <n v="65"/>
    <n v="48.333333333333336"/>
    <n v="16.666666666666664"/>
    <s v="Credit"/>
    <x v="12"/>
    <m/>
    <m/>
    <m/>
  </r>
  <r>
    <d v="2024-08-02T00:00:00"/>
    <d v="1899-12-30T09:30:00"/>
    <s v="Safari"/>
    <n v="1"/>
    <n v="15"/>
    <n v="8.5"/>
    <n v="6.5"/>
    <s v="Cash"/>
    <x v="2"/>
    <m/>
    <m/>
    <m/>
  </r>
  <r>
    <d v="2024-08-02T00:00:00"/>
    <d v="1899-12-30T09:56:00"/>
    <s v="Mt kenya milk 500ml"/>
    <n v="1"/>
    <n v="65"/>
    <n v="48.333333333333336"/>
    <n v="16.666666666666664"/>
    <s v="Mpesa"/>
    <x v="2"/>
    <m/>
    <m/>
    <m/>
  </r>
  <r>
    <d v="2024-08-02T00:00:00"/>
    <d v="1899-12-30T09:56:00"/>
    <s v="BB Bread 400g"/>
    <n v="1"/>
    <n v="65"/>
    <n v="60"/>
    <n v="5"/>
    <s v="Mpesa"/>
    <x v="2"/>
    <m/>
    <m/>
    <m/>
  </r>
  <r>
    <d v="2024-08-02T00:00:00"/>
    <d v="1899-12-30T09:57:00"/>
    <s v="Lighter"/>
    <n v="1"/>
    <n v="30"/>
    <n v="15"/>
    <n v="15"/>
    <s v="Mpesa"/>
    <x v="2"/>
    <m/>
    <m/>
    <m/>
  </r>
  <r>
    <d v="2024-08-02T00:00:00"/>
    <d v="1899-12-30T09:57:00"/>
    <s v="Banana"/>
    <n v="2"/>
    <n v="20"/>
    <n v="16.666666666666668"/>
    <n v="3.3333333333333321"/>
    <s v="Mpesa"/>
    <x v="2"/>
    <m/>
    <m/>
    <m/>
  </r>
  <r>
    <d v="2024-08-02T00:00:00"/>
    <d v="1899-12-30T09:57:00"/>
    <s v="Kinangop Fresh Milk 500ml"/>
    <n v="1"/>
    <n v="60"/>
    <n v="55"/>
    <n v="5"/>
    <s v="Credit"/>
    <x v="3"/>
    <m/>
    <m/>
    <m/>
  </r>
  <r>
    <d v="2024-08-02T00:00:00"/>
    <d v="1899-12-30T09:58:00"/>
    <s v="BB Bread 400g"/>
    <n v="1"/>
    <n v="65"/>
    <n v="60"/>
    <n v="5"/>
    <s v="Credit"/>
    <x v="3"/>
    <m/>
    <m/>
    <m/>
  </r>
  <r>
    <d v="2024-08-02T00:00:00"/>
    <d v="1899-12-30T10:40:00"/>
    <s v="Festive 600g"/>
    <n v="1"/>
    <n v="100"/>
    <n v="90"/>
    <n v="10"/>
    <s v="Cash"/>
    <x v="2"/>
    <m/>
    <m/>
    <m/>
  </r>
  <r>
    <d v="2024-08-02T00:00:00"/>
    <d v="1899-12-30T10:40:00"/>
    <s v="Banana"/>
    <n v="3"/>
    <n v="30"/>
    <n v="25"/>
    <n v="5"/>
    <s v="Cash"/>
    <x v="2"/>
    <m/>
    <m/>
    <m/>
  </r>
  <r>
    <d v="2024-08-02T00:00:00"/>
    <d v="1899-12-30T11:48:00"/>
    <s v="Sonaplast"/>
    <n v="1"/>
    <n v="10"/>
    <n v="7"/>
    <n v="3"/>
    <s v="Mpesa"/>
    <x v="2"/>
    <m/>
    <m/>
    <m/>
  </r>
  <r>
    <d v="2024-08-02T00:00:00"/>
    <d v="1899-12-30T11:49:00"/>
    <s v="eggs"/>
    <n v="2"/>
    <n v="40"/>
    <n v="28.666666666666668"/>
    <n v="11.333333333333332"/>
    <s v="Mpesa"/>
    <x v="2"/>
    <m/>
    <m/>
    <m/>
  </r>
  <r>
    <d v="2024-08-02T00:00:00"/>
    <d v="1899-12-30T11:49:00"/>
    <m/>
    <m/>
    <m/>
    <m/>
    <m/>
    <m/>
    <x v="2"/>
    <s v="Irene"/>
    <n v="1705"/>
    <s v="Cash"/>
  </r>
  <r>
    <d v="2024-08-02T00:00:00"/>
    <d v="1899-12-30T12:32:00"/>
    <s v="ariel 75g"/>
    <n v="1"/>
    <n v="35"/>
    <n v="27.5"/>
    <n v="7.5"/>
    <s v="Credit"/>
    <x v="3"/>
    <m/>
    <m/>
    <m/>
  </r>
  <r>
    <d v="2024-08-02T00:00:00"/>
    <d v="1899-12-30T01:43:00"/>
    <s v="Brookside Lala Sweetened"/>
    <n v="2"/>
    <n v="220"/>
    <n v="186"/>
    <n v="34"/>
    <s v="Mpesa"/>
    <x v="2"/>
    <m/>
    <m/>
    <m/>
  </r>
  <r>
    <d v="2024-08-02T00:00:00"/>
    <d v="1899-12-30T01:45:00"/>
    <s v="Safaricom 20 Credit"/>
    <n v="2"/>
    <n v="40"/>
    <n v="36"/>
    <n v="4"/>
    <s v="Cash"/>
    <x v="2"/>
    <m/>
    <m/>
    <m/>
  </r>
  <r>
    <d v="2024-08-02T00:00:00"/>
    <d v="1899-12-30T13:45:00"/>
    <s v="Bigdaddy"/>
    <n v="1"/>
    <n v="10"/>
    <n v="6"/>
    <n v="4"/>
    <s v="Cash"/>
    <x v="2"/>
    <m/>
    <m/>
    <m/>
  </r>
  <r>
    <d v="2024-08-02T00:00:00"/>
    <d v="1899-12-30T14:06:00"/>
    <s v="210 Maize Meal 2kg"/>
    <n v="1"/>
    <n v="160"/>
    <n v="117.08333333333333"/>
    <n v="42.916666666666671"/>
    <s v="Mpesa"/>
    <x v="2"/>
    <m/>
    <m/>
    <m/>
  </r>
  <r>
    <d v="2024-08-02T00:00:00"/>
    <d v="1899-12-30T14:22:00"/>
    <s v="Royco cubes"/>
    <n v="6"/>
    <n v="30"/>
    <n v="18"/>
    <n v="12"/>
    <s v="Cash"/>
    <x v="2"/>
    <m/>
    <m/>
    <m/>
  </r>
  <r>
    <d v="2024-08-02T00:00:00"/>
    <d v="1899-12-30T14:34:00"/>
    <s v="Patco"/>
    <n v="2"/>
    <n v="5"/>
    <n v="2.4"/>
    <n v="2.6"/>
    <s v="Cash"/>
    <x v="2"/>
    <m/>
    <m/>
    <m/>
  </r>
  <r>
    <d v="2024-08-02T00:00:00"/>
    <d v="1899-12-30T14:34:00"/>
    <s v="Bigdaddy"/>
    <n v="1"/>
    <n v="10"/>
    <n v="6"/>
    <n v="4"/>
    <s v="Cash"/>
    <x v="2"/>
    <m/>
    <m/>
    <m/>
  </r>
  <r>
    <d v="2024-08-02T00:00:00"/>
    <d v="1899-12-30T14:48:00"/>
    <s v="Safaricom 20 Credit"/>
    <n v="1"/>
    <n v="20"/>
    <n v="18"/>
    <n v="2"/>
    <s v="Cash"/>
    <x v="2"/>
    <m/>
    <m/>
    <m/>
  </r>
  <r>
    <d v="2024-08-02T00:00:00"/>
    <d v="1899-12-30T14:59:00"/>
    <s v="Icepop"/>
    <n v="1"/>
    <n v="15"/>
    <n v="7.5"/>
    <n v="7.5"/>
    <s v="Cash"/>
    <x v="2"/>
    <m/>
    <m/>
    <m/>
  </r>
  <r>
    <d v="2024-08-02T00:00:00"/>
    <d v="1899-12-30T15:00:00"/>
    <s v="Indomie chicken"/>
    <n v="2"/>
    <n v="100"/>
    <n v="75"/>
    <n v="25"/>
    <s v="Cash"/>
    <x v="2"/>
    <m/>
    <m/>
    <m/>
  </r>
  <r>
    <d v="2024-08-02T00:00:00"/>
    <d v="1899-12-30T15:00:00"/>
    <s v="Patco"/>
    <n v="2"/>
    <n v="5"/>
    <n v="2.4"/>
    <n v="2.6"/>
    <s v="Cash"/>
    <x v="2"/>
    <m/>
    <m/>
    <m/>
  </r>
  <r>
    <d v="2024-08-02T00:00:00"/>
    <d v="1899-12-30T16:34:00"/>
    <s v="Ring Cake"/>
    <n v="1"/>
    <n v="50"/>
    <n v="45"/>
    <n v="5"/>
    <s v="Cash"/>
    <x v="2"/>
    <m/>
    <m/>
    <m/>
  </r>
  <r>
    <d v="2024-08-02T00:00:00"/>
    <d v="1899-12-30T16:49:00"/>
    <s v="T.Heat Potato crisps vinegar and salt 25g"/>
    <n v="2"/>
    <n v="60"/>
    <n v="45.833333333333336"/>
    <n v="14.166666666666664"/>
    <s v="Cash"/>
    <x v="2"/>
    <m/>
    <m/>
    <m/>
  </r>
  <r>
    <d v="2024-08-02T00:00:00"/>
    <d v="1899-12-30T16:49:00"/>
    <s v="Glucose 10g"/>
    <n v="1"/>
    <n v="5"/>
    <n v="3.75"/>
    <n v="1.25"/>
    <s v="Cash"/>
    <x v="2"/>
    <m/>
    <m/>
    <m/>
  </r>
  <r>
    <d v="2024-08-02T00:00:00"/>
    <d v="1899-12-30T16:49:00"/>
    <s v="Gomba"/>
    <n v="8"/>
    <n v="20"/>
    <n v="14.4"/>
    <n v="5.6"/>
    <s v="Cash"/>
    <x v="2"/>
    <m/>
    <m/>
    <m/>
  </r>
  <r>
    <d v="2024-08-02T00:00:00"/>
    <d v="1899-12-30T16:49:00"/>
    <s v="Patco"/>
    <n v="4"/>
    <n v="10"/>
    <n v="4.8"/>
    <n v="5.2"/>
    <s v="Cash"/>
    <x v="2"/>
    <m/>
    <m/>
    <m/>
  </r>
  <r>
    <d v="2024-08-02T00:00:00"/>
    <d v="1899-12-30T16:49:00"/>
    <s v="coo"/>
    <n v="4"/>
    <n v="10"/>
    <n v="4.8"/>
    <n v="5.2"/>
    <s v="Cash"/>
    <x v="2"/>
    <m/>
    <m/>
    <m/>
  </r>
  <r>
    <d v="2024-08-02T00:00:00"/>
    <d v="1899-12-30T16:49:00"/>
    <s v="Bigboss"/>
    <n v="2"/>
    <n v="10"/>
    <n v="7"/>
    <n v="3"/>
    <s v="Cash"/>
    <x v="2"/>
    <m/>
    <m/>
    <m/>
  </r>
  <r>
    <d v="2024-08-02T00:00:00"/>
    <d v="1899-12-30T16:49:00"/>
    <s v="Lollipop"/>
    <n v="2"/>
    <n v="10"/>
    <n v="4.8"/>
    <n v="5.2"/>
    <s v="Cash"/>
    <x v="2"/>
    <m/>
    <m/>
    <m/>
  </r>
  <r>
    <d v="2024-08-02T00:00:00"/>
    <d v="1899-12-30T16:49:00"/>
    <s v="Bigdaddy"/>
    <n v="1"/>
    <n v="10"/>
    <n v="6"/>
    <n v="4"/>
    <s v="Cash"/>
    <x v="2"/>
    <m/>
    <m/>
    <m/>
  </r>
  <r>
    <d v="2024-08-02T00:00:00"/>
    <d v="1899-12-30T16:49:00"/>
    <s v="Cough drops"/>
    <n v="1"/>
    <n v="5"/>
    <n v="4"/>
    <n v="1"/>
    <s v="Cash"/>
    <x v="2"/>
    <m/>
    <m/>
    <m/>
  </r>
  <r>
    <d v="2024-08-02T00:00:00"/>
    <d v="1899-12-30T17:13:00"/>
    <s v="Tomatoes"/>
    <n v="10"/>
    <n v="100"/>
    <n v="50"/>
    <n v="50"/>
    <s v="Cash"/>
    <x v="2"/>
    <m/>
    <m/>
    <m/>
  </r>
  <r>
    <d v="2024-08-02T00:00:00"/>
    <d v="1899-12-30T17:13:00"/>
    <s v="Fahari Tea 50g"/>
    <n v="1"/>
    <n v="30"/>
    <n v="17.5"/>
    <n v="12.5"/>
    <s v="Cash"/>
    <x v="2"/>
    <m/>
    <m/>
    <m/>
  </r>
  <r>
    <d v="2024-08-02T00:00:00"/>
    <d v="1899-12-30T17:13:00"/>
    <s v="spinach"/>
    <n v="5"/>
    <n v="100"/>
    <n v="50"/>
    <n v="50"/>
    <s v="Cash"/>
    <x v="2"/>
    <m/>
    <m/>
    <m/>
  </r>
  <r>
    <d v="2024-08-02T00:00:00"/>
    <d v="1899-12-30T17:13:00"/>
    <s v="toothpick"/>
    <n v="1"/>
    <n v="20"/>
    <n v="15"/>
    <n v="5"/>
    <s v="Cash"/>
    <x v="2"/>
    <m/>
    <m/>
    <m/>
  </r>
  <r>
    <d v="2024-08-02T00:00:00"/>
    <d v="1899-12-30T17:32:00"/>
    <s v="Bigdaddy"/>
    <n v="2"/>
    <n v="20"/>
    <n v="12"/>
    <n v="8"/>
    <s v="Cash"/>
    <x v="2"/>
    <m/>
    <m/>
    <m/>
  </r>
  <r>
    <d v="2024-08-02T00:00:00"/>
    <d v="1899-12-30T17:43:00"/>
    <s v="Cooking Oil Measured"/>
    <n v="0.25"/>
    <n v="70"/>
    <n v="50"/>
    <n v="20"/>
    <s v="Mpesa"/>
    <x v="2"/>
    <m/>
    <m/>
    <m/>
  </r>
  <r>
    <d v="2024-08-02T00:00:00"/>
    <d v="1899-12-30T17:43:00"/>
    <s v="BB Bread 400g"/>
    <n v="2"/>
    <n v="130"/>
    <n v="120"/>
    <n v="10"/>
    <s v="Mpesa"/>
    <x v="2"/>
    <m/>
    <m/>
    <m/>
  </r>
  <r>
    <d v="2024-08-02T00:00:00"/>
    <d v="1899-12-30T17:43:00"/>
    <s v="Crown Gold Milk 500ml"/>
    <n v="1"/>
    <n v="65"/>
    <n v="54.166666666666664"/>
    <n v="10.833333333333336"/>
    <s v="Mpesa"/>
    <x v="2"/>
    <m/>
    <m/>
    <m/>
  </r>
  <r>
    <d v="2024-08-02T00:00:00"/>
    <d v="1899-12-30T17:43:00"/>
    <s v="Match Box"/>
    <n v="1"/>
    <n v="5"/>
    <n v="2.3611111111111112"/>
    <n v="2.6388888888888888"/>
    <s v="Mpesa"/>
    <x v="2"/>
    <m/>
    <m/>
    <m/>
  </r>
  <r>
    <d v="2024-08-02T00:00:00"/>
    <d v="1899-12-30T17:43:00"/>
    <s v="Sugar"/>
    <n v="0.5"/>
    <n v="90"/>
    <n v="65"/>
    <n v="25"/>
    <s v="Mpesa"/>
    <x v="2"/>
    <m/>
    <m/>
    <m/>
  </r>
  <r>
    <d v="2024-08-02T00:00:00"/>
    <d v="1899-12-30T18:38:00"/>
    <s v="eggs"/>
    <n v="5"/>
    <n v="100"/>
    <n v="71.666666666666671"/>
    <n v="28.333333333333329"/>
    <s v="Credit"/>
    <x v="19"/>
    <m/>
    <m/>
    <m/>
  </r>
  <r>
    <d v="2024-08-02T00:00:00"/>
    <d v="1899-12-30T18:38:00"/>
    <s v="Banana"/>
    <n v="1"/>
    <n v="10"/>
    <n v="8.3333333333333339"/>
    <n v="1.6666666666666661"/>
    <s v="Credit"/>
    <x v="19"/>
    <m/>
    <m/>
    <m/>
  </r>
  <r>
    <d v="2024-08-02T00:00:00"/>
    <d v="1899-12-30T18:38:00"/>
    <s v="Tropical"/>
    <n v="2"/>
    <n v="10"/>
    <n v="3"/>
    <n v="7"/>
    <s v="Credit"/>
    <x v="19"/>
    <m/>
    <m/>
    <m/>
  </r>
  <r>
    <d v="2024-08-02T00:00:00"/>
    <d v="1899-12-30T18:38:00"/>
    <s v="Tomatoes"/>
    <n v="1"/>
    <n v="10"/>
    <n v="5"/>
    <n v="5"/>
    <s v="Credit"/>
    <x v="19"/>
    <m/>
    <m/>
    <m/>
  </r>
  <r>
    <d v="2024-08-02T00:00:00"/>
    <d v="1899-12-30T19:15:00"/>
    <m/>
    <m/>
    <m/>
    <m/>
    <m/>
    <m/>
    <x v="2"/>
    <s v="Lucy"/>
    <n v="510"/>
    <s v="Mpesa"/>
  </r>
  <r>
    <d v="2024-08-02T00:00:00"/>
    <d v="1899-12-30T19:20:00"/>
    <m/>
    <m/>
    <m/>
    <m/>
    <m/>
    <m/>
    <x v="2"/>
    <s v="Irene"/>
    <n v="460"/>
    <s v="Mpesa"/>
  </r>
  <r>
    <d v="2024-08-02T00:00:00"/>
    <d v="1899-12-30T19:58:00"/>
    <s v="predator"/>
    <n v="3"/>
    <n v="210"/>
    <n v="162.5"/>
    <n v="47.5"/>
    <s v="Mpesa"/>
    <x v="2"/>
    <m/>
    <m/>
    <m/>
  </r>
  <r>
    <d v="2024-08-02T00:00:00"/>
    <d v="1899-12-30T20:16:00"/>
    <s v="Kinangop Fresh Milk 500ml"/>
    <n v="1"/>
    <n v="60"/>
    <n v="55"/>
    <n v="5"/>
    <s v="Credit"/>
    <x v="8"/>
    <m/>
    <m/>
    <m/>
  </r>
  <r>
    <d v="2024-08-02T00:00:00"/>
    <d v="1899-12-30T20:23:00"/>
    <s v="spinach"/>
    <n v="2"/>
    <n v="40"/>
    <n v="20"/>
    <n v="20"/>
    <s v="Mpesa"/>
    <x v="2"/>
    <m/>
    <m/>
    <m/>
  </r>
  <r>
    <d v="2024-08-02T00:00:00"/>
    <d v="1899-12-30T20:23:00"/>
    <s v="Half pound cake"/>
    <n v="1"/>
    <n v="100"/>
    <n v="90"/>
    <n v="10"/>
    <s v="Credit"/>
    <x v="16"/>
    <m/>
    <m/>
    <m/>
  </r>
  <r>
    <d v="2024-08-03T00:00:00"/>
    <d v="1899-12-30T08:05:00"/>
    <s v="Peanut Cookies"/>
    <n v="1"/>
    <n v="35"/>
    <n v="25"/>
    <n v="10"/>
    <s v="Cash"/>
    <x v="2"/>
    <m/>
    <m/>
    <m/>
  </r>
  <r>
    <d v="2024-08-03T00:00:00"/>
    <d v="1899-12-30T08:05:00"/>
    <s v="ariel 75g"/>
    <n v="1"/>
    <n v="35"/>
    <n v="27.5"/>
    <n v="7.5"/>
    <s v="Cash"/>
    <x v="2"/>
    <m/>
    <m/>
    <m/>
  </r>
  <r>
    <d v="2024-08-03T00:00:00"/>
    <d v="1899-12-30T08:10:00"/>
    <s v="Safari"/>
    <n v="4"/>
    <n v="60"/>
    <n v="34"/>
    <n v="26"/>
    <s v="Credit"/>
    <x v="9"/>
    <m/>
    <m/>
    <m/>
  </r>
  <r>
    <d v="2024-08-03T00:00:00"/>
    <d v="1899-12-30T08:10:00"/>
    <s v="BB Bread 200g"/>
    <n v="1"/>
    <n v="40"/>
    <n v="35"/>
    <n v="5"/>
    <s v="Credit"/>
    <x v="9"/>
    <m/>
    <m/>
    <m/>
  </r>
  <r>
    <d v="2024-08-03T00:00:00"/>
    <d v="1899-12-30T08:10:00"/>
    <s v="Mt Kenya milk 200ml"/>
    <n v="1"/>
    <n v="35"/>
    <n v="24.285714285714285"/>
    <n v="10.714285714285715"/>
    <s v="Credit"/>
    <x v="9"/>
    <m/>
    <m/>
    <m/>
  </r>
  <r>
    <d v="2024-08-03T00:00:00"/>
    <d v="1899-12-30T08:15:00"/>
    <s v="Festive Bread 400g"/>
    <n v="2"/>
    <n v="130"/>
    <n v="120"/>
    <n v="10"/>
    <s v="Cash"/>
    <x v="2"/>
    <m/>
    <m/>
    <m/>
  </r>
  <r>
    <d v="2024-08-03T00:00:00"/>
    <d v="1899-12-30T08:15:00"/>
    <s v="Menengai Bar 1kg"/>
    <n v="0.2"/>
    <n v="50"/>
    <n v="38"/>
    <n v="12"/>
    <s v="Cash"/>
    <x v="2"/>
    <m/>
    <m/>
    <m/>
  </r>
  <r>
    <d v="2024-08-03T00:00:00"/>
    <d v="1899-12-30T08:31:00"/>
    <s v="Brookside milk 500ml"/>
    <n v="3"/>
    <n v="210"/>
    <n v="177"/>
    <n v="33"/>
    <s v="Credit"/>
    <x v="20"/>
    <m/>
    <m/>
    <m/>
  </r>
  <r>
    <d v="2024-08-03T00:00:00"/>
    <d v="1899-12-30T08:36:00"/>
    <s v="Mt kenya milk 500ml"/>
    <n v="1"/>
    <n v="65"/>
    <n v="48.333333333333336"/>
    <n v="16.666666666666664"/>
    <s v="Credit"/>
    <x v="1"/>
    <m/>
    <m/>
    <m/>
  </r>
  <r>
    <d v="2024-08-03T00:00:00"/>
    <d v="1899-12-30T08:36:00"/>
    <s v="BB Bread 400g"/>
    <n v="1"/>
    <n v="65"/>
    <n v="60"/>
    <n v="5"/>
    <s v="Credit"/>
    <x v="1"/>
    <m/>
    <m/>
    <m/>
  </r>
  <r>
    <d v="2024-08-03T00:00:00"/>
    <d v="1899-12-30T08:36:00"/>
    <s v="Steel Wire"/>
    <n v="1"/>
    <n v="10"/>
    <n v="6"/>
    <n v="4"/>
    <s v="Credit"/>
    <x v="1"/>
    <m/>
    <m/>
    <m/>
  </r>
  <r>
    <d v="2024-08-03T00:00:00"/>
    <d v="1899-12-30T08:38:00"/>
    <s v="Toss 100g"/>
    <n v="1"/>
    <n v="60"/>
    <n v="36.666666666666664"/>
    <n v="23.333333333333336"/>
    <s v="Cash"/>
    <x v="2"/>
    <m/>
    <m/>
    <m/>
  </r>
  <r>
    <d v="2024-08-03T00:00:00"/>
    <d v="1899-12-30T08:38:00"/>
    <s v="omo 20g"/>
    <n v="2"/>
    <n v="30"/>
    <n v="18.333333333333332"/>
    <n v="11.666666666666668"/>
    <s v="Cash"/>
    <x v="2"/>
    <m/>
    <m/>
    <m/>
  </r>
  <r>
    <d v="2024-08-03T00:00:00"/>
    <d v="1899-12-30T09:04:00"/>
    <s v="Festive 800g"/>
    <n v="1"/>
    <n v="130"/>
    <n v="120"/>
    <n v="10"/>
    <s v="Mpesa"/>
    <x v="2"/>
    <m/>
    <m/>
    <m/>
  </r>
  <r>
    <d v="2024-08-03T00:00:00"/>
    <d v="1899-12-30T09:04:00"/>
    <s v="Safari"/>
    <n v="1"/>
    <n v="15"/>
    <n v="8.5"/>
    <n v="6.5"/>
    <s v="Cash"/>
    <x v="2"/>
    <m/>
    <m/>
    <m/>
  </r>
  <r>
    <d v="2024-08-03T00:00:00"/>
    <d v="1899-12-30T09:15:00"/>
    <s v="Festive 800g"/>
    <n v="1"/>
    <n v="130"/>
    <n v="120"/>
    <n v="10"/>
    <s v="Mpesa"/>
    <x v="2"/>
    <m/>
    <m/>
    <m/>
  </r>
  <r>
    <d v="2024-08-03T00:00:00"/>
    <d v="1899-12-30T09:28:00"/>
    <s v="Brookside milk 500ml"/>
    <n v="1"/>
    <n v="70"/>
    <n v="59"/>
    <n v="11"/>
    <s v="Credit"/>
    <x v="7"/>
    <m/>
    <m/>
    <m/>
  </r>
  <r>
    <d v="2024-08-03T00:00:00"/>
    <d v="1899-12-30T09:28:00"/>
    <s v="Ring Cake"/>
    <n v="1"/>
    <n v="50"/>
    <n v="45"/>
    <n v="5"/>
    <s v="Credit"/>
    <x v="7"/>
    <m/>
    <m/>
    <m/>
  </r>
  <r>
    <d v="2024-08-03T00:00:00"/>
    <d v="1899-12-30T10:15:00"/>
    <s v="Festive Bread 400g"/>
    <n v="1"/>
    <n v="65"/>
    <n v="60"/>
    <n v="5"/>
    <s v="Mpesa"/>
    <x v="2"/>
    <m/>
    <m/>
    <m/>
  </r>
  <r>
    <d v="2024-08-03T00:00:00"/>
    <d v="1899-12-30T10:15:00"/>
    <s v="T.Heat Potato crisps salted 25g"/>
    <n v="1"/>
    <n v="30"/>
    <n v="22.916666666666668"/>
    <n v="7.0833333333333321"/>
    <s v="Cash"/>
    <x v="2"/>
    <m/>
    <m/>
    <m/>
  </r>
  <r>
    <d v="2024-08-03T00:00:00"/>
    <d v="1899-12-30T10:46:00"/>
    <s v="BB Bread 400g"/>
    <n v="1"/>
    <n v="65"/>
    <n v="60"/>
    <n v="5"/>
    <s v="Mpesa"/>
    <x v="2"/>
    <m/>
    <m/>
    <m/>
  </r>
  <r>
    <d v="2024-08-03T00:00:00"/>
    <d v="1899-12-30T10:46:00"/>
    <s v="eggs"/>
    <n v="6"/>
    <n v="120"/>
    <n v="86"/>
    <n v="34"/>
    <s v="Mpesa"/>
    <x v="2"/>
    <m/>
    <m/>
    <m/>
  </r>
  <r>
    <d v="2024-08-03T00:00:00"/>
    <d v="1899-12-30T10:46:00"/>
    <s v="minutemaid 400ml"/>
    <n v="1"/>
    <n v="80"/>
    <n v="62.5"/>
    <n v="17.5"/>
    <s v="Mpesa"/>
    <x v="2"/>
    <m/>
    <m/>
    <m/>
  </r>
  <r>
    <d v="2024-08-03T00:00:00"/>
    <d v="1899-12-30T11:05:00"/>
    <s v="Maramoja"/>
    <n v="1"/>
    <n v="10"/>
    <n v="7"/>
    <n v="3"/>
    <s v="Cash"/>
    <x v="2"/>
    <m/>
    <m/>
    <m/>
  </r>
  <r>
    <d v="2024-08-03T00:00:00"/>
    <d v="1899-12-30T11:12:00"/>
    <s v="Safari"/>
    <n v="1"/>
    <n v="15"/>
    <n v="8.5"/>
    <n v="6.5"/>
    <s v="Mpesa"/>
    <x v="2"/>
    <m/>
    <m/>
    <m/>
  </r>
  <r>
    <d v="2024-08-03T00:00:00"/>
    <d v="1899-12-30T11:58:00"/>
    <s v="ariel 75g"/>
    <n v="2"/>
    <n v="70"/>
    <n v="55"/>
    <n v="15"/>
    <s v="Mpesa"/>
    <x v="2"/>
    <m/>
    <m/>
    <m/>
  </r>
  <r>
    <d v="2024-08-03T00:00:00"/>
    <d v="1899-12-30T11:58:00"/>
    <s v="Downy lavender"/>
    <n v="1"/>
    <n v="20"/>
    <n v="17.333333333333332"/>
    <n v="2.6666666666666679"/>
    <s v="Mpesa"/>
    <x v="2"/>
    <m/>
    <m/>
    <m/>
  </r>
  <r>
    <d v="2024-08-03T00:00:00"/>
    <d v="1899-12-30T12:00:00"/>
    <s v="Safari"/>
    <n v="1"/>
    <n v="15"/>
    <n v="8.5"/>
    <n v="6.5"/>
    <s v="Mpesa"/>
    <x v="2"/>
    <m/>
    <m/>
    <m/>
  </r>
  <r>
    <d v="2024-08-03T00:00:00"/>
    <d v="1899-12-30T12:00:00"/>
    <s v="Safari"/>
    <n v="2"/>
    <n v="30"/>
    <n v="17"/>
    <n v="13"/>
    <s v="Cash"/>
    <x v="2"/>
    <m/>
    <m/>
    <m/>
  </r>
  <r>
    <d v="2024-08-03T00:00:00"/>
    <d v="1899-12-30T12:08:00"/>
    <s v="Brookside milk 500ml"/>
    <n v="2"/>
    <n v="140"/>
    <n v="118"/>
    <n v="22"/>
    <s v="Cash"/>
    <x v="2"/>
    <m/>
    <m/>
    <m/>
  </r>
  <r>
    <d v="2024-08-03T00:00:00"/>
    <d v="1899-12-30T12:08:00"/>
    <s v="Bigdaddy"/>
    <n v="3"/>
    <n v="30"/>
    <n v="18"/>
    <n v="12"/>
    <s v="Cash"/>
    <x v="2"/>
    <m/>
    <m/>
    <m/>
  </r>
  <r>
    <d v="2024-08-03T00:00:00"/>
    <d v="1899-12-30T12:08:00"/>
    <s v="funtime snacks"/>
    <n v="2"/>
    <n v="30"/>
    <n v="18"/>
    <n v="12"/>
    <s v="Cash"/>
    <x v="2"/>
    <m/>
    <m/>
    <m/>
  </r>
  <r>
    <d v="2024-08-03T00:00:00"/>
    <d v="1899-12-30T12:40:00"/>
    <s v="Ring Cake"/>
    <n v="2"/>
    <n v="100"/>
    <n v="90"/>
    <n v="10"/>
    <s v="Mpesa"/>
    <x v="2"/>
    <m/>
    <m/>
    <m/>
  </r>
  <r>
    <d v="2024-08-03T00:00:00"/>
    <d v="1899-12-30T12:40:00"/>
    <s v="Half pound cake"/>
    <n v="1"/>
    <n v="100"/>
    <n v="90"/>
    <n v="10"/>
    <s v="Mpesa"/>
    <x v="2"/>
    <m/>
    <m/>
    <m/>
  </r>
  <r>
    <d v="2024-08-03T00:00:00"/>
    <d v="1899-12-30T12:40:00"/>
    <s v="BB Bread 400g"/>
    <n v="1"/>
    <n v="65"/>
    <n v="60"/>
    <n v="5"/>
    <s v="Mpesa"/>
    <x v="2"/>
    <m/>
    <m/>
    <m/>
  </r>
  <r>
    <d v="2024-08-03T00:00:00"/>
    <d v="1899-12-30T12:46:00"/>
    <s v="Bella Tissue"/>
    <n v="1"/>
    <n v="45"/>
    <n v="35"/>
    <n v="10"/>
    <s v="Mpesa"/>
    <x v="2"/>
    <m/>
    <m/>
    <m/>
  </r>
  <r>
    <d v="2024-08-03T00:00:00"/>
    <d v="1899-12-30T12:46:00"/>
    <s v="Royco cubes"/>
    <n v="4"/>
    <n v="20"/>
    <n v="12"/>
    <n v="8"/>
    <s v="Mpesa"/>
    <x v="2"/>
    <m/>
    <m/>
    <m/>
  </r>
  <r>
    <d v="2024-08-03T00:00:00"/>
    <d v="1899-12-30T12:52:00"/>
    <s v="Dhania"/>
    <n v="2"/>
    <n v="10"/>
    <n v="6.666666666666667"/>
    <n v="3.333333333333333"/>
    <s v="Cash"/>
    <x v="2"/>
    <m/>
    <m/>
    <m/>
  </r>
  <r>
    <d v="2024-08-03T00:00:00"/>
    <d v="1899-12-30T12:52:00"/>
    <s v="Royco cubes"/>
    <n v="2"/>
    <n v="10"/>
    <n v="6"/>
    <n v="4"/>
    <s v="Cash"/>
    <x v="2"/>
    <m/>
    <m/>
    <m/>
  </r>
  <r>
    <d v="2024-08-03T00:00:00"/>
    <d v="1899-12-30T12:52:00"/>
    <s v="Njugu"/>
    <n v="1"/>
    <n v="20"/>
    <n v="10.666666666666666"/>
    <n v="9.3333333333333339"/>
    <s v="Cash"/>
    <x v="2"/>
    <m/>
    <m/>
    <m/>
  </r>
  <r>
    <d v="2024-08-03T00:00:00"/>
    <d v="1899-12-30T13:12:00"/>
    <s v="Banana"/>
    <n v="1"/>
    <n v="10"/>
    <n v="8.3333333333333339"/>
    <n v="1.6666666666666661"/>
    <s v="Cash"/>
    <x v="2"/>
    <m/>
    <m/>
    <m/>
  </r>
  <r>
    <d v="2024-08-03T00:00:00"/>
    <d v="1899-12-30T13:12:00"/>
    <s v="Drinking Chocolate 20g"/>
    <n v="1"/>
    <n v="20"/>
    <n v="10.416666666666666"/>
    <n v="9.5833333333333339"/>
    <s v="Cash"/>
    <x v="2"/>
    <m/>
    <m/>
    <m/>
  </r>
  <r>
    <d v="2024-08-03T00:00:00"/>
    <d v="1899-12-30T13:15:00"/>
    <s v="Pishori rice"/>
    <n v="0.5"/>
    <n v="110"/>
    <n v="90"/>
    <n v="20"/>
    <s v="Credit"/>
    <x v="3"/>
    <m/>
    <m/>
    <m/>
  </r>
  <r>
    <d v="2024-08-03T00:00:00"/>
    <d v="1899-12-30T13:15:00"/>
    <s v="Dhania"/>
    <n v="1"/>
    <n v="5"/>
    <n v="3.3333333333333335"/>
    <n v="1.6666666666666665"/>
    <s v="Credit"/>
    <x v="3"/>
    <m/>
    <m/>
    <m/>
  </r>
  <r>
    <d v="2024-08-03T00:00:00"/>
    <d v="1899-12-30T13:15:00"/>
    <s v="hoho"/>
    <n v="1"/>
    <n v="10"/>
    <n v="6.666666666666667"/>
    <n v="3.333333333333333"/>
    <s v="Credit"/>
    <x v="3"/>
    <m/>
    <m/>
    <m/>
  </r>
  <r>
    <d v="2024-08-03T00:00:00"/>
    <d v="1899-12-30T13:18:00"/>
    <s v=" soda 1.25lts"/>
    <n v="2"/>
    <n v="260"/>
    <n v="225"/>
    <n v="35"/>
    <s v="Mpesa"/>
    <x v="2"/>
    <m/>
    <m/>
    <m/>
  </r>
  <r>
    <d v="2024-08-03T00:00:00"/>
    <d v="1899-12-30T13:18:00"/>
    <s v="funtime snacks"/>
    <n v="1"/>
    <n v="15"/>
    <n v="9"/>
    <n v="6"/>
    <s v="Mpesa"/>
    <x v="2"/>
    <m/>
    <m/>
    <m/>
  </r>
  <r>
    <d v="2024-08-03T00:00:00"/>
    <d v="1899-12-30T13:29:00"/>
    <s v=" soda 1.25lts"/>
    <n v="2"/>
    <n v="260"/>
    <n v="225"/>
    <n v="35"/>
    <s v="Mpesa"/>
    <x v="2"/>
    <m/>
    <m/>
    <m/>
  </r>
  <r>
    <d v="2024-08-03T00:00:00"/>
    <d v="1899-12-30T13:29:00"/>
    <s v="Bitez"/>
    <n v="2"/>
    <n v="30"/>
    <n v="17.600000000000001"/>
    <n v="12.399999999999999"/>
    <s v="Mpesa"/>
    <x v="2"/>
    <m/>
    <m/>
    <m/>
  </r>
  <r>
    <d v="2024-08-03T00:00:00"/>
    <d v="1899-12-30T13:29:00"/>
    <s v="funtime snacks"/>
    <n v="1"/>
    <n v="15"/>
    <n v="9"/>
    <n v="6"/>
    <s v="Mpesa"/>
    <x v="2"/>
    <m/>
    <m/>
    <m/>
  </r>
  <r>
    <d v="2024-08-03T00:00:00"/>
    <d v="1899-12-30T13:37:00"/>
    <s v="soda 500ml plastic"/>
    <n v="1"/>
    <n v="70"/>
    <n v="60.416666666666664"/>
    <n v="9.5833333333333357"/>
    <s v="Credit"/>
    <x v="19"/>
    <m/>
    <m/>
    <m/>
  </r>
  <r>
    <d v="2024-08-03T00:00:00"/>
    <d v="1899-12-30T13:37:00"/>
    <s v="Peanut Cookies"/>
    <n v="1"/>
    <n v="35"/>
    <n v="25"/>
    <n v="10"/>
    <s v="Credit"/>
    <x v="19"/>
    <m/>
    <m/>
    <m/>
  </r>
  <r>
    <d v="2024-08-03T00:00:00"/>
    <d v="1899-12-30T13:37:00"/>
    <s v="soda 300ml glass"/>
    <n v="2"/>
    <n v="80"/>
    <n v="65"/>
    <n v="15"/>
    <s v="Credit"/>
    <x v="19"/>
    <m/>
    <m/>
    <m/>
  </r>
  <r>
    <d v="2024-08-03T00:00:00"/>
    <d v="1899-12-30T13:37:00"/>
    <s v="BB Bread 200g"/>
    <n v="1"/>
    <n v="40"/>
    <n v="35"/>
    <n v="5"/>
    <s v="Credit"/>
    <x v="19"/>
    <m/>
    <m/>
    <m/>
  </r>
  <r>
    <d v="2024-08-03T00:00:00"/>
    <d v="1899-12-30T13:37:00"/>
    <s v="Nuvita Bisquit"/>
    <n v="2"/>
    <n v="10"/>
    <n v="8.3333333333333339"/>
    <n v="1.6666666666666661"/>
    <s v="Credit"/>
    <x v="19"/>
    <m/>
    <m/>
    <m/>
  </r>
  <r>
    <d v="2024-08-03T00:00:00"/>
    <d v="1899-12-30T13:43:00"/>
    <s v="soda 500ml glass"/>
    <n v="1"/>
    <n v="55"/>
    <n v="50"/>
    <n v="5"/>
    <s v="Cash"/>
    <x v="2"/>
    <m/>
    <m/>
    <m/>
  </r>
  <r>
    <d v="2024-08-03T00:00:00"/>
    <d v="1899-12-30T13:43:00"/>
    <s v="Banana"/>
    <n v="2"/>
    <n v="20"/>
    <n v="16.666666666666668"/>
    <n v="3.3333333333333321"/>
    <s v="Cash"/>
    <x v="2"/>
    <m/>
    <m/>
    <m/>
  </r>
  <r>
    <d v="2024-08-03T00:00:00"/>
    <d v="1899-12-30T13:55:00"/>
    <s v="Banana"/>
    <n v="3"/>
    <n v="30"/>
    <n v="25"/>
    <n v="5"/>
    <s v="Mpesa"/>
    <x v="2"/>
    <m/>
    <m/>
    <m/>
  </r>
  <r>
    <d v="2024-08-03T00:00:00"/>
    <d v="1899-12-30T13:55:00"/>
    <s v="soda 300ml glass"/>
    <n v="3"/>
    <n v="120"/>
    <n v="97.5"/>
    <n v="22.5"/>
    <s v="Mpesa"/>
    <x v="2"/>
    <m/>
    <m/>
    <m/>
  </r>
  <r>
    <d v="2024-08-03T00:00:00"/>
    <d v="1899-12-30T13:55:00"/>
    <s v="BB Bread 400g"/>
    <n v="1"/>
    <n v="65"/>
    <n v="60"/>
    <n v="5"/>
    <s v="Mpesa"/>
    <x v="2"/>
    <m/>
    <m/>
    <m/>
  </r>
  <r>
    <d v="2024-08-03T00:00:00"/>
    <d v="1899-12-30T14:14:00"/>
    <s v="Safari"/>
    <n v="6"/>
    <n v="90"/>
    <n v="51"/>
    <n v="39"/>
    <s v="Mpesa"/>
    <x v="2"/>
    <m/>
    <m/>
    <m/>
  </r>
  <r>
    <d v="2024-08-03T00:00:00"/>
    <d v="1899-12-30T14:32:00"/>
    <s v="soda 300ml glass"/>
    <n v="1"/>
    <n v="40"/>
    <n v="32.5"/>
    <n v="7.5"/>
    <s v="Cash"/>
    <x v="2"/>
    <m/>
    <m/>
    <m/>
  </r>
  <r>
    <d v="2024-08-03T00:00:00"/>
    <d v="1899-12-30T14:32:00"/>
    <s v="Nuvita Bisquit"/>
    <n v="2"/>
    <n v="10"/>
    <n v="8.3333333333333339"/>
    <n v="1.6666666666666661"/>
    <s v="Cash"/>
    <x v="2"/>
    <m/>
    <m/>
    <m/>
  </r>
  <r>
    <d v="2024-08-03T00:00:00"/>
    <d v="1899-12-30T15:54:00"/>
    <s v="Freshfry"/>
    <n v="1"/>
    <n v="350"/>
    <n v="290"/>
    <n v="60"/>
    <s v="Mpesa"/>
    <x v="2"/>
    <m/>
    <m/>
    <m/>
  </r>
  <r>
    <d v="2024-08-03T00:00:00"/>
    <d v="1899-12-30T16:54:00"/>
    <s v="Safari"/>
    <n v="2"/>
    <n v="30"/>
    <n v="17"/>
    <n v="13"/>
    <s v="Mpesa"/>
    <x v="2"/>
    <m/>
    <m/>
    <m/>
  </r>
  <r>
    <d v="2024-08-03T00:00:00"/>
    <d v="1899-12-30T16:33:00"/>
    <s v="Cooking Oil Measured"/>
    <n v="0.75"/>
    <n v="210"/>
    <n v="150"/>
    <n v="60"/>
    <s v="Mpesa"/>
    <x v="2"/>
    <m/>
    <m/>
    <m/>
  </r>
  <r>
    <d v="2024-08-03T00:00:00"/>
    <d v="1899-12-30T16:39:00"/>
    <s v="Ajab 2kg"/>
    <n v="1"/>
    <n v="220"/>
    <n v="175"/>
    <n v="45"/>
    <s v="Credit"/>
    <x v="1"/>
    <m/>
    <m/>
    <m/>
  </r>
  <r>
    <d v="2024-08-03T00:00:00"/>
    <d v="1899-12-30T16:39:00"/>
    <s v="Ndengu"/>
    <n v="0.75"/>
    <n v="120"/>
    <n v="90"/>
    <n v="30"/>
    <s v="Credit"/>
    <x v="1"/>
    <m/>
    <m/>
    <m/>
  </r>
  <r>
    <d v="2024-08-03T00:00:00"/>
    <d v="1899-12-30T16:39:00"/>
    <s v="Tomatoes"/>
    <n v="2"/>
    <n v="20"/>
    <n v="10"/>
    <n v="10"/>
    <s v="Credit"/>
    <x v="1"/>
    <m/>
    <m/>
    <m/>
  </r>
  <r>
    <d v="2024-08-03T00:00:00"/>
    <d v="1899-12-30T16:39:00"/>
    <s v="Royco cubes"/>
    <n v="2"/>
    <n v="10"/>
    <n v="6"/>
    <n v="4"/>
    <s v="Credit"/>
    <x v="1"/>
    <m/>
    <m/>
    <m/>
  </r>
  <r>
    <d v="2024-08-03T00:00:00"/>
    <d v="1899-12-30T17:31:00"/>
    <s v="Brookside milk 500ml"/>
    <n v="6"/>
    <n v="420"/>
    <n v="354"/>
    <n v="66"/>
    <s v="Cash"/>
    <x v="2"/>
    <m/>
    <m/>
    <m/>
  </r>
  <r>
    <d v="2024-08-03T00:00:00"/>
    <d v="1899-12-30T17:31:00"/>
    <s v="Kinangop Fresh Milk 500ml"/>
    <n v="4"/>
    <n v="240"/>
    <n v="220"/>
    <n v="20"/>
    <s v="Cash"/>
    <x v="2"/>
    <m/>
    <m/>
    <m/>
  </r>
  <r>
    <d v="2024-08-03T00:00:00"/>
    <d v="1899-12-30T17:31:00"/>
    <s v="hoho"/>
    <n v="2"/>
    <n v="20"/>
    <n v="13.333333333333334"/>
    <n v="6.6666666666666661"/>
    <s v="Cash"/>
    <x v="2"/>
    <m/>
    <m/>
    <m/>
  </r>
  <r>
    <d v="2024-08-03T00:00:00"/>
    <d v="1899-12-30T17:31:00"/>
    <s v="Festive 600g"/>
    <n v="2"/>
    <n v="200"/>
    <n v="180"/>
    <n v="20"/>
    <s v="Cash"/>
    <x v="2"/>
    <m/>
    <m/>
    <m/>
  </r>
  <r>
    <d v="2024-08-03T00:00:00"/>
    <d v="1899-12-30T17:49:00"/>
    <s v="Gomba"/>
    <n v="6"/>
    <n v="15"/>
    <n v="10.8"/>
    <n v="4.1999999999999993"/>
    <s v="Cash"/>
    <x v="2"/>
    <m/>
    <m/>
    <m/>
  </r>
  <r>
    <d v="2024-08-03T00:00:00"/>
    <d v="1899-12-30T17:49:00"/>
    <s v="funtime snacks"/>
    <n v="1"/>
    <n v="15"/>
    <n v="9"/>
    <n v="6"/>
    <s v="Cash"/>
    <x v="2"/>
    <m/>
    <m/>
    <m/>
  </r>
  <r>
    <d v="2024-08-03T00:00:00"/>
    <d v="1899-12-30T18:16:00"/>
    <s v="Mt Kenya milk 200ml"/>
    <n v="1"/>
    <n v="35"/>
    <n v="24.285714285714285"/>
    <n v="10.714285714285715"/>
    <s v="Mpesa"/>
    <x v="2"/>
    <m/>
    <m/>
    <m/>
  </r>
  <r>
    <d v="2024-08-03T00:00:00"/>
    <d v="1899-12-30T18:35:00"/>
    <s v="Safari"/>
    <n v="3"/>
    <n v="45"/>
    <n v="25.5"/>
    <n v="19.5"/>
    <s v="Mpesa"/>
    <x v="2"/>
    <m/>
    <m/>
    <m/>
  </r>
  <r>
    <d v="2024-08-03T00:00:00"/>
    <d v="1899-12-30T19:33:00"/>
    <s v="Dhania"/>
    <n v="2"/>
    <n v="10"/>
    <n v="6.666666666666667"/>
    <n v="3.333333333333333"/>
    <s v="Credit"/>
    <x v="1"/>
    <m/>
    <m/>
    <m/>
  </r>
  <r>
    <d v="2024-08-03T00:00:00"/>
    <d v="1899-12-30T20:15:00"/>
    <s v="Kinangop Fresh Milk 500ml"/>
    <n v="1"/>
    <n v="60"/>
    <n v="55"/>
    <n v="5"/>
    <s v="Cash"/>
    <x v="2"/>
    <m/>
    <m/>
    <m/>
  </r>
  <r>
    <d v="2024-08-03T00:00:00"/>
    <d v="1899-12-30T20:15:00"/>
    <m/>
    <m/>
    <m/>
    <m/>
    <m/>
    <m/>
    <x v="2"/>
    <s v="Ruth"/>
    <n v="780"/>
    <s v="Cash"/>
  </r>
  <r>
    <d v="2024-08-03T00:00:00"/>
    <d v="1899-12-30T20:15:00"/>
    <m/>
    <m/>
    <m/>
    <m/>
    <m/>
    <m/>
    <x v="2"/>
    <s v="Titus"/>
    <n v="130"/>
    <s v="Cash"/>
  </r>
  <r>
    <d v="2024-08-03T00:00:00"/>
    <d v="1899-12-30T20:15:00"/>
    <m/>
    <m/>
    <m/>
    <m/>
    <m/>
    <m/>
    <x v="2"/>
    <s v="Vivian"/>
    <n v="30"/>
    <s v="Cash"/>
  </r>
  <r>
    <d v="2024-08-03T00:00:00"/>
    <d v="1899-12-30T20:15:00"/>
    <m/>
    <m/>
    <m/>
    <m/>
    <m/>
    <m/>
    <x v="2"/>
    <s v="Shariffa"/>
    <n v="2215"/>
    <s v="Mpesa"/>
  </r>
  <r>
    <d v="2024-08-03T00:00:00"/>
    <d v="1899-12-30T20:30:00"/>
    <s v="soda 500ml glass"/>
    <n v="1"/>
    <n v="55"/>
    <n v="50"/>
    <n v="5"/>
    <s v="Mpesa"/>
    <x v="2"/>
    <m/>
    <m/>
    <m/>
  </r>
  <r>
    <d v="2024-08-04T00:00:00"/>
    <d v="1899-12-30T07:57:00"/>
    <s v="Mt kenya milk 500ml"/>
    <n v="1"/>
    <n v="65"/>
    <n v="48.333333333333336"/>
    <n v="16.666666666666664"/>
    <s v="Cash"/>
    <x v="2"/>
    <m/>
    <m/>
    <m/>
  </r>
  <r>
    <d v="2024-08-04T00:00:00"/>
    <d v="1899-12-30T08:11:00"/>
    <s v="Safari"/>
    <n v="3"/>
    <n v="45"/>
    <n v="25.5"/>
    <n v="19.5"/>
    <s v="Mpesa"/>
    <x v="2"/>
    <m/>
    <m/>
    <m/>
  </r>
  <r>
    <d v="2024-08-04T00:00:00"/>
    <d v="1899-12-30T08:11:00"/>
    <s v="Mt Kenya milk 200ml"/>
    <n v="1"/>
    <n v="35"/>
    <n v="24.285714285714285"/>
    <n v="10.714285714285715"/>
    <s v="Credit"/>
    <x v="9"/>
    <m/>
    <m/>
    <m/>
  </r>
  <r>
    <d v="2024-08-04T00:00:00"/>
    <d v="1899-12-30T08:11:00"/>
    <s v="BB Bread 200g"/>
    <n v="1"/>
    <n v="40"/>
    <n v="35"/>
    <n v="5"/>
    <s v="Credit"/>
    <x v="9"/>
    <m/>
    <m/>
    <m/>
  </r>
  <r>
    <d v="2024-08-04T00:00:00"/>
    <d v="1899-12-30T08:38:00"/>
    <s v="kabras sugar 1kg"/>
    <n v="1"/>
    <n v="180"/>
    <n v="140"/>
    <n v="40"/>
    <s v="Mpesa"/>
    <x v="2"/>
    <m/>
    <m/>
    <m/>
  </r>
  <r>
    <d v="2024-08-04T00:00:00"/>
    <d v="1899-12-30T09:18:00"/>
    <s v="Tropical heat crisps 50g"/>
    <n v="3"/>
    <n v="210"/>
    <n v="150"/>
    <n v="60"/>
    <s v="Credit"/>
    <x v="7"/>
    <m/>
    <m/>
    <m/>
  </r>
  <r>
    <d v="2024-08-04T00:00:00"/>
    <d v="1899-12-30T10:11:00"/>
    <s v="Match Box"/>
    <n v="4"/>
    <n v="20"/>
    <n v="9.4444444444444446"/>
    <n v="10.555555555555555"/>
    <s v="Cash"/>
    <x v="2"/>
    <m/>
    <m/>
    <m/>
  </r>
  <r>
    <d v="2024-08-04T00:00:00"/>
    <d v="1899-12-30T10:28:00"/>
    <s v="Festive Bread 400g"/>
    <n v="1"/>
    <n v="65"/>
    <n v="60"/>
    <n v="5"/>
    <s v="Mpesa"/>
    <x v="2"/>
    <m/>
    <m/>
    <m/>
  </r>
  <r>
    <d v="2024-08-04T00:00:00"/>
    <d v="1899-12-30T10:28:00"/>
    <s v="Gumballs"/>
    <n v="5"/>
    <n v="5"/>
    <n v="3.5"/>
    <n v="1.5"/>
    <s v="Mpesa"/>
    <x v="2"/>
    <m/>
    <m/>
    <m/>
  </r>
  <r>
    <d v="2024-08-04T00:00:00"/>
    <d v="1899-12-30T10:28:00"/>
    <s v="Fresh green"/>
    <n v="2"/>
    <n v="20"/>
    <n v="10"/>
    <n v="10"/>
    <s v="Mpesa"/>
    <x v="2"/>
    <m/>
    <m/>
    <m/>
  </r>
  <r>
    <d v="2024-08-04T00:00:00"/>
    <d v="1899-12-30T10:52:00"/>
    <s v="Brookside milk 500ml"/>
    <n v="1"/>
    <n v="70"/>
    <n v="59"/>
    <n v="11"/>
    <s v="Cash"/>
    <x v="2"/>
    <m/>
    <m/>
    <m/>
  </r>
  <r>
    <d v="2024-08-04T00:00:00"/>
    <d v="1899-12-30T11:20:00"/>
    <s v="BB Bread 400g"/>
    <n v="2"/>
    <n v="130"/>
    <n v="120"/>
    <n v="10"/>
    <s v="Credit"/>
    <x v="12"/>
    <m/>
    <m/>
    <m/>
  </r>
  <r>
    <d v="2024-08-04T00:00:00"/>
    <d v="1899-12-30T11:25:00"/>
    <s v="Safari"/>
    <n v="3"/>
    <n v="45"/>
    <n v="25.5"/>
    <n v="19.5"/>
    <s v="Mpesa"/>
    <x v="2"/>
    <m/>
    <m/>
    <m/>
  </r>
  <r>
    <d v="2024-08-04T00:00:00"/>
    <d v="1899-12-30T11:59:00"/>
    <s v="omo 20g"/>
    <n v="2"/>
    <n v="30"/>
    <n v="18.333333333333332"/>
    <n v="11.666666666666668"/>
    <s v="Credit"/>
    <x v="12"/>
    <m/>
    <m/>
    <m/>
  </r>
  <r>
    <d v="2024-08-04T00:00:00"/>
    <d v="1899-12-30T11:59:00"/>
    <s v="Whitewash "/>
    <n v="1"/>
    <n v="50"/>
    <n v="33.75"/>
    <n v="16.25"/>
    <s v="Credit"/>
    <x v="12"/>
    <m/>
    <m/>
    <m/>
  </r>
  <r>
    <d v="2024-08-04T00:00:00"/>
    <d v="1899-12-30T12:13:00"/>
    <s v="ariel 75g"/>
    <n v="1"/>
    <n v="35"/>
    <n v="27.5"/>
    <n v="7.5"/>
    <s v="Mpesa"/>
    <x v="2"/>
    <m/>
    <m/>
    <m/>
  </r>
  <r>
    <d v="2024-08-04T00:00:00"/>
    <d v="1899-12-30T12:19:00"/>
    <s v="Safaricom 20 Credit"/>
    <n v="1"/>
    <n v="20"/>
    <n v="18"/>
    <n v="2"/>
    <s v="Cash"/>
    <x v="2"/>
    <m/>
    <m/>
    <m/>
  </r>
  <r>
    <d v="2024-08-04T00:00:00"/>
    <d v="1899-12-30T12:30:00"/>
    <s v="Black Shampoo"/>
    <n v="1"/>
    <n v="50"/>
    <n v="28"/>
    <n v="22"/>
    <s v="Credit"/>
    <x v="6"/>
    <m/>
    <m/>
    <m/>
  </r>
  <r>
    <d v="2024-08-04T00:00:00"/>
    <d v="1899-12-30T12:30:00"/>
    <s v="Banana"/>
    <n v="1"/>
    <n v="10"/>
    <n v="8.3333333333333339"/>
    <n v="1.6666666666666661"/>
    <s v="Credit"/>
    <x v="6"/>
    <m/>
    <m/>
    <m/>
  </r>
  <r>
    <d v="2024-08-04T00:00:00"/>
    <d v="1899-12-30T13:11:00"/>
    <s v="soda 300ml glass"/>
    <n v="2"/>
    <n v="80"/>
    <n v="65"/>
    <n v="15"/>
    <s v="Mpesa"/>
    <x v="2"/>
    <m/>
    <m/>
    <m/>
  </r>
  <r>
    <d v="2024-08-04T00:00:00"/>
    <d v="1899-12-30T13:11:00"/>
    <s v="Festive Bread 400g"/>
    <n v="1"/>
    <n v="65"/>
    <n v="60"/>
    <n v="5"/>
    <s v="Mpesa"/>
    <x v="2"/>
    <m/>
    <m/>
    <m/>
  </r>
  <r>
    <d v="2024-08-04T00:00:00"/>
    <d v="1899-12-30T13:14:00"/>
    <s v="Banana"/>
    <n v="4"/>
    <n v="40"/>
    <n v="33.333333333333336"/>
    <n v="6.6666666666666643"/>
    <s v="Cash"/>
    <x v="2"/>
    <m/>
    <m/>
    <m/>
  </r>
  <r>
    <d v="2024-08-04T00:00:00"/>
    <d v="1899-12-30T13:22:00"/>
    <s v="Safari"/>
    <n v="3"/>
    <n v="45"/>
    <n v="25.5"/>
    <n v="19.5"/>
    <s v="Mpesa"/>
    <x v="2"/>
    <m/>
    <m/>
    <m/>
  </r>
  <r>
    <d v="2024-08-04T00:00:00"/>
    <d v="1899-12-30T13:39:00"/>
    <s v="Bamsi Antidandruff hair oil"/>
    <n v="1"/>
    <n v="100"/>
    <n v="70"/>
    <n v="30"/>
    <s v="Mpesa"/>
    <x v="2"/>
    <m/>
    <m/>
    <m/>
  </r>
  <r>
    <d v="2024-08-04T00:00:00"/>
    <d v="1899-12-30T13:39:00"/>
    <s v="minutemaid 400ml"/>
    <n v="1"/>
    <n v="85"/>
    <n v="62.5"/>
    <n v="22.5"/>
    <s v="Mpesa"/>
    <x v="2"/>
    <m/>
    <m/>
    <m/>
  </r>
  <r>
    <d v="2024-08-04T00:00:00"/>
    <d v="1899-12-30T13:39:00"/>
    <s v=" soda 1.25lts"/>
    <n v="1"/>
    <n v="130"/>
    <n v="112.5"/>
    <n v="17.5"/>
    <s v="Mpesa"/>
    <x v="2"/>
    <m/>
    <m/>
    <m/>
  </r>
  <r>
    <d v="2024-08-04T00:00:00"/>
    <d v="1899-12-30T13:39:00"/>
    <s v="Ring Cake"/>
    <n v="1"/>
    <n v="50"/>
    <n v="45"/>
    <n v="5"/>
    <s v="Mpesa"/>
    <x v="2"/>
    <m/>
    <m/>
    <m/>
  </r>
  <r>
    <d v="2024-08-04T00:00:00"/>
    <d v="1899-12-30T14:03:00"/>
    <s v="Ring Cake"/>
    <n v="1"/>
    <n v="50"/>
    <n v="45"/>
    <n v="5"/>
    <s v="Cash"/>
    <x v="2"/>
    <m/>
    <m/>
    <m/>
  </r>
  <r>
    <d v="2024-08-04T00:00:00"/>
    <d v="1899-12-30T14:03:00"/>
    <s v="soda 500ml glass"/>
    <n v="1"/>
    <n v="55"/>
    <n v="50"/>
    <n v="5"/>
    <s v="Cash"/>
    <x v="2"/>
    <m/>
    <m/>
    <m/>
  </r>
  <r>
    <d v="2024-08-04T00:00:00"/>
    <d v="1899-12-30T14:03:00"/>
    <s v="Tropical"/>
    <n v="2"/>
    <n v="10"/>
    <n v="3"/>
    <n v="7"/>
    <s v="Cash"/>
    <x v="2"/>
    <m/>
    <m/>
    <m/>
  </r>
  <r>
    <d v="2024-08-04T00:00:00"/>
    <d v="1899-12-30T14:17:00"/>
    <s v="Safari"/>
    <n v="2"/>
    <n v="30"/>
    <n v="17"/>
    <n v="13"/>
    <s v="Mpesa"/>
    <x v="2"/>
    <m/>
    <m/>
    <m/>
  </r>
  <r>
    <d v="2024-08-04T00:00:00"/>
    <d v="1899-12-30T14:45:00"/>
    <s v="Tomatoes"/>
    <n v="5"/>
    <n v="50"/>
    <n v="25"/>
    <n v="25"/>
    <s v="Cash"/>
    <x v="2"/>
    <m/>
    <m/>
    <m/>
  </r>
  <r>
    <d v="2024-08-04T00:00:00"/>
    <d v="1899-12-30T14:46:00"/>
    <s v="Maramoja"/>
    <n v="3"/>
    <n v="30"/>
    <n v="21"/>
    <n v="9"/>
    <s v="Cash"/>
    <x v="2"/>
    <m/>
    <m/>
    <m/>
  </r>
  <r>
    <d v="2024-08-04T00:00:00"/>
    <d v="1899-12-30T14:48:00"/>
    <s v="Safari"/>
    <n v="2"/>
    <n v="30"/>
    <n v="17"/>
    <n v="13"/>
    <s v="Mpesa"/>
    <x v="2"/>
    <m/>
    <m/>
    <m/>
  </r>
  <r>
    <d v="2024-08-04T00:00:00"/>
    <d v="1899-12-30T15:20:00"/>
    <s v="Bitez"/>
    <n v="1"/>
    <n v="15"/>
    <n v="8.8000000000000007"/>
    <n v="6.1999999999999993"/>
    <s v="Cash"/>
    <x v="2"/>
    <m/>
    <m/>
    <m/>
  </r>
  <r>
    <d v="2024-08-04T00:00:00"/>
    <d v="1899-12-30T15:20:00"/>
    <s v="Icepop"/>
    <n v="2"/>
    <n v="30"/>
    <n v="15"/>
    <n v="15"/>
    <s v="Cash"/>
    <x v="2"/>
    <m/>
    <m/>
    <m/>
  </r>
  <r>
    <d v="2024-08-04T00:00:00"/>
    <d v="1899-12-30T15:20:00"/>
    <s v="Lollipop"/>
    <n v="1"/>
    <n v="5"/>
    <n v="2.4"/>
    <n v="2.6"/>
    <s v="Cash"/>
    <x v="2"/>
    <m/>
    <m/>
    <m/>
  </r>
  <r>
    <d v="2024-08-04T00:00:00"/>
    <d v="1899-12-30T15:26:00"/>
    <s v="Njugu"/>
    <n v="1"/>
    <n v="20"/>
    <n v="10.666666666666666"/>
    <n v="9.3333333333333339"/>
    <s v="Cash"/>
    <x v="2"/>
    <m/>
    <m/>
    <m/>
  </r>
  <r>
    <d v="2024-08-04T00:00:00"/>
    <d v="1899-12-30T16:00:00"/>
    <s v="1.5ltrs water"/>
    <n v="1"/>
    <n v="70"/>
    <n v="25"/>
    <n v="45"/>
    <s v="Credit"/>
    <x v="4"/>
    <m/>
    <m/>
    <m/>
  </r>
  <r>
    <d v="2024-08-04T00:00:00"/>
    <d v="1899-12-30T16:00:00"/>
    <s v="Peanut Cookies"/>
    <n v="1"/>
    <n v="35"/>
    <n v="25"/>
    <n v="10"/>
    <s v="Credit"/>
    <x v="4"/>
    <m/>
    <m/>
    <m/>
  </r>
  <r>
    <d v="2024-08-04T00:00:00"/>
    <d v="1899-12-30T16:03:00"/>
    <s v="Bigdaddy"/>
    <n v="2"/>
    <n v="20"/>
    <n v="12"/>
    <n v="8"/>
    <s v="Cash"/>
    <x v="2"/>
    <m/>
    <m/>
    <m/>
  </r>
  <r>
    <d v="2024-08-04T00:00:00"/>
    <d v="1899-12-30T16:12:00"/>
    <s v=" soda 1.25lts"/>
    <n v="1"/>
    <n v="130"/>
    <n v="112.5"/>
    <n v="17.5"/>
    <s v="Mpesa"/>
    <x v="2"/>
    <m/>
    <m/>
    <m/>
  </r>
  <r>
    <d v="2024-08-04T00:00:00"/>
    <d v="1899-12-30T16:15:00"/>
    <s v="Choc-chip Cookies"/>
    <n v="1"/>
    <n v="35"/>
    <n v="25"/>
    <n v="10"/>
    <s v="Cash"/>
    <x v="2"/>
    <m/>
    <m/>
    <m/>
  </r>
  <r>
    <d v="2024-08-04T00:00:00"/>
    <d v="1899-12-30T16:15:00"/>
    <s v="Gomba"/>
    <n v="6"/>
    <n v="15"/>
    <n v="10.8"/>
    <n v="4.1999999999999993"/>
    <s v="Cash"/>
    <x v="2"/>
    <m/>
    <m/>
    <m/>
  </r>
  <r>
    <d v="2024-08-04T00:00:00"/>
    <d v="1899-12-30T16:30:00"/>
    <s v="Patco"/>
    <n v="8"/>
    <n v="20"/>
    <n v="9.6"/>
    <n v="10.4"/>
    <s v="Cash"/>
    <x v="2"/>
    <m/>
    <m/>
    <m/>
  </r>
  <r>
    <d v="2024-08-04T00:00:00"/>
    <d v="1899-12-30T16:30:00"/>
    <s v="coo"/>
    <n v="8"/>
    <n v="20"/>
    <n v="9.6"/>
    <n v="10.4"/>
    <s v="Cash"/>
    <x v="2"/>
    <m/>
    <m/>
    <m/>
  </r>
  <r>
    <d v="2024-08-04T00:00:00"/>
    <d v="1899-12-30T16:30:00"/>
    <s v="Gomba"/>
    <n v="4"/>
    <n v="10"/>
    <n v="7.2"/>
    <n v="2.8"/>
    <s v="Cash"/>
    <x v="2"/>
    <m/>
    <m/>
    <m/>
  </r>
  <r>
    <d v="2024-08-04T00:00:00"/>
    <d v="1899-12-30T16:50:00"/>
    <s v="Lollipop"/>
    <n v="2"/>
    <n v="10"/>
    <n v="4.8"/>
    <n v="5.2"/>
    <s v="Cash"/>
    <x v="2"/>
    <m/>
    <m/>
    <m/>
  </r>
  <r>
    <d v="2024-08-04T00:00:00"/>
    <d v="1899-12-30T17:35:00"/>
    <s v="waru"/>
    <n v="2"/>
    <n v="100"/>
    <n v="59.999999999999993"/>
    <n v="40.000000000000007"/>
    <s v="Mpesa"/>
    <x v="2"/>
    <m/>
    <m/>
    <m/>
  </r>
  <r>
    <d v="2024-08-04T00:00:00"/>
    <d v="1899-12-30T17:35:00"/>
    <s v="Royco cubes"/>
    <n v="5"/>
    <n v="25"/>
    <n v="15"/>
    <n v="10"/>
    <s v="Mpesa"/>
    <x v="2"/>
    <m/>
    <m/>
    <m/>
  </r>
  <r>
    <d v="2024-08-04T00:00:00"/>
    <d v="1899-12-30T17:45:00"/>
    <s v="Softcare pads"/>
    <n v="1"/>
    <n v="85"/>
    <n v="66"/>
    <n v="19"/>
    <s v="Mpesa"/>
    <x v="2"/>
    <m/>
    <m/>
    <m/>
  </r>
  <r>
    <d v="2024-08-04T00:00:00"/>
    <d v="1899-12-30T18:14:00"/>
    <s v="Safaricom 20 Credit"/>
    <n v="1"/>
    <n v="20"/>
    <n v="18"/>
    <n v="2"/>
    <s v="Mpesa"/>
    <x v="2"/>
    <m/>
    <m/>
    <m/>
  </r>
  <r>
    <d v="2024-08-04T00:00:00"/>
    <d v="1899-12-30T18:38:00"/>
    <s v="Onion"/>
    <n v="6"/>
    <n v="60"/>
    <n v="48"/>
    <n v="12"/>
    <s v="Cash"/>
    <x v="2"/>
    <m/>
    <m/>
    <m/>
  </r>
  <r>
    <d v="2024-08-04T00:00:00"/>
    <d v="1899-12-30T19:31:00"/>
    <s v="BB Bread 400g"/>
    <n v="1"/>
    <n v="65"/>
    <n v="60"/>
    <n v="5"/>
    <s v="Credit"/>
    <x v="12"/>
    <m/>
    <m/>
    <m/>
  </r>
  <r>
    <d v="2024-08-04T00:00:00"/>
    <d v="1899-12-30T19:31:00"/>
    <m/>
    <m/>
    <m/>
    <m/>
    <m/>
    <m/>
    <x v="2"/>
    <s v="Pauline"/>
    <n v="270"/>
    <s v="Mpesa"/>
  </r>
  <r>
    <d v="2024-08-04T00:00:00"/>
    <d v="1899-12-30T19:34:00"/>
    <s v="Ajab 1kg"/>
    <n v="1"/>
    <n v="120"/>
    <n v="87.5"/>
    <n v="32.5"/>
    <s v="Mpesa"/>
    <x v="2"/>
    <m/>
    <m/>
    <m/>
  </r>
  <r>
    <d v="2024-08-04T00:00:00"/>
    <d v="1899-12-30T19:34:00"/>
    <s v="Mt Kenya milk 200ml"/>
    <n v="1"/>
    <n v="35"/>
    <n v="24.285714285714285"/>
    <n v="10.714285714285715"/>
    <s v="Mpesa"/>
    <x v="2"/>
    <m/>
    <m/>
    <m/>
  </r>
  <r>
    <d v="2024-08-04T00:00:00"/>
    <d v="1899-12-30T19:52:00"/>
    <s v="Festive 800g"/>
    <n v="1"/>
    <n v="130"/>
    <n v="120"/>
    <n v="10"/>
    <s v="Cash"/>
    <x v="2"/>
    <m/>
    <m/>
    <m/>
  </r>
  <r>
    <d v="2024-08-04T00:00:00"/>
    <d v="1899-12-30T20:04:00"/>
    <s v="Mt kenya milk 500ml"/>
    <n v="1"/>
    <n v="65"/>
    <n v="48.333333333333336"/>
    <n v="16.666666666666664"/>
    <s v="Credit"/>
    <x v="26"/>
    <s v="Haston"/>
    <n v="50"/>
    <s v="Mpesa"/>
  </r>
  <r>
    <d v="2024-08-04T00:00:00"/>
    <d v="1899-12-30T20:12:00"/>
    <s v="Indomie chicken"/>
    <n v="2"/>
    <n v="100"/>
    <n v="75"/>
    <n v="25"/>
    <s v="Cash"/>
    <x v="2"/>
    <m/>
    <m/>
    <m/>
  </r>
  <r>
    <d v="2024-08-04T00:00:00"/>
    <d v="1899-12-30T20:12:00"/>
    <s v="Cooking Oil Measured"/>
    <n v="1"/>
    <n v="280"/>
    <n v="200"/>
    <n v="80"/>
    <s v="Credit"/>
    <x v="12"/>
    <s v="Pauline"/>
    <n v="200"/>
    <s v="Cash"/>
  </r>
  <r>
    <d v="2024-08-04T00:00:00"/>
    <d v="1899-12-30T20:22:00"/>
    <s v="Mt kenya milk 500ml"/>
    <n v="4"/>
    <n v="260"/>
    <n v="193.33333333333334"/>
    <n v="66.666666666666657"/>
    <s v="Cash"/>
    <x v="2"/>
    <m/>
    <m/>
    <m/>
  </r>
  <r>
    <d v="2024-08-04T00:00:00"/>
    <d v="1899-12-30T18:00:00"/>
    <s v="210 Maize Meal 2kg"/>
    <n v="1"/>
    <n v="160"/>
    <n v="117.08333333333333"/>
    <n v="42.916666666666671"/>
    <s v="Credit"/>
    <x v="1"/>
    <m/>
    <m/>
    <m/>
  </r>
  <r>
    <d v="2024-08-04T00:00:00"/>
    <d v="1899-12-30T18:00:00"/>
    <s v="Tomatoes"/>
    <n v="2"/>
    <n v="20"/>
    <n v="10"/>
    <n v="10"/>
    <s v="Credit"/>
    <x v="1"/>
    <m/>
    <m/>
    <m/>
  </r>
  <r>
    <d v="2024-08-04T00:00:00"/>
    <d v="1899-12-30T08:30:00"/>
    <s v="Maramoja"/>
    <n v="1"/>
    <n v="10"/>
    <n v="7"/>
    <n v="3"/>
    <s v="Cash"/>
    <x v="2"/>
    <m/>
    <m/>
    <m/>
  </r>
  <r>
    <d v="2024-08-04T00:00:00"/>
    <d v="1899-12-30T20:40:00"/>
    <s v="Kinangop Fresh Milk 500ml"/>
    <n v="1"/>
    <n v="60"/>
    <n v="55"/>
    <n v="5"/>
    <s v="Credit"/>
    <x v="8"/>
    <m/>
    <m/>
    <m/>
  </r>
  <r>
    <d v="2024-08-04T00:00:00"/>
    <d v="1899-12-30T20:40:00"/>
    <s v="Festive Bread 400g"/>
    <n v="1"/>
    <n v="65"/>
    <n v="60"/>
    <n v="5"/>
    <s v="Credit"/>
    <x v="8"/>
    <m/>
    <m/>
    <m/>
  </r>
  <r>
    <d v="2024-08-05T00:00:00"/>
    <d v="1899-12-30T08:08:00"/>
    <s v="Downy lavender"/>
    <n v="1"/>
    <n v="20"/>
    <n v="17.333333333333332"/>
    <n v="2.6666666666666679"/>
    <s v="Mpesa"/>
    <x v="2"/>
    <m/>
    <m/>
    <m/>
  </r>
  <r>
    <d v="2024-08-05T00:00:00"/>
    <d v="1899-12-30T08:08:00"/>
    <s v="ariel 75g"/>
    <n v="1"/>
    <n v="35"/>
    <n v="27.5"/>
    <n v="7.5"/>
    <s v="Mpesa"/>
    <x v="2"/>
    <m/>
    <m/>
    <m/>
  </r>
  <r>
    <d v="2024-08-04T00:00:00"/>
    <d v="1899-12-30T08:41:00"/>
    <m/>
    <m/>
    <m/>
    <m/>
    <m/>
    <m/>
    <x v="2"/>
    <s v="Titus"/>
    <n v="900"/>
    <s v="Mpesa"/>
  </r>
  <r>
    <d v="2024-08-05T00:00:00"/>
    <d v="1899-12-30T08:44:00"/>
    <s v="predator"/>
    <n v="1"/>
    <n v="70"/>
    <n v="54.166666666666664"/>
    <n v="15.833333333333336"/>
    <s v="Mpesa"/>
    <x v="2"/>
    <s v="Titus"/>
    <n v="900"/>
    <s v="Cash"/>
  </r>
  <r>
    <d v="2024-08-05T00:00:00"/>
    <d v="1899-12-30T08:44:00"/>
    <s v="Peanut Cookies"/>
    <n v="1"/>
    <n v="35"/>
    <n v="25"/>
    <n v="10"/>
    <s v="Credit"/>
    <x v="19"/>
    <s v="Titus"/>
    <n v="20"/>
    <s v="Cash"/>
  </r>
  <r>
    <d v="2024-08-04T00:00:00"/>
    <d v="1899-12-30T08:44:00"/>
    <m/>
    <m/>
    <m/>
    <m/>
    <m/>
    <m/>
    <x v="2"/>
    <m/>
    <n v="5"/>
    <s v="Mpesa"/>
  </r>
  <r>
    <d v="2024-08-05T00:00:00"/>
    <d v="1899-12-30T08:58:00"/>
    <s v="Safaricom 20 Credit"/>
    <n v="1"/>
    <n v="20"/>
    <n v="18"/>
    <n v="2"/>
    <s v="Credit"/>
    <x v="28"/>
    <m/>
    <m/>
    <m/>
  </r>
  <r>
    <d v="2024-08-05T00:00:00"/>
    <d v="1899-12-30T09:30:00"/>
    <s v="Crown Gold Milk 500ml"/>
    <n v="1"/>
    <n v="65"/>
    <n v="54.166666666666664"/>
    <n v="10.833333333333336"/>
    <s v="Credit"/>
    <x v="3"/>
    <m/>
    <m/>
    <m/>
  </r>
  <r>
    <d v="2024-08-05T00:00:00"/>
    <d v="1899-12-30T09:30:00"/>
    <s v="Gomba"/>
    <n v="2"/>
    <n v="5"/>
    <n v="3.6"/>
    <n v="1.4"/>
    <s v="Credit"/>
    <x v="3"/>
    <m/>
    <m/>
    <m/>
  </r>
  <r>
    <d v="2024-08-05T00:00:00"/>
    <d v="1899-12-30T10:25:00"/>
    <s v="T.Heat Potato crisps salted 25g"/>
    <n v="1"/>
    <n v="30"/>
    <n v="22.916666666666668"/>
    <n v="7.0833333333333321"/>
    <s v="Cash"/>
    <x v="2"/>
    <m/>
    <m/>
    <m/>
  </r>
  <r>
    <d v="2024-08-05T00:00:00"/>
    <d v="1899-12-30T10:32:00"/>
    <s v="Super Glue"/>
    <n v="1"/>
    <n v="30"/>
    <n v="23.333333333333332"/>
    <n v="6.6666666666666679"/>
    <s v="Mpesa"/>
    <x v="2"/>
    <m/>
    <m/>
    <m/>
  </r>
  <r>
    <d v="2024-08-04T00:00:00"/>
    <d v="1899-12-30T10:39:00"/>
    <m/>
    <m/>
    <m/>
    <m/>
    <m/>
    <m/>
    <x v="2"/>
    <s v="Pauline"/>
    <m/>
    <m/>
  </r>
  <r>
    <d v="2024-08-05T00:00:00"/>
    <d v="1899-12-30T10:39:00"/>
    <s v="Bella Tissue"/>
    <n v="1"/>
    <n v="45"/>
    <n v="35"/>
    <n v="10"/>
    <s v="Mpesa"/>
    <x v="2"/>
    <s v="Pauline"/>
    <n v="80"/>
    <s v="Mpesa"/>
  </r>
  <r>
    <d v="2024-08-05T00:00:00"/>
    <d v="1899-12-30T10:39:00"/>
    <s v="Fahari Tea 50g"/>
    <n v="1"/>
    <n v="30"/>
    <n v="17.5"/>
    <n v="12.5"/>
    <s v="Mpesa"/>
    <x v="2"/>
    <m/>
    <m/>
    <m/>
  </r>
  <r>
    <d v="2024-08-05T00:00:00"/>
    <d v="1899-12-30T12:48:00"/>
    <s v="Pencil"/>
    <n v="1"/>
    <n v="15"/>
    <n v="7.5"/>
    <n v="7.5"/>
    <s v="Cash"/>
    <x v="2"/>
    <m/>
    <m/>
    <m/>
  </r>
  <r>
    <d v="2024-08-05T00:00:00"/>
    <d v="1899-12-30T12:53:00"/>
    <s v="Onion"/>
    <n v="10"/>
    <n v="100"/>
    <n v="80"/>
    <n v="20"/>
    <s v="Cash"/>
    <x v="2"/>
    <m/>
    <m/>
    <m/>
  </r>
  <r>
    <d v="2024-08-05T00:00:00"/>
    <d v="1899-12-30T12:53:00"/>
    <s v="Indomie chicken"/>
    <n v="3"/>
    <n v="150"/>
    <n v="112.5"/>
    <n v="37.5"/>
    <s v="Cash"/>
    <x v="2"/>
    <m/>
    <m/>
    <m/>
  </r>
  <r>
    <d v="2024-08-05T00:00:00"/>
    <d v="1899-12-30T13:10:00"/>
    <s v="Festive Bread 400g"/>
    <n v="1"/>
    <n v="65"/>
    <n v="60"/>
    <n v="5"/>
    <s v="Credit"/>
    <x v="8"/>
    <m/>
    <m/>
    <m/>
  </r>
  <r>
    <d v="2024-08-05T00:00:00"/>
    <d v="1899-12-30T13:10:00"/>
    <s v="Toss 500g"/>
    <n v="1"/>
    <n v="250"/>
    <n v="175"/>
    <n v="75"/>
    <s v="Credit"/>
    <x v="8"/>
    <m/>
    <m/>
    <m/>
  </r>
  <r>
    <d v="2024-08-05T00:00:00"/>
    <d v="1899-12-30T13:10:00"/>
    <s v="Downy lavender"/>
    <n v="5"/>
    <n v="100"/>
    <n v="86.666666666666657"/>
    <n v="13.333333333333343"/>
    <s v="Credit"/>
    <x v="8"/>
    <m/>
    <m/>
    <m/>
  </r>
  <r>
    <d v="2024-08-05T00:00:00"/>
    <d v="1899-12-30T13:10:00"/>
    <s v="Jik"/>
    <n v="1"/>
    <n v="50"/>
    <n v="38.333333333333336"/>
    <n v="11.666666666666664"/>
    <s v="Credit"/>
    <x v="8"/>
    <m/>
    <m/>
    <m/>
  </r>
  <r>
    <d v="2024-08-05T00:00:00"/>
    <d v="1899-12-30T13:10:00"/>
    <s v="laundry brush"/>
    <n v="1"/>
    <n v="50"/>
    <n v="40"/>
    <n v="10"/>
    <s v="Credit"/>
    <x v="8"/>
    <m/>
    <m/>
    <m/>
  </r>
  <r>
    <d v="2024-08-05T00:00:00"/>
    <d v="1899-12-30T14:00:00"/>
    <s v="coo"/>
    <n v="5"/>
    <n v="12.5"/>
    <n v="6"/>
    <n v="6.5"/>
    <s v="Credit"/>
    <x v="22"/>
    <s v="Moureen"/>
    <n v="40"/>
    <s v="Cash"/>
  </r>
  <r>
    <d v="2024-08-05T00:00:00"/>
    <d v="1899-12-30T14:00:00"/>
    <s v="Safaricom 20 Credit"/>
    <n v="3"/>
    <n v="60"/>
    <n v="54"/>
    <n v="6"/>
    <s v="Cash"/>
    <x v="2"/>
    <s v="Irene"/>
    <n v="600"/>
    <s v="Mpesa"/>
  </r>
  <r>
    <d v="2024-08-05T00:00:00"/>
    <d v="1899-12-30T15:08:00"/>
    <s v="Indomie chicken"/>
    <n v="2"/>
    <n v="100"/>
    <n v="75"/>
    <n v="25"/>
    <s v="Cash"/>
    <x v="2"/>
    <m/>
    <m/>
    <m/>
  </r>
  <r>
    <d v="2024-08-04T00:00:00"/>
    <d v="1899-12-30T13:34:00"/>
    <m/>
    <m/>
    <m/>
    <m/>
    <m/>
    <m/>
    <x v="2"/>
    <s v="Irene"/>
    <n v="600"/>
    <s v="Mpesa"/>
  </r>
  <r>
    <d v="2024-08-05T00:00:00"/>
    <d v="1899-12-30T20:31:00"/>
    <s v="Mt kenya milk 500ml"/>
    <n v="1"/>
    <n v="65"/>
    <n v="48.333333333333336"/>
    <n v="16.666666666666664"/>
    <s v="Mpesa"/>
    <x v="2"/>
    <m/>
    <m/>
    <m/>
  </r>
  <r>
    <d v="2024-08-05T00:00:00"/>
    <d v="1899-12-30T20:31:00"/>
    <s v="scooter cans"/>
    <n v="2"/>
    <n v="40"/>
    <n v="30"/>
    <n v="10"/>
    <s v="Mpesa"/>
    <x v="2"/>
    <m/>
    <m/>
    <m/>
  </r>
  <r>
    <d v="2024-08-05T00:00:00"/>
    <d v="1899-12-30T20:31:00"/>
    <s v="Milo"/>
    <n v="1"/>
    <n v="20"/>
    <n v="17.916666666666668"/>
    <n v="2.0833333333333321"/>
    <s v="Mpesa"/>
    <x v="2"/>
    <m/>
    <m/>
    <m/>
  </r>
  <r>
    <d v="2024-08-05T00:00:00"/>
    <d v="1899-12-30T15:12:00"/>
    <s v="soda 500ml glass"/>
    <n v="1"/>
    <n v="55"/>
    <n v="50"/>
    <n v="5"/>
    <s v="Cash"/>
    <x v="2"/>
    <m/>
    <m/>
    <m/>
  </r>
  <r>
    <d v="2024-08-05T00:00:00"/>
    <d v="1899-12-30T15:16:00"/>
    <s v="Safaricom 20 Credit"/>
    <n v="1"/>
    <n v="20"/>
    <n v="18"/>
    <n v="2"/>
    <s v="Cash"/>
    <x v="2"/>
    <m/>
    <m/>
    <m/>
  </r>
  <r>
    <d v="2024-08-05T00:00:00"/>
    <d v="1899-12-30T16:30:00"/>
    <s v="soda 2lts"/>
    <n v="1"/>
    <n v="200"/>
    <n v="176.66666666666666"/>
    <n v="23.333333333333343"/>
    <s v="Mpesa"/>
    <x v="2"/>
    <m/>
    <m/>
    <m/>
  </r>
  <r>
    <d v="2024-08-05T00:00:00"/>
    <d v="1899-12-30T16:53:00"/>
    <s v="Milo"/>
    <n v="2"/>
    <n v="40"/>
    <n v="35.833333333333336"/>
    <n v="4.1666666666666643"/>
    <s v="Credit"/>
    <x v="29"/>
    <m/>
    <m/>
    <m/>
  </r>
  <r>
    <d v="2024-08-05T00:00:00"/>
    <d v="1899-12-30T16:53:00"/>
    <s v="Bitez"/>
    <n v="1"/>
    <n v="15"/>
    <n v="8.8000000000000007"/>
    <n v="6.1999999999999993"/>
    <s v="Credit"/>
    <x v="29"/>
    <m/>
    <m/>
    <m/>
  </r>
  <r>
    <d v="2024-08-05T00:00:00"/>
    <d v="1899-12-30T16:53:00"/>
    <s v="Tamu  Tamu Green"/>
    <n v="3"/>
    <n v="45"/>
    <n v="25.799999999999997"/>
    <n v="19.200000000000003"/>
    <s v="Credit"/>
    <x v="29"/>
    <m/>
    <m/>
    <m/>
  </r>
  <r>
    <d v="2024-08-05T00:00:00"/>
    <d v="1899-12-30T16:53:00"/>
    <s v="Gomba"/>
    <n v="2"/>
    <n v="5"/>
    <n v="3.6"/>
    <n v="1.4"/>
    <s v="Credit"/>
    <x v="29"/>
    <m/>
    <m/>
    <m/>
  </r>
  <r>
    <d v="2024-08-05T00:00:00"/>
    <d v="1899-12-30T16:53:00"/>
    <s v="Ringoz Paprika"/>
    <n v="3"/>
    <n v="45"/>
    <n v="26.400000000000002"/>
    <n v="18.599999999999998"/>
    <s v="Credit"/>
    <x v="29"/>
    <m/>
    <m/>
    <m/>
  </r>
  <r>
    <d v="2024-08-05T00:00:00"/>
    <d v="1899-12-30T16:53:00"/>
    <s v="Nuvita Bisquit"/>
    <n v="2"/>
    <n v="10"/>
    <n v="8.3333333333333339"/>
    <n v="1.6666666666666661"/>
    <s v="Credit"/>
    <x v="29"/>
    <m/>
    <m/>
    <m/>
  </r>
  <r>
    <d v="2024-08-05T00:00:00"/>
    <d v="1899-12-30T16:53:00"/>
    <s v="Carrier bag small"/>
    <n v="1"/>
    <n v="10"/>
    <n v="3"/>
    <n v="7"/>
    <s v="Credit"/>
    <x v="29"/>
    <m/>
    <m/>
    <m/>
  </r>
  <r>
    <d v="2024-08-05T00:00:00"/>
    <d v="1899-12-30T16:53:00"/>
    <s v="Ringoz Paprika"/>
    <n v="2"/>
    <n v="30"/>
    <n v="17.600000000000001"/>
    <n v="12.399999999999999"/>
    <s v="Credit"/>
    <x v="29"/>
    <m/>
    <m/>
    <m/>
  </r>
  <r>
    <d v="2024-08-05T00:00:00"/>
    <d v="1899-12-30T05:42:00"/>
    <s v="Airtel 50 Credit"/>
    <n v="1"/>
    <n v="50"/>
    <n v="47"/>
    <n v="3"/>
    <s v="Credit"/>
    <x v="29"/>
    <m/>
    <m/>
    <m/>
  </r>
  <r>
    <d v="2024-08-05T00:00:00"/>
    <d v="1899-12-30T05:42:00"/>
    <s v="Nuvita Bisquit"/>
    <n v="1"/>
    <n v="5"/>
    <n v="4.166666666666667"/>
    <n v="0.83333333333333304"/>
    <s v="Credit"/>
    <x v="29"/>
    <m/>
    <m/>
    <m/>
  </r>
  <r>
    <d v="2024-08-05T00:00:00"/>
    <d v="1899-12-30T20:51:00"/>
    <s v="Goodday Cookies"/>
    <n v="2"/>
    <n v="30"/>
    <n v="18.666666666666668"/>
    <n v="11.333333333333332"/>
    <s v="Credit"/>
    <x v="1"/>
    <m/>
    <m/>
    <m/>
  </r>
  <r>
    <d v="2024-08-05T00:00:00"/>
    <d v="1899-12-30T17:49:00"/>
    <s v="Indomie chicken"/>
    <n v="4"/>
    <n v="200"/>
    <n v="150"/>
    <n v="50"/>
    <s v="Mpesa"/>
    <x v="2"/>
    <m/>
    <m/>
    <m/>
  </r>
  <r>
    <d v="2024-08-05T00:00:00"/>
    <d v="1899-12-30T17:49:00"/>
    <s v="Festive Bread 400g"/>
    <n v="1"/>
    <n v="65"/>
    <n v="60"/>
    <n v="5"/>
    <s v="Mpesa"/>
    <x v="2"/>
    <m/>
    <m/>
    <m/>
  </r>
  <r>
    <d v="2024-08-05T00:00:00"/>
    <d v="1899-12-30T17:49:00"/>
    <s v="Tomato sauce"/>
    <n v="1"/>
    <n v="70"/>
    <n v="50"/>
    <n v="20"/>
    <s v="Mpesa"/>
    <x v="2"/>
    <m/>
    <m/>
    <m/>
  </r>
  <r>
    <d v="2024-08-05T00:00:00"/>
    <d v="1899-12-30T18:02:00"/>
    <s v="Indomie beef"/>
    <n v="1"/>
    <n v="50"/>
    <n v="38"/>
    <n v="12"/>
    <s v="Mpesa"/>
    <x v="2"/>
    <m/>
    <m/>
    <m/>
  </r>
  <r>
    <d v="2024-08-05T00:00:00"/>
    <d v="1899-12-30T18:02:00"/>
    <s v="Cough drops"/>
    <n v="4"/>
    <n v="20"/>
    <n v="16"/>
    <n v="4"/>
    <s v="Mpesa"/>
    <x v="2"/>
    <m/>
    <m/>
    <m/>
  </r>
  <r>
    <d v="2024-08-05T00:00:00"/>
    <d v="1899-12-30T18:55:00"/>
    <s v="kensalt 1kg"/>
    <n v="1"/>
    <n v="50"/>
    <n v="35"/>
    <n v="15"/>
    <s v="Mpesa"/>
    <x v="2"/>
    <m/>
    <m/>
    <m/>
  </r>
  <r>
    <d v="2024-08-05T00:00:00"/>
    <d v="1899-12-30T18:58:00"/>
    <s v="minutemaid 400ml"/>
    <n v="1"/>
    <n v="85"/>
    <n v="62.5"/>
    <n v="22.5"/>
    <s v="Mpesa"/>
    <x v="2"/>
    <s v="Haston"/>
    <n v="10"/>
    <s v="Mpesa"/>
  </r>
  <r>
    <d v="2024-08-05T00:00:00"/>
    <d v="1899-12-30T18:58:00"/>
    <s v="Bigdaddy"/>
    <n v="1"/>
    <n v="10"/>
    <n v="6"/>
    <n v="4"/>
    <s v="Mpesa"/>
    <x v="2"/>
    <m/>
    <m/>
    <m/>
  </r>
  <r>
    <d v="2024-08-04T00:00:00"/>
    <d v="1899-12-30T18:58:00"/>
    <m/>
    <m/>
    <m/>
    <m/>
    <m/>
    <m/>
    <x v="2"/>
    <s v="Haston"/>
    <n v="10"/>
    <s v="Mpesa"/>
  </r>
  <r>
    <d v="2024-08-04T00:00:00"/>
    <d v="1899-12-30T18:58:00"/>
    <m/>
    <m/>
    <m/>
    <m/>
    <m/>
    <m/>
    <x v="2"/>
    <s v="Juliana"/>
    <n v="45"/>
    <s v="Cash"/>
  </r>
  <r>
    <d v="2024-08-05T00:00:00"/>
    <d v="1899-12-30T19:18:00"/>
    <s v="Sugar"/>
    <n v="0.5"/>
    <n v="90"/>
    <n v="65"/>
    <n v="25"/>
    <s v="Mpesa"/>
    <x v="2"/>
    <m/>
    <m/>
    <m/>
  </r>
  <r>
    <d v="2024-08-05T00:00:00"/>
    <d v="1899-12-30T19:18:00"/>
    <s v="Match Box"/>
    <n v="4"/>
    <n v="20"/>
    <n v="9.4444444444444446"/>
    <n v="10.555555555555555"/>
    <s v="Mpesa"/>
    <x v="2"/>
    <m/>
    <m/>
    <m/>
  </r>
  <r>
    <d v="2024-08-05T00:00:00"/>
    <d v="1899-12-30T19:30:00"/>
    <s v="kabras sugar 1kg"/>
    <n v="1"/>
    <n v="180"/>
    <n v="140"/>
    <n v="40"/>
    <s v="Credit"/>
    <x v="7"/>
    <m/>
    <m/>
    <m/>
  </r>
  <r>
    <d v="2024-08-05T00:00:00"/>
    <d v="1899-12-30T19:30:00"/>
    <s v="Brookside milk 500ml"/>
    <n v="2"/>
    <n v="140"/>
    <n v="118"/>
    <n v="22"/>
    <s v="Credit"/>
    <x v="7"/>
    <m/>
    <m/>
    <m/>
  </r>
  <r>
    <d v="2024-08-05T00:00:00"/>
    <d v="1899-12-30T19:40:00"/>
    <s v="Peanut Cookies"/>
    <n v="1"/>
    <n v="35"/>
    <n v="25"/>
    <n v="10"/>
    <s v="Mpesa"/>
    <x v="2"/>
    <m/>
    <m/>
    <m/>
  </r>
  <r>
    <d v="2024-08-05T00:00:00"/>
    <d v="1899-12-30T19:40:00"/>
    <s v="Tropical heat crisps 50g"/>
    <n v="1"/>
    <n v="70"/>
    <n v="50"/>
    <n v="20"/>
    <s v="Mpesa"/>
    <x v="2"/>
    <m/>
    <m/>
    <m/>
  </r>
  <r>
    <d v="2024-08-05T00:00:00"/>
    <d v="1899-12-30T19:40:00"/>
    <s v="Mt kenya milk 500ml"/>
    <n v="1"/>
    <n v="65"/>
    <n v="48.333333333333336"/>
    <n v="16.666666666666664"/>
    <s v="Mpesa"/>
    <x v="2"/>
    <m/>
    <m/>
    <m/>
  </r>
  <r>
    <d v="2024-08-05T00:00:00"/>
    <d v="1899-12-30T19:51:00"/>
    <s v="Pishori rice"/>
    <n v="0.75"/>
    <n v="165"/>
    <n v="135"/>
    <n v="30"/>
    <s v="Credit"/>
    <x v="1"/>
    <m/>
    <m/>
    <m/>
  </r>
  <r>
    <d v="2024-08-05T00:00:00"/>
    <d v="1899-12-30T20:05:00"/>
    <s v="Panadol Extra"/>
    <n v="1"/>
    <n v="20"/>
    <n v="13"/>
    <n v="7"/>
    <s v="Cash"/>
    <x v="2"/>
    <m/>
    <m/>
    <m/>
  </r>
  <r>
    <d v="2024-08-05T00:00:00"/>
    <d v="1899-12-30T20:05:00"/>
    <s v="Maramoja"/>
    <n v="2"/>
    <n v="20"/>
    <n v="14"/>
    <n v="6"/>
    <s v="Cash"/>
    <x v="2"/>
    <m/>
    <m/>
    <m/>
  </r>
  <r>
    <d v="2024-08-05T00:00:00"/>
    <d v="1899-12-30T20:07:00"/>
    <s v="Onion"/>
    <n v="1"/>
    <n v="10"/>
    <n v="8"/>
    <n v="2"/>
    <s v="Mpesa"/>
    <x v="2"/>
    <m/>
    <m/>
    <m/>
  </r>
  <r>
    <d v="2024-08-05T00:00:00"/>
    <d v="1899-12-30T20:07:00"/>
    <s v="Tomatoes"/>
    <n v="1"/>
    <n v="10"/>
    <n v="5"/>
    <n v="5"/>
    <s v="Mpesa"/>
    <x v="2"/>
    <m/>
    <m/>
    <m/>
  </r>
  <r>
    <d v="2024-08-05T00:00:00"/>
    <d v="1899-12-30T20:07:00"/>
    <s v="eggs"/>
    <n v="3"/>
    <n v="60"/>
    <n v="43"/>
    <n v="17"/>
    <s v="Mpesa"/>
    <x v="2"/>
    <m/>
    <m/>
    <m/>
  </r>
  <r>
    <d v="2024-08-05T00:00:00"/>
    <d v="1899-12-30T20:07:00"/>
    <s v="Cooking Oil Measured"/>
    <n v="0.5"/>
    <n v="140"/>
    <n v="100"/>
    <n v="40"/>
    <s v="Credit"/>
    <x v="19"/>
    <m/>
    <m/>
    <m/>
  </r>
  <r>
    <d v="2024-08-05T00:00:00"/>
    <d v="1899-12-30T20:07:00"/>
    <s v="210 Maize Meal 2kg"/>
    <n v="1"/>
    <n v="160"/>
    <n v="117.08333333333333"/>
    <n v="42.916666666666671"/>
    <s v="Credit"/>
    <x v="19"/>
    <m/>
    <m/>
    <m/>
  </r>
  <r>
    <d v="2024-08-06T00:00:00"/>
    <d v="1899-12-30T07:34:00"/>
    <s v="Mt kenya milk 500ml"/>
    <n v="1"/>
    <n v="65"/>
    <n v="48.333333333333336"/>
    <n v="16.666666666666664"/>
    <s v="Mpesa"/>
    <x v="2"/>
    <m/>
    <m/>
    <m/>
  </r>
  <r>
    <d v="2024-08-06T00:00:00"/>
    <d v="1899-12-30T08:49:00"/>
    <s v="Mt kenya milk 500ml"/>
    <n v="1"/>
    <n v="65"/>
    <n v="48.333333333333336"/>
    <n v="16.666666666666664"/>
    <s v="Credit"/>
    <x v="1"/>
    <m/>
    <m/>
    <m/>
  </r>
  <r>
    <d v="2024-08-06T00:00:00"/>
    <d v="1899-12-30T08:49:00"/>
    <s v="BB Bread 400g"/>
    <n v="1"/>
    <n v="65"/>
    <n v="60"/>
    <n v="5"/>
    <s v="Credit"/>
    <x v="1"/>
    <m/>
    <m/>
    <m/>
  </r>
  <r>
    <d v="2024-08-05T00:00:00"/>
    <d v="1899-12-30T08:49:00"/>
    <m/>
    <m/>
    <m/>
    <m/>
    <m/>
    <m/>
    <x v="2"/>
    <s v="Irene"/>
    <n v="100"/>
    <s v="Cash"/>
  </r>
  <r>
    <d v="2024-08-06T00:00:00"/>
    <d v="1899-12-30T08:51:00"/>
    <s v="Safari"/>
    <n v="1"/>
    <n v="15"/>
    <n v="8.5"/>
    <n v="6.5"/>
    <s v="Cash"/>
    <x v="2"/>
    <m/>
    <m/>
    <m/>
  </r>
  <r>
    <d v="2024-08-06T00:00:00"/>
    <d v="1899-12-30T09:17:00"/>
    <s v="eggs"/>
    <n v="2"/>
    <n v="40"/>
    <n v="28.666666666666668"/>
    <n v="11.333333333333332"/>
    <s v="Mpesa"/>
    <x v="2"/>
    <m/>
    <m/>
    <m/>
  </r>
  <r>
    <d v="2024-08-06T00:00:00"/>
    <d v="1899-12-30T09:40:00"/>
    <s v="ariel 75g"/>
    <n v="1"/>
    <n v="35"/>
    <n v="27.5"/>
    <n v="7.5"/>
    <s v="Credit"/>
    <x v="1"/>
    <m/>
    <m/>
    <m/>
  </r>
  <r>
    <d v="2024-08-06T00:00:00"/>
    <d v="1899-12-30T09:40:00"/>
    <s v="Steel Wire"/>
    <n v="1"/>
    <n v="10"/>
    <n v="6"/>
    <n v="4"/>
    <s v="Credit"/>
    <x v="1"/>
    <m/>
    <m/>
    <m/>
  </r>
  <r>
    <d v="2024-08-06T00:00:00"/>
    <d v="1899-12-30T10:21:00"/>
    <s v="Ring Cake"/>
    <n v="1"/>
    <n v="50"/>
    <n v="45"/>
    <n v="5"/>
    <s v="Mpesa"/>
    <x v="2"/>
    <m/>
    <m/>
    <m/>
  </r>
  <r>
    <d v="2024-08-06T00:00:00"/>
    <d v="1899-12-30T10:21:00"/>
    <s v="Festive 600g"/>
    <n v="1"/>
    <n v="100"/>
    <n v="90"/>
    <n v="10"/>
    <s v="Mpesa"/>
    <x v="2"/>
    <m/>
    <m/>
    <m/>
  </r>
  <r>
    <d v="2024-08-06T00:00:00"/>
    <d v="1899-12-30T10:40:00"/>
    <s v="Maramoja"/>
    <n v="1"/>
    <n v="10"/>
    <n v="7"/>
    <n v="3"/>
    <s v="Cash"/>
    <x v="2"/>
    <m/>
    <m/>
    <m/>
  </r>
  <r>
    <d v="2024-08-06T00:00:00"/>
    <d v="1899-12-30T13:31:00"/>
    <s v="soda 500ml glass"/>
    <n v="1"/>
    <n v="55"/>
    <n v="50"/>
    <n v="5"/>
    <s v="Credit"/>
    <x v="19"/>
    <m/>
    <m/>
    <m/>
  </r>
  <r>
    <d v="2024-08-06T00:00:00"/>
    <d v="1899-12-30T13:31:00"/>
    <s v="BB Bread 200g"/>
    <n v="1"/>
    <n v="40"/>
    <n v="35"/>
    <n v="5"/>
    <s v="Credit"/>
    <x v="19"/>
    <m/>
    <m/>
    <m/>
  </r>
  <r>
    <d v="2024-08-06T00:00:00"/>
    <d v="1899-12-30T14:03:00"/>
    <s v="1.5ltrs water"/>
    <n v="1"/>
    <n v="70"/>
    <n v="25"/>
    <n v="45"/>
    <s v="Cash"/>
    <x v="2"/>
    <m/>
    <m/>
    <m/>
  </r>
  <r>
    <d v="2024-08-06T00:00:00"/>
    <d v="1899-12-30T14:03:00"/>
    <s v="300ml water"/>
    <n v="1"/>
    <n v="30"/>
    <n v="12.5"/>
    <n v="17.5"/>
    <s v="Cash"/>
    <x v="2"/>
    <m/>
    <m/>
    <m/>
  </r>
  <r>
    <d v="2024-08-06T00:00:00"/>
    <d v="1899-12-30T14:15:00"/>
    <s v="soda 500ml glass"/>
    <n v="1"/>
    <n v="55"/>
    <n v="50"/>
    <n v="5"/>
    <s v="Mpesa"/>
    <x v="2"/>
    <m/>
    <m/>
    <m/>
  </r>
  <r>
    <d v="2024-08-06T00:00:00"/>
    <d v="1899-12-30T14:18:00"/>
    <s v="Icepop"/>
    <n v="1"/>
    <n v="15"/>
    <n v="7.5"/>
    <n v="7.5"/>
    <s v="Cash"/>
    <x v="2"/>
    <m/>
    <m/>
    <m/>
  </r>
  <r>
    <d v="2024-08-06T00:00:00"/>
    <d v="1899-12-30T14:26:00"/>
    <s v="soda 500ml glass"/>
    <n v="1"/>
    <n v="55"/>
    <n v="50"/>
    <n v="5"/>
    <s v="Credit"/>
    <x v="4"/>
    <m/>
    <m/>
    <m/>
  </r>
  <r>
    <d v="2024-08-06T00:00:00"/>
    <d v="1899-12-30T14:26:00"/>
    <s v="Mt kenya milk 500ml"/>
    <n v="1"/>
    <n v="65"/>
    <n v="48.333333333333336"/>
    <n v="16.666666666666664"/>
    <s v="Credit"/>
    <x v="4"/>
    <m/>
    <m/>
    <m/>
  </r>
  <r>
    <d v="2024-08-06T00:00:00"/>
    <d v="1899-12-30T14:26:00"/>
    <s v="Half pound cake"/>
    <n v="1"/>
    <n v="100"/>
    <n v="90"/>
    <n v="10"/>
    <s v="Credit"/>
    <x v="4"/>
    <m/>
    <m/>
    <m/>
  </r>
  <r>
    <d v="2024-08-06T00:00:00"/>
    <d v="1899-12-30T14:30:00"/>
    <s v="coo"/>
    <n v="2"/>
    <n v="5"/>
    <n v="2.4"/>
    <n v="2.6"/>
    <s v="Cash"/>
    <x v="2"/>
    <m/>
    <m/>
    <m/>
  </r>
  <r>
    <d v="2024-08-06T00:00:00"/>
    <d v="1899-12-30T15:30:00"/>
    <s v="Bigdaddy"/>
    <n v="2"/>
    <n v="20"/>
    <n v="12"/>
    <n v="8"/>
    <s v="Mpesa"/>
    <x v="2"/>
    <m/>
    <m/>
    <m/>
  </r>
  <r>
    <d v="2024-08-06T00:00:00"/>
    <d v="1899-12-30T15:50:00"/>
    <s v="Brookside Lala Sweetened"/>
    <n v="1"/>
    <n v="110"/>
    <n v="93"/>
    <n v="17"/>
    <s v="Credit"/>
    <x v="4"/>
    <m/>
    <m/>
    <m/>
  </r>
  <r>
    <d v="2024-08-06T00:00:00"/>
    <d v="1899-12-30T15:50:00"/>
    <s v="Ginger Bisquit"/>
    <n v="8"/>
    <n v="40"/>
    <n v="34.666666666666664"/>
    <n v="5.3333333333333357"/>
    <s v="Credit"/>
    <x v="4"/>
    <m/>
    <m/>
    <m/>
  </r>
  <r>
    <d v="2024-08-06T00:00:00"/>
    <d v="1899-12-30T16:34:00"/>
    <s v="Mt Kenya milk 200ml"/>
    <n v="1"/>
    <n v="35"/>
    <n v="24.285714285714285"/>
    <n v="10.714285714285715"/>
    <s v="Mpesa"/>
    <x v="2"/>
    <m/>
    <m/>
    <m/>
  </r>
  <r>
    <d v="2024-08-06T00:00:00"/>
    <d v="1899-12-30T16:34:00"/>
    <s v="Gomba"/>
    <n v="2"/>
    <n v="5"/>
    <n v="3.6"/>
    <n v="1.4"/>
    <s v="Mpesa"/>
    <x v="2"/>
    <m/>
    <m/>
    <m/>
  </r>
  <r>
    <d v="2024-08-05T00:00:00"/>
    <d v="1899-12-30T16:34:00"/>
    <m/>
    <m/>
    <m/>
    <m/>
    <m/>
    <m/>
    <x v="2"/>
    <s v="Mark"/>
    <n v="60"/>
    <s v="Mpesa"/>
  </r>
  <r>
    <d v="2024-08-06T00:00:00"/>
    <d v="1899-12-30T16:51:00"/>
    <s v="Bigboss"/>
    <n v="1"/>
    <n v="5"/>
    <n v="3.5"/>
    <n v="1.5"/>
    <s v="Cash"/>
    <x v="2"/>
    <m/>
    <m/>
    <m/>
  </r>
  <r>
    <d v="2024-08-06T00:00:00"/>
    <d v="1899-12-30T16:51:00"/>
    <s v="hoho"/>
    <n v="2"/>
    <n v="20"/>
    <n v="13.333333333333334"/>
    <n v="6.6666666666666661"/>
    <s v="Cash"/>
    <x v="2"/>
    <m/>
    <m/>
    <m/>
  </r>
  <r>
    <d v="2024-08-06T00:00:00"/>
    <d v="1899-12-30T16:51:00"/>
    <s v="Garlic"/>
    <n v="1"/>
    <n v="30"/>
    <n v="20"/>
    <n v="10"/>
    <s v="Cash"/>
    <x v="2"/>
    <m/>
    <m/>
    <m/>
  </r>
  <r>
    <d v="2024-08-06T00:00:00"/>
    <d v="1899-12-30T16:51:00"/>
    <s v="Royco cubes"/>
    <n v="4"/>
    <n v="20"/>
    <n v="12"/>
    <n v="8"/>
    <s v="Credit"/>
    <x v="30"/>
    <m/>
    <m/>
    <m/>
  </r>
  <r>
    <d v="2024-08-06T00:00:00"/>
    <d v="1899-12-30T17:10:00"/>
    <s v="Lemon Bisquit"/>
    <n v="1"/>
    <n v="5"/>
    <n v="4.333333333333333"/>
    <n v="0.66666666666666696"/>
    <s v="Cash"/>
    <x v="2"/>
    <m/>
    <m/>
    <m/>
  </r>
  <r>
    <d v="2024-08-06T00:00:00"/>
    <d v="1899-12-30T17:10:00"/>
    <s v="Nuvita Bisquit"/>
    <n v="1"/>
    <n v="5"/>
    <n v="4.166666666666667"/>
    <n v="0.83333333333333304"/>
    <s v="Cash"/>
    <x v="2"/>
    <m/>
    <m/>
    <m/>
  </r>
  <r>
    <d v="2024-08-06T00:00:00"/>
    <d v="1899-12-30T17:10:00"/>
    <s v="Bigdaddy"/>
    <n v="1"/>
    <n v="10"/>
    <n v="6"/>
    <n v="4"/>
    <s v="Cash"/>
    <x v="2"/>
    <m/>
    <m/>
    <m/>
  </r>
  <r>
    <d v="2024-08-06T00:00:00"/>
    <d v="1899-12-30T17:21:00"/>
    <s v="T.Heat Potato crisps salted 25g"/>
    <n v="1"/>
    <n v="30"/>
    <n v="22.916666666666668"/>
    <n v="7.0833333333333321"/>
    <s v="Mpesa"/>
    <x v="2"/>
    <m/>
    <m/>
    <m/>
  </r>
  <r>
    <d v="2024-08-06T00:00:00"/>
    <d v="1899-12-30T17:22:00"/>
    <s v="Gomba"/>
    <n v="20"/>
    <n v="50"/>
    <n v="36"/>
    <n v="14"/>
    <s v="Cash"/>
    <x v="2"/>
    <m/>
    <m/>
    <m/>
  </r>
  <r>
    <d v="2024-08-06T00:00:00"/>
    <d v="1899-12-30T17:45:00"/>
    <s v="smash juice"/>
    <n v="1"/>
    <n v="20"/>
    <n v="15"/>
    <n v="5"/>
    <s v="Cash"/>
    <x v="2"/>
    <m/>
    <m/>
    <m/>
  </r>
  <r>
    <d v="2024-08-06T00:00:00"/>
    <d v="1899-12-30T17:45:00"/>
    <s v="Fresh green"/>
    <n v="3"/>
    <n v="30"/>
    <n v="15"/>
    <n v="15"/>
    <s v="Cash"/>
    <x v="2"/>
    <m/>
    <m/>
    <m/>
  </r>
  <r>
    <d v="2024-08-06T00:00:00"/>
    <d v="1899-12-30T17:46:00"/>
    <s v="Icepop"/>
    <n v="5"/>
    <n v="75"/>
    <n v="37.5"/>
    <n v="37.5"/>
    <s v="Mpesa"/>
    <x v="2"/>
    <m/>
    <m/>
    <m/>
  </r>
  <r>
    <d v="2024-08-06T00:00:00"/>
    <d v="1899-12-30T18:37:00"/>
    <s v="Tukuza 1kg"/>
    <n v="1"/>
    <n v="90"/>
    <n v="61.25"/>
    <n v="28.75"/>
    <s v="Cash"/>
    <x v="2"/>
    <m/>
    <m/>
    <m/>
  </r>
  <r>
    <d v="2024-08-06T00:00:00"/>
    <d v="1899-12-30T19:14:00"/>
    <s v="210 Maize Meal 2kg"/>
    <n v="2"/>
    <n v="320"/>
    <n v="234.16666666666666"/>
    <n v="85.833333333333343"/>
    <s v="Credit"/>
    <x v="1"/>
    <m/>
    <m/>
    <m/>
  </r>
  <r>
    <d v="2024-08-06T00:00:00"/>
    <d v="1899-12-30T19:14:00"/>
    <s v="Mt kenya milk 500ml"/>
    <n v="1"/>
    <n v="65"/>
    <n v="48.333333333333336"/>
    <n v="16.666666666666664"/>
    <s v="Credit"/>
    <x v="1"/>
    <m/>
    <m/>
    <m/>
  </r>
  <r>
    <d v="2024-08-06T00:00:00"/>
    <d v="1899-12-30T19:14:00"/>
    <s v="BB Bread 400g"/>
    <n v="1"/>
    <n v="65"/>
    <n v="60"/>
    <n v="5"/>
    <s v="Credit"/>
    <x v="1"/>
    <m/>
    <m/>
    <m/>
  </r>
  <r>
    <d v="2024-08-06T00:00:00"/>
    <d v="1899-12-30T19:21:00"/>
    <s v="eggs"/>
    <n v="1"/>
    <n v="20"/>
    <n v="14.333333333333334"/>
    <n v="5.6666666666666661"/>
    <s v="Credit"/>
    <x v="31"/>
    <m/>
    <m/>
    <m/>
  </r>
  <r>
    <d v="2024-08-06T00:00:00"/>
    <d v="1899-12-30T19:31:00"/>
    <s v="soda 300ml glass"/>
    <n v="1"/>
    <n v="40"/>
    <n v="32.5"/>
    <n v="7.5"/>
    <s v="Mpesa"/>
    <x v="2"/>
    <m/>
    <m/>
    <m/>
  </r>
  <r>
    <d v="2024-08-06T00:00:00"/>
    <d v="1899-12-30T19:31:00"/>
    <s v="Nuvita Bisquit"/>
    <n v="3"/>
    <n v="15"/>
    <n v="12.5"/>
    <n v="2.5"/>
    <s v="Mpesa"/>
    <x v="2"/>
    <m/>
    <m/>
    <m/>
  </r>
  <r>
    <d v="2024-08-06T00:00:00"/>
    <d v="1899-12-30T19:40:00"/>
    <s v="eggs"/>
    <n v="2"/>
    <n v="40"/>
    <n v="28.666666666666668"/>
    <n v="11.333333333333332"/>
    <s v="Mpesa"/>
    <x v="2"/>
    <m/>
    <m/>
    <m/>
  </r>
  <r>
    <d v="2024-08-06T00:00:00"/>
    <d v="1899-12-30T19:40:00"/>
    <s v="Bella Tissue"/>
    <n v="1"/>
    <n v="45"/>
    <n v="35"/>
    <n v="10"/>
    <s v="Credit"/>
    <x v="12"/>
    <m/>
    <m/>
    <m/>
  </r>
  <r>
    <d v="2024-08-06T00:00:00"/>
    <d v="1899-12-30T20:00:00"/>
    <s v="Safari"/>
    <n v="1"/>
    <n v="15"/>
    <n v="8.5"/>
    <n v="6.5"/>
    <s v="Mpesa"/>
    <x v="2"/>
    <m/>
    <m/>
    <m/>
  </r>
  <r>
    <d v="2024-08-06T00:00:00"/>
    <d v="1899-12-30T20:00:00"/>
    <s v="Gomba"/>
    <n v="2"/>
    <n v="5"/>
    <n v="3.6"/>
    <n v="1.4"/>
    <s v="Mpesa"/>
    <x v="2"/>
    <m/>
    <m/>
    <m/>
  </r>
  <r>
    <d v="2024-08-06T00:00:00"/>
    <d v="1899-12-30T20:00:00"/>
    <s v="Match Box"/>
    <n v="1"/>
    <n v="5"/>
    <n v="2.3611111111111112"/>
    <n v="2.6388888888888888"/>
    <s v="Cash"/>
    <x v="2"/>
    <m/>
    <m/>
    <m/>
  </r>
  <r>
    <d v="2024-08-06T00:00:00"/>
    <d v="1899-12-30T20:30:00"/>
    <s v="Tropical heat crisps 50g"/>
    <n v="1"/>
    <n v="70"/>
    <n v="50"/>
    <n v="20"/>
    <s v="Credit"/>
    <x v="3"/>
    <n v="0"/>
    <m/>
    <m/>
  </r>
  <r>
    <d v="2024-08-06T00:00:00"/>
    <d v="1899-12-30T20:30:00"/>
    <s v="Gumballs"/>
    <n v="10"/>
    <n v="10"/>
    <n v="7"/>
    <n v="3"/>
    <s v="Credit"/>
    <x v="3"/>
    <m/>
    <m/>
    <m/>
  </r>
  <r>
    <d v="2024-08-05T00:00:00"/>
    <m/>
    <m/>
    <m/>
    <m/>
    <m/>
    <m/>
    <m/>
    <x v="2"/>
    <s v="Zueda"/>
    <n v="130"/>
    <s v="Mpesa"/>
  </r>
  <r>
    <d v="2024-08-07T00:00:00"/>
    <d v="1899-12-30T07:40:00"/>
    <s v="Tukuza 1kg"/>
    <n v="1"/>
    <n v="90"/>
    <n v="61.25"/>
    <n v="28.75"/>
    <s v="Credit"/>
    <x v="32"/>
    <m/>
    <m/>
    <m/>
  </r>
  <r>
    <d v="2024-08-07T00:00:00"/>
    <d v="1899-12-30T08:00:00"/>
    <s v="Mt Kenya milk 200ml"/>
    <n v="1"/>
    <n v="35"/>
    <n v="24.285714285714285"/>
    <n v="10.714285714285715"/>
    <s v="Cash"/>
    <x v="2"/>
    <m/>
    <m/>
    <m/>
  </r>
  <r>
    <d v="2024-08-07T00:00:00"/>
    <d v="1899-12-30T08:07:00"/>
    <s v="Mt kenya milk 500ml"/>
    <n v="2"/>
    <n v="130"/>
    <n v="96.666666666666671"/>
    <n v="33.333333333333329"/>
    <s v="Mpesa"/>
    <x v="2"/>
    <m/>
    <m/>
    <m/>
  </r>
  <r>
    <d v="2024-08-07T00:00:00"/>
    <d v="1899-12-30T09:00:00"/>
    <s v="kabras sugar 1kg"/>
    <n v="1"/>
    <n v="180"/>
    <n v="140"/>
    <n v="40"/>
    <s v="Credit"/>
    <x v="33"/>
    <m/>
    <m/>
    <m/>
  </r>
  <r>
    <d v="2024-08-07T00:00:00"/>
    <d v="1899-12-30T09:00:00"/>
    <s v="Cooking Oil Measured"/>
    <n v="0.5"/>
    <n v="140"/>
    <n v="100"/>
    <n v="40"/>
    <s v="Credit"/>
    <x v="33"/>
    <m/>
    <m/>
    <m/>
  </r>
  <r>
    <d v="2024-08-07T00:00:00"/>
    <d v="1899-12-30T10:08:00"/>
    <s v="Festive Bread 400g"/>
    <n v="1"/>
    <n v="65"/>
    <n v="60"/>
    <n v="5"/>
    <s v="Cash"/>
    <x v="2"/>
    <m/>
    <m/>
    <m/>
  </r>
  <r>
    <d v="2024-08-07T00:00:00"/>
    <d v="1899-12-30T10:29:00"/>
    <s v="Kortex pads"/>
    <n v="1"/>
    <n v="130"/>
    <n v="106"/>
    <n v="24"/>
    <s v="Cash"/>
    <x v="2"/>
    <m/>
    <m/>
    <m/>
  </r>
  <r>
    <d v="2024-08-07T00:00:00"/>
    <d v="1899-12-30T10:29:00"/>
    <s v="Delamere 450g yoghurt"/>
    <n v="1"/>
    <n v="160"/>
    <n v="137"/>
    <n v="23"/>
    <s v="Credit"/>
    <x v="28"/>
    <m/>
    <m/>
    <m/>
  </r>
  <r>
    <d v="2024-08-07T00:00:00"/>
    <d v="1899-12-30T10:29:00"/>
    <s v="Poa Pekee Tissue"/>
    <n v="1"/>
    <n v="30"/>
    <n v="13.333333333333334"/>
    <n v="16.666666666666664"/>
    <s v="Cash"/>
    <x v="2"/>
    <m/>
    <m/>
    <m/>
  </r>
  <r>
    <d v="2024-08-07T00:00:00"/>
    <d v="1899-12-30T11:39:00"/>
    <s v="Hanaan Tissue"/>
    <n v="2"/>
    <n v="100"/>
    <n v="86"/>
    <n v="14"/>
    <s v="Mpesa"/>
    <x v="2"/>
    <m/>
    <m/>
    <m/>
  </r>
  <r>
    <d v="2024-08-07T00:00:00"/>
    <d v="1899-12-30T11:39:00"/>
    <s v="Pishori rice"/>
    <n v="1"/>
    <n v="220"/>
    <n v="180"/>
    <n v="40"/>
    <s v="Mpesa"/>
    <x v="2"/>
    <m/>
    <m/>
    <m/>
  </r>
  <r>
    <d v="2024-08-07T00:00:00"/>
    <d v="1899-12-30T11:39:00"/>
    <s v="eggs"/>
    <n v="8"/>
    <n v="160"/>
    <n v="114.66666666666667"/>
    <n v="45.333333333333329"/>
    <s v="Credit"/>
    <x v="10"/>
    <m/>
    <m/>
    <m/>
  </r>
  <r>
    <d v="2024-08-07T00:00:00"/>
    <d v="1899-12-30T12:24:00"/>
    <s v="coo"/>
    <n v="4"/>
    <n v="10"/>
    <n v="4.8"/>
    <n v="5.2"/>
    <s v="Mpesa"/>
    <x v="2"/>
    <m/>
    <m/>
    <m/>
  </r>
  <r>
    <d v="2024-08-07T00:00:00"/>
    <d v="1899-12-30T12:24:00"/>
    <s v="Ginger Bisquit"/>
    <n v="4"/>
    <n v="20"/>
    <n v="17.333333333333332"/>
    <n v="2.6666666666666679"/>
    <s v="Cash"/>
    <x v="2"/>
    <m/>
    <m/>
    <m/>
  </r>
  <r>
    <d v="2024-08-07T00:00:00"/>
    <d v="1899-12-30T12:24:00"/>
    <s v="Peanut Cookies"/>
    <n v="1"/>
    <n v="35"/>
    <n v="25"/>
    <n v="10"/>
    <s v="Cash"/>
    <x v="2"/>
    <m/>
    <m/>
    <m/>
  </r>
  <r>
    <d v="2024-08-07T00:00:00"/>
    <d v="1899-12-30T12:45:00"/>
    <s v="Gomba"/>
    <n v="2"/>
    <n v="5"/>
    <n v="3.6"/>
    <n v="1.4"/>
    <s v="Cash"/>
    <x v="2"/>
    <m/>
    <m/>
    <m/>
  </r>
  <r>
    <d v="2024-08-07T00:00:00"/>
    <d v="1899-12-30T12:45:00"/>
    <s v="Glucose 10g"/>
    <n v="1"/>
    <n v="5"/>
    <n v="3.75"/>
    <n v="1.25"/>
    <s v="Cash"/>
    <x v="2"/>
    <m/>
    <m/>
    <m/>
  </r>
  <r>
    <d v="2024-08-07T00:00:00"/>
    <d v="1899-12-30T12:45:00"/>
    <s v="BB Bread 200g"/>
    <n v="1"/>
    <n v="40"/>
    <n v="35"/>
    <n v="5"/>
    <s v="Cash"/>
    <x v="2"/>
    <m/>
    <m/>
    <m/>
  </r>
  <r>
    <d v="2024-08-07T00:00:00"/>
    <d v="1899-12-30T12:52:00"/>
    <s v="Festive Bread 400g"/>
    <n v="1"/>
    <n v="65"/>
    <n v="60"/>
    <n v="5"/>
    <s v="Mpesa"/>
    <x v="2"/>
    <m/>
    <m/>
    <m/>
  </r>
  <r>
    <d v="2024-08-07T00:00:00"/>
    <d v="1899-12-30T12:52:00"/>
    <s v="eggs"/>
    <n v="3"/>
    <n v="60"/>
    <n v="43"/>
    <n v="17"/>
    <s v="Mpesa"/>
    <x v="2"/>
    <m/>
    <m/>
    <m/>
  </r>
  <r>
    <d v="2024-08-07T00:00:00"/>
    <d v="1899-12-30T12:54:00"/>
    <s v="predator"/>
    <n v="1"/>
    <n v="70"/>
    <n v="54.166666666666664"/>
    <n v="15.833333333333336"/>
    <s v="Cash"/>
    <x v="2"/>
    <m/>
    <m/>
    <m/>
  </r>
  <r>
    <d v="2024-08-07T00:00:00"/>
    <d v="1899-12-30T13:01:00"/>
    <s v="Mt kenya milk 500ml"/>
    <n v="4"/>
    <n v="260"/>
    <n v="193.33333333333334"/>
    <n v="66.666666666666657"/>
    <s v="Mpesa"/>
    <x v="2"/>
    <m/>
    <m/>
    <m/>
  </r>
  <r>
    <d v="2024-08-07T00:00:00"/>
    <d v="1899-12-30T13:01:00"/>
    <s v="Festive 800g"/>
    <n v="1"/>
    <n v="130"/>
    <n v="120"/>
    <n v="10"/>
    <s v="Mpesa"/>
    <x v="2"/>
    <m/>
    <m/>
    <m/>
  </r>
  <r>
    <d v="2024-08-07T00:00:00"/>
    <d v="1899-12-30T13:01:00"/>
    <s v="Half pound cake"/>
    <n v="1"/>
    <n v="100"/>
    <n v="90"/>
    <n v="10"/>
    <s v="Mpesa"/>
    <x v="2"/>
    <m/>
    <m/>
    <m/>
  </r>
  <r>
    <d v="2024-08-07T00:00:00"/>
    <d v="1899-12-30T13:01:00"/>
    <s v="soda 500ml glass"/>
    <n v="1"/>
    <n v="55"/>
    <n v="50"/>
    <n v="5"/>
    <s v="Mpesa"/>
    <x v="2"/>
    <m/>
    <m/>
    <m/>
  </r>
  <r>
    <d v="2024-08-07T00:00:00"/>
    <d v="1899-12-30T13:01:00"/>
    <m/>
    <m/>
    <m/>
    <m/>
    <m/>
    <m/>
    <x v="2"/>
    <s v="Shariffa"/>
    <n v="220"/>
    <s v="Mpesa"/>
  </r>
  <r>
    <d v="2024-08-07T00:00:00"/>
    <d v="1899-12-30T13:05:00"/>
    <s v="soda 300ml glass"/>
    <n v="1"/>
    <n v="40"/>
    <n v="32.5"/>
    <n v="7.5"/>
    <s v="Credit"/>
    <x v="34"/>
    <m/>
    <m/>
    <m/>
  </r>
  <r>
    <d v="2024-08-07T00:00:00"/>
    <d v="1899-12-30T13:05:00"/>
    <s v="Ginger Bisquit"/>
    <n v="6"/>
    <n v="30"/>
    <n v="26"/>
    <n v="4"/>
    <s v="Credit"/>
    <x v="34"/>
    <m/>
    <m/>
    <m/>
  </r>
  <r>
    <d v="2024-08-07T00:00:00"/>
    <d v="1899-12-30T13:05:00"/>
    <s v="Nuvita Bisquit"/>
    <n v="2"/>
    <n v="10"/>
    <n v="8.3333333333333339"/>
    <n v="1.6666666666666661"/>
    <s v="Credit"/>
    <x v="34"/>
    <m/>
    <m/>
    <m/>
  </r>
  <r>
    <d v="2024-08-07T00:00:00"/>
    <d v="1899-12-30T13:15:00"/>
    <s v="Bigdaddy"/>
    <n v="2"/>
    <n v="20"/>
    <n v="12"/>
    <n v="8"/>
    <s v="Cash"/>
    <x v="2"/>
    <m/>
    <m/>
    <m/>
  </r>
  <r>
    <d v="2024-08-07T00:00:00"/>
    <d v="1899-12-30T13:15:00"/>
    <s v="Glucose 10g"/>
    <n v="2"/>
    <n v="10"/>
    <n v="7.5"/>
    <n v="2.5"/>
    <s v="Cash"/>
    <x v="2"/>
    <m/>
    <m/>
    <m/>
  </r>
  <r>
    <d v="2024-08-07T00:00:00"/>
    <d v="1899-12-30T13:15:00"/>
    <s v="Lollipop"/>
    <n v="2"/>
    <n v="10"/>
    <n v="4.8"/>
    <n v="5.2"/>
    <s v="Cash"/>
    <x v="2"/>
    <m/>
    <m/>
    <m/>
  </r>
  <r>
    <d v="2024-08-07T00:00:00"/>
    <d v="1899-12-30T13:40:00"/>
    <s v="funtime snacks"/>
    <n v="1"/>
    <n v="15"/>
    <n v="9"/>
    <n v="6"/>
    <s v="Cash"/>
    <x v="2"/>
    <m/>
    <m/>
    <m/>
  </r>
  <r>
    <d v="2024-08-07T00:00:00"/>
    <d v="1899-12-30T13:40:00"/>
    <s v="scooter cans"/>
    <n v="1"/>
    <n v="20"/>
    <n v="15"/>
    <n v="5"/>
    <s v="Cash"/>
    <x v="2"/>
    <m/>
    <m/>
    <m/>
  </r>
  <r>
    <d v="2024-08-07T00:00:00"/>
    <d v="1899-12-30T13:40:00"/>
    <s v="Bigdaddy"/>
    <n v="1"/>
    <n v="10"/>
    <n v="6"/>
    <n v="4"/>
    <s v="Cash"/>
    <x v="2"/>
    <m/>
    <m/>
    <m/>
  </r>
  <r>
    <d v="2024-08-07T00:00:00"/>
    <d v="1899-12-30T13:40:00"/>
    <s v="Lollipop"/>
    <n v="1"/>
    <n v="5"/>
    <n v="2.4"/>
    <n v="2.6"/>
    <s v="Cash"/>
    <x v="2"/>
    <m/>
    <m/>
    <m/>
  </r>
  <r>
    <d v="2024-08-07T00:00:00"/>
    <d v="1899-12-30T13:50:00"/>
    <s v="T.Heat Potato crisps salted 25g"/>
    <n v="1"/>
    <n v="30"/>
    <n v="22.916666666666668"/>
    <n v="7.0833333333333321"/>
    <s v="Cash"/>
    <x v="2"/>
    <m/>
    <m/>
    <m/>
  </r>
  <r>
    <d v="2024-08-07T00:00:00"/>
    <d v="1899-12-30T13:55:00"/>
    <s v="T.Heat Potato crisps salted 25g"/>
    <n v="1"/>
    <n v="30"/>
    <n v="22.916666666666668"/>
    <n v="7.0833333333333321"/>
    <s v="Cash"/>
    <x v="2"/>
    <m/>
    <m/>
    <m/>
  </r>
  <r>
    <d v="2024-08-07T00:00:00"/>
    <d v="1899-12-30T13:55:00"/>
    <s v="funtime snacks"/>
    <n v="2"/>
    <n v="30"/>
    <n v="18"/>
    <n v="12"/>
    <s v="Cash"/>
    <x v="2"/>
    <m/>
    <m/>
    <m/>
  </r>
  <r>
    <d v="2024-08-07T00:00:00"/>
    <d v="1899-12-30T14:10:00"/>
    <s v="Onion"/>
    <n v="5"/>
    <n v="50"/>
    <n v="40"/>
    <n v="10"/>
    <s v="Cash"/>
    <x v="2"/>
    <m/>
    <m/>
    <m/>
  </r>
  <r>
    <d v="2024-08-07T00:00:00"/>
    <d v="1899-12-30T14:10:00"/>
    <s v="Bigdaddy"/>
    <n v="1"/>
    <n v="10"/>
    <n v="6"/>
    <n v="4"/>
    <s v="Cash"/>
    <x v="2"/>
    <m/>
    <m/>
    <m/>
  </r>
  <r>
    <d v="2024-08-07T00:00:00"/>
    <d v="1899-12-30T14:10:00"/>
    <s v="pens"/>
    <n v="1"/>
    <n v="10"/>
    <n v="6"/>
    <n v="4"/>
    <s v="Cash"/>
    <x v="2"/>
    <m/>
    <m/>
    <m/>
  </r>
  <r>
    <d v="2024-08-07T00:00:00"/>
    <d v="1899-12-30T14:10:00"/>
    <s v="Menengai Bar 1kg"/>
    <n v="0.2"/>
    <n v="50"/>
    <n v="38"/>
    <n v="12"/>
    <s v="Cash"/>
    <x v="2"/>
    <m/>
    <m/>
    <m/>
  </r>
  <r>
    <d v="2024-08-07T00:00:00"/>
    <d v="1899-12-30T14:12:00"/>
    <m/>
    <m/>
    <m/>
    <m/>
    <m/>
    <m/>
    <x v="2"/>
    <s v="Fredy"/>
    <n v="120"/>
    <s v="Cash"/>
  </r>
  <r>
    <d v="2024-08-07T00:00:00"/>
    <d v="1899-12-30T14:17:00"/>
    <s v="soda 500ml glass"/>
    <n v="1"/>
    <n v="55"/>
    <n v="50"/>
    <n v="5"/>
    <s v="Credit"/>
    <x v="19"/>
    <m/>
    <m/>
    <m/>
  </r>
  <r>
    <d v="2024-08-07T00:00:00"/>
    <d v="1899-12-30T14:17:00"/>
    <s v="BB Bread 200g"/>
    <n v="1"/>
    <n v="40"/>
    <n v="35"/>
    <n v="5"/>
    <s v="Credit"/>
    <x v="19"/>
    <m/>
    <m/>
    <m/>
  </r>
  <r>
    <d v="2024-08-07T00:00:00"/>
    <d v="1899-12-30T14:20:00"/>
    <s v="Tropical heat crisps 50g"/>
    <n v="1"/>
    <n v="70"/>
    <n v="50"/>
    <n v="20"/>
    <s v="Cash"/>
    <x v="2"/>
    <m/>
    <m/>
    <m/>
  </r>
  <r>
    <d v="2024-08-07T00:00:00"/>
    <d v="1899-12-30T14:25:00"/>
    <s v="soda 500ml glass"/>
    <n v="1"/>
    <n v="55"/>
    <n v="50"/>
    <n v="5"/>
    <s v="Cash"/>
    <x v="2"/>
    <m/>
    <m/>
    <m/>
  </r>
  <r>
    <d v="2024-08-07T00:00:00"/>
    <d v="1899-12-30T14:25:00"/>
    <s v="Ring Cake"/>
    <n v="1"/>
    <n v="50"/>
    <n v="45"/>
    <n v="5"/>
    <s v="Cash"/>
    <x v="2"/>
    <m/>
    <m/>
    <m/>
  </r>
  <r>
    <d v="2024-08-07T00:00:00"/>
    <d v="1899-12-30T14:25:00"/>
    <s v="Tropical"/>
    <n v="4"/>
    <n v="20"/>
    <n v="6"/>
    <n v="14"/>
    <s v="Cash"/>
    <x v="2"/>
    <m/>
    <m/>
    <m/>
  </r>
  <r>
    <d v="2024-08-07T00:00:00"/>
    <d v="1899-12-30T14:30:00"/>
    <s v="Tropical"/>
    <n v="2"/>
    <n v="10"/>
    <n v="3"/>
    <n v="7"/>
    <s v="Cash"/>
    <x v="2"/>
    <m/>
    <m/>
    <m/>
  </r>
  <r>
    <d v="2024-08-07T00:00:00"/>
    <d v="1899-12-30T14:30:00"/>
    <s v="soda 350ml plastic"/>
    <n v="1"/>
    <n v="50"/>
    <n v="41.666666666666664"/>
    <n v="8.3333333333333357"/>
    <s v="Cash"/>
    <x v="2"/>
    <m/>
    <m/>
    <m/>
  </r>
  <r>
    <d v="2024-08-07T00:00:00"/>
    <d v="1899-12-30T14:30:00"/>
    <s v="Half pound cake"/>
    <n v="1"/>
    <n v="100"/>
    <n v="90"/>
    <n v="10"/>
    <s v="Cash"/>
    <x v="2"/>
    <m/>
    <m/>
    <m/>
  </r>
  <r>
    <d v="2024-08-07T00:00:00"/>
    <d v="1899-12-30T14:30:00"/>
    <s v="Tropical"/>
    <n v="1"/>
    <n v="5"/>
    <n v="1.5"/>
    <n v="3.5"/>
    <s v="Cash"/>
    <x v="2"/>
    <m/>
    <m/>
    <m/>
  </r>
  <r>
    <d v="2024-08-07T00:00:00"/>
    <d v="1899-12-30T15:06:00"/>
    <s v="Yellow Beans"/>
    <n v="0.75"/>
    <n v="135"/>
    <n v="93.75"/>
    <n v="41.25"/>
    <s v="Credit"/>
    <x v="1"/>
    <m/>
    <m/>
    <m/>
  </r>
  <r>
    <d v="2024-08-07T00:00:00"/>
    <d v="1899-12-30T15:20:00"/>
    <s v="Bigdaddy"/>
    <n v="3"/>
    <n v="30"/>
    <n v="18"/>
    <n v="12"/>
    <s v="Cash"/>
    <x v="2"/>
    <m/>
    <m/>
    <m/>
  </r>
  <r>
    <d v="2024-08-07T00:00:00"/>
    <d v="1899-12-30T15:37:00"/>
    <s v="Njugu"/>
    <n v="1"/>
    <n v="20"/>
    <n v="10.666666666666666"/>
    <n v="9.3333333333333339"/>
    <s v="Mpesa"/>
    <x v="2"/>
    <m/>
    <m/>
    <m/>
  </r>
  <r>
    <d v="2024-08-07T00:00:00"/>
    <d v="1899-12-30T16:03:00"/>
    <s v="Mt kenya milk 500ml"/>
    <n v="2"/>
    <n v="130"/>
    <n v="96.666666666666671"/>
    <n v="33.333333333333329"/>
    <s v="Mpesa"/>
    <x v="2"/>
    <m/>
    <m/>
    <m/>
  </r>
  <r>
    <d v="2024-08-07T00:00:00"/>
    <d v="1899-12-30T16:03:00"/>
    <s v="Ndengu"/>
    <n v="0.5"/>
    <n v="80"/>
    <n v="60"/>
    <n v="20"/>
    <s v="Mpesa"/>
    <x v="2"/>
    <m/>
    <m/>
    <m/>
  </r>
  <r>
    <d v="2024-08-07T00:00:00"/>
    <d v="1899-12-30T16:03:00"/>
    <s v="Royco cubes"/>
    <n v="4"/>
    <n v="20"/>
    <n v="12"/>
    <n v="8"/>
    <s v="Credit"/>
    <x v="15"/>
    <m/>
    <m/>
    <m/>
  </r>
  <r>
    <d v="2024-08-07T00:00:00"/>
    <d v="1899-12-30T16:07:00"/>
    <s v="Rasor Blade"/>
    <n v="1"/>
    <n v="5"/>
    <n v="2"/>
    <n v="3"/>
    <s v="Cash"/>
    <x v="2"/>
    <m/>
    <m/>
    <m/>
  </r>
  <r>
    <d v="2024-08-07T00:00:00"/>
    <d v="1899-12-30T16:42:00"/>
    <s v="Nuvita Bisquit"/>
    <n v="3"/>
    <n v="15"/>
    <n v="12.5"/>
    <n v="2.5"/>
    <s v="Cash"/>
    <x v="2"/>
    <m/>
    <m/>
    <m/>
  </r>
  <r>
    <d v="2024-08-07T00:00:00"/>
    <d v="1899-12-30T17:29:00"/>
    <s v="Bigdaddy"/>
    <n v="1"/>
    <n v="10"/>
    <n v="6"/>
    <n v="4"/>
    <s v="Cash"/>
    <x v="2"/>
    <m/>
    <m/>
    <m/>
  </r>
  <r>
    <d v="2024-08-07T00:00:00"/>
    <d v="1899-12-30T17:29:00"/>
    <s v="Patco"/>
    <n v="2"/>
    <n v="5"/>
    <n v="2.4"/>
    <n v="2.6"/>
    <s v="Cash"/>
    <x v="2"/>
    <m/>
    <m/>
    <m/>
  </r>
  <r>
    <d v="2024-08-07T00:00:00"/>
    <d v="1899-12-30T17:29:00"/>
    <s v="coo"/>
    <n v="2"/>
    <n v="5"/>
    <n v="2.4"/>
    <n v="2.6"/>
    <s v="Cash"/>
    <x v="2"/>
    <m/>
    <m/>
    <m/>
  </r>
  <r>
    <d v="2024-08-07T00:00:00"/>
    <d v="1899-12-30T17:29:00"/>
    <s v="Fresh green"/>
    <n v="3"/>
    <n v="30"/>
    <n v="15"/>
    <n v="15"/>
    <s v="Cash"/>
    <x v="2"/>
    <m/>
    <m/>
    <m/>
  </r>
  <r>
    <d v="2024-08-07T00:00:00"/>
    <d v="1899-12-30T17:46:00"/>
    <s v="T.Heat Potato crisps salted 25g"/>
    <n v="1"/>
    <n v="30"/>
    <n v="22.916666666666668"/>
    <n v="7.0833333333333321"/>
    <s v="Cash"/>
    <x v="2"/>
    <m/>
    <m/>
    <m/>
  </r>
  <r>
    <d v="2024-08-07T00:00:00"/>
    <d v="1899-12-30T17:46:00"/>
    <s v="Ringoz Paprika"/>
    <n v="1"/>
    <n v="15"/>
    <n v="8.8000000000000007"/>
    <n v="6.1999999999999993"/>
    <s v="Cash"/>
    <x v="2"/>
    <m/>
    <m/>
    <m/>
  </r>
  <r>
    <d v="2024-08-07T00:00:00"/>
    <d v="1899-12-30T18:10:00"/>
    <s v="soda 300ml glass"/>
    <n v="1"/>
    <n v="40"/>
    <n v="32.5"/>
    <n v="7.5"/>
    <s v="Credit"/>
    <x v="18"/>
    <m/>
    <m/>
    <m/>
  </r>
  <r>
    <d v="2024-08-07T00:00:00"/>
    <d v="1899-12-30T18:10:00"/>
    <s v="Half pound cake"/>
    <n v="1"/>
    <n v="100"/>
    <n v="90"/>
    <n v="10"/>
    <s v="Credit"/>
    <x v="18"/>
    <m/>
    <m/>
    <m/>
  </r>
  <r>
    <d v="2024-08-07T00:00:00"/>
    <d v="1899-12-30T18:10:00"/>
    <s v="Brookside Lala Natural"/>
    <n v="1"/>
    <n v="100"/>
    <n v="87"/>
    <n v="13"/>
    <s v="Credit"/>
    <x v="18"/>
    <m/>
    <m/>
    <m/>
  </r>
  <r>
    <d v="2024-08-07T00:00:00"/>
    <d v="1899-12-30T18:10:00"/>
    <s v="Ring Cake"/>
    <n v="1"/>
    <n v="50"/>
    <n v="45"/>
    <n v="5"/>
    <s v="Credit"/>
    <x v="18"/>
    <m/>
    <m/>
    <m/>
  </r>
  <r>
    <d v="2024-08-07T00:00:00"/>
    <d v="1899-12-30T18:27:00"/>
    <s v="Garlic"/>
    <n v="1"/>
    <n v="30"/>
    <n v="20"/>
    <n v="10"/>
    <s v="Cash"/>
    <x v="2"/>
    <m/>
    <m/>
    <m/>
  </r>
  <r>
    <d v="2024-08-07T00:00:00"/>
    <d v="1899-12-30T18:31:00"/>
    <s v="Bigdaddy"/>
    <n v="1"/>
    <n v="10"/>
    <n v="6"/>
    <n v="4"/>
    <s v="Cash"/>
    <x v="2"/>
    <m/>
    <m/>
    <m/>
  </r>
  <r>
    <d v="2024-08-07T00:00:00"/>
    <d v="1899-12-30T18:31:00"/>
    <s v="Tomatoes"/>
    <n v="1"/>
    <n v="10"/>
    <n v="5"/>
    <n v="5"/>
    <s v="Cash"/>
    <x v="2"/>
    <m/>
    <m/>
    <m/>
  </r>
  <r>
    <d v="2024-08-07T00:00:00"/>
    <d v="1899-12-30T18:31:00"/>
    <s v="Royco cubes"/>
    <n v="1"/>
    <n v="5"/>
    <n v="3"/>
    <n v="2"/>
    <s v="Cash"/>
    <x v="2"/>
    <m/>
    <m/>
    <m/>
  </r>
  <r>
    <d v="2024-08-07T00:00:00"/>
    <d v="1899-12-30T18:31:00"/>
    <s v="Kinangop Fresh Milk 500ml"/>
    <n v="1"/>
    <n v="60"/>
    <n v="55"/>
    <n v="5"/>
    <s v="Cash"/>
    <x v="2"/>
    <m/>
    <m/>
    <m/>
  </r>
  <r>
    <d v="2024-08-07T00:00:00"/>
    <d v="1899-12-30T18:45:00"/>
    <s v="minutemaid 400ml"/>
    <n v="1"/>
    <n v="85"/>
    <n v="62.5"/>
    <n v="22.5"/>
    <s v="Mpesa"/>
    <x v="2"/>
    <m/>
    <m/>
    <m/>
  </r>
  <r>
    <d v="2024-08-07T00:00:00"/>
    <d v="1899-12-30T18:45:00"/>
    <s v="Ring Cake"/>
    <n v="1"/>
    <n v="50"/>
    <n v="45"/>
    <n v="5"/>
    <s v="Mpesa"/>
    <x v="2"/>
    <m/>
    <m/>
    <m/>
  </r>
  <r>
    <d v="2024-08-07T00:00:00"/>
    <d v="1899-12-30T18:52:00"/>
    <s v="ariel 10g"/>
    <n v="1"/>
    <n v="15"/>
    <n v="9.1666666666666661"/>
    <n v="5.8333333333333339"/>
    <s v="Mpesa"/>
    <x v="2"/>
    <m/>
    <m/>
    <m/>
  </r>
  <r>
    <d v="2024-08-07T00:00:00"/>
    <d v="1899-12-30T18:52:00"/>
    <s v="Safari"/>
    <n v="1"/>
    <n v="15"/>
    <n v="8.5"/>
    <n v="6.5"/>
    <s v="Mpesa"/>
    <x v="2"/>
    <m/>
    <m/>
    <m/>
  </r>
  <r>
    <d v="2024-08-07T00:00:00"/>
    <d v="1899-12-30T18:56:00"/>
    <s v="Match Box"/>
    <n v="1"/>
    <n v="5"/>
    <n v="2.3611111111111112"/>
    <n v="2.6388888888888888"/>
    <s v="Mpesa"/>
    <x v="2"/>
    <m/>
    <m/>
    <m/>
  </r>
  <r>
    <d v="2024-08-07T00:00:00"/>
    <d v="1899-12-30T19:07:00"/>
    <s v="soda 300ml glass"/>
    <n v="1"/>
    <n v="40"/>
    <n v="32.5"/>
    <n v="7.5"/>
    <s v="Mpesa"/>
    <x v="2"/>
    <m/>
    <m/>
    <m/>
  </r>
  <r>
    <d v="2024-08-07T00:00:00"/>
    <d v="1899-12-30T19:19:00"/>
    <s v="Indomie chicken"/>
    <n v="2"/>
    <n v="100"/>
    <n v="75"/>
    <n v="25"/>
    <s v="Mpesa"/>
    <x v="2"/>
    <m/>
    <m/>
    <m/>
  </r>
  <r>
    <d v="2024-08-07T00:00:00"/>
    <d v="1899-12-30T19:19:00"/>
    <s v="Battery AA"/>
    <n v="2"/>
    <n v="30"/>
    <n v="20"/>
    <n v="10"/>
    <s v="Mpesa"/>
    <x v="2"/>
    <m/>
    <m/>
    <m/>
  </r>
  <r>
    <d v="2024-08-07T00:00:00"/>
    <d v="1899-12-30T19:30:00"/>
    <s v="Mt kenya milk 500ml"/>
    <n v="1"/>
    <n v="65"/>
    <n v="48.333333333333336"/>
    <n v="16.666666666666664"/>
    <s v="Credit"/>
    <x v="1"/>
    <m/>
    <m/>
    <m/>
  </r>
  <r>
    <d v="2024-08-07T00:00:00"/>
    <d v="1899-12-30T19:30:00"/>
    <m/>
    <m/>
    <m/>
    <m/>
    <m/>
    <m/>
    <x v="2"/>
    <s v="Irene"/>
    <n v="150"/>
    <s v="Cash"/>
  </r>
  <r>
    <d v="2024-08-07T00:00:00"/>
    <d v="1899-12-30T19:30:00"/>
    <m/>
    <m/>
    <m/>
    <m/>
    <m/>
    <m/>
    <x v="2"/>
    <s v="Irene"/>
    <n v="50"/>
    <s v="Mpesa"/>
  </r>
  <r>
    <d v="2024-08-07T00:00:00"/>
    <d v="1899-12-30T19:36:00"/>
    <s v="Kienyeji  Eggs"/>
    <n v="2"/>
    <n v="60"/>
    <n v="40"/>
    <n v="20"/>
    <s v="Cash"/>
    <x v="2"/>
    <m/>
    <m/>
    <m/>
  </r>
  <r>
    <d v="2024-08-07T00:00:00"/>
    <d v="1899-12-30T19:36:00"/>
    <m/>
    <m/>
    <m/>
    <m/>
    <m/>
    <m/>
    <x v="2"/>
    <s v="Milly"/>
    <n v="40"/>
    <s v="Cash"/>
  </r>
  <r>
    <d v="2024-08-07T00:00:00"/>
    <d v="1899-12-30T19:38:00"/>
    <s v="eggs"/>
    <n v="3"/>
    <n v="60"/>
    <n v="43"/>
    <n v="17"/>
    <s v="Mpesa"/>
    <x v="2"/>
    <m/>
    <m/>
    <m/>
  </r>
  <r>
    <d v="2024-08-07T00:00:00"/>
    <d v="1899-12-30T19:38:00"/>
    <s v="Onion"/>
    <n v="1"/>
    <n v="10"/>
    <n v="8"/>
    <n v="2"/>
    <s v="Mpesa"/>
    <x v="2"/>
    <m/>
    <m/>
    <m/>
  </r>
  <r>
    <d v="2024-08-07T00:00:00"/>
    <d v="1899-12-30T19:43:00"/>
    <s v="210 Maize Meal 2kg"/>
    <n v="1"/>
    <n v="160"/>
    <n v="117.08333333333333"/>
    <n v="42.916666666666671"/>
    <s v="Credit"/>
    <x v="8"/>
    <m/>
    <m/>
    <m/>
  </r>
  <r>
    <d v="2024-08-07T00:00:00"/>
    <d v="1899-12-30T19:43:00"/>
    <s v="Kinangop Fresh Milk 500ml"/>
    <n v="1"/>
    <n v="60"/>
    <n v="55"/>
    <n v="5"/>
    <s v="Credit"/>
    <x v="8"/>
    <m/>
    <m/>
    <m/>
  </r>
  <r>
    <d v="2024-08-07T00:00:00"/>
    <d v="1899-12-30T20:50:00"/>
    <s v="Festive Bread 400g"/>
    <n v="1"/>
    <n v="65"/>
    <n v="60"/>
    <n v="5"/>
    <s v="Credit"/>
    <x v="8"/>
    <m/>
    <m/>
    <m/>
  </r>
  <r>
    <d v="2024-08-07T00:00:00"/>
    <d v="1899-12-30T20:50:00"/>
    <s v="Kinangop Fresh Milk 500ml"/>
    <n v="1"/>
    <n v="60"/>
    <n v="55"/>
    <n v="5"/>
    <s v="Credit"/>
    <x v="3"/>
    <m/>
    <m/>
    <m/>
  </r>
  <r>
    <d v="2024-08-07T00:00:00"/>
    <d v="1899-12-30T20:50:00"/>
    <s v="Gomba"/>
    <n v="2"/>
    <n v="5"/>
    <n v="3.6"/>
    <n v="1.4"/>
    <s v="Credit"/>
    <x v="3"/>
    <m/>
    <m/>
    <m/>
  </r>
  <r>
    <d v="2024-08-07T00:00:00"/>
    <d v="1899-12-30T20:50:00"/>
    <s v="Gumballs"/>
    <n v="5"/>
    <n v="5"/>
    <n v="3.5"/>
    <n v="1.5"/>
    <s v="Credit"/>
    <x v="3"/>
    <m/>
    <m/>
    <m/>
  </r>
  <r>
    <d v="2024-08-08T00:00:00"/>
    <d v="1899-12-30T07:50:00"/>
    <s v="Mt Kenya milk 200ml"/>
    <n v="1"/>
    <n v="35"/>
    <n v="24.285714285714285"/>
    <n v="10.714285714285715"/>
    <s v="Cash"/>
    <x v="2"/>
    <m/>
    <m/>
    <m/>
  </r>
  <r>
    <d v="2024-08-08T00:00:00"/>
    <d v="1899-12-30T08:05:00"/>
    <s v="eggs"/>
    <n v="2"/>
    <n v="40"/>
    <n v="28.666666666666668"/>
    <n v="11.333333333333332"/>
    <s v="Mpesa"/>
    <x v="2"/>
    <m/>
    <m/>
    <m/>
  </r>
  <r>
    <d v="2024-08-08T00:00:00"/>
    <d v="1899-12-30T08:05:00"/>
    <s v="Onion"/>
    <n v="1"/>
    <n v="10"/>
    <n v="8"/>
    <n v="2"/>
    <s v="Mpesa"/>
    <x v="2"/>
    <m/>
    <m/>
    <m/>
  </r>
  <r>
    <d v="2024-08-08T00:00:00"/>
    <d v="1899-12-30T08:05:00"/>
    <s v="Tomatoes"/>
    <n v="1"/>
    <n v="10"/>
    <n v="5"/>
    <n v="5"/>
    <s v="Mpesa"/>
    <x v="2"/>
    <m/>
    <m/>
    <m/>
  </r>
  <r>
    <d v="2024-08-08T00:00:00"/>
    <d v="1899-12-30T08:20:00"/>
    <s v="eggs"/>
    <n v="8"/>
    <n v="160"/>
    <n v="114.66666666666667"/>
    <n v="45.333333333333329"/>
    <s v="Mpesa"/>
    <x v="2"/>
    <m/>
    <m/>
    <m/>
  </r>
  <r>
    <d v="2024-08-08T00:00:00"/>
    <d v="1899-12-30T08:50:00"/>
    <m/>
    <m/>
    <m/>
    <m/>
    <m/>
    <m/>
    <x v="2"/>
    <s v="Lucy"/>
    <n v="40"/>
    <s v="Mpesa"/>
  </r>
  <r>
    <d v="2024-08-08T00:00:00"/>
    <d v="1899-12-30T08:50:00"/>
    <m/>
    <m/>
    <m/>
    <m/>
    <m/>
    <m/>
    <x v="2"/>
    <s v="Ruth"/>
    <n v="925"/>
    <s v="Mpesa"/>
  </r>
  <r>
    <d v="2024-08-08T00:00:00"/>
    <d v="1899-12-30T09:07:00"/>
    <s v="Safari"/>
    <n v="1"/>
    <n v="15"/>
    <n v="8.5"/>
    <n v="6.5"/>
    <s v="Cash"/>
    <x v="2"/>
    <m/>
    <m/>
    <m/>
  </r>
  <r>
    <d v="2024-08-08T00:00:00"/>
    <d v="1899-12-30T09:43:00"/>
    <s v="BB Bread 400g"/>
    <n v="2"/>
    <n v="130"/>
    <n v="120"/>
    <n v="10"/>
    <s v="Mpesa"/>
    <x v="2"/>
    <m/>
    <m/>
    <m/>
  </r>
  <r>
    <d v="2024-08-08T00:00:00"/>
    <d v="1899-12-30T10:10:00"/>
    <s v="BB Bread 400g"/>
    <n v="1"/>
    <n v="65"/>
    <n v="60"/>
    <n v="5"/>
    <s v="Credit"/>
    <x v="4"/>
    <m/>
    <m/>
    <m/>
  </r>
  <r>
    <d v="2024-08-08T00:00:00"/>
    <d v="1899-12-30T10:10:00"/>
    <s v="Festive 600g"/>
    <n v="1"/>
    <n v="100"/>
    <n v="90"/>
    <n v="10"/>
    <s v="Credit"/>
    <x v="4"/>
    <m/>
    <m/>
    <m/>
  </r>
  <r>
    <d v="2024-08-08T00:00:00"/>
    <d v="1899-12-30T10:10:00"/>
    <s v="Brookside milk 500ml"/>
    <n v="2"/>
    <n v="140"/>
    <n v="118"/>
    <n v="22"/>
    <s v="Credit"/>
    <x v="4"/>
    <m/>
    <m/>
    <m/>
  </r>
  <r>
    <d v="2024-08-08T00:00:00"/>
    <d v="1899-12-30T10:10:00"/>
    <s v="Kienyeji  Eggs"/>
    <n v="4"/>
    <n v="120"/>
    <n v="80"/>
    <n v="40"/>
    <s v="Credit"/>
    <x v="4"/>
    <m/>
    <m/>
    <m/>
  </r>
  <r>
    <d v="2024-08-08T00:00:00"/>
    <d v="1899-12-30T10:12:00"/>
    <s v="BB Bread 400g"/>
    <n v="1"/>
    <n v="65"/>
    <n v="60"/>
    <n v="5"/>
    <s v="Credit"/>
    <x v="23"/>
    <m/>
    <m/>
    <m/>
  </r>
  <r>
    <d v="2024-08-08T00:00:00"/>
    <d v="1899-12-30T10:32:00"/>
    <s v="Festive Bread 400g"/>
    <n v="1"/>
    <n v="65"/>
    <n v="60"/>
    <n v="5"/>
    <s v="Credit"/>
    <x v="35"/>
    <m/>
    <m/>
    <m/>
  </r>
  <r>
    <d v="2024-08-08T00:00:00"/>
    <d v="1899-12-30T10:32:00"/>
    <s v="Softcare diapers"/>
    <n v="1"/>
    <n v="20"/>
    <n v="15.5"/>
    <n v="4.5"/>
    <s v="Credit"/>
    <x v="35"/>
    <m/>
    <m/>
    <m/>
  </r>
  <r>
    <d v="2024-08-08T00:00:00"/>
    <d v="1899-12-30T11:32:00"/>
    <s v="eggs"/>
    <n v="10"/>
    <n v="200"/>
    <n v="143.33333333333334"/>
    <n v="56.666666666666657"/>
    <s v="Mpesa"/>
    <x v="2"/>
    <m/>
    <m/>
    <m/>
  </r>
  <r>
    <d v="2024-08-08T00:00:00"/>
    <d v="1899-12-30T11:39:00"/>
    <s v="predator"/>
    <n v="1"/>
    <n v="70"/>
    <n v="54.166666666666664"/>
    <n v="15.833333333333336"/>
    <s v="Mpesa"/>
    <x v="2"/>
    <m/>
    <m/>
    <m/>
  </r>
  <r>
    <d v="2024-08-08T00:00:00"/>
    <d v="1899-12-30T11:39:00"/>
    <s v="Match Box"/>
    <n v="1"/>
    <n v="5"/>
    <n v="2.3611111111111112"/>
    <n v="2.6388888888888888"/>
    <s v="Mpesa"/>
    <x v="2"/>
    <m/>
    <m/>
    <m/>
  </r>
  <r>
    <d v="2024-08-08T00:00:00"/>
    <d v="1899-12-30T11:47:00"/>
    <s v="Festive 600g"/>
    <n v="1"/>
    <n v="100"/>
    <n v="90"/>
    <n v="10"/>
    <s v="Mpesa"/>
    <x v="2"/>
    <m/>
    <m/>
    <m/>
  </r>
  <r>
    <d v="2024-08-08T00:00:00"/>
    <d v="1899-12-30T12:14:00"/>
    <s v="Mt kenya milk 500ml"/>
    <n v="1"/>
    <n v="65"/>
    <n v="48.333333333333336"/>
    <n v="16.666666666666664"/>
    <s v="Credit"/>
    <x v="16"/>
    <m/>
    <m/>
    <m/>
  </r>
  <r>
    <d v="2024-08-08T00:00:00"/>
    <d v="1899-12-30T12:14:00"/>
    <s v="Festive Bread 400g"/>
    <n v="1"/>
    <n v="65"/>
    <n v="60"/>
    <n v="5"/>
    <s v="Credit"/>
    <x v="16"/>
    <m/>
    <m/>
    <m/>
  </r>
  <r>
    <d v="2024-08-08T00:00:00"/>
    <d v="1899-12-30T12:14:00"/>
    <m/>
    <m/>
    <m/>
    <m/>
    <m/>
    <m/>
    <x v="2"/>
    <s v="Milly"/>
    <n v="120"/>
    <s v="Cash"/>
  </r>
  <r>
    <d v="2024-08-08T00:00:00"/>
    <d v="1899-12-30T12:46:00"/>
    <s v="Mt kenya milk 500ml"/>
    <n v="2"/>
    <n v="130"/>
    <n v="96.666666666666671"/>
    <n v="33.333333333333329"/>
    <s v="Cash"/>
    <x v="2"/>
    <m/>
    <m/>
    <m/>
  </r>
  <r>
    <d v="2024-08-08T00:00:00"/>
    <d v="1899-12-30T12:55:00"/>
    <s v="soda 2lts"/>
    <n v="1"/>
    <n v="200"/>
    <n v="176.66666666666666"/>
    <n v="23.333333333333343"/>
    <s v="Mpesa"/>
    <x v="2"/>
    <m/>
    <m/>
    <m/>
  </r>
  <r>
    <d v="2024-08-08T00:00:00"/>
    <d v="1899-12-30T13:17:00"/>
    <s v="Airtel 10 Credit"/>
    <n v="1"/>
    <n v="10"/>
    <n v="9"/>
    <n v="1"/>
    <s v="Cash"/>
    <x v="2"/>
    <m/>
    <m/>
    <m/>
  </r>
  <r>
    <d v="2024-08-08T00:00:00"/>
    <d v="1899-12-30T13:17:00"/>
    <s v="Safaricom 50 Credit"/>
    <n v="1"/>
    <n v="50"/>
    <n v="47"/>
    <n v="3"/>
    <s v="Cash"/>
    <x v="2"/>
    <m/>
    <m/>
    <m/>
  </r>
  <r>
    <d v="2024-08-08T00:00:00"/>
    <d v="1899-12-30T13:17:00"/>
    <s v="Safaricom 20 Credit"/>
    <n v="2"/>
    <n v="40"/>
    <n v="36"/>
    <n v="4"/>
    <s v="Cash"/>
    <x v="2"/>
    <m/>
    <m/>
    <m/>
  </r>
  <r>
    <d v="2024-08-08T00:00:00"/>
    <d v="1899-12-30T13:21:00"/>
    <s v="Sportsman"/>
    <n v="2"/>
    <n v="40"/>
    <n v="26"/>
    <n v="14"/>
    <s v="Cash"/>
    <x v="2"/>
    <m/>
    <m/>
    <m/>
  </r>
  <r>
    <d v="2024-08-08T00:00:00"/>
    <d v="1899-12-30T13:21:00"/>
    <s v="Ginger Bisquit"/>
    <n v="2"/>
    <n v="10"/>
    <n v="8.6666666666666661"/>
    <n v="1.3333333333333339"/>
    <s v="Cash"/>
    <x v="2"/>
    <m/>
    <m/>
    <m/>
  </r>
  <r>
    <d v="2024-08-08T00:00:00"/>
    <d v="1899-12-30T13:21:00"/>
    <s v="soda 300ml glass"/>
    <n v="1"/>
    <n v="40"/>
    <n v="32.5"/>
    <n v="7.5"/>
    <s v="Cash"/>
    <x v="2"/>
    <m/>
    <m/>
    <m/>
  </r>
  <r>
    <d v="2024-08-08T00:00:00"/>
    <d v="1899-12-30T13:30:00"/>
    <s v="predator"/>
    <n v="1"/>
    <n v="70"/>
    <n v="54.166666666666664"/>
    <n v="15.833333333333336"/>
    <s v="Credit"/>
    <x v="19"/>
    <m/>
    <m/>
    <m/>
  </r>
  <r>
    <d v="2024-08-08T00:00:00"/>
    <d v="1899-12-30T13:30:00"/>
    <s v="Peanut Cookies"/>
    <n v="1"/>
    <n v="35"/>
    <n v="25"/>
    <n v="10"/>
    <s v="Credit"/>
    <x v="19"/>
    <m/>
    <m/>
    <m/>
  </r>
  <r>
    <d v="2024-08-08T00:00:00"/>
    <d v="1899-12-30T13:33:00"/>
    <s v="Mt Kenya milk 200ml"/>
    <n v="1"/>
    <n v="35"/>
    <n v="24.285714285714285"/>
    <n v="10.714285714285715"/>
    <s v="Cash"/>
    <x v="2"/>
    <m/>
    <m/>
    <m/>
  </r>
  <r>
    <d v="2024-08-08T00:00:00"/>
    <d v="1899-12-30T13:33:00"/>
    <s v="Maramoja"/>
    <n v="2"/>
    <n v="20"/>
    <n v="14"/>
    <n v="6"/>
    <s v="Cash"/>
    <x v="2"/>
    <m/>
    <m/>
    <m/>
  </r>
  <r>
    <d v="2024-08-08T00:00:00"/>
    <d v="1899-12-30T13:37:00"/>
    <s v="Maramoja"/>
    <n v="1"/>
    <n v="10"/>
    <n v="7"/>
    <n v="3"/>
    <m/>
    <x v="2"/>
    <m/>
    <m/>
    <m/>
  </r>
  <r>
    <d v="2024-08-08T00:00:00"/>
    <d v="1899-12-30T13:37:00"/>
    <s v="Royco cubes"/>
    <n v="2"/>
    <n v="10"/>
    <n v="6"/>
    <n v="4"/>
    <m/>
    <x v="2"/>
    <m/>
    <m/>
    <m/>
  </r>
  <r>
    <d v="2024-08-08T00:00:00"/>
    <d v="1899-12-30T13:42:00"/>
    <m/>
    <m/>
    <m/>
    <m/>
    <m/>
    <m/>
    <x v="2"/>
    <s v="Tracy"/>
    <n v="290"/>
    <s v="Mpesa"/>
  </r>
  <r>
    <d v="2024-08-08T00:00:00"/>
    <d v="1899-12-30T14:02:00"/>
    <s v="Indomie beef"/>
    <n v="1"/>
    <n v="50"/>
    <n v="38"/>
    <n v="12"/>
    <s v="Mpesa"/>
    <x v="2"/>
    <m/>
    <m/>
    <m/>
  </r>
  <r>
    <d v="2024-08-08T00:00:00"/>
    <d v="1899-12-30T14:02:00"/>
    <s v="Indomie chicken"/>
    <n v="2"/>
    <n v="100"/>
    <n v="75"/>
    <n v="25"/>
    <s v="Mpesa"/>
    <x v="2"/>
    <m/>
    <m/>
    <m/>
  </r>
  <r>
    <d v="2024-08-08T00:00:00"/>
    <d v="1899-12-30T14:03:00"/>
    <s v="Indomie chicken"/>
    <n v="1"/>
    <n v="50"/>
    <n v="37.5"/>
    <n v="12.5"/>
    <s v="Mpesa"/>
    <x v="2"/>
    <m/>
    <m/>
    <m/>
  </r>
  <r>
    <d v="2024-08-08T00:00:00"/>
    <d v="1899-12-30T14:29:00"/>
    <s v="Festive 600g"/>
    <n v="1"/>
    <n v="100"/>
    <n v="90"/>
    <n v="10"/>
    <s v="Mpesa"/>
    <x v="2"/>
    <m/>
    <m/>
    <m/>
  </r>
  <r>
    <d v="2024-08-08T00:00:00"/>
    <d v="1899-12-30T15:16:00"/>
    <s v="Indomie chicken"/>
    <n v="1"/>
    <n v="50"/>
    <n v="37.5"/>
    <n v="12.5"/>
    <s v="Cash"/>
    <x v="2"/>
    <m/>
    <m/>
    <m/>
  </r>
  <r>
    <d v="2024-08-08T00:00:00"/>
    <d v="1899-12-30T15:44:00"/>
    <m/>
    <m/>
    <m/>
    <m/>
    <m/>
    <m/>
    <x v="2"/>
    <s v="Mwende"/>
    <n v="90"/>
    <s v="Mpesa"/>
  </r>
  <r>
    <d v="2024-08-08T00:00:00"/>
    <d v="1899-12-30T16:02:00"/>
    <s v="Hanaan Tissue"/>
    <n v="2"/>
    <n v="100"/>
    <n v="86"/>
    <n v="14"/>
    <s v="Mpesa"/>
    <x v="2"/>
    <m/>
    <m/>
    <m/>
  </r>
  <r>
    <d v="2024-08-08T00:00:00"/>
    <d v="1899-12-30T16:06:00"/>
    <s v="soda 2lts"/>
    <n v="1"/>
    <n v="200"/>
    <n v="176.66666666666666"/>
    <n v="23.333333333333343"/>
    <s v="Cash"/>
    <x v="2"/>
    <m/>
    <m/>
    <m/>
  </r>
  <r>
    <d v="2024-08-08T00:00:00"/>
    <d v="1899-12-30T16:23:00"/>
    <s v="coo"/>
    <n v="8"/>
    <n v="20"/>
    <n v="9.6"/>
    <n v="10.4"/>
    <s v="Cash"/>
    <x v="2"/>
    <m/>
    <m/>
    <m/>
  </r>
  <r>
    <d v="2024-08-08T00:00:00"/>
    <d v="1899-12-30T16:19:00"/>
    <m/>
    <m/>
    <m/>
    <m/>
    <m/>
    <m/>
    <x v="2"/>
    <s v="Irene"/>
    <n v="355"/>
    <s v="Mpesa"/>
  </r>
  <r>
    <d v="2024-08-08T00:00:00"/>
    <d v="1899-12-30T17:37:00"/>
    <s v="Nail cutter"/>
    <n v="1"/>
    <n v="40"/>
    <n v="30"/>
    <n v="10"/>
    <s v="Mpesa"/>
    <x v="2"/>
    <m/>
    <m/>
    <m/>
  </r>
  <r>
    <d v="2024-08-08T00:00:00"/>
    <d v="1899-12-30T17:37:00"/>
    <s v="Tropical"/>
    <n v="2"/>
    <n v="10"/>
    <n v="3"/>
    <n v="7"/>
    <s v="Mpesa"/>
    <x v="2"/>
    <m/>
    <m/>
    <m/>
  </r>
  <r>
    <d v="2024-08-08T00:00:00"/>
    <d v="1899-12-30T18:14:00"/>
    <s v="Magadi"/>
    <n v="1"/>
    <n v="5"/>
    <n v="3"/>
    <n v="2"/>
    <s v="Credit"/>
    <x v="1"/>
    <m/>
    <m/>
    <m/>
  </r>
  <r>
    <d v="2024-08-08T00:00:00"/>
    <d v="1899-12-30T18:15:00"/>
    <s v="soda 500ml glass"/>
    <n v="1"/>
    <n v="55"/>
    <n v="50"/>
    <n v="5"/>
    <s v="Cash"/>
    <x v="2"/>
    <m/>
    <m/>
    <m/>
  </r>
  <r>
    <d v="2024-08-08T00:00:00"/>
    <d v="1899-12-30T18:42:00"/>
    <s v="Bigdaddy"/>
    <n v="1"/>
    <n v="10"/>
    <n v="6"/>
    <n v="4"/>
    <s v="Cash"/>
    <x v="2"/>
    <m/>
    <m/>
    <m/>
  </r>
  <r>
    <d v="2024-08-08T00:00:00"/>
    <d v="1899-12-30T18:52:00"/>
    <s v="Menengai Bar 1kg"/>
    <n v="0.2"/>
    <n v="50"/>
    <n v="38"/>
    <n v="12"/>
    <s v="Credit"/>
    <x v="19"/>
    <m/>
    <m/>
    <m/>
  </r>
  <r>
    <d v="2024-08-08T00:00:00"/>
    <d v="1899-12-30T18:52:00"/>
    <s v="Onion"/>
    <n v="1"/>
    <n v="10"/>
    <n v="8"/>
    <n v="2"/>
    <s v="Credit"/>
    <x v="19"/>
    <m/>
    <m/>
    <m/>
  </r>
  <r>
    <d v="2024-08-08T00:00:00"/>
    <d v="1899-12-30T18:50:00"/>
    <s v="BB Bread 400g"/>
    <n v="1"/>
    <n v="65"/>
    <n v="60"/>
    <n v="5"/>
    <s v="Mpesa"/>
    <x v="2"/>
    <m/>
    <m/>
    <m/>
  </r>
  <r>
    <d v="2024-08-08T00:00:00"/>
    <d v="1899-12-30T18:50:00"/>
    <s v="Festive Bread 400g"/>
    <n v="1"/>
    <n v="65"/>
    <n v="60"/>
    <n v="5"/>
    <s v="Mpesa"/>
    <x v="2"/>
    <m/>
    <m/>
    <m/>
  </r>
  <r>
    <d v="2024-08-08T00:00:00"/>
    <d v="1899-12-30T18:50:00"/>
    <s v="Bella Tissue"/>
    <n v="1"/>
    <n v="45"/>
    <n v="35"/>
    <n v="10"/>
    <s v="Mpesa"/>
    <x v="2"/>
    <m/>
    <m/>
    <m/>
  </r>
  <r>
    <d v="2024-08-08T00:00:00"/>
    <d v="1899-12-30T18:50:00"/>
    <m/>
    <m/>
    <m/>
    <m/>
    <m/>
    <m/>
    <x v="2"/>
    <s v="Pauline"/>
    <n v="50"/>
    <s v="Mpesa"/>
  </r>
  <r>
    <d v="2024-08-08T00:00:00"/>
    <d v="1899-12-30T19:24:00"/>
    <s v="Ring Cake"/>
    <n v="2"/>
    <n v="100"/>
    <n v="90"/>
    <n v="10"/>
    <s v="Mpesa"/>
    <x v="2"/>
    <m/>
    <m/>
    <m/>
  </r>
  <r>
    <d v="2024-08-08T00:00:00"/>
    <d v="1899-12-30T19:24:00"/>
    <s v="Kienyeji  Eggs"/>
    <n v="30"/>
    <n v="900"/>
    <n v="600"/>
    <n v="300"/>
    <s v="Mpesa"/>
    <x v="2"/>
    <m/>
    <m/>
    <m/>
  </r>
  <r>
    <d v="2024-08-08T00:00:00"/>
    <d v="1899-12-30T19:25:00"/>
    <s v="Mt kenya milk 500ml"/>
    <n v="1"/>
    <n v="65"/>
    <n v="48.333333333333336"/>
    <n v="16.666666666666664"/>
    <s v="Credit"/>
    <x v="1"/>
    <m/>
    <m/>
    <m/>
  </r>
  <r>
    <d v="2024-08-08T00:00:00"/>
    <d v="1899-12-30T19:50:00"/>
    <s v="kensalt 500g"/>
    <n v="1"/>
    <n v="25"/>
    <n v="14"/>
    <n v="11"/>
    <s v="Cash"/>
    <x v="2"/>
    <m/>
    <m/>
    <m/>
  </r>
  <r>
    <d v="2024-08-08T00:00:00"/>
    <d v="1899-12-30T20:30:00"/>
    <s v="Chapa Mandashi"/>
    <n v="1"/>
    <n v="40"/>
    <n v="26.666666666666668"/>
    <n v="13.333333333333332"/>
    <s v="Credit"/>
    <x v="16"/>
    <m/>
    <m/>
    <m/>
  </r>
  <r>
    <d v="2024-08-08T00:00:00"/>
    <d v="1899-12-30T20:30:00"/>
    <s v="Mt kenya milk 500ml"/>
    <n v="1"/>
    <n v="65"/>
    <n v="48.333333333333336"/>
    <n v="16.666666666666664"/>
    <s v="Credit"/>
    <x v="16"/>
    <m/>
    <m/>
    <m/>
  </r>
  <r>
    <d v="2024-08-08T00:00:00"/>
    <d v="1899-12-30T20:30:00"/>
    <s v="Mt Kenya milk 200ml"/>
    <n v="1"/>
    <n v="35"/>
    <n v="24.285714285714285"/>
    <n v="10.714285714285715"/>
    <s v="Credit"/>
    <x v="16"/>
    <m/>
    <m/>
    <m/>
  </r>
  <r>
    <d v="2024-08-08T00:00:00"/>
    <d v="1899-12-30T20:40:00"/>
    <s v="Tomatoes"/>
    <n v="3"/>
    <n v="30"/>
    <n v="15"/>
    <n v="15"/>
    <s v="Credit"/>
    <x v="3"/>
    <m/>
    <m/>
    <m/>
  </r>
  <r>
    <d v="2024-08-08T00:00:00"/>
    <d v="1899-12-30T20:40:00"/>
    <s v="Kinangop Fresh Milk 500ml"/>
    <n v="2"/>
    <n v="120"/>
    <n v="110"/>
    <n v="10"/>
    <s v="Credit"/>
    <x v="3"/>
    <m/>
    <m/>
    <m/>
  </r>
  <r>
    <d v="2024-08-08T00:00:00"/>
    <d v="1899-12-30T20:40:00"/>
    <s v="BB Bread 400g"/>
    <n v="1"/>
    <n v="65"/>
    <n v="60"/>
    <n v="5"/>
    <s v="Credit"/>
    <x v="3"/>
    <m/>
    <m/>
    <m/>
  </r>
  <r>
    <d v="2024-08-08T00:00:00"/>
    <d v="1899-12-30T20:40:00"/>
    <s v="Gumballs"/>
    <n v="5"/>
    <n v="5"/>
    <n v="3.5"/>
    <n v="1.5"/>
    <s v="Credit"/>
    <x v="3"/>
    <m/>
    <m/>
    <m/>
  </r>
  <r>
    <d v="2024-08-09T00:00:00"/>
    <d v="1899-12-30T08:30:00"/>
    <s v="Festive Bread 400g"/>
    <n v="1"/>
    <n v="65"/>
    <n v="60"/>
    <n v="5"/>
    <s v="Credit"/>
    <x v="1"/>
    <m/>
    <m/>
    <m/>
  </r>
  <r>
    <d v="2024-08-09T00:00:00"/>
    <d v="1899-12-30T08:30:00"/>
    <s v="Mt kenya milk 500ml"/>
    <n v="1"/>
    <n v="65"/>
    <n v="48.333333333333336"/>
    <n v="16.666666666666664"/>
    <s v="Credit"/>
    <x v="1"/>
    <m/>
    <m/>
    <m/>
  </r>
  <r>
    <d v="2024-08-09T00:00:00"/>
    <d v="1899-12-30T08:30:00"/>
    <s v="Fahari Tea 15g"/>
    <n v="1"/>
    <n v="15"/>
    <n v="9.1666666666666661"/>
    <n v="5.8333333333333339"/>
    <s v="Credit"/>
    <x v="1"/>
    <m/>
    <m/>
    <m/>
  </r>
  <r>
    <d v="2024-08-09T00:00:00"/>
    <d v="1899-12-30T08:30:00"/>
    <s v="Kamande"/>
    <n v="0.25"/>
    <n v="87.5"/>
    <n v="75"/>
    <n v="12.5"/>
    <s v="Credit"/>
    <x v="1"/>
    <m/>
    <m/>
    <m/>
  </r>
  <r>
    <d v="2024-08-09T00:00:00"/>
    <d v="1899-12-30T08:30:00"/>
    <s v="Pishori rice"/>
    <n v="0.5"/>
    <n v="110"/>
    <n v="90"/>
    <n v="20"/>
    <s v="Credit"/>
    <x v="1"/>
    <m/>
    <m/>
    <m/>
  </r>
  <r>
    <d v="2024-08-09T00:00:00"/>
    <d v="1899-12-30T08:39:00"/>
    <s v="Medium Colgate Toothbrush"/>
    <n v="1"/>
    <n v="40"/>
    <n v="25"/>
    <n v="15"/>
    <s v="Cash"/>
    <x v="2"/>
    <m/>
    <m/>
    <m/>
  </r>
  <r>
    <d v="2024-08-09T00:00:00"/>
    <d v="1899-12-30T08:39:00"/>
    <s v="scooter cans"/>
    <n v="1"/>
    <n v="20"/>
    <n v="15"/>
    <n v="5"/>
    <s v="Cash"/>
    <x v="2"/>
    <m/>
    <m/>
    <m/>
  </r>
  <r>
    <d v="2024-08-09T00:00:00"/>
    <d v="1899-12-30T09:18:00"/>
    <s v="Mt Kenya milk 200ml"/>
    <n v="1"/>
    <n v="35"/>
    <n v="24.285714285714285"/>
    <n v="10.714285714285715"/>
    <s v="Cash"/>
    <x v="2"/>
    <m/>
    <m/>
    <m/>
  </r>
  <r>
    <d v="2024-08-09T00:00:00"/>
    <d v="1899-12-30T09:18:00"/>
    <s v="Nuvita Bisquit"/>
    <n v="1"/>
    <n v="5"/>
    <n v="4.166666666666667"/>
    <n v="0.83333333333333304"/>
    <s v="Cash"/>
    <x v="2"/>
    <m/>
    <m/>
    <m/>
  </r>
  <r>
    <d v="2024-08-09T00:00:00"/>
    <d v="1899-12-30T09:19:00"/>
    <s v="kinangop250g youghurt"/>
    <n v="1"/>
    <n v="60"/>
    <n v="48.333333333333336"/>
    <n v="11.666666666666664"/>
    <s v="Cash"/>
    <x v="2"/>
    <m/>
    <m/>
    <m/>
  </r>
  <r>
    <d v="2024-08-09T00:00:00"/>
    <d v="1899-12-30T09:30:00"/>
    <s v="BB Bread 200g"/>
    <n v="1"/>
    <n v="40"/>
    <n v="35"/>
    <n v="5"/>
    <s v="Cash"/>
    <x v="2"/>
    <m/>
    <m/>
    <m/>
  </r>
  <r>
    <d v="2024-08-09T00:00:00"/>
    <d v="1899-12-30T09:36:00"/>
    <s v="Chapa Mandashi"/>
    <n v="1"/>
    <n v="40"/>
    <n v="26.666666666666668"/>
    <n v="13.333333333333332"/>
    <s v="Credit"/>
    <x v="10"/>
    <m/>
    <m/>
    <m/>
  </r>
  <r>
    <d v="2024-08-09T00:00:00"/>
    <d v="1899-12-30T10:03:00"/>
    <s v="Ajab 1kg"/>
    <n v="1"/>
    <n v="120"/>
    <n v="87.5"/>
    <n v="32.5"/>
    <s v="Mpesa"/>
    <x v="2"/>
    <m/>
    <m/>
    <m/>
  </r>
  <r>
    <d v="2024-08-09T00:00:00"/>
    <d v="1899-12-30T10:03:00"/>
    <s v="eggs"/>
    <n v="2"/>
    <n v="40"/>
    <n v="28.666666666666668"/>
    <n v="11.333333333333332"/>
    <s v="Mpesa"/>
    <x v="2"/>
    <m/>
    <m/>
    <m/>
  </r>
  <r>
    <d v="2024-08-09T00:00:00"/>
    <d v="1899-12-30T10:11:00"/>
    <s v="Softcare diapers"/>
    <n v="1"/>
    <n v="20"/>
    <n v="15.5"/>
    <n v="4.5"/>
    <s v="Credit"/>
    <x v="36"/>
    <s v="new customer"/>
    <n v="100"/>
    <s v="Cash"/>
  </r>
  <r>
    <d v="2024-08-09T00:00:00"/>
    <d v="1899-12-30T10:11:00"/>
    <s v="Brookside milk 500ml"/>
    <n v="1"/>
    <n v="70"/>
    <n v="59"/>
    <n v="11"/>
    <s v="Credit"/>
    <x v="36"/>
    <s v="new customer"/>
    <n v="75"/>
    <s v="Mpesa"/>
  </r>
  <r>
    <d v="2024-08-09T00:00:00"/>
    <d v="1899-12-30T10:11:00"/>
    <s v="Festive Bread 400g"/>
    <n v="1"/>
    <n v="65"/>
    <n v="60"/>
    <n v="5"/>
    <s v="Credit"/>
    <x v="36"/>
    <m/>
    <m/>
    <m/>
  </r>
  <r>
    <d v="2024-08-09T00:00:00"/>
    <d v="1899-12-30T10:16:00"/>
    <s v="Softcare pads"/>
    <n v="1"/>
    <n v="85"/>
    <n v="66"/>
    <n v="19"/>
    <s v="Cash"/>
    <x v="2"/>
    <m/>
    <m/>
    <m/>
  </r>
  <r>
    <d v="2024-08-09T00:00:00"/>
    <d v="1899-12-30T10:16:00"/>
    <s v="Gomba"/>
    <n v="1"/>
    <n v="2.5"/>
    <n v="1.8"/>
    <n v="0.7"/>
    <s v="Cash"/>
    <x v="2"/>
    <m/>
    <m/>
    <m/>
  </r>
  <r>
    <d v="2024-08-09T00:00:00"/>
    <d v="1899-12-30T10:16:00"/>
    <s v="Airtel 10 Credit"/>
    <n v="1"/>
    <n v="10"/>
    <n v="9"/>
    <n v="1"/>
    <s v="Cash"/>
    <x v="2"/>
    <m/>
    <m/>
    <m/>
  </r>
  <r>
    <d v="2024-08-09T00:00:00"/>
    <d v="1899-12-30T10:45:00"/>
    <s v="Nuvita Bisquit"/>
    <n v="4"/>
    <n v="20"/>
    <n v="16.666666666666668"/>
    <n v="3.3333333333333321"/>
    <s v="Cash"/>
    <x v="2"/>
    <m/>
    <m/>
    <m/>
  </r>
  <r>
    <d v="2024-08-09T00:00:00"/>
    <d v="1899-12-30T10:50:00"/>
    <s v="eggs"/>
    <n v="10"/>
    <n v="200"/>
    <n v="143.33333333333334"/>
    <n v="56.666666666666657"/>
    <s v="Credit"/>
    <x v="21"/>
    <m/>
    <m/>
    <m/>
  </r>
  <r>
    <d v="2024-08-09T00:00:00"/>
    <d v="1899-12-30T10:50:00"/>
    <s v="Onion"/>
    <n v="5"/>
    <n v="50"/>
    <n v="40"/>
    <n v="10"/>
    <s v="Credit"/>
    <x v="21"/>
    <m/>
    <m/>
    <m/>
  </r>
  <r>
    <d v="2024-08-09T00:00:00"/>
    <d v="1899-12-30T10:50:00"/>
    <s v="Tomatoes"/>
    <n v="5"/>
    <n v="50"/>
    <n v="25"/>
    <n v="25"/>
    <s v="Credit"/>
    <x v="21"/>
    <m/>
    <m/>
    <m/>
  </r>
  <r>
    <d v="2024-08-09T00:00:00"/>
    <d v="1899-12-30T10:50:00"/>
    <s v="Freshfry"/>
    <n v="1"/>
    <n v="350"/>
    <n v="290"/>
    <n v="60"/>
    <s v="Credit"/>
    <x v="21"/>
    <m/>
    <m/>
    <m/>
  </r>
  <r>
    <d v="2024-08-09T00:00:00"/>
    <d v="1899-12-30T10:50:00"/>
    <s v="Blueband 250g"/>
    <n v="1"/>
    <n v="190"/>
    <n v="140"/>
    <n v="50"/>
    <s v="Credit"/>
    <x v="21"/>
    <m/>
    <m/>
    <m/>
  </r>
  <r>
    <d v="2024-08-09T00:00:00"/>
    <d v="1899-12-30T10:50:00"/>
    <s v="Festive 600g"/>
    <n v="1"/>
    <n v="100"/>
    <n v="90"/>
    <n v="10"/>
    <s v="Credit"/>
    <x v="21"/>
    <m/>
    <m/>
    <m/>
  </r>
  <r>
    <d v="2024-08-09T00:00:00"/>
    <d v="1899-12-30T10:50:00"/>
    <s v="soda 500ml glass"/>
    <n v="1"/>
    <n v="55"/>
    <n v="50"/>
    <n v="5"/>
    <s v="Credit"/>
    <x v="21"/>
    <m/>
    <m/>
    <m/>
  </r>
  <r>
    <d v="2024-08-09T00:00:00"/>
    <d v="1899-12-30T10:50:00"/>
    <s v="Milo"/>
    <n v="2"/>
    <n v="40"/>
    <n v="35.833333333333336"/>
    <n v="4.1666666666666643"/>
    <s v="Credit"/>
    <x v="21"/>
    <m/>
    <m/>
    <m/>
  </r>
  <r>
    <d v="2024-08-09T00:00:00"/>
    <d v="1899-12-30T10:50:00"/>
    <s v="Nescafe 1.5g"/>
    <n v="3"/>
    <n v="45"/>
    <n v="27.5"/>
    <n v="17.5"/>
    <s v="Credit"/>
    <x v="21"/>
    <m/>
    <m/>
    <m/>
  </r>
  <r>
    <d v="2024-08-09T00:00:00"/>
    <d v="1899-12-30T10:50:00"/>
    <s v="Toss 100g"/>
    <n v="1"/>
    <n v="60"/>
    <n v="36.666666666666664"/>
    <n v="23.333333333333336"/>
    <s v="Credit"/>
    <x v="21"/>
    <m/>
    <m/>
    <m/>
  </r>
  <r>
    <d v="2024-08-09T00:00:00"/>
    <d v="1899-12-30T10:50:00"/>
    <s v="ariel 75g"/>
    <n v="2"/>
    <n v="70"/>
    <n v="55"/>
    <n v="15"/>
    <s v="Credit"/>
    <x v="21"/>
    <m/>
    <m/>
    <m/>
  </r>
  <r>
    <d v="2024-08-09T00:00:00"/>
    <d v="1899-12-30T10:50:00"/>
    <s v="Tukuza 1kg"/>
    <n v="2"/>
    <n v="180"/>
    <n v="122.5"/>
    <n v="57.5"/>
    <s v="Credit"/>
    <x v="21"/>
    <m/>
    <m/>
    <m/>
  </r>
  <r>
    <d v="2024-08-09T00:00:00"/>
    <d v="1899-12-30T10:50:00"/>
    <s v="Indomie chicken"/>
    <n v="2"/>
    <n v="100"/>
    <n v="75"/>
    <n v="25"/>
    <s v="Credit"/>
    <x v="21"/>
    <m/>
    <m/>
    <m/>
  </r>
  <r>
    <d v="2024-08-09T00:00:00"/>
    <d v="1899-12-30T10:50:00"/>
    <s v="kabras sugar 1kg"/>
    <n v="1"/>
    <n v="180"/>
    <n v="140"/>
    <n v="40"/>
    <s v="Credit"/>
    <x v="21"/>
    <m/>
    <m/>
    <m/>
  </r>
  <r>
    <d v="2024-08-09T00:00:00"/>
    <d v="1899-12-30T10:50:00"/>
    <s v="Kinangop Fresh Milk 500ml"/>
    <n v="1"/>
    <n v="60"/>
    <n v="55"/>
    <n v="5"/>
    <s v="Credit"/>
    <x v="21"/>
    <m/>
    <m/>
    <m/>
  </r>
  <r>
    <d v="2024-08-09T00:00:00"/>
    <d v="1899-12-30T10:50:00"/>
    <s v="Colgate 35g"/>
    <n v="1"/>
    <n v="80"/>
    <n v="62.5"/>
    <n v="17.5"/>
    <s v="Credit"/>
    <x v="21"/>
    <m/>
    <m/>
    <m/>
  </r>
  <r>
    <d v="2024-08-09T00:00:00"/>
    <d v="1899-12-30T10:50:00"/>
    <s v="Hanaan Tissue"/>
    <n v="2"/>
    <n v="100"/>
    <n v="86"/>
    <n v="14"/>
    <s v="Credit"/>
    <x v="21"/>
    <m/>
    <m/>
    <m/>
  </r>
  <r>
    <d v="2024-08-09T00:00:00"/>
    <d v="1899-12-30T10:50:00"/>
    <s v="Peanut Cookies"/>
    <n v="1"/>
    <n v="35"/>
    <n v="25"/>
    <n v="10"/>
    <s v="Credit"/>
    <x v="21"/>
    <m/>
    <m/>
    <m/>
  </r>
  <r>
    <d v="2024-08-09T00:00:00"/>
    <d v="1899-12-30T10:50:00"/>
    <s v="Choc-chip Cookies"/>
    <n v="1"/>
    <n v="35"/>
    <n v="25"/>
    <n v="10"/>
    <s v="Credit"/>
    <x v="21"/>
    <m/>
    <m/>
    <m/>
  </r>
  <r>
    <d v="2024-08-09T00:00:00"/>
    <d v="1899-12-30T10:50:00"/>
    <s v="waru"/>
    <n v="1"/>
    <n v="50"/>
    <n v="29.999999999999996"/>
    <n v="20.000000000000004"/>
    <s v="Credit"/>
    <x v="21"/>
    <m/>
    <m/>
    <m/>
  </r>
  <r>
    <d v="2024-08-09T00:00:00"/>
    <d v="1899-12-30T11:02:00"/>
    <s v="Menengai Bar 1kg"/>
    <n v="0.2"/>
    <n v="50"/>
    <n v="38"/>
    <n v="12"/>
    <s v="Cash"/>
    <x v="2"/>
    <m/>
    <m/>
    <m/>
  </r>
  <r>
    <d v="2024-08-09T00:00:00"/>
    <d v="1899-12-30T10:41:00"/>
    <s v="Peanut Cookies"/>
    <n v="2"/>
    <n v="70"/>
    <n v="50"/>
    <n v="20"/>
    <s v="Credit"/>
    <x v="19"/>
    <s v="Titus"/>
    <n v="60"/>
    <s v="Mpesa"/>
  </r>
  <r>
    <d v="2024-08-09T00:00:00"/>
    <d v="1899-12-30T11:17:00"/>
    <s v="minutemaid 400ml"/>
    <n v="2"/>
    <n v="170"/>
    <n v="125"/>
    <n v="45"/>
    <s v="Mpesa"/>
    <x v="2"/>
    <m/>
    <m/>
    <m/>
  </r>
  <r>
    <d v="2024-08-09T00:00:00"/>
    <d v="1899-12-30T11:20:00"/>
    <s v="Vaseline"/>
    <n v="1"/>
    <n v="40"/>
    <n v="30"/>
    <n v="10"/>
    <s v="Credit"/>
    <x v="4"/>
    <m/>
    <m/>
    <m/>
  </r>
  <r>
    <d v="2024-08-09T00:00:00"/>
    <d v="1899-12-30T11:20:00"/>
    <s v="Kaluma Pain Balm Big"/>
    <n v="1"/>
    <n v="50"/>
    <n v="37.5"/>
    <n v="12.5"/>
    <s v="Credit"/>
    <x v="4"/>
    <m/>
    <m/>
    <m/>
  </r>
  <r>
    <d v="2024-08-09T00:00:00"/>
    <d v="1899-12-30T11:25:00"/>
    <s v="Sportsman"/>
    <n v="1"/>
    <n v="20"/>
    <n v="13"/>
    <n v="7"/>
    <s v="Cash"/>
    <x v="2"/>
    <m/>
    <m/>
    <m/>
  </r>
  <r>
    <d v="2024-08-09T00:00:00"/>
    <d v="1899-12-30T12:21:00"/>
    <s v="eggs"/>
    <n v="4"/>
    <n v="80"/>
    <n v="57.333333333333336"/>
    <n v="22.666666666666664"/>
    <s v="Credit"/>
    <x v="18"/>
    <m/>
    <m/>
    <m/>
  </r>
  <r>
    <d v="2024-08-09T00:00:00"/>
    <d v="1899-12-30T12:21:00"/>
    <s v="Goodday Cookies"/>
    <n v="1"/>
    <n v="15"/>
    <n v="9.3333333333333339"/>
    <n v="5.6666666666666661"/>
    <s v="Cash"/>
    <x v="2"/>
    <m/>
    <m/>
    <m/>
  </r>
  <r>
    <d v="2024-08-09T00:00:00"/>
    <d v="1899-12-30T12:21:00"/>
    <s v="Lemon Bisquit"/>
    <n v="1"/>
    <n v="5"/>
    <n v="4.333333333333333"/>
    <n v="0.66666666666666696"/>
    <s v="Cash"/>
    <x v="2"/>
    <m/>
    <m/>
    <m/>
  </r>
  <r>
    <d v="2024-08-09T00:00:00"/>
    <d v="1899-12-30T12:38:00"/>
    <s v="soda 300ml glass"/>
    <n v="1"/>
    <n v="40"/>
    <n v="32.5"/>
    <n v="7.5"/>
    <s v="Cash"/>
    <x v="2"/>
    <m/>
    <m/>
    <m/>
  </r>
  <r>
    <d v="2024-08-09T00:00:00"/>
    <d v="1899-12-30T12:38:00"/>
    <s v="Tropical"/>
    <n v="2"/>
    <n v="10"/>
    <n v="3"/>
    <n v="7"/>
    <s v="Cash"/>
    <x v="2"/>
    <m/>
    <m/>
    <m/>
  </r>
  <r>
    <d v="2024-08-09T00:00:00"/>
    <d v="1899-12-30T12:38:00"/>
    <s v="Pencil"/>
    <n v="1"/>
    <n v="10"/>
    <n v="7.5"/>
    <n v="2.5"/>
    <s v="Cash"/>
    <x v="2"/>
    <m/>
    <m/>
    <m/>
  </r>
  <r>
    <d v="2024-08-09T00:00:00"/>
    <d v="1899-12-30T12:38:00"/>
    <s v="Sharpener"/>
    <n v="1"/>
    <n v="15"/>
    <n v="5"/>
    <n v="10"/>
    <s v="Cash"/>
    <x v="2"/>
    <m/>
    <m/>
    <m/>
  </r>
  <r>
    <d v="2024-08-09T00:00:00"/>
    <d v="1899-12-30T12:50:00"/>
    <s v="Nuvita Bisquit"/>
    <n v="1"/>
    <n v="5"/>
    <n v="4.166666666666667"/>
    <n v="0.83333333333333304"/>
    <s v="Cash"/>
    <x v="2"/>
    <m/>
    <m/>
    <m/>
  </r>
  <r>
    <d v="2024-08-09T00:00:00"/>
    <d v="1899-12-30T13:00:00"/>
    <s v="Onion"/>
    <n v="1"/>
    <n v="10"/>
    <n v="8"/>
    <n v="2"/>
    <s v="Credit"/>
    <x v="1"/>
    <m/>
    <m/>
    <m/>
  </r>
  <r>
    <d v="2024-08-09T00:00:00"/>
    <d v="1899-12-30T13:00:00"/>
    <s v="Tomatoes"/>
    <n v="1"/>
    <n v="10"/>
    <n v="5"/>
    <n v="5"/>
    <s v="Credit"/>
    <x v="1"/>
    <m/>
    <m/>
    <m/>
  </r>
  <r>
    <d v="2024-08-09T00:00:00"/>
    <d v="1899-12-30T13:11:00"/>
    <s v="Brookside Lala Natural"/>
    <n v="1"/>
    <n v="100"/>
    <n v="87"/>
    <n v="13"/>
    <s v="Mpesa"/>
    <x v="2"/>
    <m/>
    <m/>
    <m/>
  </r>
  <r>
    <d v="2024-08-09T00:00:00"/>
    <d v="1899-12-30T13:15:00"/>
    <s v="Brookside Lala Natural"/>
    <n v="1"/>
    <n v="100"/>
    <n v="87"/>
    <n v="13"/>
    <s v="Mpesa"/>
    <x v="2"/>
    <m/>
    <m/>
    <m/>
  </r>
  <r>
    <d v="2024-08-09T00:00:00"/>
    <d v="1899-12-30T13:15:00"/>
    <s v="Ring Cake"/>
    <n v="1"/>
    <n v="50"/>
    <n v="45"/>
    <n v="5"/>
    <s v="Mpesa"/>
    <x v="2"/>
    <m/>
    <m/>
    <m/>
  </r>
  <r>
    <d v="2024-08-09T00:00:00"/>
    <d v="1899-12-30T13:18:00"/>
    <s v="minutemaid 400ml"/>
    <n v="1"/>
    <n v="85"/>
    <n v="62.5"/>
    <n v="22.5"/>
    <s v="Mpesa"/>
    <x v="2"/>
    <m/>
    <m/>
    <m/>
  </r>
  <r>
    <d v="2024-08-09T00:00:00"/>
    <d v="1899-12-30T13:18:00"/>
    <s v="Ring Cake"/>
    <n v="1"/>
    <n v="50"/>
    <n v="45"/>
    <n v="5"/>
    <s v="Mpesa"/>
    <x v="2"/>
    <m/>
    <m/>
    <m/>
  </r>
  <r>
    <d v="2024-08-09T00:00:00"/>
    <d v="1899-12-30T13:42:00"/>
    <s v="Indomie chicken"/>
    <n v="2"/>
    <n v="100"/>
    <n v="75"/>
    <n v="25"/>
    <s v="Mpesa"/>
    <x v="2"/>
    <m/>
    <m/>
    <m/>
  </r>
  <r>
    <d v="2024-08-09T00:00:00"/>
    <d v="1899-12-30T13:42:00"/>
    <s v="Ngumu"/>
    <n v="5"/>
    <n v="50"/>
    <n v="41.666666666666671"/>
    <n v="8.3333333333333286"/>
    <s v="Mpesa"/>
    <x v="2"/>
    <m/>
    <m/>
    <m/>
  </r>
  <r>
    <d v="2024-08-09T00:00:00"/>
    <d v="1899-12-30T13:47:00"/>
    <s v="Kinangop Fresh Milk 500ml"/>
    <n v="3"/>
    <n v="180"/>
    <n v="165"/>
    <n v="15"/>
    <s v="Credit"/>
    <x v="36"/>
    <s v="new customer"/>
    <n v="250"/>
    <s v="Cash"/>
  </r>
  <r>
    <d v="2024-08-09T00:00:00"/>
    <d v="1899-12-30T13:47:00"/>
    <s v="soda 500ml glass"/>
    <n v="1"/>
    <n v="55"/>
    <n v="50"/>
    <n v="5"/>
    <s v="Credit"/>
    <x v="36"/>
    <s v="new customer"/>
    <n v="135"/>
    <s v="Mpesa"/>
  </r>
  <r>
    <d v="2024-08-09T00:00:00"/>
    <d v="1899-12-30T13:47:00"/>
    <s v="Festive 800g"/>
    <n v="1"/>
    <n v="130"/>
    <n v="120"/>
    <n v="10"/>
    <s v="Credit"/>
    <x v="36"/>
    <m/>
    <m/>
    <m/>
  </r>
  <r>
    <d v="2024-08-09T00:00:00"/>
    <d v="1899-12-30T13:47:00"/>
    <s v="Ngumu"/>
    <n v="2"/>
    <n v="20"/>
    <n v="16.666666666666668"/>
    <n v="3.3333333333333321"/>
    <s v="Credit"/>
    <x v="36"/>
    <m/>
    <m/>
    <m/>
  </r>
  <r>
    <d v="2024-08-09T00:00:00"/>
    <d v="1899-12-30T13:58:00"/>
    <s v="soda 500ml glass"/>
    <n v="1"/>
    <n v="55"/>
    <n v="50"/>
    <n v="5"/>
    <s v="Mpesa"/>
    <x v="2"/>
    <m/>
    <m/>
    <m/>
  </r>
  <r>
    <d v="2024-08-09T00:00:00"/>
    <d v="1899-12-30T13:58:00"/>
    <s v="Ngumu"/>
    <n v="3"/>
    <n v="30"/>
    <n v="25"/>
    <n v="5"/>
    <s v="Mpesa"/>
    <x v="2"/>
    <m/>
    <m/>
    <m/>
  </r>
  <r>
    <d v="2024-08-09T00:00:00"/>
    <d v="1899-12-30T13:59:00"/>
    <s v="Ngumu"/>
    <n v="2"/>
    <n v="20"/>
    <n v="16.666666666666668"/>
    <n v="3.3333333333333321"/>
    <s v="Cash"/>
    <x v="2"/>
    <m/>
    <m/>
    <m/>
  </r>
  <r>
    <d v="2024-08-09T00:00:00"/>
    <d v="1899-12-30T14:02:00"/>
    <s v="Scones"/>
    <n v="1"/>
    <n v="10"/>
    <n v="8.3333333333333339"/>
    <n v="1.6666666666666661"/>
    <s v="Credit"/>
    <x v="4"/>
    <m/>
    <m/>
    <m/>
  </r>
  <r>
    <d v="2024-08-09T00:00:00"/>
    <d v="1899-12-30T14:02:00"/>
    <s v="Peanut Cookies"/>
    <n v="1"/>
    <n v="35"/>
    <n v="25"/>
    <n v="10"/>
    <s v="Credit"/>
    <x v="4"/>
    <m/>
    <m/>
    <m/>
  </r>
  <r>
    <d v="2024-08-09T00:00:00"/>
    <d v="1899-12-30T14:43:00"/>
    <s v="eggs"/>
    <n v="6"/>
    <n v="120"/>
    <n v="86"/>
    <n v="34"/>
    <s v="Cash"/>
    <x v="2"/>
    <m/>
    <m/>
    <m/>
  </r>
  <r>
    <d v="2024-08-09T00:00:00"/>
    <d v="1899-12-30T14:00:00"/>
    <s v="Mandazi"/>
    <n v="2"/>
    <n v="10"/>
    <n v="8.3333333333333339"/>
    <n v="1.6666666666666661"/>
    <s v="Mpesa"/>
    <x v="2"/>
    <m/>
    <m/>
    <m/>
  </r>
  <r>
    <d v="2024-08-09T00:00:00"/>
    <d v="1899-12-30T14:00:00"/>
    <s v="Kdf"/>
    <n v="1"/>
    <n v="10"/>
    <n v="8.3333333333333339"/>
    <n v="1.6666666666666661"/>
    <s v="Mpesa"/>
    <x v="2"/>
    <m/>
    <m/>
    <m/>
  </r>
  <r>
    <d v="2024-08-09T00:00:00"/>
    <d v="1899-12-30T14:04:00"/>
    <s v="Mt kenya milk 500ml"/>
    <n v="1"/>
    <n v="65"/>
    <n v="48.333333333333336"/>
    <n v="16.666666666666664"/>
    <s v="Mpesa"/>
    <x v="2"/>
    <m/>
    <m/>
    <m/>
  </r>
  <r>
    <d v="2024-08-09T00:00:00"/>
    <d v="1899-12-30T14:04:00"/>
    <s v="soda 500ml glass"/>
    <n v="1"/>
    <n v="55"/>
    <n v="50"/>
    <n v="5"/>
    <s v="Mpesa"/>
    <x v="2"/>
    <m/>
    <m/>
    <m/>
  </r>
  <r>
    <d v="2024-08-09T00:00:00"/>
    <d v="1899-12-30T14:04:00"/>
    <s v="Mandazi"/>
    <n v="2"/>
    <n v="10"/>
    <n v="8.3333333333333339"/>
    <n v="1.6666666666666661"/>
    <s v="Mpesa"/>
    <x v="2"/>
    <m/>
    <m/>
    <m/>
  </r>
  <r>
    <d v="2024-08-09T00:00:00"/>
    <d v="1899-12-30T14:05:00"/>
    <s v="Ngumu"/>
    <n v="5"/>
    <n v="50"/>
    <n v="41.666666666666671"/>
    <n v="8.3333333333333286"/>
    <s v="Mpesa"/>
    <x v="2"/>
    <m/>
    <m/>
    <m/>
  </r>
  <r>
    <d v="2024-08-09T00:00:00"/>
    <d v="1899-12-30T15:17:00"/>
    <s v="Ngumu"/>
    <n v="1"/>
    <n v="10"/>
    <n v="8.3333333333333339"/>
    <n v="1.6666666666666661"/>
    <s v="Cash"/>
    <x v="2"/>
    <m/>
    <m/>
    <m/>
  </r>
  <r>
    <d v="2024-08-09T00:00:00"/>
    <d v="1899-12-30T15:32:00"/>
    <s v="Ngumu"/>
    <n v="4"/>
    <n v="40"/>
    <n v="33.333333333333336"/>
    <n v="6.6666666666666643"/>
    <s v="Cash"/>
    <x v="2"/>
    <m/>
    <m/>
    <m/>
  </r>
  <r>
    <d v="2024-08-09T00:00:00"/>
    <d v="1899-12-30T15:32:00"/>
    <s v="Indomie beef"/>
    <n v="1"/>
    <n v="50"/>
    <n v="38"/>
    <n v="12"/>
    <s v="Cash"/>
    <x v="2"/>
    <m/>
    <m/>
    <m/>
  </r>
  <r>
    <d v="2024-08-09T00:00:00"/>
    <d v="1899-12-30T16:07:00"/>
    <s v="Eno"/>
    <n v="2"/>
    <n v="40"/>
    <n v="22"/>
    <n v="18"/>
    <s v="Cash"/>
    <x v="2"/>
    <m/>
    <m/>
    <m/>
  </r>
  <r>
    <d v="2024-08-09T00:00:00"/>
    <d v="1899-12-30T16:23:00"/>
    <s v="Banana"/>
    <n v="2"/>
    <n v="20"/>
    <n v="16.666666666666668"/>
    <n v="3.3333333333333321"/>
    <s v="Cash"/>
    <x v="2"/>
    <m/>
    <m/>
    <m/>
  </r>
  <r>
    <d v="2024-08-09T00:00:00"/>
    <d v="1899-12-30T17:44:00"/>
    <s v="funtime snacks"/>
    <n v="1"/>
    <n v="15"/>
    <n v="9"/>
    <n v="6"/>
    <s v="Mpesa"/>
    <x v="2"/>
    <m/>
    <m/>
    <m/>
  </r>
  <r>
    <d v="2024-08-09T00:00:00"/>
    <d v="1899-12-30T17:44:00"/>
    <s v="Ringoz Paprika"/>
    <n v="1"/>
    <n v="15"/>
    <n v="8.8000000000000007"/>
    <n v="6.1999999999999993"/>
    <s v="Mpesa"/>
    <x v="2"/>
    <m/>
    <m/>
    <m/>
  </r>
  <r>
    <d v="2024-08-09T00:00:00"/>
    <d v="1899-12-30T17:44:00"/>
    <s v="Tamu  Tamu Green"/>
    <n v="1"/>
    <n v="15"/>
    <n v="8.6"/>
    <n v="6.4"/>
    <s v="Mpesa"/>
    <x v="2"/>
    <m/>
    <m/>
    <m/>
  </r>
  <r>
    <d v="2024-08-09T00:00:00"/>
    <d v="1899-12-30T17:44:00"/>
    <s v="Gomba"/>
    <n v="2"/>
    <n v="5"/>
    <n v="3.6"/>
    <n v="1.4"/>
    <s v="Mpesa"/>
    <x v="2"/>
    <m/>
    <m/>
    <m/>
  </r>
  <r>
    <d v="2024-08-09T00:00:00"/>
    <d v="1899-12-30T18:06:00"/>
    <s v="Mt kenya milk 500ml"/>
    <n v="1"/>
    <n v="65"/>
    <n v="48.333333333333336"/>
    <n v="16.666666666666664"/>
    <s v="Mpesa"/>
    <x v="2"/>
    <s v="Mum Worship"/>
    <n v="20"/>
    <s v="Mpesa"/>
  </r>
  <r>
    <d v="2024-08-09T00:00:00"/>
    <d v="1899-12-30T18:06:00"/>
    <s v="Royco cubes"/>
    <n v="6"/>
    <n v="30"/>
    <n v="18"/>
    <n v="12"/>
    <s v="Mpesa"/>
    <x v="2"/>
    <m/>
    <m/>
    <m/>
  </r>
  <r>
    <d v="2024-08-09T00:00:00"/>
    <d v="1899-12-30T18:38:00"/>
    <s v="kinangop250g youghurt"/>
    <n v="1"/>
    <n v="60"/>
    <n v="48.333333333333336"/>
    <n v="11.666666666666664"/>
    <s v="Mpesa"/>
    <x v="2"/>
    <m/>
    <m/>
    <m/>
  </r>
  <r>
    <d v="2024-08-09T00:00:00"/>
    <d v="1899-12-30T18:43:00"/>
    <s v="coo"/>
    <n v="8"/>
    <n v="20"/>
    <n v="9.6"/>
    <n v="10.4"/>
    <s v="Cash"/>
    <x v="2"/>
    <m/>
    <m/>
    <m/>
  </r>
  <r>
    <d v="2024-08-09T00:00:00"/>
    <d v="1899-12-30T18:43:00"/>
    <s v="predator"/>
    <n v="1"/>
    <n v="70"/>
    <n v="54.166666666666664"/>
    <n v="15.833333333333336"/>
    <s v="Cash"/>
    <x v="2"/>
    <m/>
    <m/>
    <m/>
  </r>
  <r>
    <d v="2024-08-09T00:00:00"/>
    <d v="1899-12-30T19:07:00"/>
    <s v="Mt kenya milk 500ml"/>
    <n v="1"/>
    <n v="65"/>
    <n v="48.333333333333336"/>
    <n v="16.666666666666664"/>
    <s v="Mpesa"/>
    <x v="2"/>
    <m/>
    <m/>
    <m/>
  </r>
  <r>
    <d v="2024-08-09T00:00:00"/>
    <d v="1899-12-30T19:07:00"/>
    <s v="BB Bread 400g"/>
    <n v="1"/>
    <n v="65"/>
    <n v="60"/>
    <n v="5"/>
    <s v="Mpesa"/>
    <x v="2"/>
    <m/>
    <m/>
    <m/>
  </r>
  <r>
    <d v="2024-08-09T00:00:00"/>
    <d v="1899-12-30T19:07:00"/>
    <s v="Blueband 100g"/>
    <n v="1"/>
    <n v="70"/>
    <n v="58.333333333333336"/>
    <n v="11.666666666666664"/>
    <s v="Mpesa"/>
    <x v="2"/>
    <m/>
    <m/>
    <m/>
  </r>
  <r>
    <d v="2024-08-09T00:00:00"/>
    <d v="1899-12-30T19:08:00"/>
    <s v="Festive 800g"/>
    <n v="1"/>
    <n v="130"/>
    <n v="120"/>
    <n v="10"/>
    <s v="Credit"/>
    <x v="30"/>
    <m/>
    <m/>
    <m/>
  </r>
  <r>
    <d v="2024-08-09T00:00:00"/>
    <d v="1899-12-30T19:08:00"/>
    <s v="Fresh green"/>
    <n v="1"/>
    <n v="10"/>
    <n v="5"/>
    <n v="5"/>
    <s v="Credit"/>
    <x v="30"/>
    <m/>
    <m/>
    <m/>
  </r>
  <r>
    <d v="2024-08-09T00:00:00"/>
    <d v="1899-12-30T19:10:00"/>
    <s v="210 Maize Meal 2kg"/>
    <n v="1"/>
    <n v="160"/>
    <n v="117.08333333333333"/>
    <n v="42.916666666666671"/>
    <s v="Credit"/>
    <x v="7"/>
    <m/>
    <m/>
    <m/>
  </r>
  <r>
    <d v="2024-08-09T00:00:00"/>
    <d v="1899-12-30T19:20:00"/>
    <s v="kensalt 1kg"/>
    <n v="1"/>
    <n v="50"/>
    <n v="35"/>
    <n v="15"/>
    <s v="Cash"/>
    <x v="2"/>
    <m/>
    <m/>
    <m/>
  </r>
  <r>
    <d v="2024-08-09T00:00:00"/>
    <d v="1899-12-30T19:24:00"/>
    <s v="Royco cubes"/>
    <n v="2"/>
    <n v="10"/>
    <n v="6"/>
    <n v="4"/>
    <s v="Mpesa"/>
    <x v="2"/>
    <m/>
    <m/>
    <m/>
  </r>
  <r>
    <d v="2024-08-09T00:00:00"/>
    <d v="1899-12-30T20:03:00"/>
    <s v="Brookside milk 500ml"/>
    <n v="2"/>
    <n v="140"/>
    <n v="118"/>
    <n v="22"/>
    <s v="Credit"/>
    <x v="21"/>
    <m/>
    <m/>
    <m/>
  </r>
  <r>
    <d v="2024-08-09T00:00:00"/>
    <d v="1899-12-30T20:12:00"/>
    <s v="Festive 600g"/>
    <n v="1"/>
    <n v="100"/>
    <n v="90"/>
    <n v="10"/>
    <s v="Mpesa"/>
    <x v="2"/>
    <m/>
    <m/>
    <m/>
  </r>
  <r>
    <d v="2024-08-09T00:00:00"/>
    <d v="1899-12-30T20:51:00"/>
    <s v="Lighter"/>
    <n v="1"/>
    <n v="30"/>
    <n v="15"/>
    <n v="15"/>
    <s v="Mpesa"/>
    <x v="2"/>
    <m/>
    <m/>
    <m/>
  </r>
  <r>
    <d v="2024-08-09T00:00:00"/>
    <d v="1899-12-30T20:51:00"/>
    <s v="Festive 600g"/>
    <n v="1"/>
    <n v="100"/>
    <n v="90"/>
    <n v="10"/>
    <s v="Credit"/>
    <x v="8"/>
    <m/>
    <m/>
    <m/>
  </r>
  <r>
    <d v="2024-08-09T00:00:00"/>
    <d v="1899-12-30T20:51:00"/>
    <s v="Brookside milk 500ml"/>
    <n v="1"/>
    <n v="70"/>
    <n v="59"/>
    <n v="11"/>
    <s v="Credit"/>
    <x v="8"/>
    <m/>
    <m/>
    <m/>
  </r>
  <r>
    <d v="2024-08-09T00:00:00"/>
    <d v="1899-12-30T22:41:00"/>
    <m/>
    <m/>
    <m/>
    <m/>
    <m/>
    <m/>
    <x v="2"/>
    <s v="Irene"/>
    <n v="420"/>
    <s v="Mpesa"/>
  </r>
  <r>
    <d v="2024-08-10T00:00:00"/>
    <d v="1899-12-30T08:00:00"/>
    <s v="Festive Bread 400g"/>
    <n v="2"/>
    <n v="130"/>
    <n v="120"/>
    <n v="10"/>
    <s v="Cash"/>
    <x v="2"/>
    <m/>
    <m/>
    <m/>
  </r>
  <r>
    <d v="2024-08-10T00:00:00"/>
    <d v="1899-12-30T08:15:00"/>
    <s v="Kdf"/>
    <n v="3"/>
    <n v="30"/>
    <n v="25"/>
    <n v="5"/>
    <s v="Cash"/>
    <x v="2"/>
    <m/>
    <m/>
    <m/>
  </r>
  <r>
    <d v="2024-08-10T00:00:00"/>
    <d v="1899-12-30T08:15:00"/>
    <s v="Medium Colgate Toothbrush"/>
    <n v="1"/>
    <n v="40"/>
    <n v="25"/>
    <n v="15"/>
    <s v="Credit"/>
    <x v="7"/>
    <m/>
    <m/>
    <m/>
  </r>
  <r>
    <d v="2024-08-10T00:00:00"/>
    <d v="1899-12-30T08:40:00"/>
    <s v="Airtel 10 Credit"/>
    <n v="1"/>
    <n v="10"/>
    <n v="9"/>
    <n v="1"/>
    <s v="Cash"/>
    <x v="2"/>
    <m/>
    <m/>
    <m/>
  </r>
  <r>
    <d v="2024-08-10T00:00:00"/>
    <d v="1899-12-30T08:40:00"/>
    <s v="Airtel 20 Credit"/>
    <n v="1"/>
    <n v="20"/>
    <n v="18"/>
    <n v="2"/>
    <s v="Cash"/>
    <x v="2"/>
    <m/>
    <m/>
    <m/>
  </r>
  <r>
    <d v="2024-08-10T00:00:00"/>
    <d v="1899-12-30T08:40:00"/>
    <s v="Safaricom 20 Credit"/>
    <n v="2"/>
    <n v="40"/>
    <n v="36"/>
    <n v="4"/>
    <s v="Cash"/>
    <x v="2"/>
    <m/>
    <m/>
    <m/>
  </r>
  <r>
    <d v="2024-08-10T00:00:00"/>
    <d v="1899-12-30T09:18:00"/>
    <s v="Safari"/>
    <n v="1"/>
    <n v="15"/>
    <n v="8.5"/>
    <n v="6.5"/>
    <s v="Cash"/>
    <x v="2"/>
    <m/>
    <m/>
    <m/>
  </r>
  <r>
    <d v="2024-08-10T00:00:00"/>
    <d v="1899-12-30T09:27:00"/>
    <s v="Festive Bread 400g"/>
    <n v="1"/>
    <n v="65"/>
    <n v="60"/>
    <n v="5"/>
    <s v="Cash"/>
    <x v="2"/>
    <m/>
    <m/>
    <m/>
  </r>
  <r>
    <d v="2024-08-10T00:00:00"/>
    <d v="1899-12-30T09:27:00"/>
    <s v="Kdf"/>
    <n v="3"/>
    <n v="30"/>
    <n v="25"/>
    <n v="5"/>
    <s v="Cash"/>
    <x v="2"/>
    <m/>
    <m/>
    <m/>
  </r>
  <r>
    <d v="2024-08-10T00:00:00"/>
    <d v="1899-12-30T09:27:00"/>
    <s v="Gomba"/>
    <n v="2"/>
    <n v="5"/>
    <n v="3.6"/>
    <n v="1.4"/>
    <s v="Cash"/>
    <x v="2"/>
    <m/>
    <m/>
    <m/>
  </r>
  <r>
    <d v="2024-08-10T00:00:00"/>
    <d v="1899-12-30T10:22:00"/>
    <s v="BB Bread 400g"/>
    <n v="1"/>
    <n v="65"/>
    <n v="60"/>
    <n v="5"/>
    <s v="Mpesa"/>
    <x v="2"/>
    <m/>
    <m/>
    <m/>
  </r>
  <r>
    <d v="2024-08-10T00:00:00"/>
    <d v="1899-12-30T10:30:00"/>
    <s v="Bella Tissue"/>
    <n v="1"/>
    <n v="45"/>
    <n v="35"/>
    <n v="10"/>
    <s v="Cash"/>
    <x v="2"/>
    <m/>
    <m/>
    <m/>
  </r>
  <r>
    <d v="2024-08-10T00:00:00"/>
    <d v="1899-12-30T10:30:00"/>
    <s v="Medium Colgate Toothbrush"/>
    <n v="1"/>
    <n v="40"/>
    <n v="25"/>
    <n v="15"/>
    <s v="Cash"/>
    <x v="2"/>
    <m/>
    <m/>
    <m/>
  </r>
  <r>
    <d v="2024-08-10T00:00:00"/>
    <d v="1899-12-30T10:40:00"/>
    <s v="T.Heat Potato crisps vinegar and salt 25g"/>
    <n v="1"/>
    <n v="30"/>
    <n v="22.916666666666668"/>
    <n v="7.0833333333333321"/>
    <s v="Mpesa"/>
    <x v="2"/>
    <m/>
    <m/>
    <m/>
  </r>
  <r>
    <d v="2024-08-10T00:00:00"/>
    <d v="1899-12-30T11:00:00"/>
    <s v="BB Bread 400g"/>
    <n v="1"/>
    <n v="65"/>
    <n v="60"/>
    <n v="5"/>
    <s v="Mpesa"/>
    <x v="2"/>
    <m/>
    <m/>
    <m/>
  </r>
  <r>
    <d v="2024-08-10T00:00:00"/>
    <d v="1899-12-30T11:00:00"/>
    <s v="Bigdaddy"/>
    <n v="3"/>
    <n v="30"/>
    <n v="18"/>
    <n v="12"/>
    <s v="Mpesa"/>
    <x v="2"/>
    <m/>
    <m/>
    <m/>
  </r>
  <r>
    <d v="2024-08-10T00:00:00"/>
    <d v="1899-12-30T11:00:00"/>
    <s v="Gomba"/>
    <n v="2"/>
    <n v="5"/>
    <n v="3.6"/>
    <n v="1.4"/>
    <s v="Mpesa"/>
    <x v="2"/>
    <m/>
    <m/>
    <m/>
  </r>
  <r>
    <d v="2024-08-10T00:00:00"/>
    <d v="1899-12-30T11:30:00"/>
    <s v="Mt kenya milk 500ml"/>
    <n v="1"/>
    <n v="65"/>
    <n v="48.333333333333336"/>
    <n v="16.666666666666664"/>
    <s v="Credit"/>
    <x v="16"/>
    <s v="Milly"/>
    <n v="200"/>
    <s v="Mpesa"/>
  </r>
  <r>
    <d v="2024-08-10T00:00:00"/>
    <d v="1899-12-30T11:30:00"/>
    <s v="Mandazi"/>
    <n v="4"/>
    <n v="20"/>
    <n v="16.666666666666668"/>
    <n v="3.3333333333333321"/>
    <s v="Credit"/>
    <x v="16"/>
    <s v="Milly"/>
    <n v="5"/>
    <s v="Cash"/>
  </r>
  <r>
    <d v="2024-08-10T00:00:00"/>
    <d v="1899-12-30T11:30:00"/>
    <s v="Ngumu"/>
    <n v="1"/>
    <n v="10"/>
    <n v="8.3333333333333339"/>
    <n v="1.6666666666666661"/>
    <s v="Credit"/>
    <x v="16"/>
    <m/>
    <m/>
    <m/>
  </r>
  <r>
    <d v="2024-08-10T00:00:00"/>
    <d v="1899-12-30T12:58:00"/>
    <s v="soda 500ml glass"/>
    <n v="1"/>
    <n v="55"/>
    <n v="50"/>
    <n v="5"/>
    <s v="Mpesa"/>
    <x v="2"/>
    <m/>
    <m/>
    <m/>
  </r>
  <r>
    <d v="2024-08-10T00:00:00"/>
    <d v="1899-12-30T12:58:00"/>
    <s v="Half pound cake"/>
    <n v="1"/>
    <n v="100"/>
    <n v="90"/>
    <n v="10"/>
    <s v="Mpesa"/>
    <x v="2"/>
    <m/>
    <m/>
    <m/>
  </r>
  <r>
    <d v="2024-08-10T00:00:00"/>
    <d v="1899-12-30T13:20:00"/>
    <s v="Scones"/>
    <n v="2"/>
    <n v="20"/>
    <n v="16.666666666666668"/>
    <n v="3.3333333333333321"/>
    <s v="Credit"/>
    <x v="6"/>
    <m/>
    <m/>
    <m/>
  </r>
  <r>
    <d v="2024-08-10T00:00:00"/>
    <d v="1899-12-30T13:30:00"/>
    <s v="eggs"/>
    <n v="2"/>
    <n v="40"/>
    <n v="28.666666666666668"/>
    <n v="11.333333333333332"/>
    <s v="Mpesa"/>
    <x v="2"/>
    <s v="Erick"/>
    <n v="60"/>
    <s v="Mpesa"/>
  </r>
  <r>
    <d v="2024-08-10T00:00:00"/>
    <d v="1899-12-30T13:24:00"/>
    <s v="Kinangop Fresh Milk 500ml"/>
    <n v="1"/>
    <n v="60"/>
    <n v="55"/>
    <n v="5"/>
    <s v="Mpesa"/>
    <x v="2"/>
    <m/>
    <m/>
    <m/>
  </r>
  <r>
    <d v="2024-08-10T00:00:00"/>
    <d v="1899-12-30T13:24:00"/>
    <s v="Kdf"/>
    <n v="4"/>
    <n v="40"/>
    <n v="33.333333333333336"/>
    <n v="6.6666666666666643"/>
    <s v="Mpesa"/>
    <x v="2"/>
    <m/>
    <m/>
    <m/>
  </r>
  <r>
    <d v="2024-08-10T00:00:00"/>
    <d v="1899-12-30T13:42:00"/>
    <s v="waru"/>
    <n v="2"/>
    <n v="100"/>
    <n v="59.999999999999993"/>
    <n v="40.000000000000007"/>
    <s v="Credit"/>
    <x v="1"/>
    <m/>
    <m/>
    <m/>
  </r>
  <r>
    <d v="2024-08-10T00:00:00"/>
    <d v="1899-12-30T13:42:00"/>
    <s v="Pishori rice"/>
    <n v="0.75"/>
    <n v="165"/>
    <n v="135"/>
    <n v="30"/>
    <s v="Credit"/>
    <x v="1"/>
    <m/>
    <m/>
    <m/>
  </r>
  <r>
    <d v="2024-08-10T00:00:00"/>
    <d v="1899-12-30T13:53:00"/>
    <s v="Steel Wire"/>
    <n v="3"/>
    <n v="30"/>
    <n v="18"/>
    <n v="12"/>
    <s v="Mpesa"/>
    <x v="2"/>
    <m/>
    <m/>
    <m/>
  </r>
  <r>
    <d v="2024-08-10T00:00:00"/>
    <d v="1899-12-30T13:53:00"/>
    <s v="Dairy Fresh v"/>
    <n v="1"/>
    <n v="85"/>
    <n v="75"/>
    <n v="10"/>
    <s v="Mpesa"/>
    <x v="2"/>
    <m/>
    <m/>
    <m/>
  </r>
  <r>
    <d v="2024-08-10T00:00:00"/>
    <d v="1899-12-30T14:04:00"/>
    <s v="Carrot"/>
    <n v="1"/>
    <n v="10"/>
    <n v="4"/>
    <n v="6"/>
    <s v="Credit"/>
    <x v="1"/>
    <m/>
    <m/>
    <m/>
  </r>
  <r>
    <d v="2024-08-10T00:00:00"/>
    <d v="1899-12-30T14:04:00"/>
    <s v="Canned cookies"/>
    <n v="1"/>
    <n v="60"/>
    <n v="50"/>
    <n v="10"/>
    <s v="Credit"/>
    <x v="1"/>
    <s v="Irene"/>
    <n v="200"/>
    <s v="Cash"/>
  </r>
  <r>
    <d v="2024-08-10T00:00:00"/>
    <d v="1899-12-30T14:05:00"/>
    <s v="soda 500ml glass"/>
    <n v="1"/>
    <n v="55"/>
    <n v="50"/>
    <n v="5"/>
    <s v="Cash"/>
    <x v="2"/>
    <m/>
    <m/>
    <m/>
  </r>
  <r>
    <d v="2024-08-10T00:00:00"/>
    <d v="1899-12-30T14:05:00"/>
    <s v="Kdf"/>
    <n v="2"/>
    <n v="20"/>
    <n v="16.666666666666668"/>
    <n v="3.3333333333333321"/>
    <s v="Cash"/>
    <x v="2"/>
    <m/>
    <m/>
    <m/>
  </r>
  <r>
    <d v="2024-08-10T00:00:00"/>
    <d v="1899-12-30T14:10:00"/>
    <s v="soda 500ml glass"/>
    <n v="1"/>
    <n v="55"/>
    <n v="50"/>
    <n v="5"/>
    <s v="Credit"/>
    <x v="17"/>
    <m/>
    <m/>
    <m/>
  </r>
  <r>
    <d v="2024-08-10T00:00:00"/>
    <d v="1899-12-30T14:10:00"/>
    <s v="Ngumu"/>
    <n v="4"/>
    <n v="40"/>
    <n v="33.333333333333336"/>
    <n v="6.6666666666666643"/>
    <s v="Credit"/>
    <x v="17"/>
    <m/>
    <m/>
    <m/>
  </r>
  <r>
    <d v="2024-08-10T00:00:00"/>
    <d v="1899-12-30T14:30:00"/>
    <s v="Royco cubes"/>
    <n v="2"/>
    <n v="10"/>
    <n v="6"/>
    <n v="4"/>
    <s v="Credit"/>
    <x v="1"/>
    <m/>
    <m/>
    <m/>
  </r>
  <r>
    <d v="2024-08-10T00:00:00"/>
    <d v="1899-12-30T14:30:00"/>
    <s v="Indomie chicken"/>
    <n v="2"/>
    <n v="100"/>
    <n v="75"/>
    <n v="25"/>
    <s v="Mpesa"/>
    <x v="2"/>
    <m/>
    <m/>
    <m/>
  </r>
  <r>
    <d v="2024-08-10T00:00:00"/>
    <d v="1899-12-30T14:30:00"/>
    <s v="Bella Tissue"/>
    <n v="1"/>
    <n v="45"/>
    <n v="35"/>
    <n v="10"/>
    <s v="Mpesa"/>
    <x v="2"/>
    <m/>
    <m/>
    <m/>
  </r>
  <r>
    <d v="2024-08-10T00:00:00"/>
    <d v="1899-12-30T14:58:00"/>
    <s v="Tukuza 1kg"/>
    <n v="1"/>
    <n v="90"/>
    <n v="61.25"/>
    <n v="28.75"/>
    <s v="Credit"/>
    <x v="19"/>
    <m/>
    <m/>
    <m/>
  </r>
  <r>
    <d v="2024-08-10T00:00:00"/>
    <d v="1899-12-30T14:58:00"/>
    <s v="Onion"/>
    <n v="1"/>
    <n v="10"/>
    <n v="8"/>
    <n v="2"/>
    <s v="Credit"/>
    <x v="19"/>
    <m/>
    <m/>
    <m/>
  </r>
  <r>
    <d v="2024-08-10T00:00:00"/>
    <d v="1899-12-30T14:58:00"/>
    <s v="Brookside milk 500ml"/>
    <n v="2"/>
    <n v="140"/>
    <n v="118"/>
    <n v="22"/>
    <s v="Credit"/>
    <x v="20"/>
    <m/>
    <m/>
    <m/>
  </r>
  <r>
    <d v="2024-08-10T00:00:00"/>
    <d v="1899-12-30T15:20:00"/>
    <s v="Gomba"/>
    <n v="4"/>
    <n v="10"/>
    <n v="7.2"/>
    <n v="2.8"/>
    <s v="Cash"/>
    <x v="2"/>
    <m/>
    <m/>
    <m/>
  </r>
  <r>
    <d v="2024-08-10T00:00:00"/>
    <d v="1899-12-30T15:20:00"/>
    <s v="Mt kenya milk 500ml"/>
    <n v="2"/>
    <n v="130"/>
    <n v="96.666666666666671"/>
    <n v="33.333333333333329"/>
    <s v="Mpesa"/>
    <x v="2"/>
    <m/>
    <m/>
    <m/>
  </r>
  <r>
    <d v="2024-08-10T00:00:00"/>
    <d v="1899-12-30T15:20:00"/>
    <s v="Ringoz Paprika"/>
    <n v="2"/>
    <n v="30"/>
    <n v="17.600000000000001"/>
    <n v="12.399999999999999"/>
    <s v="Mpesa"/>
    <x v="2"/>
    <m/>
    <m/>
    <m/>
  </r>
  <r>
    <d v="2024-08-10T00:00:00"/>
    <d v="1899-12-30T15:20:00"/>
    <s v="Festive Bread 400g"/>
    <n v="1"/>
    <n v="65"/>
    <n v="60"/>
    <n v="5"/>
    <s v="Mpesa"/>
    <x v="2"/>
    <m/>
    <m/>
    <m/>
  </r>
  <r>
    <d v="2024-08-10T00:00:00"/>
    <d v="1899-12-30T15:20:00"/>
    <s v="Bigdaddy"/>
    <n v="2"/>
    <n v="20"/>
    <n v="12"/>
    <n v="8"/>
    <s v="Mpesa"/>
    <x v="2"/>
    <m/>
    <m/>
    <m/>
  </r>
  <r>
    <d v="2024-08-10T00:00:00"/>
    <d v="1899-12-30T15:20:00"/>
    <s v="Choc-chip Cookies"/>
    <n v="2"/>
    <n v="70"/>
    <n v="50"/>
    <n v="20"/>
    <s v="Mpesa"/>
    <x v="2"/>
    <m/>
    <m/>
    <m/>
  </r>
  <r>
    <d v="2024-08-10T00:00:00"/>
    <d v="1899-12-30T15:20:00"/>
    <s v="Carrier bag big"/>
    <n v="1"/>
    <n v="20"/>
    <n v="5"/>
    <n v="15"/>
    <s v="Mpesa"/>
    <x v="2"/>
    <m/>
    <m/>
    <m/>
  </r>
  <r>
    <d v="2024-08-10T00:00:00"/>
    <d v="1899-12-30T15:20:00"/>
    <s v="Softcare diapers"/>
    <n v="1"/>
    <n v="20"/>
    <n v="15.5"/>
    <n v="4.5"/>
    <s v="Mpesa"/>
    <x v="2"/>
    <m/>
    <m/>
    <m/>
  </r>
  <r>
    <d v="2024-08-10T00:00:00"/>
    <d v="1899-12-30T15:20:00"/>
    <s v="kabras sugar 1kg"/>
    <n v="1"/>
    <n v="180"/>
    <n v="140"/>
    <n v="40"/>
    <s v="Mpesa"/>
    <x v="2"/>
    <m/>
    <m/>
    <m/>
  </r>
  <r>
    <d v="2024-08-10T00:00:00"/>
    <d v="1899-12-30T15:38:00"/>
    <s v="Baloon"/>
    <n v="1"/>
    <n v="10"/>
    <n v="6"/>
    <n v="4"/>
    <s v="Cash"/>
    <x v="2"/>
    <m/>
    <m/>
    <m/>
  </r>
  <r>
    <d v="2024-08-10T00:00:00"/>
    <d v="1899-12-30T20:23:00"/>
    <s v="soda 500ml glass"/>
    <n v="1"/>
    <n v="55"/>
    <n v="50"/>
    <n v="5"/>
    <s v="Mpesa"/>
    <x v="2"/>
    <m/>
    <m/>
    <m/>
  </r>
  <r>
    <d v="2024-08-10T00:00:00"/>
    <d v="1899-12-30T20:23:00"/>
    <s v="Half pound cake"/>
    <n v="1"/>
    <n v="100"/>
    <n v="90"/>
    <n v="10"/>
    <s v="Mpesa"/>
    <x v="2"/>
    <m/>
    <m/>
    <m/>
  </r>
  <r>
    <d v="2024-08-10T00:00:00"/>
    <d v="1899-12-30T16:30:00"/>
    <s v="Ngumu"/>
    <n v="5"/>
    <n v="50"/>
    <n v="41.666666666666671"/>
    <n v="8.3333333333333286"/>
    <s v="Cash"/>
    <x v="2"/>
    <m/>
    <m/>
    <m/>
  </r>
  <r>
    <d v="2024-08-10T00:00:00"/>
    <d v="1899-12-30T16:50:00"/>
    <s v="Bigdaddy"/>
    <n v="3"/>
    <n v="30"/>
    <n v="18"/>
    <n v="12"/>
    <s v="Cash"/>
    <x v="2"/>
    <m/>
    <m/>
    <m/>
  </r>
  <r>
    <d v="2024-08-10T00:00:00"/>
    <d v="1899-12-30T17:19:00"/>
    <s v="Bigdaddy"/>
    <n v="1"/>
    <n v="10"/>
    <n v="6"/>
    <n v="4"/>
    <s v="Cash"/>
    <x v="2"/>
    <m/>
    <m/>
    <m/>
  </r>
  <r>
    <d v="2024-08-10T00:00:00"/>
    <d v="1899-12-30T17:19:00"/>
    <s v="Tropical"/>
    <n v="2"/>
    <n v="10"/>
    <n v="3"/>
    <n v="7"/>
    <s v="Cash"/>
    <x v="2"/>
    <m/>
    <m/>
    <m/>
  </r>
  <r>
    <d v="2024-08-10T00:00:00"/>
    <d v="1899-12-30T17:43:00"/>
    <s v="Airtel 50 Credit"/>
    <n v="1"/>
    <n v="50"/>
    <n v="47"/>
    <n v="3"/>
    <s v="Mpesa"/>
    <x v="2"/>
    <m/>
    <m/>
    <m/>
  </r>
  <r>
    <d v="2024-08-10T00:00:00"/>
    <d v="1899-12-30T17:43:00"/>
    <m/>
    <m/>
    <m/>
    <m/>
    <m/>
    <m/>
    <x v="2"/>
    <s v="Oburu"/>
    <n v="95"/>
    <s v="Mpesa"/>
  </r>
  <r>
    <d v="2024-08-10T00:00:00"/>
    <d v="1899-12-30T17:43:00"/>
    <s v="Airtel 20 Credit"/>
    <n v="1"/>
    <n v="20"/>
    <n v="18"/>
    <n v="2"/>
    <s v="Cash"/>
    <x v="2"/>
    <m/>
    <m/>
    <m/>
  </r>
  <r>
    <d v="2024-08-10T00:00:00"/>
    <d v="1899-12-30T17:43:00"/>
    <s v="Airtel 50 Credit"/>
    <n v="1"/>
    <n v="50"/>
    <n v="47"/>
    <n v="3"/>
    <s v="Cash"/>
    <x v="2"/>
    <m/>
    <m/>
    <m/>
  </r>
  <r>
    <d v="2024-08-10T00:00:00"/>
    <d v="1899-12-30T17:43:00"/>
    <s v="Mt kenya milk 500ml"/>
    <n v="4"/>
    <n v="260"/>
    <n v="193.33333333333334"/>
    <n v="66.666666666666657"/>
    <s v="Cash"/>
    <x v="2"/>
    <m/>
    <m/>
    <m/>
  </r>
  <r>
    <d v="2024-08-10T00:00:00"/>
    <d v="1899-12-30T17:43:00"/>
    <s v="Jumbo Tissue"/>
    <n v="1"/>
    <n v="120"/>
    <n v="90"/>
    <n v="30"/>
    <s v="Credit"/>
    <x v="16"/>
    <s v="Titus"/>
    <n v="240"/>
    <s v="Cash"/>
  </r>
  <r>
    <d v="2024-08-10T00:00:00"/>
    <d v="1899-12-30T17:43:00"/>
    <s v="Onion"/>
    <n v="2"/>
    <n v="20"/>
    <n v="16"/>
    <n v="4"/>
    <s v="Credit"/>
    <x v="20"/>
    <m/>
    <m/>
    <m/>
  </r>
  <r>
    <d v="2024-08-10T00:00:00"/>
    <d v="1899-12-30T19:27:00"/>
    <s v="BB Bread 400g"/>
    <n v="2"/>
    <n v="130"/>
    <n v="120"/>
    <n v="10"/>
    <s v="Mpesa"/>
    <x v="2"/>
    <m/>
    <m/>
    <m/>
  </r>
  <r>
    <d v="2024-08-10T00:00:00"/>
    <d v="1899-12-30T19:44:00"/>
    <s v="kensalt 1kg"/>
    <n v="1"/>
    <n v="50"/>
    <n v="35"/>
    <n v="15"/>
    <s v="Credit"/>
    <x v="7"/>
    <m/>
    <m/>
    <m/>
  </r>
  <r>
    <d v="2024-08-10T00:00:00"/>
    <d v="1899-12-30T19:48:00"/>
    <s v="Sonaplast"/>
    <n v="10"/>
    <n v="100"/>
    <n v="70"/>
    <n v="30"/>
    <s v="Mpesa"/>
    <x v="2"/>
    <m/>
    <m/>
    <m/>
  </r>
  <r>
    <d v="2024-08-10T00:00:00"/>
    <d v="1899-12-30T20:18:00"/>
    <s v="Kinangop Fresh Milk 500ml"/>
    <n v="1"/>
    <n v="60"/>
    <n v="55"/>
    <n v="5"/>
    <s v="Credit"/>
    <x v="8"/>
    <m/>
    <m/>
    <m/>
  </r>
  <r>
    <d v="2024-08-10T00:00:00"/>
    <d v="1899-12-30T20:18:00"/>
    <s v="Hanaan Tissue"/>
    <n v="1"/>
    <n v="50"/>
    <n v="43"/>
    <n v="7"/>
    <s v="Credit"/>
    <x v="8"/>
    <m/>
    <m/>
    <m/>
  </r>
  <r>
    <d v="2024-08-10T00:00:00"/>
    <d v="1899-12-30T20:23:00"/>
    <s v="Medium Colgate Toothbrush"/>
    <n v="1"/>
    <n v="40"/>
    <n v="25"/>
    <n v="15"/>
    <s v="Credit"/>
    <x v="3"/>
    <m/>
    <m/>
    <m/>
  </r>
  <r>
    <d v="2024-08-11T00:00:00"/>
    <d v="1899-12-30T09:50:00"/>
    <s v="kinangop250g youghurt"/>
    <n v="1"/>
    <n v="60"/>
    <n v="48.333333333333336"/>
    <n v="11.666666666666664"/>
    <s v="Credit"/>
    <x v="18"/>
    <m/>
    <m/>
    <m/>
  </r>
  <r>
    <d v="2024-08-11T00:00:00"/>
    <d v="1899-12-30T09:50:00"/>
    <s v="kinangop250g youghurt"/>
    <n v="1"/>
    <n v="60"/>
    <n v="48.333333333333336"/>
    <n v="11.666666666666664"/>
    <s v="Credit"/>
    <x v="18"/>
    <m/>
    <m/>
    <m/>
  </r>
  <r>
    <d v="2024-08-11T00:00:00"/>
    <d v="1899-12-30T09:50:00"/>
    <s v="Half pound cake"/>
    <n v="1"/>
    <n v="100"/>
    <n v="90"/>
    <n v="10"/>
    <s v="Credit"/>
    <x v="18"/>
    <m/>
    <m/>
    <m/>
  </r>
  <r>
    <d v="2024-08-11T00:00:00"/>
    <d v="1899-12-30T11:50:00"/>
    <s v="eggs"/>
    <n v="10"/>
    <n v="200"/>
    <n v="143.33333333333334"/>
    <n v="56.666666666666657"/>
    <s v="Cash"/>
    <x v="2"/>
    <m/>
    <m/>
    <m/>
  </r>
  <r>
    <d v="2024-08-11T00:00:00"/>
    <d v="1899-12-30T11:50:00"/>
    <s v="Festive 600g"/>
    <n v="1"/>
    <n v="100"/>
    <n v="90"/>
    <n v="10"/>
    <s v="Cash"/>
    <x v="2"/>
    <m/>
    <m/>
    <m/>
  </r>
  <r>
    <d v="2024-08-11T00:00:00"/>
    <d v="1899-12-30T13:42:00"/>
    <s v="Bigdaddy"/>
    <n v="1"/>
    <n v="10"/>
    <n v="6"/>
    <n v="4"/>
    <s v="Cash"/>
    <x v="2"/>
    <m/>
    <m/>
    <m/>
  </r>
  <r>
    <d v="2024-08-11T00:00:00"/>
    <d v="1899-12-30T13:42:00"/>
    <s v="funtime snacks"/>
    <n v="1"/>
    <n v="15"/>
    <n v="9"/>
    <n v="6"/>
    <s v="Cash"/>
    <x v="2"/>
    <m/>
    <m/>
    <m/>
  </r>
  <r>
    <d v="2024-08-11T00:00:00"/>
    <d v="1899-12-30T13:42:00"/>
    <s v="Ringoz Paprika"/>
    <n v="3"/>
    <n v="45"/>
    <n v="26.400000000000002"/>
    <n v="18.599999999999998"/>
    <s v="Cash"/>
    <x v="2"/>
    <m/>
    <m/>
    <m/>
  </r>
  <r>
    <d v="2024-08-11T00:00:00"/>
    <d v="1899-12-30T13:42:00"/>
    <s v="Choc-chip Cookies"/>
    <n v="1"/>
    <n v="35"/>
    <n v="25"/>
    <n v="10"/>
    <s v="Cash"/>
    <x v="2"/>
    <m/>
    <m/>
    <m/>
  </r>
  <r>
    <d v="2024-08-11T00:00:00"/>
    <d v="1899-12-30T14:08:00"/>
    <s v="Panadol Extra"/>
    <n v="1"/>
    <n v="20"/>
    <n v="13"/>
    <n v="7"/>
    <s v="Credit"/>
    <x v="20"/>
    <m/>
    <m/>
    <m/>
  </r>
  <r>
    <d v="2024-08-11T00:00:00"/>
    <d v="1899-12-30T14:09:00"/>
    <s v="Pencil"/>
    <n v="2"/>
    <n v="30"/>
    <n v="15"/>
    <n v="15"/>
    <s v="Mpesa"/>
    <x v="2"/>
    <m/>
    <m/>
    <m/>
  </r>
  <r>
    <d v="2024-08-11T00:00:00"/>
    <d v="1899-12-30T15:03:00"/>
    <s v="Icepop"/>
    <n v="1"/>
    <n v="15"/>
    <n v="7.5"/>
    <n v="7.5"/>
    <s v="Cash"/>
    <x v="2"/>
    <m/>
    <m/>
    <m/>
  </r>
  <r>
    <d v="2024-08-11T00:00:00"/>
    <d v="1899-12-30T15:03:00"/>
    <s v="Baloon"/>
    <n v="1"/>
    <n v="10"/>
    <n v="6"/>
    <n v="4"/>
    <s v="Mpesa"/>
    <x v="2"/>
    <m/>
    <m/>
    <m/>
  </r>
  <r>
    <d v="2024-08-11T00:00:00"/>
    <d v="1899-12-30T15:21:00"/>
    <s v="smash juice"/>
    <n v="1"/>
    <n v="20"/>
    <n v="15"/>
    <n v="5"/>
    <s v="Cash"/>
    <x v="2"/>
    <m/>
    <m/>
    <m/>
  </r>
  <r>
    <d v="2024-08-11T00:00:00"/>
    <d v="1899-12-30T15:21:00"/>
    <s v="Match Box"/>
    <n v="3"/>
    <n v="15"/>
    <n v="7.0833333333333339"/>
    <n v="7.9166666666666661"/>
    <s v="Cash"/>
    <x v="2"/>
    <m/>
    <m/>
    <m/>
  </r>
  <r>
    <d v="2024-08-11T00:00:00"/>
    <d v="1899-12-30T15:21:00"/>
    <s v="Gomba"/>
    <n v="2"/>
    <n v="5"/>
    <n v="3.6"/>
    <n v="1.4"/>
    <s v="Cash"/>
    <x v="2"/>
    <m/>
    <m/>
    <m/>
  </r>
  <r>
    <d v="2024-08-11T00:00:00"/>
    <d v="1899-12-30T15:58:00"/>
    <s v="Colgate 35g"/>
    <n v="1"/>
    <n v="80"/>
    <n v="62.5"/>
    <n v="17.5"/>
    <s v="Credit"/>
    <x v="13"/>
    <s v="Mark"/>
    <n v="50"/>
    <s v="Mpesa"/>
  </r>
  <r>
    <d v="2024-08-11T00:00:00"/>
    <d v="1899-12-30T15:58:00"/>
    <m/>
    <m/>
    <m/>
    <m/>
    <m/>
    <m/>
    <x v="2"/>
    <s v="Mark"/>
    <n v="30"/>
    <s v="Cash"/>
  </r>
  <r>
    <d v="2024-08-11T00:00:00"/>
    <d v="1899-12-30T15:46:00"/>
    <s v="Brookside Lala Natural"/>
    <n v="1"/>
    <n v="100"/>
    <n v="87"/>
    <n v="13"/>
    <s v="Credit"/>
    <x v="10"/>
    <m/>
    <m/>
    <m/>
  </r>
  <r>
    <d v="2024-08-11T00:00:00"/>
    <d v="1899-12-30T15:46:00"/>
    <s v="Tukuza 1kg"/>
    <n v="1"/>
    <n v="90"/>
    <n v="61.25"/>
    <n v="28.75"/>
    <s v="Credit"/>
    <x v="10"/>
    <m/>
    <m/>
    <m/>
  </r>
  <r>
    <d v="2024-08-11T00:00:00"/>
    <d v="1899-12-30T16:26:00"/>
    <s v="Eno"/>
    <n v="1"/>
    <n v="20"/>
    <n v="11"/>
    <n v="9"/>
    <s v="Cash"/>
    <x v="2"/>
    <m/>
    <m/>
    <m/>
  </r>
  <r>
    <d v="2024-08-11T00:00:00"/>
    <d v="1899-12-30T16:26:00"/>
    <s v="Steel Wire"/>
    <n v="1"/>
    <n v="10"/>
    <n v="6"/>
    <n v="4"/>
    <s v="Cash"/>
    <x v="2"/>
    <m/>
    <m/>
    <m/>
  </r>
  <r>
    <d v="2024-08-11T00:00:00"/>
    <d v="1899-12-30T16:59:00"/>
    <s v="Indomie chicken"/>
    <n v="2"/>
    <n v="100"/>
    <n v="75"/>
    <n v="25"/>
    <s v="Cash"/>
    <x v="2"/>
    <m/>
    <m/>
    <m/>
  </r>
  <r>
    <d v="2024-08-11T00:00:00"/>
    <d v="1899-12-30T17:15:00"/>
    <s v="Kdf"/>
    <n v="12"/>
    <n v="120"/>
    <n v="100"/>
    <n v="20"/>
    <s v="Mpesa"/>
    <x v="2"/>
    <m/>
    <m/>
    <m/>
  </r>
  <r>
    <d v="2024-08-11T00:00:00"/>
    <d v="1899-12-30T17:15:00"/>
    <s v="Royco cubes"/>
    <n v="4"/>
    <n v="20"/>
    <n v="12"/>
    <n v="8"/>
    <s v="Mpesa"/>
    <x v="2"/>
    <m/>
    <m/>
    <m/>
  </r>
  <r>
    <d v="2024-08-11T00:00:00"/>
    <d v="1899-12-30T17:18:00"/>
    <s v="pens"/>
    <n v="1"/>
    <n v="10"/>
    <n v="6"/>
    <n v="4"/>
    <s v="Credit"/>
    <x v="7"/>
    <m/>
    <m/>
    <m/>
  </r>
  <r>
    <d v="2024-08-11T00:00:00"/>
    <d v="1899-12-30T17:30:00"/>
    <s v="Ginger Bisquit"/>
    <n v="1"/>
    <n v="5"/>
    <n v="4.333333333333333"/>
    <n v="0.66666666666666696"/>
    <s v="Cash"/>
    <x v="2"/>
    <m/>
    <m/>
    <m/>
  </r>
  <r>
    <d v="2024-08-11T00:00:00"/>
    <d v="1899-12-30T17:30:00"/>
    <s v="Nuvita Bisquit"/>
    <n v="1"/>
    <n v="5"/>
    <n v="4.166666666666667"/>
    <n v="0.83333333333333304"/>
    <s v="Cash"/>
    <x v="2"/>
    <m/>
    <m/>
    <m/>
  </r>
  <r>
    <d v="2024-08-11T00:00:00"/>
    <d v="1899-12-30T17:48:00"/>
    <s v="Festive 800g"/>
    <n v="1"/>
    <n v="130"/>
    <n v="120"/>
    <n v="10"/>
    <s v="Cash"/>
    <x v="2"/>
    <m/>
    <m/>
    <m/>
  </r>
  <r>
    <d v="2024-08-11T00:00:00"/>
    <d v="1899-12-30T18:04:00"/>
    <s v="Kinangop Fresh Milk 500ml"/>
    <n v="1"/>
    <n v="60"/>
    <n v="55"/>
    <n v="5"/>
    <s v="Mpesa"/>
    <x v="2"/>
    <m/>
    <m/>
    <m/>
  </r>
  <r>
    <d v="2024-08-11T00:00:00"/>
    <d v="1899-12-30T18:05:00"/>
    <s v=" soda 1.25lts"/>
    <n v="1"/>
    <n v="130"/>
    <n v="112.5"/>
    <n v="17.5"/>
    <s v="Credit"/>
    <x v="20"/>
    <m/>
    <m/>
    <m/>
  </r>
  <r>
    <d v="2024-08-11T00:00:00"/>
    <d v="1899-12-30T18:30:00"/>
    <s v="Ngumu"/>
    <n v="2"/>
    <n v="20"/>
    <n v="16.666666666666668"/>
    <n v="3.3333333333333321"/>
    <s v="Mpesa"/>
    <x v="2"/>
    <m/>
    <m/>
    <m/>
  </r>
  <r>
    <d v="2024-08-11T00:00:00"/>
    <d v="1899-12-30T18:50:00"/>
    <s v="Scones"/>
    <n v="1"/>
    <n v="10"/>
    <n v="8.3333333333333339"/>
    <n v="1.6666666666666661"/>
    <s v="Credit"/>
    <x v="6"/>
    <m/>
    <m/>
    <m/>
  </r>
  <r>
    <d v="2024-08-11T00:00:00"/>
    <d v="1899-12-30T18:52:00"/>
    <s v="Tukuza 1kg"/>
    <n v="2"/>
    <n v="180"/>
    <n v="122.5"/>
    <n v="57.5"/>
    <s v="Credit"/>
    <x v="7"/>
    <m/>
    <m/>
    <m/>
  </r>
  <r>
    <d v="2024-08-11T00:00:00"/>
    <d v="1899-12-30T18:58:00"/>
    <s v="kensalt 1kg"/>
    <n v="1"/>
    <n v="50"/>
    <n v="35"/>
    <n v="15"/>
    <s v="Mpesa"/>
    <x v="2"/>
    <m/>
    <m/>
    <m/>
  </r>
  <r>
    <d v="2024-08-11T00:00:00"/>
    <d v="1899-12-30T18:58:00"/>
    <s v="Indomie chicken"/>
    <n v="1"/>
    <n v="50"/>
    <n v="37.5"/>
    <n v="12.5"/>
    <s v="Mpesa"/>
    <x v="2"/>
    <m/>
    <m/>
    <m/>
  </r>
  <r>
    <d v="2024-08-11T00:00:00"/>
    <d v="1899-12-30T18:58:00"/>
    <s v="Royco cubes"/>
    <n v="10"/>
    <n v="50"/>
    <n v="30"/>
    <n v="20"/>
    <s v="Mpesa"/>
    <x v="2"/>
    <m/>
    <m/>
    <m/>
  </r>
  <r>
    <d v="2024-08-11T00:00:00"/>
    <d v="1899-12-30T18:58:00"/>
    <s v="Ring Cake"/>
    <n v="1"/>
    <n v="50"/>
    <n v="45"/>
    <n v="5"/>
    <s v="Mpesa"/>
    <x v="2"/>
    <m/>
    <m/>
    <m/>
  </r>
  <r>
    <d v="2024-08-11T00:00:00"/>
    <d v="1899-12-30T18:58:00"/>
    <m/>
    <m/>
    <m/>
    <m/>
    <m/>
    <m/>
    <x v="2"/>
    <s v="Florence"/>
    <n v="2160"/>
    <s v="Mpesa"/>
  </r>
  <r>
    <d v="2024-08-11T00:00:00"/>
    <d v="1899-12-30T19:07:00"/>
    <s v="Ajab 1kg"/>
    <n v="1"/>
    <n v="120"/>
    <n v="87.5"/>
    <n v="32.5"/>
    <s v="Credit"/>
    <x v="1"/>
    <m/>
    <m/>
    <m/>
  </r>
  <r>
    <d v="2024-08-11T00:00:00"/>
    <d v="1899-12-30T19:24:00"/>
    <s v="Fresh green"/>
    <n v="1"/>
    <n v="10"/>
    <n v="5"/>
    <n v="5"/>
    <s v="Cash"/>
    <x v="2"/>
    <m/>
    <m/>
    <m/>
  </r>
  <r>
    <d v="2024-08-11T00:00:00"/>
    <d v="1899-12-30T19:24:00"/>
    <s v="BB Bread 400g"/>
    <n v="1"/>
    <n v="65"/>
    <n v="60"/>
    <n v="5"/>
    <s v="Credit"/>
    <x v="12"/>
    <m/>
    <m/>
    <m/>
  </r>
  <r>
    <d v="2024-08-11T00:00:00"/>
    <d v="1899-12-30T19:24:00"/>
    <s v="Bella Tissue"/>
    <n v="1"/>
    <n v="45"/>
    <n v="35"/>
    <n v="10"/>
    <s v="Credit"/>
    <x v="12"/>
    <m/>
    <m/>
    <m/>
  </r>
  <r>
    <d v="2024-08-11T00:00:00"/>
    <d v="1899-12-30T19:24:00"/>
    <s v="Festive Bread 400g"/>
    <n v="1"/>
    <n v="65"/>
    <n v="60"/>
    <n v="5"/>
    <s v="Credit"/>
    <x v="12"/>
    <s v="Pauline"/>
    <n v="170"/>
    <s v="Mpesa"/>
  </r>
  <r>
    <d v="2024-08-11T00:00:00"/>
    <d v="1899-12-30T20:24:00"/>
    <s v="Kinangop Fresh Milk 500ml"/>
    <n v="1"/>
    <n v="60"/>
    <n v="55"/>
    <n v="5"/>
    <s v="Credit"/>
    <x v="8"/>
    <m/>
    <m/>
    <m/>
  </r>
  <r>
    <d v="2024-08-11T00:00:00"/>
    <d v="1899-12-30T20:53:00"/>
    <s v="Mt kenya milk 500ml"/>
    <n v="2"/>
    <n v="130"/>
    <n v="96.666666666666671"/>
    <n v="33.333333333333329"/>
    <s v="Mpesa"/>
    <x v="2"/>
    <m/>
    <m/>
    <m/>
  </r>
  <r>
    <d v="2024-08-11T00:00:00"/>
    <d v="1899-12-30T20:53:00"/>
    <s v="Festive 800g"/>
    <n v="1"/>
    <n v="130"/>
    <n v="120"/>
    <n v="10"/>
    <s v="Mpesa"/>
    <x v="2"/>
    <m/>
    <m/>
    <m/>
  </r>
  <r>
    <d v="2024-08-11T00:00:00"/>
    <d v="1899-12-30T20:57:00"/>
    <s v="ariel 75g"/>
    <n v="1"/>
    <n v="35"/>
    <n v="27.5"/>
    <n v="7.5"/>
    <s v="Credit"/>
    <x v="5"/>
    <m/>
    <m/>
    <m/>
  </r>
  <r>
    <d v="2024-08-11T00:00:00"/>
    <d v="1899-12-30T20:57:00"/>
    <s v="Tomato paste"/>
    <n v="1"/>
    <n v="30"/>
    <n v="12.5"/>
    <n v="17.5"/>
    <s v="Credit"/>
    <x v="5"/>
    <m/>
    <m/>
    <m/>
  </r>
  <r>
    <d v="2024-08-11T00:00:00"/>
    <d v="1899-12-30T20:57:00"/>
    <s v="Curry Powder"/>
    <n v="1"/>
    <n v="15"/>
    <n v="7.5"/>
    <n v="7.5"/>
    <s v="Credit"/>
    <x v="5"/>
    <s v="Grace"/>
    <n v="70"/>
    <s v="Cash"/>
  </r>
  <r>
    <d v="2024-08-12T00:00:00"/>
    <d v="1899-12-30T07:42:00"/>
    <s v="Mt Kenya milk 200ml"/>
    <n v="1"/>
    <n v="35"/>
    <n v="24.285714285714285"/>
    <n v="10.714285714285715"/>
    <s v="Mpesa"/>
    <x v="2"/>
    <m/>
    <m/>
    <m/>
  </r>
  <r>
    <d v="2024-08-12T00:00:00"/>
    <d v="1899-12-30T07:42:00"/>
    <s v="Banana"/>
    <n v="3"/>
    <n v="30"/>
    <n v="25"/>
    <n v="5"/>
    <s v="Mpesa"/>
    <x v="2"/>
    <m/>
    <m/>
    <m/>
  </r>
  <r>
    <d v="2024-08-12T00:00:00"/>
    <d v="1899-12-30T07:50:00"/>
    <s v="Festive 800g"/>
    <n v="1"/>
    <n v="130"/>
    <n v="120"/>
    <n v="10"/>
    <s v="Cash"/>
    <x v="2"/>
    <m/>
    <m/>
    <m/>
  </r>
  <r>
    <d v="2024-08-12T00:00:00"/>
    <d v="1899-12-30T07:52:00"/>
    <s v="Festive Bread 400g"/>
    <n v="1"/>
    <n v="65"/>
    <n v="60"/>
    <n v="5"/>
    <s v="Credit"/>
    <x v="8"/>
    <m/>
    <m/>
    <m/>
  </r>
  <r>
    <d v="2024-08-12T00:00:00"/>
    <d v="1899-12-30T08:50:00"/>
    <s v="Safari"/>
    <n v="1"/>
    <n v="15"/>
    <n v="8.5"/>
    <n v="6.5"/>
    <s v="Cash"/>
    <x v="2"/>
    <m/>
    <m/>
    <m/>
  </r>
  <r>
    <d v="2024-08-12T00:00:00"/>
    <d v="1899-12-30T08:45:00"/>
    <m/>
    <m/>
    <m/>
    <m/>
    <m/>
    <m/>
    <x v="2"/>
    <s v="Irene"/>
    <n v="275"/>
    <s v="Mpesa"/>
  </r>
  <r>
    <d v="2024-08-12T00:00:00"/>
    <d v="1899-12-30T09:18:00"/>
    <s v="Tukuza 1kg"/>
    <n v="1"/>
    <n v="90"/>
    <n v="61.25"/>
    <n v="28.75"/>
    <s v="Mpesa"/>
    <x v="2"/>
    <m/>
    <m/>
    <m/>
  </r>
  <r>
    <d v="2024-08-12T00:00:00"/>
    <d v="1899-12-30T09:18:00"/>
    <s v="Goodday Cookies"/>
    <n v="1"/>
    <n v="15"/>
    <n v="9.3333333333333339"/>
    <n v="5.6666666666666661"/>
    <s v="Cash"/>
    <x v="2"/>
    <m/>
    <m/>
    <m/>
  </r>
  <r>
    <d v="2024-08-12T00:00:00"/>
    <d v="1899-12-30T09:18:00"/>
    <s v="Sugar"/>
    <n v="0.5"/>
    <n v="90"/>
    <n v="65"/>
    <n v="25"/>
    <s v="Credit"/>
    <x v="12"/>
    <m/>
    <m/>
    <m/>
  </r>
  <r>
    <d v="2024-08-12T00:00:00"/>
    <d v="1899-12-30T09:18:00"/>
    <s v="Black Shampoo"/>
    <n v="1"/>
    <n v="50"/>
    <n v="28"/>
    <n v="22"/>
    <s v="Cash"/>
    <x v="2"/>
    <m/>
    <m/>
    <m/>
  </r>
  <r>
    <d v="2024-08-12T00:00:00"/>
    <d v="1899-12-30T09:18:00"/>
    <s v="Menengai Bar 1kg"/>
    <n v="3"/>
    <n v="750"/>
    <n v="570"/>
    <n v="180"/>
    <s v="Cash"/>
    <x v="2"/>
    <m/>
    <m/>
    <m/>
  </r>
  <r>
    <d v="2024-08-12T00:00:00"/>
    <d v="1899-12-30T09:18:00"/>
    <s v="Battery AAA"/>
    <n v="2"/>
    <n v="30"/>
    <n v="20"/>
    <n v="10"/>
    <s v="Credit"/>
    <x v="26"/>
    <m/>
    <m/>
    <m/>
  </r>
  <r>
    <d v="2024-08-12T00:00:00"/>
    <d v="1899-12-30T12:51:00"/>
    <s v="Kiwi"/>
    <n v="1"/>
    <n v="50"/>
    <n v="37.5"/>
    <n v="12.5"/>
    <s v="Mpesa"/>
    <x v="2"/>
    <m/>
    <m/>
    <m/>
  </r>
  <r>
    <d v="2024-08-12T00:00:00"/>
    <d v="1899-12-30T12:51:00"/>
    <s v="Bigboss"/>
    <n v="2"/>
    <n v="10"/>
    <n v="7"/>
    <n v="3"/>
    <s v="Cash"/>
    <x v="2"/>
    <m/>
    <m/>
    <m/>
  </r>
  <r>
    <d v="2024-08-12T00:00:00"/>
    <d v="1899-12-30T13:22:00"/>
    <s v="Brookside Lala Natural 1ltr"/>
    <n v="1"/>
    <n v="180"/>
    <n v="164"/>
    <n v="16"/>
    <s v="Credit"/>
    <x v="1"/>
    <m/>
    <m/>
    <m/>
  </r>
  <r>
    <d v="2024-08-12T00:00:00"/>
    <d v="1899-12-30T13:22:00"/>
    <s v="ariel 75g"/>
    <n v="1"/>
    <n v="35"/>
    <n v="27.5"/>
    <n v="7.5"/>
    <s v="Credit"/>
    <x v="1"/>
    <m/>
    <m/>
    <m/>
  </r>
  <r>
    <d v="2024-08-12T00:00:00"/>
    <d v="1899-12-30T13:40:00"/>
    <s v="Indomie chicken"/>
    <n v="1"/>
    <n v="50"/>
    <n v="37.5"/>
    <n v="12.5"/>
    <s v="Cash"/>
    <x v="2"/>
    <m/>
    <m/>
    <m/>
  </r>
  <r>
    <d v="2024-08-12T00:00:00"/>
    <d v="1899-12-30T14:09:00"/>
    <s v="Indomie chicken"/>
    <n v="1"/>
    <n v="50"/>
    <n v="37.5"/>
    <n v="12.5"/>
    <s v="Mpesa"/>
    <x v="2"/>
    <m/>
    <m/>
    <m/>
  </r>
  <r>
    <d v="2024-08-12T00:00:00"/>
    <d v="1899-12-30T14:55:00"/>
    <s v="Indomie chicken"/>
    <n v="3"/>
    <n v="150"/>
    <n v="112.5"/>
    <n v="37.5"/>
    <s v="Mpesa"/>
    <x v="2"/>
    <m/>
    <m/>
    <m/>
  </r>
  <r>
    <d v="2024-08-12T00:00:00"/>
    <d v="1899-12-30T14:55:00"/>
    <s v="Mandazi"/>
    <n v="3"/>
    <n v="15"/>
    <n v="12.5"/>
    <n v="2.5"/>
    <s v="Mpesa"/>
    <x v="2"/>
    <m/>
    <m/>
    <m/>
  </r>
  <r>
    <d v="2024-08-12T00:00:00"/>
    <d v="1899-12-30T16:47:00"/>
    <s v="soda 500ml glass"/>
    <n v="2"/>
    <n v="110"/>
    <n v="100"/>
    <n v="10"/>
    <s v="Mpesa"/>
    <x v="2"/>
    <m/>
    <m/>
    <m/>
  </r>
  <r>
    <d v="2024-08-12T00:00:00"/>
    <d v="1899-12-30T16:47:00"/>
    <s v="kensalt 200g"/>
    <n v="1"/>
    <n v="15"/>
    <n v="5.5"/>
    <n v="9.5"/>
    <s v="Credit"/>
    <x v="1"/>
    <m/>
    <m/>
    <m/>
  </r>
  <r>
    <d v="2024-08-12T00:00:00"/>
    <d v="1899-12-30T16:47:00"/>
    <s v="Match Box"/>
    <n v="1"/>
    <n v="5"/>
    <n v="2.3611111111111112"/>
    <n v="2.6388888888888888"/>
    <s v="Credit"/>
    <x v="1"/>
    <m/>
    <m/>
    <m/>
  </r>
  <r>
    <d v="2024-08-12T00:00:00"/>
    <d v="1899-12-30T16:47:00"/>
    <s v="Onion"/>
    <n v="1"/>
    <n v="10"/>
    <n v="8"/>
    <n v="2"/>
    <s v="Credit"/>
    <x v="19"/>
    <m/>
    <m/>
    <m/>
  </r>
  <r>
    <d v="2024-08-12T00:00:00"/>
    <d v="1899-12-30T16:47:00"/>
    <s v="Tomatoes"/>
    <n v="1"/>
    <n v="10"/>
    <n v="5"/>
    <n v="5"/>
    <s v="Credit"/>
    <x v="19"/>
    <m/>
    <m/>
    <m/>
  </r>
  <r>
    <d v="2024-08-12T00:00:00"/>
    <d v="1899-12-30T16:47:00"/>
    <s v="eggs"/>
    <n v="1"/>
    <n v="20"/>
    <n v="14.333333333333334"/>
    <n v="5.6666666666666661"/>
    <s v="Credit"/>
    <x v="19"/>
    <m/>
    <m/>
    <m/>
  </r>
  <r>
    <d v="2024-08-12T00:00:00"/>
    <d v="1899-12-30T16:47:00"/>
    <s v="Cough drops"/>
    <n v="1"/>
    <n v="5"/>
    <n v="4"/>
    <n v="1"/>
    <s v="Cash"/>
    <x v="2"/>
    <m/>
    <m/>
    <m/>
  </r>
  <r>
    <d v="2024-08-12T00:00:00"/>
    <d v="1899-12-30T16:47:00"/>
    <s v="Mt kenya milk 500ml"/>
    <n v="2"/>
    <n v="130"/>
    <n v="96.666666666666671"/>
    <n v="33.333333333333329"/>
    <s v="Cash"/>
    <x v="2"/>
    <m/>
    <m/>
    <m/>
  </r>
  <r>
    <d v="2024-08-12T00:00:00"/>
    <d v="1899-12-30T16:47:00"/>
    <s v="Indomie chicken"/>
    <n v="2"/>
    <n v="100"/>
    <n v="75"/>
    <n v="25"/>
    <s v="Cash"/>
    <x v="2"/>
    <m/>
    <m/>
    <m/>
  </r>
  <r>
    <d v="2024-08-12T00:00:00"/>
    <d v="1899-12-30T16:47:00"/>
    <s v="Nuvita Bisquit"/>
    <n v="2"/>
    <n v="10"/>
    <n v="8.3333333333333339"/>
    <n v="1.6666666666666661"/>
    <s v="Cash"/>
    <x v="2"/>
    <m/>
    <m/>
    <m/>
  </r>
  <r>
    <d v="2024-08-12T00:00:00"/>
    <d v="1899-12-30T16:47:00"/>
    <s v="Brookside Lala Natural"/>
    <n v="1"/>
    <n v="100"/>
    <n v="87"/>
    <n v="13"/>
    <s v="Credit"/>
    <x v="10"/>
    <m/>
    <m/>
    <m/>
  </r>
  <r>
    <d v="2024-08-12T00:00:00"/>
    <d v="1899-12-30T19:01:00"/>
    <s v="BB Bread 400g"/>
    <n v="2"/>
    <n v="130"/>
    <n v="120"/>
    <n v="10"/>
    <s v="Mpesa"/>
    <x v="2"/>
    <m/>
    <m/>
    <m/>
  </r>
  <r>
    <d v="2024-08-12T00:00:00"/>
    <d v="1899-12-30T19:18:00"/>
    <s v="Kiwi"/>
    <n v="1"/>
    <n v="50"/>
    <n v="37.5"/>
    <n v="12.5"/>
    <s v="Mpesa"/>
    <x v="2"/>
    <m/>
    <m/>
    <m/>
  </r>
  <r>
    <d v="2024-08-12T00:00:00"/>
    <d v="1899-12-30T19:18:00"/>
    <s v="Bigboss"/>
    <n v="4"/>
    <n v="20"/>
    <n v="14"/>
    <n v="6"/>
    <s v="Mpesa"/>
    <x v="2"/>
    <m/>
    <m/>
    <m/>
  </r>
  <r>
    <d v="2024-08-12T00:00:00"/>
    <d v="1899-12-30T19:32:00"/>
    <s v="Safari"/>
    <n v="2"/>
    <n v="30"/>
    <n v="17"/>
    <n v="13"/>
    <s v="Mpesa"/>
    <x v="2"/>
    <m/>
    <m/>
    <m/>
  </r>
  <r>
    <d v="2024-08-12T00:00:00"/>
    <d v="1899-12-30T19:54:00"/>
    <s v="Kinangop Fresh Milk 500ml"/>
    <n v="1"/>
    <n v="60"/>
    <n v="55"/>
    <n v="5"/>
    <s v="Credit"/>
    <x v="7"/>
    <m/>
    <m/>
    <m/>
  </r>
  <r>
    <d v="2024-08-12T00:00:00"/>
    <d v="1899-12-30T19:54:00"/>
    <s v="Kinangop Fresh Milk 500ml"/>
    <n v="1"/>
    <n v="60"/>
    <n v="55"/>
    <n v="5"/>
    <s v="Mpesa"/>
    <x v="2"/>
    <m/>
    <m/>
    <m/>
  </r>
  <r>
    <d v="2024-08-12T00:00:00"/>
    <d v="1899-12-30T19:54:00"/>
    <s v="Kinangop Fresh Milk 500ml"/>
    <n v="1"/>
    <n v="60"/>
    <n v="55"/>
    <n v="5"/>
    <s v="Mpesa"/>
    <x v="2"/>
    <m/>
    <m/>
    <m/>
  </r>
  <r>
    <d v="2024-08-12T00:00:00"/>
    <d v="1899-12-30T19:54:00"/>
    <m/>
    <m/>
    <m/>
    <m/>
    <m/>
    <m/>
    <x v="2"/>
    <s v="Ruth"/>
    <n v="685"/>
    <s v="Mpesa"/>
  </r>
  <r>
    <d v="2024-08-12T00:00:00"/>
    <d v="1899-12-30T20:30:00"/>
    <s v="Mt kenya milk 500ml"/>
    <n v="1"/>
    <n v="65"/>
    <n v="48.333333333333336"/>
    <n v="16.666666666666664"/>
    <s v="Cash"/>
    <x v="2"/>
    <m/>
    <m/>
    <m/>
  </r>
  <r>
    <d v="2024-08-12T00:00:00"/>
    <d v="1899-12-30T20:30:00"/>
    <s v="Baloon"/>
    <n v="2"/>
    <n v="20"/>
    <n v="12"/>
    <n v="8"/>
    <s v="Cash"/>
    <x v="2"/>
    <m/>
    <m/>
    <m/>
  </r>
  <r>
    <d v="2024-08-12T00:00:00"/>
    <d v="1899-12-30T20:30:00"/>
    <s v="Ngumu"/>
    <n v="9"/>
    <n v="90"/>
    <n v="75"/>
    <n v="15"/>
    <s v="Cash"/>
    <x v="2"/>
    <m/>
    <m/>
    <m/>
  </r>
  <r>
    <d v="2024-08-12T00:00:00"/>
    <d v="1899-12-30T20:30:00"/>
    <s v="Nuvita Bisquit"/>
    <n v="5"/>
    <n v="25"/>
    <n v="20.833333333333336"/>
    <n v="4.1666666666666643"/>
    <s v="Cash"/>
    <x v="2"/>
    <m/>
    <m/>
    <m/>
  </r>
  <r>
    <d v="2024-08-12T00:00:00"/>
    <d v="1899-12-30T20:45:00"/>
    <s v="Whitewash "/>
    <n v="1"/>
    <n v="50"/>
    <n v="33.75"/>
    <n v="16.25"/>
    <s v="Mpesa"/>
    <x v="2"/>
    <m/>
    <m/>
    <m/>
  </r>
  <r>
    <d v="2024-08-12T00:00:00"/>
    <d v="1899-12-30T20:45:00"/>
    <s v="Cooking Oil Measured"/>
    <n v="0.5"/>
    <n v="140"/>
    <n v="100"/>
    <n v="40"/>
    <s v="Mpesa"/>
    <x v="2"/>
    <m/>
    <m/>
    <m/>
  </r>
  <r>
    <d v="2024-08-12T00:00:00"/>
    <d v="1899-12-30T20:24:00"/>
    <s v="minutemaid 400ml"/>
    <n v="1"/>
    <n v="85"/>
    <n v="62.5"/>
    <n v="22.5"/>
    <s v="Mpesa"/>
    <x v="2"/>
    <m/>
    <m/>
    <m/>
  </r>
  <r>
    <d v="2024-08-12T00:00:00"/>
    <d v="1899-12-30T20:24:00"/>
    <m/>
    <m/>
    <m/>
    <m/>
    <m/>
    <m/>
    <x v="2"/>
    <s v="Haston"/>
    <n v="30"/>
    <s v="Mpesa"/>
  </r>
  <r>
    <d v="2024-08-12T00:00:00"/>
    <d v="1899-12-30T20:50:00"/>
    <s v="Kdf"/>
    <n v="3"/>
    <n v="30"/>
    <n v="25"/>
    <n v="5"/>
    <s v="Credit"/>
    <x v="3"/>
    <m/>
    <m/>
    <m/>
  </r>
  <r>
    <d v="2024-08-12T00:00:00"/>
    <d v="1899-12-30T20:50:00"/>
    <s v="eggs"/>
    <n v="5"/>
    <n v="100"/>
    <n v="71.666666666666671"/>
    <n v="28.333333333333329"/>
    <s v="Credit"/>
    <x v="8"/>
    <m/>
    <m/>
    <m/>
  </r>
  <r>
    <d v="2024-08-12T00:00:00"/>
    <d v="1899-12-30T20:50:00"/>
    <s v="Face Towel"/>
    <n v="1"/>
    <n v="50"/>
    <n v="30"/>
    <n v="20"/>
    <s v="Credit"/>
    <x v="7"/>
    <s v="Aunt Shawn"/>
    <n v="130"/>
    <s v="Cash"/>
  </r>
  <r>
    <d v="2024-08-13T00:00:00"/>
    <d v="1899-12-30T07:56:00"/>
    <s v="Festive Bread 400g"/>
    <n v="1"/>
    <n v="65"/>
    <n v="60"/>
    <n v="5"/>
    <s v="Mpesa"/>
    <x v="2"/>
    <m/>
    <m/>
    <m/>
  </r>
  <r>
    <d v="2024-08-13T00:00:00"/>
    <d v="1899-12-30T07:59:00"/>
    <s v="Mt kenya milk 500ml"/>
    <n v="2"/>
    <n v="130"/>
    <n v="96.666666666666671"/>
    <n v="33.333333333333329"/>
    <s v="Mpesa"/>
    <x v="2"/>
    <m/>
    <m/>
    <m/>
  </r>
  <r>
    <d v="2024-08-13T00:00:00"/>
    <d v="1899-12-30T08:56:00"/>
    <s v="Festive Bread 400g"/>
    <n v="2"/>
    <n v="130"/>
    <n v="120"/>
    <n v="10"/>
    <s v="Cash"/>
    <x v="2"/>
    <m/>
    <m/>
    <m/>
  </r>
  <r>
    <d v="2024-08-13T00:00:00"/>
    <d v="1899-12-30T09:01:00"/>
    <s v="Safari"/>
    <n v="1"/>
    <n v="15"/>
    <n v="8.5"/>
    <n v="6.5"/>
    <s v="Cash"/>
    <x v="2"/>
    <m/>
    <m/>
    <m/>
  </r>
  <r>
    <d v="2024-08-13T00:00:00"/>
    <d v="1899-12-30T09:02:00"/>
    <s v="Festive Bread 400g"/>
    <n v="1"/>
    <n v="65"/>
    <n v="60"/>
    <n v="5"/>
    <s v="Cash"/>
    <x v="2"/>
    <m/>
    <m/>
    <m/>
  </r>
  <r>
    <d v="2024-08-13T00:00:00"/>
    <d v="1899-12-30T09:13:00"/>
    <s v="Canned cookies"/>
    <n v="1"/>
    <n v="60"/>
    <n v="50"/>
    <n v="10"/>
    <s v="Cash"/>
    <x v="2"/>
    <m/>
    <m/>
    <m/>
  </r>
  <r>
    <d v="2024-08-13T00:00:00"/>
    <d v="1899-12-30T09:15:00"/>
    <s v="Kinangop Fresh Milk 500ml"/>
    <n v="1"/>
    <n v="60"/>
    <n v="55"/>
    <n v="5"/>
    <s v="Mpesa"/>
    <x v="2"/>
    <m/>
    <m/>
    <m/>
  </r>
  <r>
    <d v="2024-08-13T00:00:00"/>
    <d v="1899-12-30T09:15:00"/>
    <s v="Festive Bread 400g"/>
    <n v="1"/>
    <n v="65"/>
    <n v="60"/>
    <n v="5"/>
    <s v="Mpesa"/>
    <x v="2"/>
    <m/>
    <m/>
    <m/>
  </r>
  <r>
    <d v="2024-08-13T00:00:00"/>
    <d v="1899-12-30T09:22:00"/>
    <s v="BB Bread 400g"/>
    <n v="1"/>
    <n v="65"/>
    <n v="60"/>
    <n v="5"/>
    <s v="Mpesa"/>
    <x v="2"/>
    <m/>
    <m/>
    <m/>
  </r>
  <r>
    <d v="2024-08-13T00:00:00"/>
    <d v="1899-12-30T09:56:00"/>
    <s v="Menengai Bar 1kg"/>
    <n v="2"/>
    <n v="500"/>
    <n v="380"/>
    <n v="120"/>
    <s v="Credit"/>
    <x v="13"/>
    <m/>
    <m/>
    <m/>
  </r>
  <r>
    <d v="2024-08-13T00:00:00"/>
    <d v="1899-12-30T09:56:00"/>
    <s v="Downy lavender"/>
    <n v="2"/>
    <n v="40"/>
    <n v="34.666666666666664"/>
    <n v="5.3333333333333357"/>
    <s v="Credit"/>
    <x v="13"/>
    <m/>
    <m/>
    <m/>
  </r>
  <r>
    <d v="2024-08-13T00:00:00"/>
    <d v="1899-12-30T09:56:00"/>
    <s v="Sunlight 400g"/>
    <n v="1"/>
    <n v="200"/>
    <n v="145"/>
    <n v="55"/>
    <s v="Credit"/>
    <x v="13"/>
    <m/>
    <m/>
    <m/>
  </r>
  <r>
    <d v="2024-08-13T00:00:00"/>
    <d v="1899-12-30T10:00:00"/>
    <s v="Festive 600g"/>
    <n v="1"/>
    <n v="100"/>
    <n v="90"/>
    <n v="10"/>
    <s v="Mpesa"/>
    <x v="2"/>
    <m/>
    <m/>
    <m/>
  </r>
  <r>
    <d v="2024-08-13T00:00:00"/>
    <d v="1899-12-30T10:58:00"/>
    <s v="pens black"/>
    <n v="1"/>
    <n v="10"/>
    <n v="5"/>
    <n v="5"/>
    <s v="Cash"/>
    <x v="2"/>
    <m/>
    <m/>
    <m/>
  </r>
  <r>
    <d v="2024-08-13T00:00:00"/>
    <d v="1899-12-30T10:58:00"/>
    <s v="Bigdaddy"/>
    <n v="1"/>
    <n v="10"/>
    <n v="6"/>
    <n v="4"/>
    <s v="Cash"/>
    <x v="2"/>
    <m/>
    <m/>
    <m/>
  </r>
  <r>
    <d v="2024-08-13T00:00:00"/>
    <d v="1899-12-30T12:01:00"/>
    <s v="Festive 600g"/>
    <n v="1"/>
    <n v="100"/>
    <n v="90"/>
    <n v="10"/>
    <s v="Cash"/>
    <x v="2"/>
    <m/>
    <m/>
    <m/>
  </r>
  <r>
    <d v="2024-08-13T00:00:00"/>
    <d v="1899-12-30T12:02:00"/>
    <s v="Nescafe 1.5g"/>
    <n v="2"/>
    <n v="30"/>
    <n v="18.333333333333332"/>
    <n v="11.666666666666668"/>
    <s v="Cash"/>
    <x v="2"/>
    <m/>
    <m/>
    <m/>
  </r>
  <r>
    <d v="2024-08-13T00:00:00"/>
    <d v="1899-12-30T12:02:00"/>
    <s v="Festive Bread 400g"/>
    <n v="1"/>
    <n v="65"/>
    <n v="60"/>
    <n v="5"/>
    <s v="Cash"/>
    <x v="2"/>
    <m/>
    <m/>
    <m/>
  </r>
  <r>
    <d v="2024-08-13T00:00:00"/>
    <d v="1899-12-30T12:02:00"/>
    <s v="5ltrs water"/>
    <n v="1"/>
    <n v="120"/>
    <n v="75"/>
    <n v="45"/>
    <s v="Cash"/>
    <x v="2"/>
    <m/>
    <m/>
    <m/>
  </r>
  <r>
    <d v="2024-08-13T00:00:00"/>
    <d v="1899-12-30T12:02:00"/>
    <s v="Tomatoes"/>
    <n v="3"/>
    <n v="30"/>
    <n v="15"/>
    <n v="15"/>
    <s v="Cash"/>
    <x v="2"/>
    <m/>
    <m/>
    <m/>
  </r>
  <r>
    <d v="2024-08-13T00:00:00"/>
    <d v="1899-12-30T12:02:00"/>
    <s v="coo"/>
    <n v="10"/>
    <n v="25"/>
    <n v="12"/>
    <n v="13"/>
    <s v="Cash"/>
    <x v="2"/>
    <m/>
    <m/>
    <m/>
  </r>
  <r>
    <d v="2024-08-13T00:00:00"/>
    <d v="1899-12-30T12:02:00"/>
    <s v="Nuvita Bisquit"/>
    <n v="2"/>
    <n v="10"/>
    <n v="8.3333333333333339"/>
    <n v="1.6666666666666661"/>
    <s v="Cash"/>
    <x v="2"/>
    <m/>
    <m/>
    <m/>
  </r>
  <r>
    <d v="2024-08-13T00:00:00"/>
    <d v="1899-12-30T12:58:00"/>
    <s v="Sunlight 400g"/>
    <n v="1"/>
    <n v="200"/>
    <n v="145"/>
    <n v="55"/>
    <s v="Cash"/>
    <x v="2"/>
    <m/>
    <m/>
    <m/>
  </r>
  <r>
    <d v="2024-08-13T00:00:00"/>
    <d v="1899-12-30T12:58:00"/>
    <s v="Ring Cake"/>
    <n v="1"/>
    <n v="50"/>
    <n v="45"/>
    <n v="5"/>
    <s v="Cash"/>
    <x v="2"/>
    <m/>
    <m/>
    <m/>
  </r>
  <r>
    <d v="2024-08-13T00:00:00"/>
    <d v="1899-12-30T12:58:00"/>
    <s v="Carrier bag small"/>
    <n v="1"/>
    <n v="10"/>
    <n v="3"/>
    <n v="7"/>
    <s v="Cash"/>
    <x v="2"/>
    <m/>
    <m/>
    <m/>
  </r>
  <r>
    <d v="2024-08-13T00:00:00"/>
    <d v="1899-12-30T12:58:00"/>
    <s v="Mt Kenya milk 200ml"/>
    <n v="1"/>
    <n v="35"/>
    <n v="24.285714285714285"/>
    <n v="10.714285714285715"/>
    <s v="Credit"/>
    <x v="13"/>
    <m/>
    <m/>
    <m/>
  </r>
  <r>
    <d v="2024-08-13T00:00:00"/>
    <d v="1899-12-30T12:58:00"/>
    <s v="Scones"/>
    <n v="1"/>
    <n v="10"/>
    <n v="8.3333333333333339"/>
    <n v="1.6666666666666661"/>
    <s v="Credit"/>
    <x v="13"/>
    <m/>
    <m/>
    <m/>
  </r>
  <r>
    <d v="2024-08-13T00:00:00"/>
    <d v="1899-12-30T13:32:00"/>
    <s v="soda 350ml plastic"/>
    <n v="1"/>
    <n v="50"/>
    <n v="41.666666666666664"/>
    <n v="8.3333333333333357"/>
    <s v="Mpesa"/>
    <x v="2"/>
    <m/>
    <m/>
    <m/>
  </r>
  <r>
    <d v="2024-08-13T00:00:00"/>
    <d v="1899-12-30T13:32:00"/>
    <s v="eggs"/>
    <n v="2"/>
    <n v="40"/>
    <n v="28.666666666666668"/>
    <n v="11.333333333333332"/>
    <s v="Mpesa"/>
    <x v="2"/>
    <m/>
    <m/>
    <m/>
  </r>
  <r>
    <d v="2024-08-13T00:00:00"/>
    <d v="1899-12-30T13:39:00"/>
    <s v="Mt Kenya milk 200ml"/>
    <n v="1"/>
    <n v="35"/>
    <n v="24.285714285714285"/>
    <n v="10.714285714285715"/>
    <s v="Cash"/>
    <x v="2"/>
    <m/>
    <m/>
    <m/>
  </r>
  <r>
    <d v="2024-08-13T00:00:00"/>
    <d v="1899-12-30T14:07:00"/>
    <s v="predator"/>
    <n v="1"/>
    <n v="70"/>
    <n v="54.166666666666664"/>
    <n v="15.833333333333336"/>
    <s v="Credit"/>
    <x v="19"/>
    <m/>
    <m/>
    <m/>
  </r>
  <r>
    <d v="2024-08-13T00:00:00"/>
    <d v="1899-12-30T14:07:00"/>
    <s v="Peanut Cookies"/>
    <n v="1"/>
    <n v="35"/>
    <n v="25"/>
    <n v="10"/>
    <s v="Credit"/>
    <x v="19"/>
    <m/>
    <m/>
    <m/>
  </r>
  <r>
    <d v="2024-08-13T00:00:00"/>
    <d v="1899-12-30T14:27:00"/>
    <s v="omo 20g"/>
    <n v="1"/>
    <n v="15"/>
    <n v="9.1666666666666661"/>
    <n v="5.8333333333333339"/>
    <s v="Cash"/>
    <x v="2"/>
    <m/>
    <m/>
    <m/>
  </r>
  <r>
    <d v="2024-08-13T00:00:00"/>
    <d v="1899-12-30T14:27:00"/>
    <s v="Menengai Bar 1kg"/>
    <n v="2"/>
    <n v="500"/>
    <n v="380"/>
    <n v="120"/>
    <s v="Cash"/>
    <x v="2"/>
    <m/>
    <m/>
    <m/>
  </r>
  <r>
    <d v="2024-08-13T00:00:00"/>
    <d v="1899-12-30T14:27:00"/>
    <s v="Nuvita Bisquit"/>
    <n v="3"/>
    <n v="15"/>
    <n v="12.5"/>
    <n v="2.5"/>
    <s v="Cash"/>
    <x v="2"/>
    <m/>
    <m/>
    <m/>
  </r>
  <r>
    <d v="2024-08-13T00:00:00"/>
    <d v="1899-12-30T15:09:00"/>
    <s v="Goodday Cookies"/>
    <n v="4"/>
    <n v="60"/>
    <n v="37.333333333333336"/>
    <n v="22.666666666666664"/>
    <s v="Mpesa"/>
    <x v="2"/>
    <m/>
    <m/>
    <m/>
  </r>
  <r>
    <d v="2024-08-13T00:00:00"/>
    <d v="1899-12-30T15:19:00"/>
    <s v="Indomie beef"/>
    <n v="1"/>
    <n v="50"/>
    <n v="38"/>
    <n v="12"/>
    <s v="Mpesa"/>
    <x v="2"/>
    <m/>
    <m/>
    <m/>
  </r>
  <r>
    <d v="2024-08-13T00:00:00"/>
    <d v="1899-12-30T15:19:00"/>
    <s v="Indomie chicken"/>
    <n v="1"/>
    <n v="50"/>
    <n v="37.5"/>
    <n v="12.5"/>
    <s v="Mpesa"/>
    <x v="2"/>
    <m/>
    <m/>
    <m/>
  </r>
  <r>
    <d v="2024-08-13T00:00:00"/>
    <d v="1899-12-30T15:19:00"/>
    <s v="Ngumu"/>
    <n v="3"/>
    <n v="30"/>
    <n v="25"/>
    <n v="5"/>
    <s v="Mpesa"/>
    <x v="2"/>
    <m/>
    <m/>
    <m/>
  </r>
  <r>
    <d v="2024-08-13T00:00:00"/>
    <d v="1899-12-30T15:25:00"/>
    <s v="Gumballs"/>
    <n v="5"/>
    <n v="5"/>
    <n v="3.5"/>
    <n v="1.5"/>
    <s v="Cash"/>
    <x v="2"/>
    <m/>
    <m/>
    <m/>
  </r>
  <r>
    <d v="2024-08-13T00:00:00"/>
    <d v="1899-12-30T15:52:00"/>
    <s v="Bigdaddy"/>
    <n v="5"/>
    <n v="50"/>
    <n v="30"/>
    <n v="20"/>
    <s v="Cash"/>
    <x v="2"/>
    <m/>
    <m/>
    <m/>
  </r>
  <r>
    <d v="2024-08-13T00:00:00"/>
    <d v="1899-12-30T15:56:00"/>
    <s v="Gomba"/>
    <n v="2"/>
    <n v="5"/>
    <n v="3.6"/>
    <n v="1.4"/>
    <s v="Cash"/>
    <x v="2"/>
    <m/>
    <m/>
    <m/>
  </r>
  <r>
    <d v="2024-08-13T00:00:00"/>
    <d v="1899-12-30T16:12:00"/>
    <s v="soda 500ml glass"/>
    <n v="3"/>
    <n v="165"/>
    <n v="150"/>
    <n v="15"/>
    <s v="Credit"/>
    <x v="21"/>
    <m/>
    <m/>
    <m/>
  </r>
  <r>
    <d v="2024-08-13T00:00:00"/>
    <d v="1899-12-30T16:44:00"/>
    <s v="Bigboss"/>
    <n v="6"/>
    <n v="30"/>
    <n v="21"/>
    <n v="9"/>
    <s v="Mpesa"/>
    <x v="2"/>
    <m/>
    <m/>
    <m/>
  </r>
  <r>
    <d v="2024-08-13T00:00:00"/>
    <d v="1899-12-30T16:44:00"/>
    <s v="Nuvita Bisquit"/>
    <n v="2"/>
    <n v="10"/>
    <n v="8.3333333333333339"/>
    <n v="1.6666666666666661"/>
    <s v="Mpesa"/>
    <x v="2"/>
    <m/>
    <m/>
    <m/>
  </r>
  <r>
    <d v="2024-08-13T00:00:00"/>
    <d v="1899-12-30T17:08:00"/>
    <s v="T.Heat Potato crisps salted 25g"/>
    <n v="1"/>
    <n v="30"/>
    <n v="22.916666666666668"/>
    <n v="7.0833333333333321"/>
    <s v="Cash"/>
    <x v="2"/>
    <m/>
    <m/>
    <m/>
  </r>
  <r>
    <d v="2024-08-13T00:00:00"/>
    <d v="1899-12-30T17:08:00"/>
    <s v="Queen cake"/>
    <n v="1"/>
    <n v="10"/>
    <n v="8.3333333333333339"/>
    <n v="1.6666666666666661"/>
    <s v="Cash"/>
    <x v="2"/>
    <m/>
    <m/>
    <m/>
  </r>
  <r>
    <d v="2024-08-13T00:00:00"/>
    <d v="1899-12-30T17:08:00"/>
    <s v="Bigboss"/>
    <n v="2"/>
    <n v="10"/>
    <n v="7"/>
    <n v="3"/>
    <s v="Cash"/>
    <x v="2"/>
    <m/>
    <m/>
    <m/>
  </r>
  <r>
    <d v="2024-08-13T00:00:00"/>
    <d v="1899-12-30T17:48:00"/>
    <s v="Lollipop"/>
    <n v="1"/>
    <n v="5"/>
    <n v="2.4"/>
    <n v="2.6"/>
    <s v="Cash"/>
    <x v="2"/>
    <m/>
    <m/>
    <m/>
  </r>
  <r>
    <d v="2024-08-13T00:00:00"/>
    <d v="1899-12-30T17:48:00"/>
    <s v="Scones"/>
    <n v="1"/>
    <n v="10"/>
    <n v="8.3333333333333339"/>
    <n v="1.6666666666666661"/>
    <s v="Cash"/>
    <x v="2"/>
    <m/>
    <m/>
    <m/>
  </r>
  <r>
    <d v="2024-08-13T00:00:00"/>
    <d v="1899-12-30T17:48:00"/>
    <s v="Tamu  Tamu Green"/>
    <n v="1"/>
    <n v="15"/>
    <n v="8.6"/>
    <n v="6.4"/>
    <s v="Cash"/>
    <x v="2"/>
    <m/>
    <m/>
    <m/>
  </r>
  <r>
    <d v="2024-08-13T00:00:00"/>
    <d v="1899-12-30T18:00:00"/>
    <s v="1ltr Brookside Lala Sweetened"/>
    <n v="1"/>
    <n v="190"/>
    <n v="173"/>
    <n v="17"/>
    <s v="Credit"/>
    <x v="10"/>
    <m/>
    <m/>
    <m/>
  </r>
  <r>
    <d v="2024-08-13T00:00:00"/>
    <d v="1899-12-30T18:36:00"/>
    <s v="Onion"/>
    <n v="1"/>
    <n v="10"/>
    <n v="8"/>
    <n v="2"/>
    <s v="Mpesa"/>
    <x v="2"/>
    <m/>
    <m/>
    <m/>
  </r>
  <r>
    <d v="2024-08-13T00:00:00"/>
    <d v="1899-12-30T18:43:00"/>
    <s v="BB Bread 400g"/>
    <n v="1"/>
    <n v="65"/>
    <n v="60"/>
    <n v="5"/>
    <s v="Cash"/>
    <x v="2"/>
    <m/>
    <m/>
    <m/>
  </r>
  <r>
    <d v="2024-08-13T00:00:00"/>
    <d v="1899-12-30T19:10:00"/>
    <s v="Maramoja"/>
    <n v="2"/>
    <n v="20"/>
    <n v="14"/>
    <n v="6"/>
    <s v="Cash"/>
    <x v="2"/>
    <m/>
    <m/>
    <m/>
  </r>
  <r>
    <d v="2024-08-13T00:00:00"/>
    <d v="1899-12-30T19:10:00"/>
    <s v="Bigdaddy"/>
    <n v="1"/>
    <n v="10"/>
    <n v="6"/>
    <n v="4"/>
    <s v="Cash"/>
    <x v="2"/>
    <m/>
    <m/>
    <m/>
  </r>
  <r>
    <d v="2024-08-13T00:00:00"/>
    <d v="1899-12-30T19:11:00"/>
    <s v="Mandazi"/>
    <n v="4"/>
    <n v="20"/>
    <n v="16.666666666666668"/>
    <n v="3.3333333333333321"/>
    <s v="Mpesa"/>
    <x v="2"/>
    <m/>
    <m/>
    <m/>
  </r>
  <r>
    <d v="2024-08-13T00:00:00"/>
    <d v="1899-12-30T19:51:00"/>
    <s v="210 Maize Meal 2kg"/>
    <n v="1"/>
    <n v="160"/>
    <n v="117.08333333333333"/>
    <n v="42.916666666666671"/>
    <s v="Credit"/>
    <x v="19"/>
    <m/>
    <m/>
    <m/>
  </r>
  <r>
    <d v="2024-08-13T00:00:00"/>
    <d v="1899-12-30T19:51:00"/>
    <s v="Cooking Oil Measured"/>
    <n v="0.5"/>
    <n v="140"/>
    <n v="100"/>
    <n v="40"/>
    <s v="Credit"/>
    <x v="19"/>
    <m/>
    <m/>
    <m/>
  </r>
  <r>
    <d v="2024-08-13T00:00:00"/>
    <d v="1899-12-30T19:52:00"/>
    <s v="Cooking Oil Measured"/>
    <n v="0.5"/>
    <n v="140"/>
    <n v="100"/>
    <n v="40"/>
    <s v="Credit"/>
    <x v="33"/>
    <s v="Mum Victor"/>
    <n v="40"/>
    <s v="Cash"/>
  </r>
  <r>
    <d v="2024-08-13T00:00:00"/>
    <d v="1899-12-30T20:01:00"/>
    <s v="Brookside milk 500ml"/>
    <n v="3"/>
    <n v="210"/>
    <n v="177"/>
    <n v="33"/>
    <s v="Credit"/>
    <x v="7"/>
    <s v="Mum Victor"/>
    <n v="1600"/>
    <s v="Mpesa"/>
  </r>
  <r>
    <d v="2024-08-13T00:00:00"/>
    <d v="1899-12-30T20:02:00"/>
    <s v="Cooking Oil Measured"/>
    <n v="0.5"/>
    <n v="140"/>
    <n v="100"/>
    <n v="40"/>
    <s v="Cash"/>
    <x v="2"/>
    <m/>
    <m/>
    <m/>
  </r>
  <r>
    <d v="2024-08-13T00:00:00"/>
    <d v="1899-12-30T20:02:00"/>
    <s v="Tomatoes"/>
    <n v="2"/>
    <n v="20"/>
    <n v="10"/>
    <n v="10"/>
    <s v="Mpesa"/>
    <x v="2"/>
    <m/>
    <m/>
    <m/>
  </r>
  <r>
    <d v="2024-08-13T00:00:00"/>
    <d v="1899-12-30T20:02:00"/>
    <s v="Onion"/>
    <n v="2"/>
    <n v="20"/>
    <n v="16"/>
    <n v="4"/>
    <s v="Mpesa"/>
    <x v="2"/>
    <m/>
    <m/>
    <m/>
  </r>
  <r>
    <d v="2024-08-13T00:00:00"/>
    <d v="1899-12-30T20:02:00"/>
    <s v="Royco cubes"/>
    <n v="2"/>
    <n v="10"/>
    <n v="6"/>
    <n v="4"/>
    <s v="Mpesa"/>
    <x v="2"/>
    <m/>
    <m/>
    <m/>
  </r>
  <r>
    <d v="2024-08-13T00:00:00"/>
    <d v="1899-12-30T20:30:00"/>
    <s v="Match Box"/>
    <n v="1"/>
    <n v="5"/>
    <n v="2.3611111111111112"/>
    <n v="2.6388888888888888"/>
    <s v="Credit"/>
    <x v="19"/>
    <m/>
    <m/>
    <m/>
  </r>
  <r>
    <d v="2024-08-13T00:00:00"/>
    <d v="1899-12-30T20:49:00"/>
    <s v="Peanut Cookies"/>
    <n v="1"/>
    <n v="35"/>
    <n v="25"/>
    <n v="10"/>
    <s v="Mpesa"/>
    <x v="2"/>
    <m/>
    <m/>
    <m/>
  </r>
  <r>
    <d v="2024-08-13T00:00:00"/>
    <d v="1899-12-30T21:20:00"/>
    <s v="Kienyeji  Eggs"/>
    <n v="2"/>
    <n v="60"/>
    <n v="40"/>
    <n v="20"/>
    <s v="Credit"/>
    <x v="16"/>
    <m/>
    <m/>
    <m/>
  </r>
  <r>
    <d v="2024-08-13T00:00:00"/>
    <d v="1899-12-30T21:20:00"/>
    <s v="Onion"/>
    <n v="1"/>
    <n v="10"/>
    <n v="8"/>
    <n v="2"/>
    <s v="Credit"/>
    <x v="16"/>
    <m/>
    <m/>
    <m/>
  </r>
  <r>
    <d v="2024-08-13T00:00:00"/>
    <d v="1899-12-30T21:20:00"/>
    <s v="Kinangop Fresh Milk 500ml"/>
    <n v="1"/>
    <n v="60"/>
    <n v="55"/>
    <n v="5"/>
    <s v="Credit"/>
    <x v="8"/>
    <m/>
    <m/>
    <m/>
  </r>
  <r>
    <d v="2024-08-13T00:00:00"/>
    <d v="1899-12-30T21:20:00"/>
    <s v="soda 350ml plastic"/>
    <n v="1"/>
    <n v="50"/>
    <n v="41.666666666666664"/>
    <n v="8.3333333333333357"/>
    <s v="Credit"/>
    <x v="8"/>
    <m/>
    <m/>
    <m/>
  </r>
  <r>
    <d v="2024-08-14T00:00:00"/>
    <d v="1899-12-30T08:09:00"/>
    <s v="BB Bread 400g"/>
    <n v="1"/>
    <n v="65"/>
    <n v="60"/>
    <n v="5"/>
    <s v="Mpesa"/>
    <x v="2"/>
    <m/>
    <m/>
    <m/>
  </r>
  <r>
    <d v="2024-08-14T00:00:00"/>
    <d v="1899-12-30T08:09:00"/>
    <s v="Kinangop Fresh Milk 500ml"/>
    <n v="1"/>
    <n v="60"/>
    <n v="55"/>
    <n v="5"/>
    <s v="Mpesa"/>
    <x v="2"/>
    <m/>
    <m/>
    <m/>
  </r>
  <r>
    <d v="2024-08-14T00:00:00"/>
    <d v="1899-12-30T08:10:00"/>
    <s v="Festive Bread 400g"/>
    <n v="2"/>
    <n v="130"/>
    <n v="120"/>
    <n v="10"/>
    <s v="Cash"/>
    <x v="2"/>
    <m/>
    <m/>
    <m/>
  </r>
  <r>
    <d v="2024-08-14T00:00:00"/>
    <d v="1899-12-30T08:12:00"/>
    <s v="Brookside milk 500ml"/>
    <n v="3"/>
    <n v="210"/>
    <n v="177"/>
    <n v="33"/>
    <s v="Cash"/>
    <x v="2"/>
    <m/>
    <m/>
    <m/>
  </r>
  <r>
    <d v="2024-08-14T00:00:00"/>
    <d v="1899-12-30T08:25:00"/>
    <s v="BB Bread 400g"/>
    <n v="2"/>
    <n v="130"/>
    <n v="120"/>
    <n v="10"/>
    <s v="Cash"/>
    <x v="2"/>
    <m/>
    <m/>
    <m/>
  </r>
  <r>
    <d v="2024-08-14T00:00:00"/>
    <d v="1899-12-30T09:09:00"/>
    <s v="Sportsman"/>
    <n v="1"/>
    <n v="20"/>
    <n v="13"/>
    <n v="7"/>
    <s v="Cash"/>
    <x v="2"/>
    <m/>
    <m/>
    <m/>
  </r>
  <r>
    <d v="2024-08-14T00:00:00"/>
    <d v="1899-12-30T09:50:00"/>
    <s v="Nuvita Bisquit"/>
    <n v="6"/>
    <n v="30"/>
    <n v="25"/>
    <n v="5"/>
    <s v="Cash"/>
    <x v="2"/>
    <m/>
    <m/>
    <m/>
  </r>
  <r>
    <d v="2024-08-14T00:00:00"/>
    <d v="1899-12-30T10:11:00"/>
    <s v="predator"/>
    <n v="1"/>
    <n v="70"/>
    <n v="54.166666666666664"/>
    <n v="15.833333333333336"/>
    <s v="Mpesa"/>
    <x v="2"/>
    <m/>
    <m/>
    <m/>
  </r>
  <r>
    <d v="2024-08-14T00:00:00"/>
    <d v="1899-12-30T10:11:00"/>
    <s v="Peanut Cookies"/>
    <n v="1"/>
    <n v="35"/>
    <n v="25"/>
    <n v="10"/>
    <s v="Mpesa"/>
    <x v="2"/>
    <m/>
    <m/>
    <m/>
  </r>
  <r>
    <d v="2024-08-14T00:00:00"/>
    <d v="1899-12-30T10:21:00"/>
    <s v="BB Bread 400g"/>
    <n v="1"/>
    <n v="65"/>
    <n v="60"/>
    <n v="5"/>
    <s v="Mpesa"/>
    <x v="2"/>
    <m/>
    <m/>
    <m/>
  </r>
  <r>
    <d v="2024-08-14T00:00:00"/>
    <d v="1899-12-30T11:57:00"/>
    <s v="Ringoz Barbeque"/>
    <n v="2"/>
    <n v="30"/>
    <n v="17.2"/>
    <n v="12.8"/>
    <s v="Cash"/>
    <x v="2"/>
    <m/>
    <m/>
    <m/>
  </r>
  <r>
    <d v="2024-08-14T00:00:00"/>
    <d v="1899-12-30T11:57:00"/>
    <s v="Choc-chip Cookies"/>
    <n v="1"/>
    <n v="35"/>
    <n v="25"/>
    <n v="10"/>
    <s v="Cash"/>
    <x v="2"/>
    <m/>
    <m/>
    <m/>
  </r>
  <r>
    <d v="2024-08-14T00:00:00"/>
    <d v="1899-12-30T13:12:00"/>
    <s v="5ltrs water"/>
    <n v="1"/>
    <n v="120"/>
    <n v="75"/>
    <n v="45"/>
    <s v="Mpesa"/>
    <x v="2"/>
    <m/>
    <m/>
    <m/>
  </r>
  <r>
    <d v="2024-08-14T00:00:00"/>
    <d v="1899-12-30T13:12:00"/>
    <s v="scooter cans"/>
    <n v="1"/>
    <n v="15"/>
    <n v="15"/>
    <n v="0"/>
    <s v="Mpesa"/>
    <x v="2"/>
    <m/>
    <m/>
    <m/>
  </r>
  <r>
    <d v="2024-08-14T00:00:00"/>
    <d v="1899-12-30T13:12:00"/>
    <s v="Bigboss"/>
    <n v="1"/>
    <n v="5"/>
    <n v="3.5"/>
    <n v="1.5"/>
    <s v="Cash"/>
    <x v="2"/>
    <m/>
    <m/>
    <m/>
  </r>
  <r>
    <d v="2024-08-14T00:00:00"/>
    <d v="1899-12-30T13:20:00"/>
    <s v="eggs"/>
    <n v="2"/>
    <n v="40"/>
    <n v="28.666666666666668"/>
    <n v="11.333333333333332"/>
    <s v="Mpesa"/>
    <x v="2"/>
    <m/>
    <m/>
    <m/>
  </r>
  <r>
    <d v="2024-08-14T00:00:00"/>
    <d v="1899-12-30T13:57:00"/>
    <s v="Battery AAA"/>
    <n v="1"/>
    <n v="15"/>
    <n v="10"/>
    <n v="5"/>
    <s v="Mpesa"/>
    <x v="2"/>
    <m/>
    <m/>
    <m/>
  </r>
  <r>
    <d v="2024-08-14T00:00:00"/>
    <d v="1899-12-30T14:24:00"/>
    <s v="Menengai Bar 1kg"/>
    <n v="0.2"/>
    <n v="50"/>
    <n v="38"/>
    <n v="12"/>
    <s v="Mpesa"/>
    <x v="2"/>
    <m/>
    <m/>
    <m/>
  </r>
  <r>
    <d v="2024-08-14T00:00:00"/>
    <d v="1899-12-30T14:27:00"/>
    <s v="Indomie chicken"/>
    <n v="4"/>
    <n v="200"/>
    <n v="150"/>
    <n v="50"/>
    <s v="Mpesa"/>
    <x v="2"/>
    <m/>
    <m/>
    <m/>
  </r>
  <r>
    <d v="2024-08-14T00:00:00"/>
    <d v="1899-12-30T14:28:00"/>
    <s v="1.5ltrs water"/>
    <n v="1"/>
    <n v="70"/>
    <n v="25"/>
    <n v="45"/>
    <s v="Cash"/>
    <x v="2"/>
    <m/>
    <m/>
    <m/>
  </r>
  <r>
    <d v="2024-08-14T00:00:00"/>
    <d v="1899-12-30T14:30:00"/>
    <s v="Icepop"/>
    <n v="3"/>
    <n v="45"/>
    <n v="22.5"/>
    <n v="22.5"/>
    <s v="Cash"/>
    <x v="2"/>
    <m/>
    <m/>
    <m/>
  </r>
  <r>
    <d v="2024-08-14T00:00:00"/>
    <d v="1899-12-30T14:30:00"/>
    <s v="Patco"/>
    <n v="2"/>
    <n v="5"/>
    <n v="2.4"/>
    <n v="2.6"/>
    <s v="Cash"/>
    <x v="2"/>
    <m/>
    <m/>
    <m/>
  </r>
  <r>
    <d v="2024-08-14T00:00:00"/>
    <d v="1899-12-30T14:31:00"/>
    <s v="Icepop"/>
    <n v="2"/>
    <n v="30"/>
    <n v="15"/>
    <n v="15"/>
    <s v="Cash"/>
    <x v="2"/>
    <m/>
    <m/>
    <m/>
  </r>
  <r>
    <d v="2024-08-14T00:00:00"/>
    <d v="1899-12-30T14:32:00"/>
    <s v="Gomba"/>
    <n v="4"/>
    <n v="10"/>
    <n v="7.2"/>
    <n v="2.8"/>
    <s v="Cash"/>
    <x v="2"/>
    <m/>
    <m/>
    <m/>
  </r>
  <r>
    <d v="2024-08-14T00:00:00"/>
    <d v="1899-12-30T14:33:00"/>
    <s v="scooter cans"/>
    <n v="1"/>
    <n v="15"/>
    <n v="15"/>
    <n v="0"/>
    <s v="Cash"/>
    <x v="2"/>
    <m/>
    <m/>
    <m/>
  </r>
  <r>
    <d v="2024-08-14T00:00:00"/>
    <d v="1899-12-30T14:34:00"/>
    <s v="Bigdaddy"/>
    <n v="2"/>
    <n v="20"/>
    <n v="12"/>
    <n v="8"/>
    <s v="Cash"/>
    <x v="2"/>
    <m/>
    <m/>
    <m/>
  </r>
  <r>
    <d v="2024-08-14T00:00:00"/>
    <d v="1899-12-30T14:34:00"/>
    <s v="coo"/>
    <n v="6"/>
    <n v="15"/>
    <n v="7.1999999999999993"/>
    <n v="7.8000000000000007"/>
    <s v="Cash"/>
    <x v="2"/>
    <m/>
    <m/>
    <m/>
  </r>
  <r>
    <d v="2024-08-14T00:00:00"/>
    <d v="1899-12-30T14:35:00"/>
    <s v="Fahari Tea 50g"/>
    <n v="1"/>
    <n v="30"/>
    <n v="17.5"/>
    <n v="12.5"/>
    <s v="Cash"/>
    <x v="2"/>
    <m/>
    <m/>
    <m/>
  </r>
  <r>
    <d v="2024-08-14T00:00:00"/>
    <d v="1899-12-30T14:35:00"/>
    <s v="soda 500ml glass"/>
    <n v="1"/>
    <n v="55"/>
    <n v="50"/>
    <n v="5"/>
    <s v="Mpesa"/>
    <x v="2"/>
    <m/>
    <m/>
    <m/>
  </r>
  <r>
    <d v="2024-08-14T00:00:00"/>
    <d v="1899-12-30T14:35:00"/>
    <s v="coo"/>
    <n v="2"/>
    <n v="5"/>
    <n v="2.4"/>
    <n v="2.6"/>
    <s v="Cash"/>
    <x v="2"/>
    <m/>
    <m/>
    <m/>
  </r>
  <r>
    <d v="2024-08-14T00:00:00"/>
    <d v="1899-12-30T14:36:00"/>
    <s v="Indomie chicken"/>
    <n v="1"/>
    <n v="50"/>
    <n v="37.5"/>
    <n v="12.5"/>
    <s v="Mpesa"/>
    <x v="2"/>
    <m/>
    <m/>
    <m/>
  </r>
  <r>
    <d v="2024-08-14T00:00:00"/>
    <d v="1899-12-30T16:05:00"/>
    <s v="Bigboss"/>
    <n v="4"/>
    <n v="20"/>
    <n v="14"/>
    <n v="6"/>
    <s v="Cash"/>
    <x v="2"/>
    <m/>
    <m/>
    <m/>
  </r>
  <r>
    <d v="2024-08-14T00:00:00"/>
    <d v="1899-12-30T16:06:00"/>
    <s v="Tamu  Tamu Green"/>
    <n v="4"/>
    <n v="60"/>
    <n v="34.4"/>
    <n v="25.6"/>
    <s v="Cash"/>
    <x v="2"/>
    <m/>
    <m/>
    <m/>
  </r>
  <r>
    <d v="2024-08-14T00:00:00"/>
    <d v="1899-12-30T16:06:00"/>
    <s v="Nuvita Bisquit"/>
    <n v="3"/>
    <n v="15"/>
    <n v="12.5"/>
    <n v="2.5"/>
    <s v="Cash"/>
    <x v="2"/>
    <m/>
    <m/>
    <m/>
  </r>
  <r>
    <d v="2024-08-14T00:00:00"/>
    <d v="1899-12-30T16:11:00"/>
    <s v="kensalt 200g"/>
    <n v="2"/>
    <n v="30"/>
    <n v="11"/>
    <n v="19"/>
    <s v="Cash"/>
    <x v="2"/>
    <m/>
    <m/>
    <m/>
  </r>
  <r>
    <d v="2024-08-14T00:00:00"/>
    <d v="1899-12-30T16:11:00"/>
    <s v="kensalt 500g"/>
    <n v="2"/>
    <n v="50"/>
    <n v="28"/>
    <n v="22"/>
    <s v="Cash"/>
    <x v="2"/>
    <m/>
    <m/>
    <m/>
  </r>
  <r>
    <d v="2024-08-14T00:00:00"/>
    <d v="1899-12-30T17:26:00"/>
    <s v="Banana"/>
    <n v="2"/>
    <n v="20"/>
    <n v="16.666666666666668"/>
    <n v="3.3333333333333321"/>
    <s v="Cash"/>
    <x v="2"/>
    <m/>
    <m/>
    <m/>
  </r>
  <r>
    <d v="2024-08-14T00:00:00"/>
    <d v="1899-12-30T17:31:00"/>
    <s v="Sportsman"/>
    <n v="2"/>
    <n v="40"/>
    <n v="26"/>
    <n v="14"/>
    <s v="Mpesa"/>
    <x v="2"/>
    <m/>
    <m/>
    <m/>
  </r>
  <r>
    <d v="2024-08-14T00:00:00"/>
    <d v="1899-12-30T17:31:00"/>
    <s v="ariel 10g"/>
    <n v="1"/>
    <n v="15"/>
    <n v="9.1666666666666661"/>
    <n v="5.8333333333333339"/>
    <s v="Mpesa"/>
    <x v="2"/>
    <m/>
    <m/>
    <m/>
  </r>
  <r>
    <d v="2024-08-14T00:00:00"/>
    <d v="1899-12-30T17:33:00"/>
    <s v="Airtel 20 Credit"/>
    <n v="2"/>
    <n v="40"/>
    <n v="36"/>
    <n v="4"/>
    <s v="Cash"/>
    <x v="2"/>
    <m/>
    <m/>
    <m/>
  </r>
  <r>
    <d v="2024-08-14T00:00:00"/>
    <d v="1899-12-30T17:31:00"/>
    <s v="Canned cookies"/>
    <n v="1"/>
    <n v="60"/>
    <n v="50"/>
    <n v="10"/>
    <s v="Mpesa"/>
    <x v="2"/>
    <m/>
    <m/>
    <m/>
  </r>
  <r>
    <d v="2024-08-14T00:00:00"/>
    <d v="1899-12-30T17:54:00"/>
    <s v="Kdf"/>
    <n v="4"/>
    <n v="40"/>
    <n v="33.333333333333336"/>
    <n v="6.6666666666666643"/>
    <s v="Cash"/>
    <x v="2"/>
    <m/>
    <m/>
    <m/>
  </r>
  <r>
    <d v="2024-08-14T00:00:00"/>
    <d v="1899-12-30T18:17:00"/>
    <s v="Lollipop"/>
    <n v="2"/>
    <n v="10"/>
    <n v="4.8"/>
    <n v="5.2"/>
    <s v="Mpesa"/>
    <x v="2"/>
    <m/>
    <m/>
    <m/>
  </r>
  <r>
    <d v="2024-08-14T00:00:00"/>
    <d v="1899-12-30T18:21:00"/>
    <s v="nylon papers"/>
    <n v="1"/>
    <n v="100"/>
    <n v="70"/>
    <n v="30"/>
    <s v="Credit"/>
    <x v="25"/>
    <m/>
    <m/>
    <m/>
  </r>
  <r>
    <d v="2024-08-14T00:00:00"/>
    <d v="1899-12-30T18:51:00"/>
    <s v="Kienyeji  Eggs"/>
    <n v="5"/>
    <n v="150"/>
    <n v="100"/>
    <n v="50"/>
    <s v="Credit"/>
    <x v="12"/>
    <m/>
    <m/>
    <m/>
  </r>
  <r>
    <d v="2024-08-14T00:00:00"/>
    <d v="1899-12-30T18:51:00"/>
    <s v="eggs"/>
    <n v="5"/>
    <n v="100"/>
    <n v="71.666666666666671"/>
    <n v="28.333333333333329"/>
    <s v="Credit"/>
    <x v="12"/>
    <s v="Pauline"/>
    <n v="225"/>
    <s v="Mpesa"/>
  </r>
  <r>
    <d v="2024-08-14T00:00:00"/>
    <d v="1899-12-30T19:05:00"/>
    <s v="Sportsman"/>
    <n v="2"/>
    <n v="40"/>
    <n v="26"/>
    <n v="14"/>
    <s v="Mpesa"/>
    <x v="2"/>
    <m/>
    <m/>
    <m/>
  </r>
  <r>
    <d v="2024-08-14T00:00:00"/>
    <d v="1899-12-30T19:15:00"/>
    <s v="eggs"/>
    <n v="2"/>
    <n v="40"/>
    <n v="28.666666666666668"/>
    <n v="11.333333333333332"/>
    <s v="Credit"/>
    <x v="19"/>
    <m/>
    <m/>
    <m/>
  </r>
  <r>
    <d v="2024-08-14T00:00:00"/>
    <d v="1899-12-30T19:15:00"/>
    <s v="Onion"/>
    <n v="1"/>
    <n v="10"/>
    <n v="8"/>
    <n v="2"/>
    <s v="Credit"/>
    <x v="19"/>
    <m/>
    <m/>
    <m/>
  </r>
  <r>
    <d v="2024-08-14T00:00:00"/>
    <d v="1899-12-30T19:16:00"/>
    <s v="Nescafe 1.5g"/>
    <n v="1"/>
    <n v="15"/>
    <n v="9.1666666666666661"/>
    <n v="5.8333333333333339"/>
    <s v="Mpesa"/>
    <x v="2"/>
    <m/>
    <m/>
    <m/>
  </r>
  <r>
    <d v="2024-08-14T00:00:00"/>
    <d v="1899-12-30T19:16:00"/>
    <s v="Colgate 35g"/>
    <n v="1"/>
    <n v="80"/>
    <n v="62.5"/>
    <n v="17.5"/>
    <s v="Mpesa"/>
    <x v="2"/>
    <m/>
    <m/>
    <m/>
  </r>
  <r>
    <d v="2024-08-14T00:00:00"/>
    <d v="1899-12-30T19:16:00"/>
    <s v="Drinking Chocolate 20g"/>
    <n v="1"/>
    <n v="20"/>
    <n v="10.416666666666666"/>
    <n v="9.5833333333333339"/>
    <s v="Mpesa"/>
    <x v="2"/>
    <m/>
    <m/>
    <m/>
  </r>
  <r>
    <d v="2024-08-14T00:00:00"/>
    <d v="1899-12-30T19:16:00"/>
    <s v="Festive Bread 400g"/>
    <n v="1"/>
    <n v="65"/>
    <n v="60"/>
    <n v="5"/>
    <s v="Mpesa"/>
    <x v="2"/>
    <m/>
    <m/>
    <m/>
  </r>
  <r>
    <d v="2024-08-14T00:00:00"/>
    <d v="1899-12-30T19:28:00"/>
    <s v="eggs"/>
    <n v="5"/>
    <n v="100"/>
    <n v="71.666666666666671"/>
    <n v="28.333333333333329"/>
    <s v="Mpesa"/>
    <x v="2"/>
    <m/>
    <m/>
    <m/>
  </r>
  <r>
    <d v="2024-08-14T00:00:00"/>
    <d v="1899-12-30T19:28:00"/>
    <s v="Festive Bread 400g"/>
    <n v="1"/>
    <n v="65"/>
    <n v="60"/>
    <n v="5"/>
    <s v="Mpesa"/>
    <x v="2"/>
    <m/>
    <m/>
    <m/>
  </r>
  <r>
    <d v="2024-08-14T00:00:00"/>
    <d v="1899-12-30T19:28:00"/>
    <s v="Kinangop Fresh Milk 500ml"/>
    <n v="1"/>
    <n v="60"/>
    <n v="55"/>
    <n v="5"/>
    <s v="Cash"/>
    <x v="2"/>
    <m/>
    <m/>
    <m/>
  </r>
  <r>
    <d v="2024-08-14T00:00:00"/>
    <d v="1899-12-30T20:24:00"/>
    <s v="waru"/>
    <n v="2"/>
    <n v="100"/>
    <n v="59.999999999999993"/>
    <n v="40.000000000000007"/>
    <s v="Credit"/>
    <x v="8"/>
    <m/>
    <m/>
    <m/>
  </r>
  <r>
    <d v="2024-08-14T00:00:00"/>
    <d v="1899-12-30T20:24:00"/>
    <s v="Kinangop Fresh Milk 500ml"/>
    <n v="1"/>
    <n v="60"/>
    <n v="55"/>
    <n v="5"/>
    <s v="Credit"/>
    <x v="8"/>
    <m/>
    <m/>
    <m/>
  </r>
  <r>
    <d v="2024-08-14T00:00:00"/>
    <d v="1899-12-30T20:24:00"/>
    <s v="Mt Kenya milk 200ml"/>
    <n v="3"/>
    <n v="105"/>
    <n v="72.857142857142861"/>
    <n v="32.142857142857139"/>
    <s v="Mpesa"/>
    <x v="2"/>
    <m/>
    <m/>
    <m/>
  </r>
  <r>
    <d v="2024-08-14T00:00:00"/>
    <d v="1899-12-30T20:24:00"/>
    <s v="Festive Bread 400g"/>
    <n v="1"/>
    <n v="65"/>
    <n v="60"/>
    <n v="5"/>
    <s v="Mpesa"/>
    <x v="2"/>
    <m/>
    <m/>
    <m/>
  </r>
  <r>
    <d v="2024-08-14T00:00:00"/>
    <d v="1899-12-30T20:24:00"/>
    <s v="coo"/>
    <n v="40"/>
    <n v="100"/>
    <n v="48"/>
    <n v="52"/>
    <s v="Cash"/>
    <x v="2"/>
    <m/>
    <m/>
    <m/>
  </r>
  <r>
    <d v="2024-08-14T00:00:00"/>
    <d v="1899-12-30T20:24:00"/>
    <s v="Maramoja"/>
    <n v="2"/>
    <n v="20"/>
    <n v="14"/>
    <n v="6"/>
    <s v="Cash"/>
    <x v="2"/>
    <m/>
    <m/>
    <m/>
  </r>
  <r>
    <d v="2024-08-15T00:00:00"/>
    <d v="1899-12-30T08:00:00"/>
    <s v="Sportsman"/>
    <n v="1"/>
    <n v="20"/>
    <n v="13"/>
    <n v="7"/>
    <s v="Cash"/>
    <x v="2"/>
    <m/>
    <m/>
    <m/>
  </r>
  <r>
    <d v="2024-08-15T00:00:00"/>
    <d v="1899-12-30T08:01:00"/>
    <s v="Poa Pekee Tissue"/>
    <n v="1"/>
    <n v="30"/>
    <n v="13.333333333333334"/>
    <n v="16.666666666666664"/>
    <s v="Cash"/>
    <x v="2"/>
    <m/>
    <m/>
    <m/>
  </r>
  <r>
    <d v="2024-08-15T00:00:00"/>
    <d v="1899-12-30T08:02:00"/>
    <s v="BB Bread 400g"/>
    <n v="1"/>
    <n v="65"/>
    <n v="60"/>
    <n v="5"/>
    <s v="Mpesa"/>
    <x v="2"/>
    <m/>
    <m/>
    <m/>
  </r>
  <r>
    <d v="2024-08-15T00:00:00"/>
    <d v="1899-12-30T08:02:00"/>
    <s v="Kinangop Fresh Milk 500ml"/>
    <n v="1"/>
    <n v="60"/>
    <n v="55"/>
    <n v="5"/>
    <s v="Mpesa"/>
    <x v="2"/>
    <m/>
    <m/>
    <m/>
  </r>
  <r>
    <d v="2024-08-15T00:00:00"/>
    <d v="1899-12-30T09:38:00"/>
    <s v="funtime snacks"/>
    <n v="2"/>
    <n v="30"/>
    <n v="18"/>
    <n v="12"/>
    <s v="Cash"/>
    <x v="2"/>
    <m/>
    <m/>
    <m/>
  </r>
  <r>
    <d v="2024-08-15T00:00:00"/>
    <d v="1899-12-30T10:15:00"/>
    <s v="Safaricom 10 Credit"/>
    <n v="3"/>
    <n v="30"/>
    <n v="27"/>
    <n v="3"/>
    <s v="Cash"/>
    <x v="2"/>
    <m/>
    <m/>
    <m/>
  </r>
  <r>
    <d v="2024-08-15T00:00:00"/>
    <d v="1899-12-30T10:19:00"/>
    <s v="Safaricom 10 Credit"/>
    <n v="2"/>
    <n v="20"/>
    <n v="18"/>
    <n v="2"/>
    <s v="Cash"/>
    <x v="2"/>
    <m/>
    <m/>
    <m/>
  </r>
  <r>
    <d v="2024-08-15T00:00:00"/>
    <d v="1899-12-30T10:19:00"/>
    <s v="Airtel 10 Credit"/>
    <n v="2"/>
    <n v="20"/>
    <n v="18"/>
    <n v="2"/>
    <s v="Cash"/>
    <x v="2"/>
    <m/>
    <m/>
    <m/>
  </r>
  <r>
    <d v="2024-08-15T00:00:00"/>
    <d v="1899-12-30T10:19:00"/>
    <s v="Tropical"/>
    <n v="2"/>
    <n v="10"/>
    <n v="3"/>
    <n v="7"/>
    <s v="Cash"/>
    <x v="2"/>
    <m/>
    <m/>
    <m/>
  </r>
  <r>
    <d v="2024-08-15T00:00:00"/>
    <d v="1899-12-30T10:32:00"/>
    <s v="Ginger Bisquit"/>
    <n v="2"/>
    <n v="10"/>
    <n v="8.6666666666666661"/>
    <n v="1.3333333333333339"/>
    <s v="Cash"/>
    <x v="2"/>
    <m/>
    <m/>
    <m/>
  </r>
  <r>
    <d v="2024-08-15T00:00:00"/>
    <d v="1899-12-30T10:32:00"/>
    <s v="Airtel 20 Credit"/>
    <n v="2"/>
    <n v="40"/>
    <n v="36"/>
    <n v="4"/>
    <s v="Cash"/>
    <x v="2"/>
    <m/>
    <m/>
    <m/>
  </r>
  <r>
    <d v="2024-08-15T00:00:00"/>
    <d v="1899-12-30T11:20:00"/>
    <s v="BB Bread 400g"/>
    <n v="2"/>
    <n v="130"/>
    <n v="120"/>
    <n v="10"/>
    <s v="Mpesa"/>
    <x v="2"/>
    <m/>
    <m/>
    <m/>
  </r>
  <r>
    <d v="2024-08-15T00:00:00"/>
    <d v="1899-12-30T11:20:00"/>
    <s v="Sugar 1/2 kg"/>
    <n v="1"/>
    <n v="90"/>
    <n v="60"/>
    <n v="30"/>
    <s v="Mpesa"/>
    <x v="2"/>
    <m/>
    <m/>
    <m/>
  </r>
  <r>
    <d v="2024-08-15T00:00:00"/>
    <d v="1899-12-30T11:38:00"/>
    <s v="Blueband 100g"/>
    <n v="1"/>
    <n v="70"/>
    <n v="58.333333333333336"/>
    <n v="11.666666666666664"/>
    <s v="Mpesa"/>
    <x v="2"/>
    <m/>
    <m/>
    <m/>
  </r>
  <r>
    <d v="2024-08-15T00:00:00"/>
    <d v="1899-12-30T11:38:00"/>
    <s v="eggs"/>
    <n v="2"/>
    <n v="40"/>
    <n v="28.666666666666668"/>
    <n v="11.333333333333332"/>
    <s v="Mpesa"/>
    <x v="2"/>
    <m/>
    <m/>
    <m/>
  </r>
  <r>
    <d v="2024-08-15T00:00:00"/>
    <d v="1899-12-30T12:31:00"/>
    <s v="Queen cake"/>
    <n v="6"/>
    <n v="60"/>
    <n v="50"/>
    <n v="10"/>
    <s v="Cash"/>
    <x v="2"/>
    <m/>
    <m/>
    <m/>
  </r>
  <r>
    <d v="2024-08-15T00:00:00"/>
    <d v="1899-12-30T13:09:00"/>
    <s v="Indomie chicken"/>
    <n v="2"/>
    <n v="100"/>
    <n v="75"/>
    <n v="25"/>
    <s v="Cash"/>
    <x v="2"/>
    <m/>
    <m/>
    <m/>
  </r>
  <r>
    <d v="2024-08-15T00:00:00"/>
    <d v="1899-12-30T13:30:00"/>
    <s v="Baloon"/>
    <n v="4"/>
    <n v="40"/>
    <n v="24"/>
    <n v="16"/>
    <s v="Mpesa"/>
    <x v="2"/>
    <m/>
    <m/>
    <m/>
  </r>
  <r>
    <d v="2024-08-15T00:00:00"/>
    <d v="1899-12-30T13:51:00"/>
    <s v="Kdf"/>
    <n v="1"/>
    <n v="10"/>
    <n v="8.3333333333333339"/>
    <n v="1.6666666666666661"/>
    <s v="Cash"/>
    <x v="2"/>
    <m/>
    <m/>
    <m/>
  </r>
  <r>
    <d v="2024-08-15T00:00:00"/>
    <d v="1899-12-30T13:58:00"/>
    <s v="ariel 10g"/>
    <n v="1"/>
    <n v="15"/>
    <n v="9.1666666666666661"/>
    <n v="5.8333333333333339"/>
    <s v="Cash"/>
    <x v="2"/>
    <m/>
    <m/>
    <m/>
  </r>
  <r>
    <d v="2024-08-15T00:00:00"/>
    <d v="1899-12-30T14:46:00"/>
    <s v="Indomie chicken"/>
    <n v="4"/>
    <n v="200"/>
    <n v="150"/>
    <n v="50"/>
    <s v="Mpesa"/>
    <x v="2"/>
    <m/>
    <m/>
    <m/>
  </r>
  <r>
    <d v="2024-08-15T00:00:00"/>
    <d v="1899-12-30T14:46:00"/>
    <s v="Bella Tissue"/>
    <n v="1"/>
    <n v="50"/>
    <n v="35"/>
    <n v="15"/>
    <s v="Mpesa"/>
    <x v="2"/>
    <m/>
    <m/>
    <m/>
  </r>
  <r>
    <d v="2024-08-15T00:00:00"/>
    <d v="1899-12-30T15:19:00"/>
    <s v="Indomie chicken"/>
    <n v="1"/>
    <n v="50"/>
    <n v="37.5"/>
    <n v="12.5"/>
    <s v="Mpesa"/>
    <x v="2"/>
    <m/>
    <m/>
    <m/>
  </r>
  <r>
    <d v="2024-08-15T00:00:00"/>
    <d v="1899-12-30T15:41:00"/>
    <s v="Icepop"/>
    <n v="2"/>
    <n v="30"/>
    <n v="15"/>
    <n v="15"/>
    <s v="Mpesa"/>
    <x v="2"/>
    <m/>
    <m/>
    <m/>
  </r>
  <r>
    <d v="2024-08-15T00:00:00"/>
    <d v="1899-12-30T16:12:00"/>
    <s v="soda 300ml glass"/>
    <n v="1"/>
    <n v="40"/>
    <n v="32.5"/>
    <n v="7.5"/>
    <s v="Cash"/>
    <x v="2"/>
    <m/>
    <m/>
    <m/>
  </r>
  <r>
    <d v="2024-08-15T00:00:00"/>
    <d v="1899-12-30T15:41:00"/>
    <s v="Nuvita Bisquit"/>
    <n v="2"/>
    <n v="10"/>
    <n v="8.3333333333333339"/>
    <n v="1.6666666666666661"/>
    <s v="Cash"/>
    <x v="2"/>
    <m/>
    <m/>
    <m/>
  </r>
  <r>
    <d v="2024-08-15T00:00:00"/>
    <d v="1899-12-30T15:42:00"/>
    <s v="Peanut Cookies"/>
    <n v="1"/>
    <n v="35"/>
    <n v="25"/>
    <n v="10"/>
    <s v="Mpesa"/>
    <x v="2"/>
    <m/>
    <m/>
    <m/>
  </r>
  <r>
    <d v="2024-08-15T00:00:00"/>
    <d v="1899-12-30T15:42:00"/>
    <s v="Bigboss"/>
    <n v="2"/>
    <n v="10"/>
    <n v="7"/>
    <n v="3"/>
    <s v="Mpesa"/>
    <x v="2"/>
    <m/>
    <m/>
    <m/>
  </r>
  <r>
    <d v="2024-08-15T00:00:00"/>
    <d v="1899-12-30T16:55:00"/>
    <s v="Arimis small"/>
    <n v="1"/>
    <n v="35"/>
    <n v="23.333333333333332"/>
    <n v="11.666666666666668"/>
    <s v="Cash"/>
    <x v="2"/>
    <m/>
    <m/>
    <m/>
  </r>
  <r>
    <d v="2024-08-15T00:00:00"/>
    <d v="1899-12-30T16:57:00"/>
    <s v="Patco"/>
    <n v="4"/>
    <n v="10"/>
    <n v="4.8"/>
    <n v="5.2"/>
    <s v="Cash"/>
    <x v="2"/>
    <m/>
    <m/>
    <m/>
  </r>
  <r>
    <d v="2024-08-15T00:00:00"/>
    <d v="1899-12-30T17:04:00"/>
    <s v="Icepop"/>
    <n v="2"/>
    <n v="30"/>
    <n v="15"/>
    <n v="15"/>
    <s v="Cash"/>
    <x v="2"/>
    <m/>
    <m/>
    <m/>
  </r>
  <r>
    <d v="2024-08-15T00:00:00"/>
    <d v="1899-12-30T17:04:00"/>
    <s v="Icepop"/>
    <n v="2"/>
    <n v="30"/>
    <n v="15"/>
    <n v="15"/>
    <s v="Cash"/>
    <x v="2"/>
    <m/>
    <m/>
    <m/>
  </r>
  <r>
    <d v="2024-08-15T00:00:00"/>
    <d v="1899-12-30T17:04:00"/>
    <s v="scooter cans"/>
    <n v="1"/>
    <n v="20"/>
    <n v="15"/>
    <n v="5"/>
    <s v="Cash"/>
    <x v="2"/>
    <m/>
    <m/>
    <m/>
  </r>
  <r>
    <d v="2024-08-15T00:00:00"/>
    <d v="1899-12-30T17:05:00"/>
    <s v="Lollipop"/>
    <n v="1"/>
    <n v="5"/>
    <n v="2.4"/>
    <n v="2.6"/>
    <s v="Cash"/>
    <x v="2"/>
    <m/>
    <m/>
    <m/>
  </r>
  <r>
    <d v="2024-08-15T00:00:00"/>
    <d v="1899-12-30T17:06:00"/>
    <s v="Icepop"/>
    <n v="2"/>
    <n v="30"/>
    <n v="15"/>
    <n v="15"/>
    <s v="Cash"/>
    <x v="2"/>
    <m/>
    <m/>
    <m/>
  </r>
  <r>
    <d v="2024-08-15T00:00:00"/>
    <d v="1899-12-30T17:06:00"/>
    <s v="Icepop"/>
    <n v="2"/>
    <n v="30"/>
    <n v="15"/>
    <n v="15"/>
    <s v="Cash"/>
    <x v="2"/>
    <m/>
    <m/>
    <m/>
  </r>
  <r>
    <d v="2024-08-15T00:00:00"/>
    <d v="1899-12-30T17:06:00"/>
    <s v="Festive 600g"/>
    <n v="1"/>
    <n v="100"/>
    <n v="90"/>
    <n v="10"/>
    <s v="Cash"/>
    <x v="2"/>
    <m/>
    <m/>
    <m/>
  </r>
  <r>
    <d v="2024-08-15T00:00:00"/>
    <d v="1899-12-30T17:06:00"/>
    <s v="Icepop"/>
    <n v="3"/>
    <n v="45"/>
    <n v="22.5"/>
    <n v="22.5"/>
    <s v="Cash"/>
    <x v="2"/>
    <m/>
    <m/>
    <m/>
  </r>
  <r>
    <d v="2024-08-15T00:00:00"/>
    <d v="1899-12-30T18:45:00"/>
    <s v="5ltrs water"/>
    <n v="1"/>
    <n v="120"/>
    <n v="75"/>
    <n v="45"/>
    <s v="Mpesa"/>
    <x v="2"/>
    <m/>
    <m/>
    <m/>
  </r>
  <r>
    <d v="2024-08-15T00:00:00"/>
    <d v="1899-12-30T18:58:00"/>
    <s v="predator"/>
    <n v="1"/>
    <n v="70"/>
    <n v="54.166666666666664"/>
    <n v="15.833333333333336"/>
    <s v="Mpesa"/>
    <x v="2"/>
    <m/>
    <m/>
    <m/>
  </r>
  <r>
    <d v="2024-08-15T00:00:00"/>
    <d v="1899-12-30T19:20:00"/>
    <s v="Nuvita Bisquit"/>
    <n v="8"/>
    <n v="40"/>
    <n v="33.333333333333336"/>
    <n v="6.6666666666666643"/>
    <s v="Cash"/>
    <x v="2"/>
    <m/>
    <m/>
    <m/>
  </r>
  <r>
    <d v="2024-08-15T00:00:00"/>
    <d v="1899-12-30T19:20:00"/>
    <s v="Baloon"/>
    <n v="2"/>
    <n v="20"/>
    <n v="12"/>
    <n v="8"/>
    <s v="Cash"/>
    <x v="2"/>
    <m/>
    <m/>
    <m/>
  </r>
  <r>
    <d v="2024-08-15T00:00:00"/>
    <d v="1899-12-30T19:27:00"/>
    <s v="Cooking Oil Measured"/>
    <n v="1"/>
    <n v="280"/>
    <n v="200"/>
    <n v="80"/>
    <s v="Mpesa"/>
    <x v="2"/>
    <m/>
    <m/>
    <m/>
  </r>
  <r>
    <d v="2024-08-15T00:00:00"/>
    <d v="1899-12-30T19:27:00"/>
    <s v="Kinangop Fresh Milk 500ml"/>
    <n v="1"/>
    <n v="60"/>
    <n v="55"/>
    <n v="5"/>
    <s v="Mpesa"/>
    <x v="2"/>
    <m/>
    <m/>
    <m/>
  </r>
  <r>
    <d v="2024-08-15T00:00:00"/>
    <d v="1899-12-30T19:27:00"/>
    <s v="Hanaan Tissue"/>
    <n v="1"/>
    <n v="55"/>
    <n v="43"/>
    <n v="12"/>
    <s v="Mpesa"/>
    <x v="2"/>
    <m/>
    <m/>
    <m/>
  </r>
  <r>
    <d v="2024-08-15T00:00:00"/>
    <d v="1899-12-30T19:52:00"/>
    <s v="minutemaid 400ml"/>
    <n v="1"/>
    <n v="85"/>
    <n v="62.5"/>
    <n v="22.5"/>
    <s v="Mpesa"/>
    <x v="2"/>
    <m/>
    <m/>
    <m/>
  </r>
  <r>
    <d v="2024-08-15T00:00:00"/>
    <d v="1899-12-30T19:52:00"/>
    <s v="Kinangop Fresh Milk 500ml"/>
    <n v="1"/>
    <n v="60"/>
    <n v="55"/>
    <n v="5"/>
    <s v="Credit"/>
    <x v="8"/>
    <m/>
    <m/>
    <m/>
  </r>
  <r>
    <d v="2024-08-15T00:00:00"/>
    <d v="1899-12-30T19:54:00"/>
    <s v="Mt kenya milk 500ml"/>
    <n v="3"/>
    <n v="195"/>
    <n v="145"/>
    <n v="50"/>
    <s v="Mpesa"/>
    <x v="2"/>
    <m/>
    <m/>
    <m/>
  </r>
  <r>
    <d v="2024-08-15T00:00:00"/>
    <d v="1899-12-30T19:54:00"/>
    <s v="Festive Bread 400g"/>
    <n v="1"/>
    <n v="65"/>
    <n v="60"/>
    <n v="5"/>
    <s v="Mpesa"/>
    <x v="2"/>
    <m/>
    <m/>
    <m/>
  </r>
  <r>
    <d v="2024-08-15T00:00:00"/>
    <d v="1899-12-30T20:00:00"/>
    <s v="Sportsman"/>
    <n v="1"/>
    <n v="20"/>
    <n v="13"/>
    <n v="7"/>
    <s v="Cash"/>
    <x v="2"/>
    <m/>
    <m/>
    <m/>
  </r>
  <r>
    <d v="2024-08-15T00:00:00"/>
    <d v="1899-12-30T20:00:00"/>
    <s v="Sportsman"/>
    <n v="1"/>
    <n v="20"/>
    <n v="13"/>
    <n v="7"/>
    <s v="Mpesa"/>
    <x v="2"/>
    <m/>
    <m/>
    <m/>
  </r>
  <r>
    <d v="2024-08-15T00:00:00"/>
    <d v="1899-12-30T20:41:00"/>
    <s v="kensalt 200g"/>
    <n v="1"/>
    <n v="15"/>
    <n v="5.5"/>
    <n v="9.5"/>
    <s v="Mpesa"/>
    <x v="2"/>
    <m/>
    <m/>
    <m/>
  </r>
  <r>
    <d v="2024-08-15T00:00:00"/>
    <d v="1899-12-30T20:41:00"/>
    <s v="Royco cubes"/>
    <n v="2"/>
    <n v="10"/>
    <n v="6"/>
    <n v="4"/>
    <s v="Mpesa"/>
    <x v="2"/>
    <m/>
    <m/>
    <m/>
  </r>
  <r>
    <d v="2024-08-15T00:00:00"/>
    <d v="1899-12-30T20:41:00"/>
    <s v="Bigdaddy"/>
    <n v="1"/>
    <n v="10"/>
    <n v="6"/>
    <n v="4"/>
    <s v="Mpesa"/>
    <x v="2"/>
    <m/>
    <m/>
    <m/>
  </r>
  <r>
    <d v="2024-08-16T00:00:00"/>
    <d v="1899-12-30T07:36:00"/>
    <s v="Festive Bread 400g"/>
    <n v="1"/>
    <n v="65"/>
    <n v="60"/>
    <n v="5"/>
    <s v="Credit"/>
    <x v="8"/>
    <m/>
    <m/>
    <m/>
  </r>
  <r>
    <d v="2024-08-16T00:00:00"/>
    <d v="1899-12-30T08:26:00"/>
    <s v="Festive 600g"/>
    <n v="1"/>
    <n v="100"/>
    <n v="90"/>
    <n v="10"/>
    <s v="Mpesa"/>
    <x v="2"/>
    <m/>
    <m/>
    <m/>
  </r>
  <r>
    <d v="2024-08-16T00:00:00"/>
    <d v="1899-12-30T08:50:00"/>
    <s v="Kortex pads"/>
    <n v="1"/>
    <n v="130"/>
    <n v="106"/>
    <n v="24"/>
    <s v="Cash"/>
    <x v="2"/>
    <m/>
    <m/>
    <m/>
  </r>
  <r>
    <d v="2024-08-16T00:00:00"/>
    <d v="1899-12-30T08:50:00"/>
    <s v="Maramoja"/>
    <n v="1"/>
    <n v="10"/>
    <n v="7"/>
    <n v="3"/>
    <s v="Cash"/>
    <x v="2"/>
    <m/>
    <m/>
    <m/>
  </r>
  <r>
    <d v="2024-08-16T00:00:00"/>
    <d v="1899-12-30T08:50:00"/>
    <s v="Airtel 10 Credit"/>
    <n v="1"/>
    <n v="10"/>
    <n v="9"/>
    <n v="1"/>
    <s v="Cash"/>
    <x v="2"/>
    <m/>
    <m/>
    <m/>
  </r>
  <r>
    <d v="2024-08-16T00:00:00"/>
    <d v="1899-12-30T09:50:00"/>
    <s v="Sportsman"/>
    <n v="1"/>
    <n v="20"/>
    <n v="13"/>
    <n v="7"/>
    <s v="Cash"/>
    <x v="2"/>
    <m/>
    <m/>
    <m/>
  </r>
  <r>
    <d v="2024-08-16T00:00:00"/>
    <d v="1899-12-30T09:50:00"/>
    <s v="Tropical"/>
    <n v="1"/>
    <n v="5"/>
    <n v="1.5"/>
    <n v="3.5"/>
    <s v="Cash"/>
    <x v="2"/>
    <m/>
    <m/>
    <m/>
  </r>
  <r>
    <d v="2024-08-16T00:00:00"/>
    <d v="1899-12-30T10:03:00"/>
    <s v="Kdf"/>
    <n v="2"/>
    <n v="20"/>
    <n v="16.666666666666668"/>
    <n v="3.3333333333333321"/>
    <s v="Mpesa"/>
    <x v="2"/>
    <m/>
    <m/>
    <m/>
  </r>
  <r>
    <d v="2024-08-16T00:00:00"/>
    <d v="1899-12-30T10:03:00"/>
    <s v="Mandazi"/>
    <n v="2"/>
    <n v="10"/>
    <n v="8.3333333333333339"/>
    <n v="1.6666666666666661"/>
    <s v="Mpesa"/>
    <x v="2"/>
    <m/>
    <m/>
    <m/>
  </r>
  <r>
    <d v="2024-08-16T00:00:00"/>
    <d v="1899-12-30T10:25:00"/>
    <s v="Festive 600g"/>
    <n v="1"/>
    <n v="100"/>
    <n v="90"/>
    <n v="10"/>
    <s v="Credit"/>
    <x v="29"/>
    <m/>
    <m/>
    <m/>
  </r>
  <r>
    <d v="2024-08-16T00:00:00"/>
    <d v="1899-12-30T11:04:00"/>
    <s v="Mandazi"/>
    <n v="4"/>
    <n v="20"/>
    <n v="16.666666666666668"/>
    <n v="3.3333333333333321"/>
    <s v="Cash"/>
    <x v="2"/>
    <m/>
    <m/>
    <m/>
  </r>
  <r>
    <d v="2024-08-16T00:00:00"/>
    <d v="1899-12-30T11:21:00"/>
    <s v="Festive Bread 400g"/>
    <n v="1"/>
    <n v="65"/>
    <n v="60"/>
    <n v="5"/>
    <s v="Credit"/>
    <x v="25"/>
    <m/>
    <m/>
    <m/>
  </r>
  <r>
    <d v="2024-08-16T00:00:00"/>
    <d v="1899-12-30T11:25:00"/>
    <s v="funtime snacks"/>
    <n v="4"/>
    <n v="60"/>
    <n v="36"/>
    <n v="24"/>
    <s v="Cash"/>
    <x v="2"/>
    <m/>
    <m/>
    <m/>
  </r>
  <r>
    <d v="2024-08-16T00:00:00"/>
    <d v="1899-12-30T11:46:00"/>
    <s v="Softcare pads"/>
    <n v="2"/>
    <n v="170"/>
    <n v="132"/>
    <n v="38"/>
    <s v="Cash"/>
    <x v="2"/>
    <m/>
    <m/>
    <m/>
  </r>
  <r>
    <d v="2024-08-16T00:00:00"/>
    <d v="1899-12-30T11:46:00"/>
    <s v="Gomba"/>
    <n v="4"/>
    <n v="10"/>
    <n v="7.2"/>
    <n v="2.8"/>
    <s v="Cash"/>
    <x v="2"/>
    <m/>
    <m/>
    <m/>
  </r>
  <r>
    <d v="2024-08-16T00:00:00"/>
    <d v="1899-12-30T12:36:00"/>
    <s v="Softcare pads"/>
    <n v="2"/>
    <n v="170"/>
    <n v="132"/>
    <n v="38"/>
    <s v="Cash"/>
    <x v="2"/>
    <m/>
    <m/>
    <m/>
  </r>
  <r>
    <d v="2024-08-16T00:00:00"/>
    <d v="1899-12-30T12:36:00"/>
    <s v="funtime snacks"/>
    <n v="3"/>
    <n v="45"/>
    <n v="27"/>
    <n v="18"/>
    <s v="Cash"/>
    <x v="2"/>
    <m/>
    <m/>
    <m/>
  </r>
  <r>
    <d v="2024-08-16T00:00:00"/>
    <d v="1899-12-30T12:36:00"/>
    <s v="Lollipop"/>
    <n v="3"/>
    <n v="15"/>
    <n v="7.1999999999999993"/>
    <n v="7.8000000000000007"/>
    <s v="Cash"/>
    <x v="2"/>
    <m/>
    <m/>
    <m/>
  </r>
  <r>
    <d v="2024-08-16T00:00:00"/>
    <d v="1899-12-30T12:44:00"/>
    <s v="Indomie chicken"/>
    <n v="1"/>
    <n v="50"/>
    <n v="37.5"/>
    <n v="12.5"/>
    <s v="Mpesa"/>
    <x v="2"/>
    <m/>
    <m/>
    <m/>
  </r>
  <r>
    <d v="2024-08-16T00:00:00"/>
    <d v="1899-12-30T12:44:00"/>
    <s v="eggs"/>
    <n v="2"/>
    <n v="40"/>
    <n v="28.666666666666668"/>
    <n v="11.333333333333332"/>
    <s v="Mpesa"/>
    <x v="2"/>
    <m/>
    <m/>
    <m/>
  </r>
  <r>
    <d v="2024-08-16T00:00:00"/>
    <d v="1899-12-30T12:44:00"/>
    <s v="Match Box"/>
    <n v="1"/>
    <n v="5"/>
    <n v="2.3611111111111112"/>
    <n v="2.6388888888888888"/>
    <s v="Mpesa"/>
    <x v="2"/>
    <m/>
    <m/>
    <m/>
  </r>
  <r>
    <d v="2024-08-16T00:00:00"/>
    <d v="1899-12-30T12:59:00"/>
    <s v="Tukuza 1kg"/>
    <n v="1"/>
    <n v="90"/>
    <n v="61.25"/>
    <n v="28.75"/>
    <s v="Mpesa"/>
    <x v="2"/>
    <m/>
    <m/>
    <m/>
  </r>
  <r>
    <d v="2024-08-16T00:00:00"/>
    <d v="1899-12-30T12:59:00"/>
    <s v="Magadi"/>
    <n v="1"/>
    <n v="10"/>
    <n v="5"/>
    <n v="5"/>
    <s v="Mpesa"/>
    <x v="2"/>
    <m/>
    <m/>
    <m/>
  </r>
  <r>
    <d v="2024-08-16T00:00:00"/>
    <d v="1899-12-30T13:00:00"/>
    <s v="Icepop"/>
    <n v="1"/>
    <n v="15"/>
    <n v="7.5"/>
    <n v="7.5"/>
    <s v="Cash"/>
    <x v="2"/>
    <m/>
    <m/>
    <m/>
  </r>
  <r>
    <d v="2024-08-16T00:00:00"/>
    <d v="1899-12-30T13:00:00"/>
    <s v="Gomba"/>
    <n v="2"/>
    <n v="5"/>
    <n v="3.6"/>
    <n v="1.4"/>
    <s v="Cash"/>
    <x v="2"/>
    <m/>
    <m/>
    <m/>
  </r>
  <r>
    <d v="2024-08-16T00:00:00"/>
    <d v="1899-12-30T13:07:00"/>
    <s v="ariel 75g"/>
    <n v="1"/>
    <n v="35"/>
    <n v="27.5"/>
    <n v="7.5"/>
    <s v="Mpesa"/>
    <x v="2"/>
    <m/>
    <m/>
    <m/>
  </r>
  <r>
    <d v="2024-08-16T00:00:00"/>
    <d v="1899-12-30T13:09:00"/>
    <s v="Indomie chicken"/>
    <n v="1"/>
    <n v="50"/>
    <n v="37.5"/>
    <n v="12.5"/>
    <s v="Mpesa"/>
    <x v="2"/>
    <m/>
    <m/>
    <m/>
  </r>
  <r>
    <d v="2024-08-16T00:00:00"/>
    <d v="1899-12-30T13:09:00"/>
    <s v="eggs"/>
    <n v="2"/>
    <n v="40"/>
    <n v="28.666666666666668"/>
    <n v="11.333333333333332"/>
    <s v="Mpesa"/>
    <x v="2"/>
    <m/>
    <m/>
    <m/>
  </r>
  <r>
    <d v="2024-08-16T00:00:00"/>
    <d v="1899-12-30T13:09:00"/>
    <s v="Bigboss"/>
    <n v="1"/>
    <n v="5"/>
    <n v="3.5"/>
    <n v="1.5"/>
    <s v="Mpesa"/>
    <x v="2"/>
    <m/>
    <m/>
    <m/>
  </r>
  <r>
    <d v="2024-08-16T00:00:00"/>
    <d v="1899-12-30T13:21:00"/>
    <s v="Lollipop"/>
    <n v="3"/>
    <n v="15"/>
    <n v="7.1999999999999993"/>
    <n v="7.8000000000000007"/>
    <s v="Cash"/>
    <x v="2"/>
    <m/>
    <m/>
    <m/>
  </r>
  <r>
    <d v="2024-08-16T00:00:00"/>
    <d v="1899-12-30T13:21:00"/>
    <s v="Cough drops"/>
    <n v="1"/>
    <n v="5"/>
    <n v="4"/>
    <n v="1"/>
    <s v="Cash"/>
    <x v="2"/>
    <m/>
    <m/>
    <m/>
  </r>
  <r>
    <d v="2024-08-16T00:00:00"/>
    <d v="1899-12-30T13:21:00"/>
    <s v="Icepop"/>
    <n v="1"/>
    <n v="15"/>
    <n v="7.5"/>
    <n v="7.5"/>
    <s v="Cash"/>
    <x v="2"/>
    <m/>
    <m/>
    <m/>
  </r>
  <r>
    <d v="2024-08-16T00:00:00"/>
    <d v="1899-12-30T13:42:00"/>
    <s v="Bigdaddy"/>
    <n v="1"/>
    <n v="10"/>
    <n v="6"/>
    <n v="4"/>
    <s v="Cash"/>
    <x v="2"/>
    <m/>
    <m/>
    <m/>
  </r>
  <r>
    <d v="2024-08-16T00:00:00"/>
    <d v="1899-12-30T14:23:00"/>
    <s v="Dhania"/>
    <n v="3"/>
    <n v="15"/>
    <n v="10"/>
    <n v="5"/>
    <s v="Credit"/>
    <x v="8"/>
    <m/>
    <m/>
    <m/>
  </r>
  <r>
    <d v="2024-08-16T00:00:00"/>
    <d v="1899-12-30T14:23:00"/>
    <s v="Tomatoes"/>
    <n v="2"/>
    <n v="20"/>
    <n v="10"/>
    <n v="10"/>
    <s v="Credit"/>
    <x v="8"/>
    <m/>
    <m/>
    <m/>
  </r>
  <r>
    <d v="2024-08-16T00:00:00"/>
    <d v="1899-12-30T14:23:00"/>
    <s v="soda 300ml glass"/>
    <n v="1"/>
    <n v="40"/>
    <n v="32.5"/>
    <n v="7.5"/>
    <s v="Mpesa"/>
    <x v="2"/>
    <m/>
    <m/>
    <m/>
  </r>
  <r>
    <d v="2024-08-16T00:00:00"/>
    <d v="1899-12-30T15:31:00"/>
    <s v="Black Shampoo"/>
    <n v="1"/>
    <n v="50"/>
    <n v="28"/>
    <n v="22"/>
    <s v="Credit"/>
    <x v="22"/>
    <m/>
    <m/>
    <m/>
  </r>
  <r>
    <d v="2024-08-16T00:00:00"/>
    <d v="1899-12-30T15:50:00"/>
    <s v=" soda 1.25lts"/>
    <n v="1"/>
    <n v="130"/>
    <n v="112.5"/>
    <n v="17.5"/>
    <s v="Credit"/>
    <x v="33"/>
    <m/>
    <m/>
    <m/>
  </r>
  <r>
    <d v="2024-08-16T00:00:00"/>
    <d v="1899-12-30T15:50:00"/>
    <s v="T.Heat Potato crisps Tomato 25g"/>
    <n v="1"/>
    <n v="30"/>
    <n v="22.916666666666668"/>
    <n v="7.0833333333333321"/>
    <s v="Credit"/>
    <x v="33"/>
    <m/>
    <m/>
    <m/>
  </r>
  <r>
    <d v="2024-08-16T00:00:00"/>
    <d v="1899-12-30T15:50:00"/>
    <s v="kinangop250g youghurt"/>
    <n v="1"/>
    <n v="60"/>
    <n v="48.333333333333336"/>
    <n v="11.666666666666664"/>
    <s v="Credit"/>
    <x v="33"/>
    <m/>
    <m/>
    <m/>
  </r>
  <r>
    <d v="2024-08-16T00:00:00"/>
    <d v="1899-12-30T15:50:00"/>
    <s v="Icepop"/>
    <n v="1"/>
    <n v="15"/>
    <n v="7.5"/>
    <n v="7.5"/>
    <s v="Cash"/>
    <x v="2"/>
    <m/>
    <m/>
    <m/>
  </r>
  <r>
    <d v="2024-08-16T00:00:00"/>
    <d v="1899-12-30T15:56:00"/>
    <s v="Icepop"/>
    <n v="1"/>
    <n v="15"/>
    <n v="7.5"/>
    <n v="7.5"/>
    <s v="Cash"/>
    <x v="2"/>
    <m/>
    <m/>
    <m/>
  </r>
  <r>
    <d v="2024-08-16T00:00:00"/>
    <d v="1899-12-30T15:56:00"/>
    <s v="Bigdaddy"/>
    <n v="1"/>
    <n v="10"/>
    <n v="6"/>
    <n v="4"/>
    <s v="Cash"/>
    <x v="2"/>
    <m/>
    <m/>
    <m/>
  </r>
  <r>
    <d v="2024-08-16T00:00:00"/>
    <d v="1899-12-30T16:09:00"/>
    <s v="Gomba"/>
    <n v="20"/>
    <n v="50"/>
    <n v="36"/>
    <n v="14"/>
    <s v="Cash"/>
    <x v="2"/>
    <m/>
    <m/>
    <m/>
  </r>
  <r>
    <d v="2024-08-16T00:00:00"/>
    <d v="1899-12-30T16:10:00"/>
    <s v="Airtel 20 Credit"/>
    <n v="1"/>
    <n v="20"/>
    <n v="18"/>
    <n v="2"/>
    <s v="Cash"/>
    <x v="2"/>
    <m/>
    <m/>
    <m/>
  </r>
  <r>
    <d v="2024-08-16T00:00:00"/>
    <d v="1899-12-30T16:10:00"/>
    <s v="Airtel 10 Credit"/>
    <n v="1"/>
    <n v="10"/>
    <n v="9"/>
    <n v="1"/>
    <s v="Cash"/>
    <x v="2"/>
    <m/>
    <m/>
    <m/>
  </r>
  <r>
    <d v="2024-08-16T00:00:00"/>
    <d v="1899-12-30T16:25:00"/>
    <s v="Fresh green"/>
    <n v="1"/>
    <n v="10"/>
    <n v="5"/>
    <n v="5"/>
    <s v="Mpesa"/>
    <x v="2"/>
    <m/>
    <m/>
    <m/>
  </r>
  <r>
    <d v="2024-08-16T00:00:00"/>
    <d v="1899-12-30T16:25:00"/>
    <s v="Choc-chip Cookies"/>
    <n v="1"/>
    <n v="35"/>
    <n v="25"/>
    <n v="10"/>
    <s v="Mpesa"/>
    <x v="2"/>
    <m/>
    <m/>
    <m/>
  </r>
  <r>
    <d v="2024-08-16T00:00:00"/>
    <d v="1899-12-30T16:25:00"/>
    <s v="Bigboss"/>
    <n v="1"/>
    <n v="5"/>
    <n v="3.5"/>
    <n v="1.5"/>
    <s v="Mpesa"/>
    <x v="2"/>
    <m/>
    <m/>
    <m/>
  </r>
  <r>
    <d v="2024-08-16T00:00:00"/>
    <d v="1899-12-30T16:39:00"/>
    <s v="Choc-chip Cookies"/>
    <n v="1"/>
    <n v="35"/>
    <n v="25"/>
    <n v="10"/>
    <s v="Cash"/>
    <x v="2"/>
    <m/>
    <m/>
    <m/>
  </r>
  <r>
    <d v="2024-08-16T00:00:00"/>
    <d v="1899-12-30T16:39:00"/>
    <s v="Bigdaddy"/>
    <n v="1"/>
    <n v="10"/>
    <n v="6"/>
    <n v="4"/>
    <s v="Cash"/>
    <x v="2"/>
    <m/>
    <m/>
    <m/>
  </r>
  <r>
    <d v="2024-08-16T00:00:00"/>
    <d v="1899-12-30T16:39:00"/>
    <s v="Lollipop"/>
    <n v="2"/>
    <n v="10"/>
    <n v="4.8"/>
    <n v="5.2"/>
    <s v="Cash"/>
    <x v="2"/>
    <m/>
    <m/>
    <m/>
  </r>
  <r>
    <d v="2024-08-16T00:00:00"/>
    <d v="1899-12-30T17:05:00"/>
    <s v="Ajab 2kg"/>
    <n v="1"/>
    <n v="220"/>
    <n v="175"/>
    <n v="45"/>
    <s v="Mpesa"/>
    <x v="2"/>
    <m/>
    <m/>
    <m/>
  </r>
  <r>
    <d v="2024-08-16T00:00:00"/>
    <d v="1899-12-30T17:05:00"/>
    <s v="Icepop"/>
    <n v="1"/>
    <n v="15"/>
    <n v="7.5"/>
    <n v="7.5"/>
    <s v="Mpesa"/>
    <x v="2"/>
    <m/>
    <m/>
    <m/>
  </r>
  <r>
    <d v="2024-08-16T00:00:00"/>
    <d v="1899-12-30T17:15:00"/>
    <s v="Icepop"/>
    <n v="10"/>
    <n v="150"/>
    <n v="75"/>
    <n v="75"/>
    <s v="Cash"/>
    <x v="2"/>
    <m/>
    <m/>
    <m/>
  </r>
  <r>
    <d v="2024-08-16T00:00:00"/>
    <d v="1899-12-30T17:39:00"/>
    <s v="Bigdaddy"/>
    <n v="1"/>
    <n v="10"/>
    <n v="6"/>
    <n v="4"/>
    <s v="Cash"/>
    <x v="2"/>
    <m/>
    <m/>
    <m/>
  </r>
  <r>
    <d v="2024-08-16T00:00:00"/>
    <d v="1899-12-30T17:39:00"/>
    <s v="Cough drops"/>
    <n v="1"/>
    <n v="5"/>
    <n v="4"/>
    <n v="1"/>
    <s v="Cash"/>
    <x v="2"/>
    <m/>
    <m/>
    <m/>
  </r>
  <r>
    <d v="2024-08-16T00:00:00"/>
    <d v="1899-12-30T17:50:00"/>
    <s v="soda 300ml glass"/>
    <n v="1"/>
    <n v="40"/>
    <n v="32.5"/>
    <n v="7.5"/>
    <s v="Mpesa"/>
    <x v="2"/>
    <m/>
    <m/>
    <m/>
  </r>
  <r>
    <d v="2024-08-16T00:00:00"/>
    <d v="1899-12-30T18:03:00"/>
    <s v="Festive 600g"/>
    <n v="1"/>
    <n v="100"/>
    <n v="90"/>
    <n v="10"/>
    <s v="Mpesa"/>
    <x v="2"/>
    <m/>
    <m/>
    <m/>
  </r>
  <r>
    <d v="2024-08-16T00:00:00"/>
    <d v="1899-12-30T18:44:00"/>
    <s v="soda 2lts"/>
    <n v="1"/>
    <n v="200"/>
    <n v="176.66666666666666"/>
    <n v="23.333333333333343"/>
    <s v="Credit"/>
    <x v="20"/>
    <m/>
    <m/>
    <m/>
  </r>
  <r>
    <d v="2024-08-16T00:00:00"/>
    <d v="1899-12-30T19:09:00"/>
    <s v="Airtel 20 Credit"/>
    <n v="1"/>
    <n v="20"/>
    <n v="18"/>
    <n v="2"/>
    <s v="Cash"/>
    <x v="2"/>
    <m/>
    <m/>
    <m/>
  </r>
  <r>
    <d v="2024-08-16T00:00:00"/>
    <d v="1899-12-30T19:09:00"/>
    <s v="Airtel 10 Credit"/>
    <n v="1"/>
    <n v="10"/>
    <n v="9"/>
    <n v="1"/>
    <s v="Cash"/>
    <x v="2"/>
    <m/>
    <m/>
    <m/>
  </r>
  <r>
    <d v="2024-08-16T00:00:00"/>
    <d v="1899-12-30T19:09:00"/>
    <s v="Safaricom 20 Credit"/>
    <n v="1"/>
    <n v="20"/>
    <n v="18"/>
    <n v="2"/>
    <s v="Cash"/>
    <x v="2"/>
    <m/>
    <m/>
    <m/>
  </r>
  <r>
    <d v="2024-08-16T00:00:00"/>
    <d v="1899-12-30T19:24:00"/>
    <s v="kinangop250g youghurt"/>
    <n v="1"/>
    <n v="60"/>
    <n v="48.333333333333336"/>
    <n v="11.666666666666664"/>
    <s v="Cash"/>
    <x v="2"/>
    <m/>
    <m/>
    <m/>
  </r>
  <r>
    <d v="2024-08-16T00:00:00"/>
    <d v="1899-12-30T19:24:00"/>
    <s v="Nuvita Bisquit"/>
    <n v="1"/>
    <n v="5"/>
    <n v="4.166666666666667"/>
    <n v="0.83333333333333304"/>
    <s v="Cash"/>
    <x v="2"/>
    <m/>
    <m/>
    <m/>
  </r>
  <r>
    <d v="2024-08-16T00:00:00"/>
    <d v="1899-12-30T19:25:00"/>
    <s v="Rina 1ltr"/>
    <n v="1"/>
    <n v="350"/>
    <n v="290"/>
    <n v="60"/>
    <s v="Mpesa"/>
    <x v="2"/>
    <m/>
    <m/>
    <m/>
  </r>
  <r>
    <d v="2024-08-16T00:00:00"/>
    <d v="1899-12-30T19:33:00"/>
    <s v="Mt Kenya milk 200ml"/>
    <n v="2"/>
    <n v="70"/>
    <n v="48.571428571428569"/>
    <n v="21.428571428571431"/>
    <s v="Mpesa"/>
    <x v="2"/>
    <m/>
    <m/>
    <m/>
  </r>
  <r>
    <d v="2024-08-16T00:00:00"/>
    <d v="1899-12-30T19:33:00"/>
    <s v="Queen cake"/>
    <n v="2"/>
    <n v="20"/>
    <n v="16.666666666666668"/>
    <n v="3.3333333333333321"/>
    <s v="Mpesa"/>
    <x v="2"/>
    <m/>
    <m/>
    <m/>
  </r>
  <r>
    <d v="2024-08-16T00:00:00"/>
    <d v="1899-12-30T19:59:00"/>
    <s v="BB Bread 400g"/>
    <n v="1"/>
    <n v="65"/>
    <n v="60"/>
    <n v="5"/>
    <s v="Cash"/>
    <x v="2"/>
    <m/>
    <m/>
    <m/>
  </r>
  <r>
    <d v="2024-08-16T00:00:00"/>
    <d v="1899-12-30T20:14:00"/>
    <s v="Onion"/>
    <n v="1"/>
    <n v="10"/>
    <n v="8"/>
    <n v="2"/>
    <s v="Mpesa"/>
    <x v="2"/>
    <m/>
    <m/>
    <m/>
  </r>
  <r>
    <d v="2024-08-16T00:00:00"/>
    <d v="1899-12-30T20:14:00"/>
    <s v="Tomatoes"/>
    <n v="2"/>
    <n v="20"/>
    <n v="10"/>
    <n v="10"/>
    <s v="Mpesa"/>
    <x v="2"/>
    <m/>
    <m/>
    <m/>
  </r>
  <r>
    <d v="2024-08-16T00:00:00"/>
    <d v="1899-12-30T20:14:00"/>
    <s v="Banana"/>
    <n v="4"/>
    <n v="40"/>
    <n v="33.333333333333336"/>
    <n v="6.6666666666666643"/>
    <s v="Mpesa"/>
    <x v="2"/>
    <m/>
    <m/>
    <m/>
  </r>
  <r>
    <d v="2024-08-16T00:00:00"/>
    <d v="1899-12-30T20:43:00"/>
    <s v="Fresh green"/>
    <n v="1"/>
    <n v="10"/>
    <n v="5"/>
    <n v="5"/>
    <s v="Mpesa"/>
    <x v="2"/>
    <m/>
    <m/>
    <m/>
  </r>
  <r>
    <d v="2024-08-16T00:00:00"/>
    <d v="1899-12-30T20:43:00"/>
    <s v="Fresh Blue"/>
    <n v="1"/>
    <n v="10"/>
    <n v="5"/>
    <n v="5"/>
    <s v="Mpesa"/>
    <x v="2"/>
    <m/>
    <m/>
    <m/>
  </r>
  <r>
    <d v="2024-08-16T00:00:00"/>
    <d v="1899-12-30T20:47:00"/>
    <s v="Kinangop Fresh Milk 500ml"/>
    <n v="1"/>
    <n v="60"/>
    <n v="55"/>
    <n v="5"/>
    <s v="Credit"/>
    <x v="8"/>
    <s v="Aunt Shawn"/>
    <n v="10"/>
    <s v="Cash"/>
  </r>
  <r>
    <d v="2024-08-16T00:00:00"/>
    <d v="1899-12-30T20:47:00"/>
    <s v="Tomatoes"/>
    <n v="3"/>
    <n v="30"/>
    <n v="15"/>
    <n v="15"/>
    <s v="Credit"/>
    <x v="8"/>
    <m/>
    <m/>
    <m/>
  </r>
  <r>
    <d v="2024-08-16T00:00:00"/>
    <d v="1899-12-30T20:47:00"/>
    <s v="Poa Pekee Tissue"/>
    <n v="1"/>
    <n v="30"/>
    <n v="13.333333333333334"/>
    <n v="16.666666666666664"/>
    <s v="Mpesa"/>
    <x v="2"/>
    <m/>
    <m/>
    <m/>
  </r>
  <r>
    <d v="2024-08-16T00:00:00"/>
    <d v="1899-12-30T20:47:00"/>
    <s v="Fahari Tea 50g"/>
    <n v="1"/>
    <n v="30"/>
    <n v="17.5"/>
    <n v="12.5"/>
    <s v="Mpesa"/>
    <x v="2"/>
    <m/>
    <m/>
    <m/>
  </r>
  <r>
    <d v="2024-08-16T00:00:00"/>
    <d v="1899-12-30T20:47:00"/>
    <s v="Sugar 1/4 kg"/>
    <n v="1"/>
    <n v="45"/>
    <n v="30"/>
    <n v="15"/>
    <s v="Mpesa"/>
    <x v="2"/>
    <m/>
    <m/>
    <m/>
  </r>
  <r>
    <d v="2024-08-16T00:00:00"/>
    <d v="1899-12-30T20:47:00"/>
    <s v="Match Box"/>
    <n v="1"/>
    <n v="5"/>
    <n v="2.3611111111111112"/>
    <n v="2.6388888888888888"/>
    <s v="Mpesa"/>
    <x v="2"/>
    <m/>
    <m/>
    <m/>
  </r>
  <r>
    <d v="2024-08-17T00:00:00"/>
    <d v="1899-12-30T08:20:00"/>
    <s v="Festive Bread 400g"/>
    <n v="1"/>
    <n v="65"/>
    <n v="60"/>
    <n v="5"/>
    <s v="Credit"/>
    <x v="8"/>
    <m/>
    <m/>
    <m/>
  </r>
  <r>
    <d v="2024-08-17T00:00:00"/>
    <d v="1899-12-30T08:20:00"/>
    <s v="eggs"/>
    <n v="3"/>
    <n v="60"/>
    <n v="43"/>
    <n v="17"/>
    <s v="Credit"/>
    <x v="8"/>
    <m/>
    <m/>
    <m/>
  </r>
  <r>
    <d v="2024-08-17T00:00:00"/>
    <d v="1899-12-30T08:22:00"/>
    <s v="Softcare pads"/>
    <n v="1"/>
    <n v="85"/>
    <n v="66"/>
    <n v="19"/>
    <s v="Mpesa"/>
    <x v="2"/>
    <m/>
    <m/>
    <m/>
  </r>
  <r>
    <d v="2024-08-17T00:00:00"/>
    <d v="1899-12-30T08:43:00"/>
    <s v="Sportsman"/>
    <n v="1"/>
    <n v="20"/>
    <n v="13"/>
    <n v="7"/>
    <s v="Cash"/>
    <x v="2"/>
    <m/>
    <m/>
    <m/>
  </r>
  <r>
    <d v="2024-08-17T00:00:00"/>
    <d v="1899-12-30T09:45:00"/>
    <s v="Airtel 50 Credit"/>
    <n v="2"/>
    <n v="100"/>
    <n v="94"/>
    <n v="6"/>
    <s v="Mpesa"/>
    <x v="2"/>
    <m/>
    <m/>
    <m/>
  </r>
  <r>
    <d v="2024-08-17T00:00:00"/>
    <d v="1899-12-30T09:45:00"/>
    <s v="Kiwi"/>
    <n v="1"/>
    <n v="50"/>
    <n v="37.5"/>
    <n v="12.5"/>
    <s v="Credit"/>
    <x v="5"/>
    <m/>
    <m/>
    <m/>
  </r>
  <r>
    <d v="2024-08-17T00:00:00"/>
    <d v="1899-12-30T11:01:00"/>
    <s v="Icepop"/>
    <n v="3"/>
    <n v="45"/>
    <n v="22.5"/>
    <n v="22.5"/>
    <s v="Cash"/>
    <x v="2"/>
    <m/>
    <m/>
    <m/>
  </r>
  <r>
    <d v="2024-08-17T00:00:00"/>
    <d v="1899-12-30T11:04:00"/>
    <s v="soda 500ml glass"/>
    <n v="1"/>
    <n v="55"/>
    <n v="50"/>
    <n v="5"/>
    <s v="Credit"/>
    <x v="10"/>
    <m/>
    <m/>
    <m/>
  </r>
  <r>
    <d v="2024-08-17T00:00:00"/>
    <d v="1899-12-30T11:14:00"/>
    <s v="Mandazi"/>
    <n v="4"/>
    <n v="20"/>
    <n v="16.666666666666668"/>
    <n v="3.3333333333333321"/>
    <s v="Credit"/>
    <x v="16"/>
    <m/>
    <m/>
    <m/>
  </r>
  <r>
    <d v="2024-08-17T00:00:00"/>
    <d v="1899-12-30T11:14:00"/>
    <s v="Gumballs"/>
    <n v="5"/>
    <n v="5"/>
    <n v="3.5"/>
    <n v="1.5"/>
    <s v="Cash"/>
    <x v="2"/>
    <m/>
    <m/>
    <m/>
  </r>
  <r>
    <d v="2024-08-17T00:00:00"/>
    <d v="1899-12-30T12:11:00"/>
    <s v="scooter cans"/>
    <n v="2"/>
    <n v="30"/>
    <n v="30"/>
    <n v="0"/>
    <s v="Mpesa"/>
    <x v="2"/>
    <m/>
    <m/>
    <m/>
  </r>
  <r>
    <d v="2024-08-17T00:00:00"/>
    <d v="1899-12-30T13:22:00"/>
    <s v="Icepop"/>
    <n v="1"/>
    <n v="15"/>
    <n v="7.5"/>
    <n v="7.5"/>
    <s v="Mpesa"/>
    <x v="2"/>
    <m/>
    <m/>
    <m/>
  </r>
  <r>
    <d v="2024-08-17T00:00:00"/>
    <d v="1899-12-30T13:22:00"/>
    <s v="Safaricom 20 Credit"/>
    <n v="1"/>
    <n v="20"/>
    <n v="18"/>
    <n v="2"/>
    <s v="Mpesa"/>
    <x v="2"/>
    <m/>
    <m/>
    <m/>
  </r>
  <r>
    <d v="2024-08-17T00:00:00"/>
    <d v="1899-12-30T13:22:00"/>
    <s v="funtime snacks"/>
    <n v="1"/>
    <n v="15"/>
    <n v="9"/>
    <n v="6"/>
    <s v="Mpesa"/>
    <x v="2"/>
    <m/>
    <m/>
    <m/>
  </r>
  <r>
    <d v="2024-08-17T00:00:00"/>
    <d v="1899-12-30T13:45:00"/>
    <s v="Mt Kenya milk 200ml"/>
    <n v="1"/>
    <n v="35"/>
    <n v="24.285714285714285"/>
    <n v="10.714285714285715"/>
    <s v="Cash"/>
    <x v="2"/>
    <m/>
    <m/>
    <m/>
  </r>
  <r>
    <d v="2024-08-17T00:00:00"/>
    <d v="1899-12-30T13:53:00"/>
    <s v="Soko Maize meal"/>
    <n v="1"/>
    <n v="160"/>
    <n v="125"/>
    <n v="35"/>
    <s v="Credit"/>
    <x v="16"/>
    <m/>
    <m/>
    <m/>
  </r>
  <r>
    <d v="2024-08-17T00:00:00"/>
    <d v="1899-12-30T13:53:00"/>
    <s v="eggs"/>
    <n v="1"/>
    <n v="20"/>
    <n v="14.333333333333334"/>
    <n v="5.6666666666666661"/>
    <s v="Credit"/>
    <x v="16"/>
    <m/>
    <m/>
    <m/>
  </r>
  <r>
    <d v="2024-08-17T00:00:00"/>
    <d v="1899-12-30T14:02:00"/>
    <s v="predator"/>
    <n v="1"/>
    <n v="70"/>
    <n v="54.166666666666664"/>
    <n v="15.833333333333336"/>
    <s v="Mpesa"/>
    <x v="2"/>
    <m/>
    <m/>
    <m/>
  </r>
  <r>
    <d v="2024-08-17T00:00:00"/>
    <d v="1899-12-30T14:02:00"/>
    <s v="omo 20g"/>
    <n v="1"/>
    <n v="10"/>
    <n v="9.1666666666666661"/>
    <n v="0.83333333333333393"/>
    <s v="Mpesa"/>
    <x v="2"/>
    <m/>
    <m/>
    <m/>
  </r>
  <r>
    <d v="2024-08-17T00:00:00"/>
    <d v="1899-12-30T14:27:00"/>
    <s v="Indomie chicken"/>
    <n v="2"/>
    <n v="100"/>
    <n v="75"/>
    <n v="25"/>
    <s v="Mpesa"/>
    <x v="2"/>
    <m/>
    <m/>
    <m/>
  </r>
  <r>
    <d v="2024-08-17T00:00:00"/>
    <d v="1899-12-30T14:27:00"/>
    <s v="Kdf"/>
    <n v="11"/>
    <n v="110"/>
    <n v="91.666666666666671"/>
    <n v="18.333333333333329"/>
    <s v="Mpesa"/>
    <x v="2"/>
    <m/>
    <m/>
    <m/>
  </r>
  <r>
    <d v="2024-08-17T00:00:00"/>
    <d v="1899-12-30T15:01:00"/>
    <s v="Indomie chicken"/>
    <n v="1"/>
    <n v="50"/>
    <n v="37.5"/>
    <n v="12.5"/>
    <s v="Credit"/>
    <x v="10"/>
    <m/>
    <m/>
    <m/>
  </r>
  <r>
    <d v="2024-08-17T00:00:00"/>
    <d v="1899-12-30T15:09:00"/>
    <s v="Downy lavender"/>
    <n v="1"/>
    <n v="20"/>
    <n v="17.333333333333332"/>
    <n v="2.6666666666666679"/>
    <s v="Cash"/>
    <x v="2"/>
    <m/>
    <m/>
    <m/>
  </r>
  <r>
    <d v="2024-08-17T00:00:00"/>
    <d v="1899-12-30T15:09:00"/>
    <s v="Steel Wool 15g"/>
    <n v="1"/>
    <n v="10"/>
    <n v="5.2333333333333334"/>
    <n v="4.7666666666666666"/>
    <s v="Cash"/>
    <x v="2"/>
    <m/>
    <m/>
    <m/>
  </r>
  <r>
    <d v="2024-08-17T00:00:00"/>
    <d v="1899-12-30T15:09:00"/>
    <s v="Bigdaddy"/>
    <n v="2"/>
    <n v="20"/>
    <n v="12"/>
    <n v="8"/>
    <s v="Cash"/>
    <x v="2"/>
    <m/>
    <m/>
    <m/>
  </r>
  <r>
    <d v="2024-08-17T00:00:00"/>
    <d v="1899-12-30T15:17:00"/>
    <s v="Kifaru Scouring pad"/>
    <n v="1"/>
    <n v="50"/>
    <n v="38"/>
    <n v="12"/>
    <s v="Credit"/>
    <x v="16"/>
    <m/>
    <m/>
    <m/>
  </r>
  <r>
    <d v="2024-08-17T00:00:00"/>
    <d v="1899-12-30T15:28:00"/>
    <s v="Bigboss"/>
    <n v="2"/>
    <n v="10"/>
    <n v="7"/>
    <n v="3"/>
    <s v="Cash"/>
    <x v="2"/>
    <m/>
    <m/>
    <m/>
  </r>
  <r>
    <d v="2024-08-17T00:00:00"/>
    <d v="1899-12-30T15:29:00"/>
    <s v="Dhania"/>
    <n v="2"/>
    <n v="10"/>
    <n v="6.666666666666667"/>
    <n v="3.333333333333333"/>
    <s v="Cash"/>
    <x v="2"/>
    <m/>
    <m/>
    <m/>
  </r>
  <r>
    <d v="2024-08-17T00:00:00"/>
    <d v="1899-12-30T15:29:00"/>
    <s v="Tomatoes"/>
    <n v="2"/>
    <n v="20"/>
    <n v="10"/>
    <n v="10"/>
    <s v="Cash"/>
    <x v="2"/>
    <m/>
    <m/>
    <m/>
  </r>
  <r>
    <d v="2024-08-17T00:00:00"/>
    <d v="1899-12-30T16:47:00"/>
    <s v="soda 500ml glass"/>
    <n v="1"/>
    <n v="55"/>
    <n v="50"/>
    <n v="5"/>
    <s v="Cash"/>
    <x v="2"/>
    <m/>
    <m/>
    <m/>
  </r>
  <r>
    <d v="2024-08-17T00:00:00"/>
    <d v="1899-12-30T16:47:00"/>
    <s v="Half pound cake"/>
    <n v="1"/>
    <n v="100"/>
    <n v="90"/>
    <n v="10"/>
    <s v="Cash"/>
    <x v="2"/>
    <m/>
    <m/>
    <m/>
  </r>
  <r>
    <d v="2024-08-17T00:00:00"/>
    <d v="1899-12-30T17:00:00"/>
    <s v="Glycerine"/>
    <n v="1"/>
    <n v="50"/>
    <n v="41.666666666666664"/>
    <n v="8.3333333333333357"/>
    <s v="Cash"/>
    <x v="2"/>
    <m/>
    <m/>
    <m/>
  </r>
  <r>
    <d v="2024-08-17T00:00:00"/>
    <d v="1899-12-30T17:00:00"/>
    <s v="Vaseline"/>
    <n v="1"/>
    <n v="40"/>
    <n v="30"/>
    <n v="10"/>
    <s v="Cash"/>
    <x v="2"/>
    <m/>
    <m/>
    <m/>
  </r>
  <r>
    <d v="2024-08-17T00:00:00"/>
    <d v="1899-12-30T17:00:00"/>
    <s v="Airtel 20 Credit"/>
    <n v="5"/>
    <n v="100"/>
    <n v="90"/>
    <n v="10"/>
    <s v="Cash"/>
    <x v="2"/>
    <m/>
    <m/>
    <m/>
  </r>
  <r>
    <d v="2024-08-17T00:00:00"/>
    <d v="1899-12-30T17:00:00"/>
    <s v="Steel Wool 15g"/>
    <n v="1"/>
    <n v="10"/>
    <n v="5.2333333333333334"/>
    <n v="4.7666666666666666"/>
    <s v="Cash"/>
    <x v="2"/>
    <m/>
    <m/>
    <m/>
  </r>
  <r>
    <d v="2024-08-17T00:00:00"/>
    <d v="1899-12-30T17:02:00"/>
    <s v="Fresh Blue"/>
    <n v="2"/>
    <n v="20"/>
    <n v="10"/>
    <n v="10"/>
    <s v="Credit"/>
    <x v="6"/>
    <s v="Vivian"/>
    <n v="10"/>
    <s v="Mpesa"/>
  </r>
  <r>
    <d v="2024-08-17T00:00:00"/>
    <d v="1899-12-30T17:03:00"/>
    <s v="Cough drops"/>
    <n v="2"/>
    <n v="10"/>
    <n v="8"/>
    <n v="2"/>
    <s v="Cash"/>
    <x v="2"/>
    <m/>
    <m/>
    <m/>
  </r>
  <r>
    <d v="2024-08-17T00:00:00"/>
    <d v="1899-12-30T19:21:00"/>
    <s v="Tukuza 1kg"/>
    <n v="1"/>
    <n v="90"/>
    <n v="61.25"/>
    <n v="28.75"/>
    <s v="Mpesa"/>
    <x v="2"/>
    <m/>
    <m/>
    <m/>
  </r>
  <r>
    <d v="2024-08-17T00:00:00"/>
    <d v="1899-12-30T19:21:00"/>
    <s v="Bigdaddy"/>
    <n v="1"/>
    <n v="10"/>
    <n v="6"/>
    <n v="4"/>
    <s v="Cash"/>
    <x v="2"/>
    <m/>
    <m/>
    <m/>
  </r>
  <r>
    <d v="2024-08-17T00:00:00"/>
    <d v="1899-12-30T19:22:00"/>
    <s v="Gumballs"/>
    <n v="2"/>
    <n v="2"/>
    <n v="1.4"/>
    <n v="0.60000000000000009"/>
    <s v="Cash"/>
    <x v="2"/>
    <m/>
    <m/>
    <m/>
  </r>
  <r>
    <d v="2024-08-17T00:00:00"/>
    <d v="1899-12-30T19:22:00"/>
    <s v="Patco"/>
    <n v="5"/>
    <n v="12.5"/>
    <n v="6"/>
    <n v="6.5"/>
    <s v="Cash"/>
    <x v="2"/>
    <m/>
    <m/>
    <m/>
  </r>
  <r>
    <d v="2024-08-17T00:00:00"/>
    <d v="1899-12-30T19:38:00"/>
    <s v="Maramoja"/>
    <n v="2"/>
    <n v="20"/>
    <n v="14"/>
    <n v="6"/>
    <s v="Mpesa"/>
    <x v="2"/>
    <m/>
    <m/>
    <m/>
  </r>
  <r>
    <d v="2024-08-17T00:00:00"/>
    <d v="1899-12-30T19:50:00"/>
    <s v="Sofnfree"/>
    <n v="1"/>
    <n v="200"/>
    <n v="160"/>
    <n v="40"/>
    <s v="Credit"/>
    <x v="16"/>
    <m/>
    <m/>
    <m/>
  </r>
  <r>
    <d v="2024-08-17T00:00:00"/>
    <d v="1899-12-30T19:50:00"/>
    <s v="waru"/>
    <n v="1"/>
    <n v="50"/>
    <n v="29.999999999999996"/>
    <n v="20.000000000000004"/>
    <s v="Credit"/>
    <x v="16"/>
    <m/>
    <m/>
    <m/>
  </r>
  <r>
    <d v="2024-08-17T00:00:00"/>
    <d v="1899-12-30T19:50:00"/>
    <s v="Nuvita Bisquit"/>
    <n v="2"/>
    <n v="10"/>
    <n v="8.3333333333333339"/>
    <n v="1.6666666666666661"/>
    <s v="Mpesa"/>
    <x v="2"/>
    <m/>
    <m/>
    <m/>
  </r>
  <r>
    <d v="2024-08-17T00:00:00"/>
    <d v="1899-12-30T19:50:00"/>
    <s v="Lemon Bisquit"/>
    <n v="2"/>
    <n v="10"/>
    <n v="8.6666666666666661"/>
    <n v="1.3333333333333339"/>
    <s v="Mpesa"/>
    <x v="2"/>
    <m/>
    <m/>
    <m/>
  </r>
  <r>
    <d v="2024-08-17T00:00:00"/>
    <d v="1899-12-30T19:50:00"/>
    <s v="Ginger Bisquit"/>
    <n v="2"/>
    <n v="10"/>
    <n v="8.6666666666666661"/>
    <n v="1.3333333333333339"/>
    <s v="Mpesa"/>
    <x v="2"/>
    <m/>
    <m/>
    <m/>
  </r>
  <r>
    <d v="2024-08-17T00:00:00"/>
    <d v="1899-12-30T20:31:00"/>
    <s v="Tomatoes"/>
    <n v="1"/>
    <n v="10"/>
    <n v="5"/>
    <n v="5"/>
    <s v="Credit"/>
    <x v="16"/>
    <m/>
    <m/>
    <m/>
  </r>
  <r>
    <d v="2024-08-17T00:00:00"/>
    <d v="1899-12-30T20:35:00"/>
    <s v="Fresh Blue"/>
    <n v="1"/>
    <n v="10"/>
    <n v="5"/>
    <n v="5"/>
    <s v="Mpesa"/>
    <x v="2"/>
    <m/>
    <m/>
    <m/>
  </r>
  <r>
    <d v="2024-08-18T00:00:00"/>
    <d v="1899-12-30T08:00:00"/>
    <s v="Kinangop Fresh Milk 500ml"/>
    <n v="1"/>
    <n v="60"/>
    <n v="55"/>
    <n v="5"/>
    <s v="Credit"/>
    <x v="8"/>
    <m/>
    <m/>
    <m/>
  </r>
  <r>
    <d v="2024-08-18T00:00:00"/>
    <d v="1899-12-30T08:30:00"/>
    <s v="Kinangop Fresh Milk 500ml"/>
    <n v="1"/>
    <n v="60"/>
    <n v="55"/>
    <n v="5"/>
    <s v="Credit"/>
    <x v="3"/>
    <m/>
    <m/>
    <m/>
  </r>
  <r>
    <d v="2024-08-18T00:00:00"/>
    <d v="1899-12-30T08:30:00"/>
    <s v="Festive Bread 400g"/>
    <n v="1"/>
    <n v="65"/>
    <n v="60"/>
    <n v="5"/>
    <s v="Credit"/>
    <x v="3"/>
    <m/>
    <m/>
    <m/>
  </r>
  <r>
    <d v="2024-08-18T00:00:00"/>
    <d v="1899-12-30T09:44:00"/>
    <s v="Festive 600g"/>
    <n v="1"/>
    <n v="100"/>
    <n v="90"/>
    <n v="10"/>
    <s v="Mpesa"/>
    <x v="2"/>
    <m/>
    <m/>
    <m/>
  </r>
  <r>
    <d v="2024-08-18T00:00:00"/>
    <d v="1899-12-30T09:06:00"/>
    <s v="BB Bread 400g"/>
    <n v="2"/>
    <n v="130"/>
    <n v="120"/>
    <n v="10"/>
    <s v="Mpesa"/>
    <x v="2"/>
    <m/>
    <m/>
    <m/>
  </r>
  <r>
    <d v="2024-08-18T00:00:00"/>
    <d v="1899-12-30T09:06:00"/>
    <s v="Festive Bread 400g"/>
    <n v="1"/>
    <n v="65"/>
    <n v="60"/>
    <n v="5"/>
    <s v="Credit"/>
    <x v="16"/>
    <m/>
    <m/>
    <m/>
  </r>
  <r>
    <d v="2024-08-18T00:00:00"/>
    <d v="1899-12-30T12:04:00"/>
    <s v="waru"/>
    <n v="1"/>
    <n v="50"/>
    <n v="29.999999999999996"/>
    <n v="20.000000000000004"/>
    <s v="Mpesa"/>
    <x v="2"/>
    <m/>
    <m/>
    <m/>
  </r>
  <r>
    <d v="2024-08-18T00:00:00"/>
    <d v="1899-12-30T12:04:00"/>
    <s v="kabras sugar 1kg"/>
    <n v="1"/>
    <n v="180"/>
    <n v="140"/>
    <n v="40"/>
    <s v="Mpesa"/>
    <x v="2"/>
    <m/>
    <m/>
    <m/>
  </r>
  <r>
    <d v="2024-08-18T00:00:00"/>
    <d v="1899-12-30T12:04:00"/>
    <s v="Pishori rice"/>
    <n v="1"/>
    <n v="220"/>
    <n v="180"/>
    <n v="40"/>
    <s v="Mpesa"/>
    <x v="2"/>
    <m/>
    <m/>
    <m/>
  </r>
  <r>
    <d v="2024-08-18T00:00:00"/>
    <d v="1899-12-30T12:04:00"/>
    <s v="Onion"/>
    <n v="5"/>
    <n v="50"/>
    <n v="40"/>
    <n v="10"/>
    <s v="Mpesa"/>
    <x v="2"/>
    <m/>
    <m/>
    <m/>
  </r>
  <r>
    <d v="2024-08-18T00:00:00"/>
    <d v="1899-12-30T12:04:00"/>
    <s v="Tomatoes"/>
    <n v="5"/>
    <n v="50"/>
    <n v="25"/>
    <n v="25"/>
    <s v="Mpesa"/>
    <x v="2"/>
    <m/>
    <m/>
    <m/>
  </r>
  <r>
    <d v="2024-08-18T00:00:00"/>
    <d v="1899-12-30T12:04:00"/>
    <s v="Dhania"/>
    <n v="4"/>
    <n v="20"/>
    <n v="13.333333333333334"/>
    <n v="6.6666666666666661"/>
    <s v="Mpesa"/>
    <x v="2"/>
    <m/>
    <m/>
    <m/>
  </r>
  <r>
    <d v="2024-08-18T00:00:00"/>
    <d v="1899-12-30T13:29:00"/>
    <s v="Sportsman"/>
    <n v="2"/>
    <n v="40"/>
    <n v="26"/>
    <n v="14"/>
    <s v="Cash"/>
    <x v="2"/>
    <m/>
    <m/>
    <m/>
  </r>
  <r>
    <d v="2024-08-18T00:00:00"/>
    <d v="1899-12-30T08:30:00"/>
    <s v="Downy sunrise fresh"/>
    <n v="1"/>
    <n v="20"/>
    <n v="17.333333333333332"/>
    <n v="2.6666666666666679"/>
    <s v="Cash"/>
    <x v="2"/>
    <m/>
    <m/>
    <m/>
  </r>
  <r>
    <d v="2024-08-18T00:00:00"/>
    <d v="1899-12-30T08:30:00"/>
    <s v="Goodday Cookies"/>
    <n v="2"/>
    <n v="30"/>
    <n v="18.666666666666668"/>
    <n v="11.333333333333332"/>
    <s v="Cash"/>
    <x v="2"/>
    <m/>
    <m/>
    <m/>
  </r>
  <r>
    <d v="2024-08-18T00:00:00"/>
    <d v="1899-12-30T14:00:00"/>
    <s v="soda 300ml glass"/>
    <n v="1"/>
    <n v="40"/>
    <n v="32.5"/>
    <n v="7.5"/>
    <s v="Mpesa"/>
    <x v="2"/>
    <m/>
    <m/>
    <m/>
  </r>
  <r>
    <d v="2024-08-18T00:00:00"/>
    <d v="1899-12-30T14:00:00"/>
    <s v="BB Bread 400g"/>
    <n v="1"/>
    <n v="65"/>
    <n v="60"/>
    <n v="5"/>
    <s v="Mpesa"/>
    <x v="13"/>
    <s v="Mark"/>
    <n v="385"/>
    <s v="Mpesa"/>
  </r>
  <r>
    <d v="2024-08-18T00:00:00"/>
    <d v="1899-12-30T14:01:00"/>
    <s v="Safari"/>
    <n v="2"/>
    <n v="30"/>
    <n v="17"/>
    <n v="13"/>
    <s v="Cash"/>
    <x v="2"/>
    <m/>
    <m/>
    <m/>
  </r>
  <r>
    <d v="2024-08-18T00:00:00"/>
    <d v="1899-12-30T14:01:00"/>
    <s v="BB Bread 400g"/>
    <n v="1"/>
    <n v="65"/>
    <n v="60"/>
    <n v="5"/>
    <s v="Credit"/>
    <x v="10"/>
    <m/>
    <m/>
    <m/>
  </r>
  <r>
    <d v="2024-08-18T00:00:00"/>
    <d v="1899-12-30T14:54:00"/>
    <s v="Indomie chicken"/>
    <n v="3"/>
    <n v="150"/>
    <n v="112.5"/>
    <n v="37.5"/>
    <s v="Mpesa"/>
    <x v="2"/>
    <m/>
    <m/>
    <m/>
  </r>
  <r>
    <d v="2024-08-18T00:00:00"/>
    <d v="1899-12-30T14:55:00"/>
    <s v="Njugu"/>
    <n v="1"/>
    <n v="20"/>
    <n v="10.666666666666666"/>
    <n v="9.3333333333333339"/>
    <s v="Cash"/>
    <x v="2"/>
    <m/>
    <m/>
    <m/>
  </r>
  <r>
    <d v="2024-08-18T00:00:00"/>
    <d v="1899-12-30T17:14:00"/>
    <s v="Safaricom 50 Credit"/>
    <n v="1"/>
    <n v="50"/>
    <n v="47"/>
    <n v="3"/>
    <s v="Cash"/>
    <x v="2"/>
    <m/>
    <m/>
    <m/>
  </r>
  <r>
    <d v="2024-08-18T00:00:00"/>
    <d v="1899-12-30T17:14:00"/>
    <s v="T.Heat Potato crisps Tomato 25g"/>
    <n v="2"/>
    <n v="60"/>
    <n v="45.833333333333336"/>
    <n v="14.166666666666664"/>
    <s v="Credit"/>
    <x v="7"/>
    <m/>
    <m/>
    <m/>
  </r>
  <r>
    <d v="2024-08-18T00:00:00"/>
    <d v="1899-12-30T17:30:00"/>
    <s v="coo"/>
    <n v="2"/>
    <n v="5"/>
    <n v="2.4"/>
    <n v="2.6"/>
    <s v="Cash"/>
    <x v="2"/>
    <m/>
    <m/>
    <m/>
  </r>
  <r>
    <d v="2024-08-18T00:00:00"/>
    <d v="1899-12-30T18:15:00"/>
    <s v="Airtel 20 Credit"/>
    <n v="3"/>
    <n v="60"/>
    <n v="54"/>
    <n v="6"/>
    <s v="Credit"/>
    <x v="9"/>
    <m/>
    <m/>
    <m/>
  </r>
  <r>
    <d v="2024-08-18T00:00:00"/>
    <d v="1899-12-30T18:15:00"/>
    <s v="Safari"/>
    <n v="2"/>
    <n v="30"/>
    <n v="17"/>
    <n v="13"/>
    <s v="Credit"/>
    <x v="9"/>
    <m/>
    <m/>
    <m/>
  </r>
  <r>
    <d v="2024-08-18T00:00:00"/>
    <d v="1899-12-30T18:20:00"/>
    <s v="Handkerchief"/>
    <n v="1"/>
    <n v="20"/>
    <n v="12"/>
    <n v="8"/>
    <s v="Credit"/>
    <x v="8"/>
    <m/>
    <m/>
    <m/>
  </r>
  <r>
    <d v="2024-08-18T00:00:00"/>
    <d v="1899-12-30T18:39:00"/>
    <s v="Indomie beef"/>
    <n v="1"/>
    <n v="50"/>
    <n v="38"/>
    <n v="12"/>
    <s v="Mpesa"/>
    <x v="2"/>
    <m/>
    <m/>
    <m/>
  </r>
  <r>
    <d v="2024-08-18T00:00:00"/>
    <d v="1899-12-30T18:39:00"/>
    <s v="eggs"/>
    <n v="2"/>
    <n v="40"/>
    <n v="28.666666666666668"/>
    <n v="11.333333333333332"/>
    <s v="Mpesa"/>
    <x v="2"/>
    <m/>
    <m/>
    <m/>
  </r>
  <r>
    <d v="2024-08-18T00:00:00"/>
    <d v="1899-12-30T18:35:00"/>
    <s v="Indomie chicken"/>
    <n v="1"/>
    <n v="50"/>
    <n v="37.5"/>
    <n v="12.5"/>
    <s v="Mpesa"/>
    <x v="2"/>
    <m/>
    <m/>
    <m/>
  </r>
  <r>
    <d v="2024-08-18T00:00:00"/>
    <d v="1899-12-30T18:50:00"/>
    <s v="Maramoja"/>
    <n v="2"/>
    <n v="20"/>
    <n v="14"/>
    <n v="6"/>
    <s v="Mpesa"/>
    <x v="2"/>
    <m/>
    <m/>
    <m/>
  </r>
  <r>
    <d v="2024-08-18T00:00:00"/>
    <d v="1899-12-30T19:00:00"/>
    <s v="Pishori rice"/>
    <n v="1"/>
    <n v="220"/>
    <n v="180"/>
    <n v="40"/>
    <s v="Credit"/>
    <x v="23"/>
    <m/>
    <m/>
    <m/>
  </r>
  <r>
    <d v="2024-08-18T00:00:00"/>
    <d v="1899-12-30T19:04:00"/>
    <s v="Goodday Cookies"/>
    <n v="1"/>
    <n v="15"/>
    <n v="9.3333333333333339"/>
    <n v="5.6666666666666661"/>
    <s v="Cash"/>
    <x v="2"/>
    <m/>
    <m/>
    <m/>
  </r>
  <r>
    <d v="2024-08-18T00:00:00"/>
    <d v="1899-12-30T19:04:00"/>
    <s v="Tomatoes"/>
    <n v="1"/>
    <n v="10"/>
    <n v="5"/>
    <n v="5"/>
    <s v="Credit"/>
    <x v="37"/>
    <m/>
    <m/>
    <m/>
  </r>
  <r>
    <d v="2024-08-18T00:00:00"/>
    <d v="1899-12-30T19:13:00"/>
    <s v="Colgate 35g"/>
    <n v="1"/>
    <n v="80"/>
    <n v="62.5"/>
    <n v="17.5"/>
    <s v="Mpesa"/>
    <x v="2"/>
    <m/>
    <m/>
    <m/>
  </r>
  <r>
    <d v="2024-08-18T00:00:00"/>
    <d v="1899-12-30T19:13:00"/>
    <s v="Blueband 100g"/>
    <n v="1"/>
    <n v="70"/>
    <n v="58.333333333333336"/>
    <n v="11.666666666666664"/>
    <s v="Mpesa"/>
    <x v="2"/>
    <m/>
    <m/>
    <m/>
  </r>
  <r>
    <d v="2024-08-18T00:00:00"/>
    <d v="1899-12-30T19:13:00"/>
    <s v="Cooking Oil Measured"/>
    <n v="0.25"/>
    <n v="70"/>
    <n v="50"/>
    <n v="20"/>
    <s v="Mpesa"/>
    <x v="2"/>
    <m/>
    <m/>
    <m/>
  </r>
  <r>
    <d v="2024-08-18T00:00:00"/>
    <d v="1899-12-30T19:13:00"/>
    <s v="Sindano rice"/>
    <n v="0.5"/>
    <n v="75"/>
    <n v="60"/>
    <n v="15"/>
    <s v="Mpesa"/>
    <x v="2"/>
    <m/>
    <m/>
    <m/>
  </r>
  <r>
    <d v="2024-08-18T00:00:00"/>
    <d v="1899-12-30T19:13:00"/>
    <s v="Drinking Chocolate 20g"/>
    <n v="1"/>
    <n v="20"/>
    <n v="10.416666666666666"/>
    <n v="9.5833333333333339"/>
    <s v="Mpesa"/>
    <x v="2"/>
    <m/>
    <m/>
    <m/>
  </r>
  <r>
    <d v="2024-08-18T00:00:00"/>
    <d v="1899-12-30T19:13:00"/>
    <s v="Softcare pads"/>
    <n v="1"/>
    <n v="85"/>
    <n v="66"/>
    <n v="19"/>
    <s v="Mpesa"/>
    <x v="2"/>
    <m/>
    <m/>
    <m/>
  </r>
  <r>
    <d v="2024-08-18T00:00:00"/>
    <d v="1899-12-30T19:13:00"/>
    <s v="soda 500ml glass"/>
    <n v="1"/>
    <n v="55"/>
    <n v="50"/>
    <n v="5"/>
    <s v="Mpesa"/>
    <x v="2"/>
    <m/>
    <m/>
    <m/>
  </r>
  <r>
    <d v="2024-08-18T00:00:00"/>
    <d v="1899-12-30T19:13:00"/>
    <s v="Whitewash "/>
    <n v="1"/>
    <n v="50"/>
    <n v="33.75"/>
    <n v="16.25"/>
    <s v="Mpesa"/>
    <x v="2"/>
    <m/>
    <m/>
    <m/>
  </r>
  <r>
    <d v="2024-08-18T00:00:00"/>
    <d v="1899-12-30T19:13:00"/>
    <s v="ariel 75g"/>
    <n v="1"/>
    <n v="35"/>
    <n v="27.5"/>
    <n v="7.5"/>
    <s v="Mpesa"/>
    <x v="2"/>
    <m/>
    <m/>
    <m/>
  </r>
  <r>
    <d v="2024-08-18T00:00:00"/>
    <d v="1899-12-30T19:13:00"/>
    <s v="Onion"/>
    <n v="3"/>
    <n v="30"/>
    <n v="24"/>
    <n v="6"/>
    <s v="Mpesa"/>
    <x v="2"/>
    <m/>
    <m/>
    <m/>
  </r>
  <r>
    <d v="2024-08-18T00:00:00"/>
    <d v="1899-12-30T19:13:00"/>
    <s v="Arimis small"/>
    <n v="1"/>
    <n v="35"/>
    <n v="23.333333333333332"/>
    <n v="11.666666666666668"/>
    <s v="Mpesa"/>
    <x v="2"/>
    <m/>
    <m/>
    <m/>
  </r>
  <r>
    <d v="2024-08-18T00:00:00"/>
    <d v="1899-12-30T19:16:00"/>
    <s v="Mt kenya milk 500ml"/>
    <n v="2"/>
    <n v="130"/>
    <n v="96.666666666666671"/>
    <n v="33.333333333333329"/>
    <s v="Mpesa"/>
    <x v="2"/>
    <m/>
    <m/>
    <m/>
  </r>
  <r>
    <d v="2024-08-18T00:00:00"/>
    <d v="1899-12-30T19:16:00"/>
    <s v="eggs"/>
    <n v="4"/>
    <n v="80"/>
    <n v="57.333333333333336"/>
    <n v="22.666666666666664"/>
    <s v="Mpesa"/>
    <x v="2"/>
    <m/>
    <m/>
    <m/>
  </r>
  <r>
    <d v="2024-08-18T00:00:00"/>
    <d v="1899-12-30T15:28:00"/>
    <s v="kinangop250g youghurt"/>
    <n v="1"/>
    <n v="60"/>
    <n v="48.333333333333336"/>
    <n v="11.666666666666664"/>
    <s v="Mpesa"/>
    <x v="2"/>
    <m/>
    <m/>
    <m/>
  </r>
  <r>
    <d v="2024-08-18T00:00:00"/>
    <d v="1899-12-30T15:28:00"/>
    <s v="laundry brush"/>
    <n v="1"/>
    <n v="50"/>
    <n v="40"/>
    <n v="10"/>
    <s v="Mpesa"/>
    <x v="2"/>
    <m/>
    <m/>
    <m/>
  </r>
  <r>
    <d v="2024-08-18T00:00:00"/>
    <d v="1899-12-30T19:34:00"/>
    <s v="Ring Cake"/>
    <n v="1"/>
    <n v="50"/>
    <n v="45"/>
    <n v="5"/>
    <s v="Mpesa"/>
    <x v="2"/>
    <m/>
    <m/>
    <m/>
  </r>
  <r>
    <d v="2024-08-18T00:00:00"/>
    <d v="1899-12-30T19:34:00"/>
    <s v="Brookside milk 500ml"/>
    <n v="1"/>
    <n v="70"/>
    <n v="59"/>
    <n v="11"/>
    <s v="Mpesa"/>
    <x v="2"/>
    <m/>
    <m/>
    <m/>
  </r>
  <r>
    <d v="2024-08-18T00:00:00"/>
    <d v="1899-12-30T19:37:00"/>
    <s v="Kinangop Fresh Milk 500ml"/>
    <n v="1"/>
    <n v="60"/>
    <n v="55"/>
    <n v="5"/>
    <s v="Credit"/>
    <x v="8"/>
    <m/>
    <m/>
    <m/>
  </r>
  <r>
    <d v="2024-08-18T00:00:00"/>
    <d v="1899-12-30T19:28:00"/>
    <s v="Soko Maize meal"/>
    <n v="1"/>
    <n v="160"/>
    <n v="125"/>
    <n v="35"/>
    <s v="Credit"/>
    <x v="32"/>
    <m/>
    <m/>
    <m/>
  </r>
  <r>
    <d v="2024-08-18T00:00:00"/>
    <d v="1899-12-30T19:28:00"/>
    <s v="Softcare pads"/>
    <n v="1"/>
    <n v="85"/>
    <n v="66"/>
    <n v="19"/>
    <s v="Credit"/>
    <x v="32"/>
    <s v="Mwende"/>
    <n v="200"/>
    <s v="Mpesa"/>
  </r>
  <r>
    <d v="2024-08-18T00:00:00"/>
    <d v="1899-12-30T19:28:00"/>
    <s v="Choc-chip Cookies"/>
    <n v="1"/>
    <n v="35"/>
    <n v="25"/>
    <n v="10"/>
    <s v="Credit"/>
    <x v="32"/>
    <m/>
    <m/>
    <m/>
  </r>
  <r>
    <d v="2024-08-18T00:00:00"/>
    <d v="1899-12-30T19:28:00"/>
    <s v="Brookside Lala Natural"/>
    <n v="1"/>
    <n v="100"/>
    <n v="87"/>
    <n v="13"/>
    <s v="Credit"/>
    <x v="3"/>
    <m/>
    <m/>
    <m/>
  </r>
  <r>
    <d v="2024-08-18T00:00:00"/>
    <d v="1899-12-30T19:28:00"/>
    <s v="Kinangop Fresh Milk 500ml"/>
    <n v="1"/>
    <n v="60"/>
    <n v="55"/>
    <n v="5"/>
    <s v="Credit"/>
    <x v="3"/>
    <m/>
    <m/>
    <m/>
  </r>
  <r>
    <d v="2024-08-19T00:00:00"/>
    <d v="1899-12-30T07:50:00"/>
    <s v="Kinangop Fresh Milk 500ml"/>
    <n v="1"/>
    <n v="60"/>
    <n v="55"/>
    <n v="5"/>
    <s v="Credit"/>
    <x v="8"/>
    <m/>
    <m/>
    <m/>
  </r>
  <r>
    <d v="2024-08-19T00:00:00"/>
    <d v="1899-12-30T07:55:00"/>
    <s v="eggs"/>
    <n v="3"/>
    <n v="60"/>
    <n v="43"/>
    <n v="17"/>
    <s v="Credit"/>
    <x v="8"/>
    <m/>
    <m/>
    <m/>
  </r>
  <r>
    <d v="2024-08-19T00:00:00"/>
    <d v="1899-12-30T08:45:00"/>
    <s v="Festive Bread 400g"/>
    <n v="2"/>
    <n v="130"/>
    <n v="120"/>
    <n v="10"/>
    <s v="Cash"/>
    <x v="2"/>
    <m/>
    <m/>
    <m/>
  </r>
  <r>
    <d v="2024-08-19T00:00:00"/>
    <d v="1899-12-30T08:50:00"/>
    <s v="Festive Bread 400g"/>
    <n v="1"/>
    <n v="65"/>
    <n v="60"/>
    <n v="5"/>
    <s v="Credit"/>
    <x v="8"/>
    <m/>
    <m/>
    <m/>
  </r>
  <r>
    <d v="2024-08-19T00:00:00"/>
    <d v="1899-12-30T08:50:00"/>
    <s v="Half pound cake"/>
    <n v="1"/>
    <n v="100"/>
    <n v="90"/>
    <n v="10"/>
    <s v="Credit"/>
    <x v="8"/>
    <m/>
    <m/>
    <m/>
  </r>
  <r>
    <d v="2024-08-19T00:00:00"/>
    <d v="1899-12-30T08:55:00"/>
    <s v="Peanut Cookies"/>
    <n v="1"/>
    <n v="35"/>
    <n v="25"/>
    <n v="10"/>
    <s v="Cash"/>
    <x v="2"/>
    <m/>
    <m/>
    <m/>
  </r>
  <r>
    <d v="2024-08-19T00:00:00"/>
    <d v="1899-12-30T08:55:00"/>
    <s v="Maramoja"/>
    <n v="1"/>
    <n v="10"/>
    <n v="7"/>
    <n v="3"/>
    <s v="Cash"/>
    <x v="2"/>
    <m/>
    <m/>
    <m/>
  </r>
  <r>
    <d v="2024-08-19T00:00:00"/>
    <d v="1899-12-30T09:20:00"/>
    <s v="Kienyeji  Eggs"/>
    <n v="8"/>
    <n v="240"/>
    <n v="160"/>
    <n v="80"/>
    <s v="Credit"/>
    <x v="21"/>
    <m/>
    <m/>
    <m/>
  </r>
  <r>
    <d v="2024-08-19T00:00:00"/>
    <d v="1899-12-30T09:20:00"/>
    <s v="Royco cubes"/>
    <n v="6"/>
    <n v="30"/>
    <n v="18"/>
    <n v="12"/>
    <s v="Credit"/>
    <x v="21"/>
    <m/>
    <m/>
    <m/>
  </r>
  <r>
    <d v="2024-08-19T00:00:00"/>
    <d v="1899-12-30T09:20:00"/>
    <s v="BB Bread 400g"/>
    <n v="1"/>
    <n v="65"/>
    <n v="60"/>
    <n v="5"/>
    <s v="Credit"/>
    <x v="21"/>
    <m/>
    <m/>
    <m/>
  </r>
  <r>
    <d v="2024-08-19T00:00:00"/>
    <d v="1899-12-30T09:20:00"/>
    <s v="Sugar 1/2 kg"/>
    <n v="1"/>
    <n v="90"/>
    <n v="60"/>
    <n v="30"/>
    <s v="Credit"/>
    <x v="21"/>
    <m/>
    <m/>
    <m/>
  </r>
  <r>
    <d v="2024-08-19T00:00:00"/>
    <d v="1899-12-30T09:20:00"/>
    <s v="Tomatoes"/>
    <n v="2"/>
    <n v="20"/>
    <n v="10"/>
    <n v="10"/>
    <s v="Credit"/>
    <x v="21"/>
    <m/>
    <m/>
    <m/>
  </r>
  <r>
    <d v="2024-08-19T00:00:00"/>
    <d v="1899-12-30T09:20:00"/>
    <s v="Onion"/>
    <n v="2"/>
    <n v="20"/>
    <n v="16"/>
    <n v="4"/>
    <s v="Credit"/>
    <x v="21"/>
    <m/>
    <m/>
    <m/>
  </r>
  <r>
    <d v="2024-08-19T00:00:00"/>
    <d v="1899-12-30T09:20:00"/>
    <s v="Blueband 250g"/>
    <n v="1"/>
    <n v="190"/>
    <n v="140"/>
    <n v="50"/>
    <s v="Credit"/>
    <x v="21"/>
    <m/>
    <m/>
    <m/>
  </r>
  <r>
    <d v="2024-08-19T00:00:00"/>
    <d v="1899-12-30T09:20:00"/>
    <s v="Indomie chicken"/>
    <n v="1"/>
    <n v="50"/>
    <n v="37.5"/>
    <n v="12.5"/>
    <s v="Credit"/>
    <x v="21"/>
    <m/>
    <m/>
    <m/>
  </r>
  <r>
    <d v="2024-08-19T00:00:00"/>
    <d v="1899-12-30T09:34:00"/>
    <s v="predator"/>
    <n v="2"/>
    <n v="140"/>
    <n v="108.33333333333333"/>
    <n v="31.666666666666671"/>
    <s v="Credit"/>
    <x v="19"/>
    <m/>
    <m/>
    <m/>
  </r>
  <r>
    <d v="2024-08-19T00:00:00"/>
    <d v="1899-12-30T09:34:00"/>
    <s v="omo 75g"/>
    <n v="1"/>
    <n v="35"/>
    <n v="27.5"/>
    <n v="7.5"/>
    <s v="Cash"/>
    <x v="2"/>
    <m/>
    <m/>
    <m/>
  </r>
  <r>
    <d v="2024-08-19T00:00:00"/>
    <d v="1899-12-30T09:34:00"/>
    <s v="Gomba"/>
    <n v="1"/>
    <n v="2.5"/>
    <n v="1.8"/>
    <n v="0.7"/>
    <s v="Cash"/>
    <x v="2"/>
    <m/>
    <m/>
    <m/>
  </r>
  <r>
    <d v="2024-08-19T00:00:00"/>
    <d v="1899-12-30T09:41:00"/>
    <s v="eggs"/>
    <n v="7"/>
    <n v="140"/>
    <n v="100.33333333333334"/>
    <n v="39.666666666666657"/>
    <s v="Mpesa"/>
    <x v="2"/>
    <m/>
    <m/>
    <m/>
  </r>
  <r>
    <d v="2024-08-19T00:00:00"/>
    <d v="1899-12-30T09:45:00"/>
    <s v="Crown Gold Milk 500ml"/>
    <n v="1"/>
    <n v="65"/>
    <n v="54.166666666666664"/>
    <n v="10.833333333333336"/>
    <s v="Cash"/>
    <x v="2"/>
    <m/>
    <m/>
    <m/>
  </r>
  <r>
    <d v="2024-08-19T00:00:00"/>
    <d v="1899-12-30T09:45:00"/>
    <s v="predator"/>
    <n v="1"/>
    <n v="70"/>
    <n v="54.166666666666664"/>
    <n v="15.833333333333336"/>
    <s v="Cash"/>
    <x v="2"/>
    <m/>
    <m/>
    <m/>
  </r>
  <r>
    <d v="2024-08-19T00:00:00"/>
    <d v="1899-12-30T09:45:00"/>
    <s v="BB Bread 400g"/>
    <n v="2"/>
    <n v="130"/>
    <n v="120"/>
    <n v="10"/>
    <s v="Mpesa"/>
    <x v="2"/>
    <m/>
    <m/>
    <m/>
  </r>
  <r>
    <d v="2024-08-19T00:00:00"/>
    <d v="1899-12-30T10:11:00"/>
    <s v="Festive 600g"/>
    <n v="1"/>
    <n v="100"/>
    <n v="90"/>
    <n v="10"/>
    <s v="Mpesa"/>
    <x v="2"/>
    <m/>
    <m/>
    <m/>
  </r>
  <r>
    <d v="2024-08-19T00:00:00"/>
    <d v="1899-12-30T10:11:00"/>
    <s v="Crown Gold Milk 500ml"/>
    <n v="1"/>
    <n v="65"/>
    <n v="54.166666666666664"/>
    <n v="10.833333333333336"/>
    <s v="Mpesa"/>
    <x v="2"/>
    <m/>
    <m/>
    <m/>
  </r>
  <r>
    <d v="2024-08-19T00:00:00"/>
    <d v="1899-12-30T10:11:00"/>
    <s v="soda 350ml plastic"/>
    <n v="1"/>
    <n v="50"/>
    <n v="41.666666666666664"/>
    <n v="8.3333333333333357"/>
    <s v="Mpesa"/>
    <x v="2"/>
    <m/>
    <m/>
    <m/>
  </r>
  <r>
    <d v="2024-08-19T00:00:00"/>
    <d v="1899-12-30T10:17:00"/>
    <s v="Ginger Bisquit"/>
    <n v="4"/>
    <n v="20"/>
    <n v="17.333333333333332"/>
    <n v="2.6666666666666679"/>
    <s v="Cash"/>
    <x v="2"/>
    <m/>
    <m/>
    <m/>
  </r>
  <r>
    <d v="2024-08-19T00:00:00"/>
    <d v="1899-12-30T10:17:00"/>
    <s v="Baloon"/>
    <n v="2"/>
    <n v="20"/>
    <n v="12"/>
    <n v="8"/>
    <s v="Cash"/>
    <x v="2"/>
    <m/>
    <m/>
    <m/>
  </r>
  <r>
    <d v="2024-08-19T00:00:00"/>
    <d v="1899-12-30T10:33:00"/>
    <s v="Brookside milk 500ml"/>
    <n v="1"/>
    <n v="70"/>
    <n v="59"/>
    <n v="11"/>
    <s v="Credit"/>
    <x v="20"/>
    <m/>
    <m/>
    <m/>
  </r>
  <r>
    <d v="2024-08-19T00:00:00"/>
    <d v="1899-12-30T10:50:00"/>
    <s v="soda 300ml glass"/>
    <n v="2"/>
    <n v="80"/>
    <n v="65"/>
    <n v="15"/>
    <s v="Credit"/>
    <x v="13"/>
    <m/>
    <m/>
    <m/>
  </r>
  <r>
    <d v="2024-08-19T00:00:00"/>
    <d v="1899-12-30T10:50:00"/>
    <s v="BB Bread 400g"/>
    <n v="1"/>
    <n v="65"/>
    <n v="60"/>
    <n v="5"/>
    <s v="Credit"/>
    <x v="13"/>
    <m/>
    <m/>
    <m/>
  </r>
  <r>
    <d v="2024-08-19T00:00:00"/>
    <d v="1899-12-30T11:02:00"/>
    <s v="Lollipop"/>
    <n v="3"/>
    <n v="15"/>
    <n v="7.1999999999999993"/>
    <n v="7.8000000000000007"/>
    <s v="Cash"/>
    <x v="2"/>
    <m/>
    <m/>
    <m/>
  </r>
  <r>
    <d v="2024-08-19T00:00:00"/>
    <d v="1899-12-30T11:45:00"/>
    <s v="Softcare pads"/>
    <n v="1"/>
    <n v="85"/>
    <n v="66"/>
    <n v="19"/>
    <s v="Credit"/>
    <x v="20"/>
    <m/>
    <m/>
    <m/>
  </r>
  <r>
    <d v="2024-08-19T00:00:00"/>
    <d v="1899-12-30T12:32:00"/>
    <s v="Pishori rice"/>
    <n v="1"/>
    <n v="220"/>
    <n v="180"/>
    <n v="40"/>
    <s v="Credit"/>
    <x v="7"/>
    <m/>
    <m/>
    <m/>
  </r>
  <r>
    <d v="2024-08-19T00:00:00"/>
    <d v="1899-12-30T01:46:00"/>
    <s v="Indomie chicken"/>
    <n v="3"/>
    <n v="150"/>
    <n v="112.5"/>
    <n v="37.5"/>
    <s v="Mpesa"/>
    <x v="2"/>
    <m/>
    <m/>
    <m/>
  </r>
  <r>
    <d v="2024-08-19T00:00:00"/>
    <d v="1899-12-30T01:46:00"/>
    <s v="Bella Tissue"/>
    <n v="1"/>
    <n v="50"/>
    <n v="35"/>
    <n v="15"/>
    <s v="Mpesa"/>
    <x v="2"/>
    <m/>
    <m/>
    <m/>
  </r>
  <r>
    <d v="2024-08-19T00:00:00"/>
    <d v="1899-12-30T01:41:00"/>
    <s v="soda 500ml glass"/>
    <n v="1"/>
    <n v="55"/>
    <n v="50"/>
    <n v="5"/>
    <s v="Mpesa"/>
    <x v="2"/>
    <m/>
    <m/>
    <m/>
  </r>
  <r>
    <d v="2024-08-19T00:00:00"/>
    <d v="1899-12-30T01:41:00"/>
    <s v="Half pound cake"/>
    <n v="1"/>
    <n v="100"/>
    <n v="90"/>
    <n v="10"/>
    <s v="Mpesa"/>
    <x v="2"/>
    <m/>
    <m/>
    <m/>
  </r>
  <r>
    <d v="2024-08-19T00:00:00"/>
    <d v="1899-12-30T14:20:00"/>
    <s v="Mt kenya milk 500ml"/>
    <n v="1"/>
    <n v="65"/>
    <n v="48.333333333333336"/>
    <n v="16.666666666666664"/>
    <s v="Cash"/>
    <x v="2"/>
    <m/>
    <m/>
    <m/>
  </r>
  <r>
    <d v="2024-08-19T00:00:00"/>
    <d v="1899-12-30T15:20:00"/>
    <s v="Choc-chip Cookies"/>
    <n v="1"/>
    <n v="35"/>
    <n v="25"/>
    <n v="10"/>
    <s v="Credit"/>
    <x v="32"/>
    <m/>
    <m/>
    <m/>
  </r>
  <r>
    <d v="2024-08-19T00:00:00"/>
    <d v="1899-12-30T15:23:00"/>
    <s v="Ajab 2kg"/>
    <n v="1"/>
    <n v="220"/>
    <n v="175"/>
    <n v="45"/>
    <s v="Credit"/>
    <x v="33"/>
    <m/>
    <m/>
    <m/>
  </r>
  <r>
    <d v="2024-08-19T00:00:00"/>
    <d v="1899-12-30T15:23:00"/>
    <s v="Icepop"/>
    <n v="3"/>
    <n v="45"/>
    <n v="22.5"/>
    <n v="22.5"/>
    <s v="Credit"/>
    <x v="33"/>
    <m/>
    <m/>
    <m/>
  </r>
  <r>
    <d v="2024-08-19T00:00:00"/>
    <d v="1899-12-30T15:23:00"/>
    <s v="kinangop250g youghurt"/>
    <n v="1"/>
    <n v="60"/>
    <n v="48.333333333333336"/>
    <n v="11.666666666666664"/>
    <s v="Credit"/>
    <x v="33"/>
    <m/>
    <m/>
    <m/>
  </r>
  <r>
    <d v="2024-08-19T00:00:00"/>
    <d v="1899-12-30T16:21:00"/>
    <s v="Cooking Oil Measured"/>
    <n v="0.5"/>
    <n v="140"/>
    <n v="100"/>
    <n v="40"/>
    <s v="Mpesa"/>
    <x v="2"/>
    <m/>
    <m/>
    <m/>
  </r>
  <r>
    <d v="2024-08-19T00:00:00"/>
    <d v="1899-12-30T16:21:00"/>
    <s v="Onion"/>
    <n v="1"/>
    <n v="10"/>
    <n v="8"/>
    <n v="2"/>
    <s v="Mpesa"/>
    <x v="2"/>
    <m/>
    <m/>
    <m/>
  </r>
  <r>
    <d v="2024-08-19T00:00:00"/>
    <d v="1899-12-30T16:21:00"/>
    <s v="Menengai Bar 1kg"/>
    <n v="0.2"/>
    <n v="50"/>
    <n v="38"/>
    <n v="12"/>
    <s v="Mpesa"/>
    <x v="2"/>
    <m/>
    <m/>
    <m/>
  </r>
  <r>
    <d v="2024-08-19T00:00:00"/>
    <d v="1899-12-30T16:22:00"/>
    <s v="Ndengu"/>
    <n v="1"/>
    <n v="160"/>
    <n v="120"/>
    <n v="40"/>
    <s v="Credit"/>
    <x v="20"/>
    <m/>
    <m/>
    <m/>
  </r>
  <r>
    <d v="2024-08-19T00:00:00"/>
    <d v="1899-12-30T16:58:00"/>
    <s v="Softcare pads"/>
    <n v="1"/>
    <n v="85"/>
    <n v="66"/>
    <n v="19"/>
    <s v="Credit"/>
    <x v="22"/>
    <m/>
    <m/>
    <m/>
  </r>
  <r>
    <d v="2024-08-19T00:00:00"/>
    <d v="1899-12-30T17:15:00"/>
    <s v="Sugar 1/2 kg"/>
    <n v="1"/>
    <n v="90"/>
    <n v="60"/>
    <n v="30"/>
    <s v="Credit"/>
    <x v="12"/>
    <m/>
    <m/>
    <m/>
  </r>
  <r>
    <d v="2024-08-19T00:00:00"/>
    <d v="1899-12-30T17:16:00"/>
    <s v="scooter cans"/>
    <n v="1"/>
    <n v="20"/>
    <n v="15"/>
    <n v="5"/>
    <s v="Cash"/>
    <x v="2"/>
    <m/>
    <m/>
    <m/>
  </r>
  <r>
    <d v="2024-08-19T00:00:00"/>
    <d v="1899-12-30T17:16:00"/>
    <s v="Nuvita Bisquit"/>
    <n v="2"/>
    <n v="10"/>
    <n v="8.3333333333333339"/>
    <n v="1.6666666666666661"/>
    <s v="Cash"/>
    <x v="2"/>
    <m/>
    <m/>
    <m/>
  </r>
  <r>
    <d v="2024-08-19T00:00:00"/>
    <d v="1899-12-30T17:30:00"/>
    <s v="Icepop"/>
    <n v="1"/>
    <n v="15"/>
    <n v="7.5"/>
    <n v="7.5"/>
    <s v="Mpesa"/>
    <x v="2"/>
    <m/>
    <m/>
    <m/>
  </r>
  <r>
    <d v="2024-08-19T00:00:00"/>
    <d v="1899-12-30T18:10:00"/>
    <s v="Cooking Oil Measured"/>
    <n v="0.5"/>
    <n v="140"/>
    <n v="100"/>
    <n v="40"/>
    <s v="Mpesa"/>
    <x v="2"/>
    <m/>
    <m/>
    <m/>
  </r>
  <r>
    <d v="2024-08-19T00:00:00"/>
    <d v="1899-12-30T18:29:00"/>
    <s v="minutemaid 400ml"/>
    <n v="1"/>
    <n v="85"/>
    <n v="62.5"/>
    <n v="22.5"/>
    <s v="Mpesa"/>
    <x v="2"/>
    <m/>
    <m/>
    <m/>
  </r>
  <r>
    <d v="2024-08-19T00:00:00"/>
    <d v="1899-12-30T18:32:00"/>
    <s v=" soda 1.25lts"/>
    <n v="1"/>
    <n v="130"/>
    <n v="112.5"/>
    <n v="17.5"/>
    <s v="Mpesa"/>
    <x v="2"/>
    <m/>
    <m/>
    <m/>
  </r>
  <r>
    <d v="2024-08-19T00:00:00"/>
    <d v="1899-12-30T18:33:00"/>
    <s v="Nuvita Bisquit"/>
    <n v="1"/>
    <n v="5"/>
    <n v="4.166666666666667"/>
    <n v="0.83333333333333304"/>
    <s v="Cash"/>
    <x v="2"/>
    <m/>
    <m/>
    <m/>
  </r>
  <r>
    <d v="2024-08-19T00:00:00"/>
    <d v="1899-12-30T18:33:00"/>
    <s v="Icepop"/>
    <n v="1"/>
    <n v="15"/>
    <n v="7.5"/>
    <n v="7.5"/>
    <s v="Cash"/>
    <x v="2"/>
    <m/>
    <m/>
    <m/>
  </r>
  <r>
    <d v="2024-08-19T00:00:00"/>
    <d v="1899-12-30T19:02:00"/>
    <s v="Nuvita Bisquit"/>
    <n v="1"/>
    <n v="5"/>
    <n v="4.166666666666667"/>
    <n v="0.83333333333333304"/>
    <s v="Cash"/>
    <x v="2"/>
    <m/>
    <m/>
    <m/>
  </r>
  <r>
    <d v="2024-08-19T00:00:00"/>
    <d v="1899-12-30T19:02:00"/>
    <s v="Bigdaddy"/>
    <n v="1"/>
    <n v="10"/>
    <n v="6"/>
    <n v="4"/>
    <s v="Cash"/>
    <x v="2"/>
    <m/>
    <m/>
    <m/>
  </r>
  <r>
    <d v="2024-08-19T00:00:00"/>
    <d v="1899-12-30T19:19:00"/>
    <s v="Mt kenya milk 500ml"/>
    <n v="1"/>
    <n v="65"/>
    <n v="48.333333333333336"/>
    <n v="16.666666666666664"/>
    <s v="Mpesa"/>
    <x v="2"/>
    <m/>
    <m/>
    <m/>
  </r>
  <r>
    <d v="2024-08-19T00:00:00"/>
    <d v="1899-12-30T19:19:00"/>
    <s v="Nuvita Bisquit"/>
    <n v="4"/>
    <n v="20"/>
    <n v="16.666666666666668"/>
    <n v="3.3333333333333321"/>
    <s v="Mpesa"/>
    <x v="2"/>
    <m/>
    <m/>
    <m/>
  </r>
  <r>
    <d v="2024-08-19T00:00:00"/>
    <d v="1899-12-30T19:51:00"/>
    <s v="Brookside Lala Natural"/>
    <n v="1"/>
    <n v="100"/>
    <n v="87"/>
    <n v="13"/>
    <s v="Mpesa"/>
    <x v="2"/>
    <m/>
    <m/>
    <m/>
  </r>
  <r>
    <d v="2024-08-19T00:00:00"/>
    <d v="1899-12-30T19:51:00"/>
    <s v="BB Bread 400g"/>
    <n v="1"/>
    <n v="65"/>
    <n v="60"/>
    <n v="5"/>
    <s v="Mpesa"/>
    <x v="2"/>
    <m/>
    <m/>
    <m/>
  </r>
  <r>
    <d v="2024-08-19T00:00:00"/>
    <d v="1899-12-30T19:51:00"/>
    <s v="Mt kenya milk 500ml"/>
    <n v="1"/>
    <n v="65"/>
    <n v="48.333333333333336"/>
    <n v="16.666666666666664"/>
    <s v="Mpesa"/>
    <x v="2"/>
    <m/>
    <m/>
    <m/>
  </r>
  <r>
    <d v="2024-08-19T00:00:00"/>
    <d v="1899-12-30T19:55:00"/>
    <s v="kabras sugar 1kg"/>
    <n v="1"/>
    <n v="180"/>
    <n v="140"/>
    <n v="40"/>
    <s v="Credit"/>
    <x v="7"/>
    <s v="Mum Victor"/>
    <n v="170"/>
    <s v="Mpesa"/>
  </r>
  <r>
    <d v="2024-08-19T00:00:00"/>
    <d v="1899-12-30T20:03:00"/>
    <s v="Tomatoes"/>
    <n v="20"/>
    <n v="200"/>
    <n v="100"/>
    <n v="100"/>
    <s v="Cash"/>
    <x v="2"/>
    <m/>
    <m/>
    <m/>
  </r>
  <r>
    <d v="2024-08-19T00:00:00"/>
    <d v="1899-12-30T20:34:00"/>
    <s v="Tomatoes"/>
    <n v="2"/>
    <n v="20"/>
    <n v="10"/>
    <n v="10"/>
    <s v="Credit"/>
    <x v="8"/>
    <m/>
    <m/>
    <m/>
  </r>
  <r>
    <d v="2024-08-19T00:00:00"/>
    <d v="1899-12-30T20:34:00"/>
    <s v="Kinangop Fresh Milk 500ml"/>
    <n v="1"/>
    <n v="60"/>
    <n v="55"/>
    <n v="5"/>
    <s v="Credit"/>
    <x v="8"/>
    <m/>
    <m/>
    <m/>
  </r>
  <r>
    <d v="2024-08-19T00:00:00"/>
    <d v="1899-12-30T20:35:00"/>
    <m/>
    <m/>
    <m/>
    <m/>
    <m/>
    <m/>
    <x v="2"/>
    <s v="Jescah"/>
    <n v="495"/>
    <s v="Mpesa"/>
  </r>
  <r>
    <d v="2024-08-19T00:00:00"/>
    <d v="1899-12-30T20:20:00"/>
    <s v="Ginger"/>
    <n v="1"/>
    <n v="20"/>
    <n v="10"/>
    <n v="10"/>
    <s v="Mpesa"/>
    <x v="2"/>
    <m/>
    <m/>
    <m/>
  </r>
  <r>
    <d v="2024-08-19T00:00:00"/>
    <d v="1899-12-30T20:20:00"/>
    <s v="Ndimu"/>
    <n v="1"/>
    <n v="20"/>
    <n v="8.3333333333333339"/>
    <n v="11.666666666666666"/>
    <s v="Mpesa"/>
    <x v="2"/>
    <m/>
    <m/>
    <m/>
  </r>
  <r>
    <d v="2024-08-19T00:00:00"/>
    <d v="1899-12-30T20:39:00"/>
    <s v="Bigdaddy"/>
    <n v="4"/>
    <n v="40"/>
    <n v="24"/>
    <n v="16"/>
    <s v="Mpesa"/>
    <x v="2"/>
    <m/>
    <m/>
    <m/>
  </r>
  <r>
    <d v="2024-08-19T00:00:00"/>
    <d v="1899-12-30T20:51:00"/>
    <s v="Mt kenya milk 500ml"/>
    <n v="2"/>
    <n v="130"/>
    <n v="96.666666666666671"/>
    <n v="33.333333333333329"/>
    <s v="Mpesa"/>
    <x v="2"/>
    <m/>
    <m/>
    <m/>
  </r>
  <r>
    <d v="2024-08-19T00:00:00"/>
    <d v="1899-12-30T20:51:00"/>
    <s v="Tomatoes"/>
    <n v="2"/>
    <n v="20"/>
    <n v="10"/>
    <n v="10"/>
    <s v="Mpesa"/>
    <x v="2"/>
    <m/>
    <m/>
    <m/>
  </r>
  <r>
    <d v="2024-08-19T00:00:00"/>
    <d v="1899-12-30T20:51:00"/>
    <s v="Hanaan Tissue"/>
    <n v="1"/>
    <n v="55"/>
    <n v="43"/>
    <n v="12"/>
    <s v="Mpesa"/>
    <x v="2"/>
    <m/>
    <m/>
    <m/>
  </r>
  <r>
    <d v="2024-08-19T00:00:00"/>
    <d v="1899-12-30T21:17:00"/>
    <m/>
    <m/>
    <m/>
    <m/>
    <m/>
    <m/>
    <x v="2"/>
    <s v="Mwende"/>
    <n v="70"/>
    <s v="Mpesa"/>
  </r>
  <r>
    <d v="2024-08-20T00:00:00"/>
    <d v="1899-12-30T08:02:00"/>
    <s v="BB Bread 400g"/>
    <n v="1"/>
    <n v="65"/>
    <n v="60"/>
    <n v="5"/>
    <s v="Mpesa"/>
    <x v="2"/>
    <m/>
    <m/>
    <m/>
  </r>
  <r>
    <d v="2024-08-20T00:00:00"/>
    <d v="1899-12-30T08:05:00"/>
    <s v="BB Bread 400g"/>
    <n v="2"/>
    <n v="130"/>
    <n v="120"/>
    <n v="10"/>
    <s v="Cash"/>
    <x v="2"/>
    <m/>
    <m/>
    <m/>
  </r>
  <r>
    <d v="2024-08-20T00:00:00"/>
    <d v="1899-12-30T09:15:00"/>
    <s v="Festive Bread 400g"/>
    <n v="1"/>
    <n v="65"/>
    <n v="60"/>
    <n v="5"/>
    <s v="Mpesa"/>
    <x v="2"/>
    <m/>
    <m/>
    <m/>
  </r>
  <r>
    <d v="2024-08-20T00:00:00"/>
    <d v="1899-12-30T09:15:00"/>
    <s v="Mt kenya milk 500ml"/>
    <n v="1"/>
    <n v="65"/>
    <n v="48.333333333333336"/>
    <n v="16.666666666666664"/>
    <s v="Mpesa"/>
    <x v="2"/>
    <m/>
    <m/>
    <m/>
  </r>
  <r>
    <d v="2024-08-20T00:00:00"/>
    <d v="1899-12-30T09:27:00"/>
    <s v="Safaricom 20 Credit"/>
    <n v="1"/>
    <n v="20"/>
    <n v="18"/>
    <n v="2"/>
    <s v="Cash"/>
    <x v="2"/>
    <m/>
    <m/>
    <m/>
  </r>
  <r>
    <d v="2024-08-20T00:00:00"/>
    <d v="1899-12-30T09:41:00"/>
    <s v="Festive Bread 400g"/>
    <n v="1"/>
    <n v="65"/>
    <n v="60"/>
    <n v="5"/>
    <s v="Cash"/>
    <x v="2"/>
    <m/>
    <m/>
    <m/>
  </r>
  <r>
    <d v="2024-08-20T00:00:00"/>
    <d v="1899-12-30T10:06:00"/>
    <s v="Airtel 20 Credit"/>
    <n v="2"/>
    <n v="40"/>
    <n v="36"/>
    <n v="4"/>
    <s v="Cash"/>
    <x v="2"/>
    <m/>
    <m/>
    <m/>
  </r>
  <r>
    <d v="2024-08-20T00:00:00"/>
    <d v="1899-12-30T10:06:00"/>
    <s v="Peanut Cookies"/>
    <n v="1"/>
    <n v="35"/>
    <n v="25"/>
    <n v="10"/>
    <s v="Cash"/>
    <x v="2"/>
    <m/>
    <m/>
    <m/>
  </r>
  <r>
    <d v="2024-08-20T00:00:00"/>
    <d v="1899-12-30T10:06:00"/>
    <s v="Lollipop"/>
    <n v="4"/>
    <n v="20"/>
    <n v="9.6"/>
    <n v="10.4"/>
    <s v="Cash"/>
    <x v="2"/>
    <m/>
    <m/>
    <m/>
  </r>
  <r>
    <d v="2024-08-20T00:00:00"/>
    <d v="1899-12-30T11:41:00"/>
    <s v="Festive 600g"/>
    <n v="1"/>
    <n v="100"/>
    <n v="90"/>
    <n v="10"/>
    <s v="Mpesa"/>
    <x v="2"/>
    <m/>
    <m/>
    <m/>
  </r>
  <r>
    <d v="2024-08-20T00:00:00"/>
    <d v="1899-12-30T10:54:00"/>
    <s v="Festive Bread 400g"/>
    <n v="1"/>
    <n v="65"/>
    <n v="60"/>
    <n v="5"/>
    <s v="Mpesa"/>
    <x v="2"/>
    <m/>
    <m/>
    <m/>
  </r>
  <r>
    <d v="2024-08-20T00:00:00"/>
    <d v="1899-12-30T11:30:00"/>
    <s v="Festive Bread 400g"/>
    <n v="1"/>
    <n v="65"/>
    <n v="60"/>
    <n v="5"/>
    <s v="Credit"/>
    <x v="8"/>
    <m/>
    <m/>
    <m/>
  </r>
  <r>
    <d v="2024-08-20T00:00:00"/>
    <d v="1899-12-30T11:30:00"/>
    <s v="Ringoz Paprika"/>
    <n v="1"/>
    <n v="15"/>
    <n v="8.8000000000000007"/>
    <n v="6.1999999999999993"/>
    <s v="Credit"/>
    <x v="8"/>
    <s v="Ruth"/>
    <n v="1260"/>
    <s v="Cash"/>
  </r>
  <r>
    <s v="20/08/2024"/>
    <d v="1899-12-30T12:27:00"/>
    <s v="Softcare pads"/>
    <n v="1"/>
    <n v="85"/>
    <n v="66"/>
    <n v="19"/>
    <s v="Mpesa"/>
    <x v="2"/>
    <m/>
    <m/>
    <m/>
  </r>
  <r>
    <s v="20/08/2024"/>
    <d v="1899-12-30T12:27:00"/>
    <s v="eggs"/>
    <n v="5"/>
    <n v="100"/>
    <n v="71.666666666666671"/>
    <n v="28.333333333333329"/>
    <s v="Mpesa"/>
    <x v="2"/>
    <m/>
    <m/>
    <m/>
  </r>
  <r>
    <s v="20/08/2024"/>
    <d v="1899-12-30T12:27:00"/>
    <s v="Mt Kenya milk 200ml"/>
    <n v="1"/>
    <n v="35"/>
    <n v="24.285714285714285"/>
    <n v="10.714285714285715"/>
    <s v="Mpesa"/>
    <x v="2"/>
    <m/>
    <m/>
    <m/>
  </r>
  <r>
    <s v="20/08/2024"/>
    <d v="1899-12-30T12:27:00"/>
    <s v="Nuvita Bisquit"/>
    <n v="1"/>
    <n v="5"/>
    <n v="4.166666666666667"/>
    <n v="0.83333333333333304"/>
    <s v="Mpesa"/>
    <x v="2"/>
    <m/>
    <m/>
    <m/>
  </r>
  <r>
    <s v="20/08/2024"/>
    <d v="1899-12-30T13:51:00"/>
    <s v="Jik"/>
    <n v="1"/>
    <n v="50"/>
    <n v="38.333333333333336"/>
    <n v="11.666666666666664"/>
    <s v="Credit"/>
    <x v="8"/>
    <m/>
    <m/>
    <m/>
  </r>
  <r>
    <s v="20/08/2024"/>
    <d v="1899-12-30T13:51:00"/>
    <s v="Downy lavender"/>
    <n v="3"/>
    <n v="60"/>
    <n v="52"/>
    <n v="8"/>
    <s v="Credit"/>
    <x v="8"/>
    <m/>
    <m/>
    <m/>
  </r>
  <r>
    <s v="20/08/2024"/>
    <d v="1899-12-30T14:30:00"/>
    <s v="Bigboss"/>
    <n v="1"/>
    <n v="5"/>
    <n v="3.5"/>
    <n v="1.5"/>
    <s v="Cash"/>
    <x v="2"/>
    <m/>
    <m/>
    <m/>
  </r>
  <r>
    <s v="20/08/2024"/>
    <d v="1899-12-30T14:30:00"/>
    <s v="Ringoz Barbeque"/>
    <n v="2"/>
    <n v="30"/>
    <n v="17.2"/>
    <n v="12.8"/>
    <s v="Cash"/>
    <x v="2"/>
    <m/>
    <m/>
    <m/>
  </r>
  <r>
    <s v="20/08/2024"/>
    <d v="1899-12-30T14:30:00"/>
    <s v="Nuvita Bisquit"/>
    <n v="2"/>
    <n v="10"/>
    <n v="8.3333333333333339"/>
    <n v="1.6666666666666661"/>
    <s v="Cash"/>
    <x v="2"/>
    <m/>
    <m/>
    <m/>
  </r>
  <r>
    <s v="20/08/2024"/>
    <d v="1899-12-30T14:57:00"/>
    <s v="Sportsman"/>
    <n v="1"/>
    <n v="20"/>
    <n v="13"/>
    <n v="7"/>
    <s v="Cash"/>
    <x v="2"/>
    <m/>
    <m/>
    <m/>
  </r>
  <r>
    <s v="20/08/2024"/>
    <d v="1899-12-30T15:12:00"/>
    <s v="soda 500ml glass"/>
    <n v="1"/>
    <n v="55"/>
    <n v="50"/>
    <n v="5"/>
    <s v="Mpesa"/>
    <x v="2"/>
    <m/>
    <m/>
    <m/>
  </r>
  <r>
    <s v="20/08/2024"/>
    <d v="1899-12-30T15:12:00"/>
    <s v="Festive Bread 400g"/>
    <n v="1"/>
    <n v="65"/>
    <n v="60"/>
    <n v="5"/>
    <s v="Mpesa"/>
    <x v="2"/>
    <m/>
    <m/>
    <m/>
  </r>
  <r>
    <s v="20/08/2024"/>
    <d v="1899-12-30T15:42:00"/>
    <s v="Nuvita Bisquit"/>
    <n v="6"/>
    <n v="30"/>
    <n v="25"/>
    <n v="5"/>
    <s v="Cash"/>
    <x v="2"/>
    <m/>
    <m/>
    <m/>
  </r>
  <r>
    <s v="20/08/2024"/>
    <d v="1899-12-30T16:04:00"/>
    <s v="Soko Maize meal"/>
    <n v="1"/>
    <n v="160"/>
    <n v="125"/>
    <n v="35"/>
    <s v="Mpesa"/>
    <x v="2"/>
    <m/>
    <m/>
    <m/>
  </r>
  <r>
    <s v="20/08/2024"/>
    <d v="1899-12-30T16:19:00"/>
    <s v="Patco"/>
    <n v="6"/>
    <n v="15"/>
    <n v="7.1999999999999993"/>
    <n v="7.8000000000000007"/>
    <s v="Mpesa"/>
    <x v="2"/>
    <m/>
    <m/>
    <m/>
  </r>
  <r>
    <s v="20/08/2024"/>
    <d v="1899-12-30T16:31:00"/>
    <s v="Njugu"/>
    <n v="1"/>
    <n v="20"/>
    <n v="10.666666666666666"/>
    <n v="9.3333333333333339"/>
    <s v="Credit"/>
    <x v="27"/>
    <m/>
    <m/>
    <m/>
  </r>
  <r>
    <s v="20/08/2024"/>
    <d v="1899-12-30T16:54:00"/>
    <s v="Pishori rice"/>
    <n v="0.75"/>
    <n v="165"/>
    <n v="135"/>
    <n v="30"/>
    <s v="Credit"/>
    <x v="1"/>
    <s v="Irene"/>
    <n v="245"/>
    <m/>
  </r>
  <r>
    <s v="20/08/2024"/>
    <d v="1899-12-30T17:46:00"/>
    <s v="Ndengu"/>
    <n v="0.5"/>
    <n v="80"/>
    <n v="60"/>
    <n v="20"/>
    <s v="Credit"/>
    <x v="1"/>
    <m/>
    <m/>
    <m/>
  </r>
  <r>
    <s v="20/08/2024"/>
    <d v="1899-12-30T17:47:00"/>
    <s v="Cough drops"/>
    <n v="2"/>
    <n v="10"/>
    <n v="8"/>
    <n v="2"/>
    <s v="Cash"/>
    <x v="2"/>
    <m/>
    <m/>
    <m/>
  </r>
  <r>
    <s v="20/08/2024"/>
    <d v="1899-12-30T17:48:00"/>
    <s v="Lemon Bisquit"/>
    <n v="6"/>
    <n v="30"/>
    <n v="26"/>
    <n v="4"/>
    <s v="Cash"/>
    <x v="2"/>
    <m/>
    <m/>
    <m/>
  </r>
  <r>
    <s v="20/08/2024"/>
    <d v="1899-12-30T18:54:00"/>
    <s v="kinangop250g youghurt"/>
    <n v="1"/>
    <n v="60"/>
    <n v="48.333333333333336"/>
    <n v="11.666666666666664"/>
    <s v="Mpesa"/>
    <x v="2"/>
    <m/>
    <m/>
    <m/>
  </r>
  <r>
    <s v="20/08/2024"/>
    <d v="1899-12-30T18:54:00"/>
    <s v="Ring Cake"/>
    <n v="1"/>
    <n v="50"/>
    <n v="45"/>
    <n v="5"/>
    <s v="Mpesa"/>
    <x v="2"/>
    <m/>
    <m/>
    <m/>
  </r>
  <r>
    <s v="20/08/2024"/>
    <d v="1899-12-30T18:57:00"/>
    <s v="BB Bread 400g"/>
    <n v="1"/>
    <n v="65"/>
    <n v="60"/>
    <n v="5"/>
    <s v="Mpesa"/>
    <x v="2"/>
    <m/>
    <m/>
    <m/>
  </r>
  <r>
    <s v="20/08/2024"/>
    <d v="1899-12-30T18:57:00"/>
    <s v="Brookside milk 500ml"/>
    <n v="2"/>
    <n v="140"/>
    <n v="118"/>
    <n v="22"/>
    <s v="Mpesa"/>
    <x v="2"/>
    <m/>
    <m/>
    <m/>
  </r>
  <r>
    <s v="20/08/2024"/>
    <d v="1899-12-30T18:57:00"/>
    <s v="Safari"/>
    <n v="6"/>
    <n v="90"/>
    <n v="51"/>
    <n v="39"/>
    <s v="Mpesa"/>
    <x v="2"/>
    <m/>
    <m/>
    <m/>
  </r>
  <r>
    <s v="20/08/2024"/>
    <d v="1899-12-30T19:08:00"/>
    <s v=" soda 1.25lts"/>
    <n v="1"/>
    <n v="130"/>
    <n v="112.5"/>
    <n v="17.5"/>
    <s v="Credit"/>
    <x v="38"/>
    <m/>
    <m/>
    <m/>
  </r>
  <r>
    <s v="20/08/2024"/>
    <d v="1899-12-30T19:08:00"/>
    <s v="Ginger Bisquit"/>
    <n v="6"/>
    <n v="30"/>
    <n v="26"/>
    <n v="4"/>
    <s v="Credit"/>
    <x v="38"/>
    <m/>
    <m/>
    <m/>
  </r>
  <r>
    <s v="20/08/2024"/>
    <d v="1899-12-30T19:18:00"/>
    <s v="Delamere 450g yoghurt"/>
    <n v="1"/>
    <n v="160"/>
    <n v="137"/>
    <n v="23"/>
    <s v="Mpesa"/>
    <x v="2"/>
    <m/>
    <m/>
    <m/>
  </r>
  <r>
    <s v="20/08/2024"/>
    <d v="1899-12-30T19:18:00"/>
    <s v="Ginger"/>
    <n v="1"/>
    <n v="20"/>
    <n v="10"/>
    <n v="10"/>
    <s v="Mpesa"/>
    <x v="2"/>
    <m/>
    <m/>
    <m/>
  </r>
  <r>
    <s v="20/08/2024"/>
    <d v="1899-12-30T19:23:00"/>
    <s v="AVC Led bulb"/>
    <n v="1"/>
    <n v="100"/>
    <n v="69"/>
    <n v="31"/>
    <s v="Mpesa"/>
    <x v="2"/>
    <m/>
    <m/>
    <m/>
  </r>
  <r>
    <s v="20/08/2024"/>
    <d v="1899-12-30T19:20:00"/>
    <s v="Cooking Oil Measured"/>
    <n v="0.25"/>
    <n v="70"/>
    <n v="50"/>
    <n v="20"/>
    <s v="Mpesa"/>
    <x v="2"/>
    <m/>
    <m/>
    <m/>
  </r>
  <r>
    <s v="20/08/2024"/>
    <d v="1899-12-30T19:20:00"/>
    <s v="Ginger Bisquit"/>
    <n v="1"/>
    <n v="5"/>
    <n v="4.333333333333333"/>
    <n v="0.66666666666666696"/>
    <s v="Cash"/>
    <x v="2"/>
    <m/>
    <m/>
    <m/>
  </r>
  <r>
    <s v="20/08/2024"/>
    <d v="1899-12-30T19:24:00"/>
    <s v="Tomatoes"/>
    <n v="2"/>
    <n v="20"/>
    <n v="10"/>
    <n v="10"/>
    <s v="Credit"/>
    <x v="8"/>
    <m/>
    <m/>
    <m/>
  </r>
  <r>
    <s v="20/08/2024"/>
    <d v="1899-12-30T19:25:00"/>
    <s v="Festive Bread 400g"/>
    <n v="1"/>
    <n v="65"/>
    <n v="60"/>
    <n v="5"/>
    <s v="Cash"/>
    <x v="2"/>
    <m/>
    <m/>
    <m/>
  </r>
  <r>
    <s v="20/08/2024"/>
    <d v="1899-12-30T19:25:00"/>
    <s v="Peanut Cookies"/>
    <n v="1"/>
    <n v="35"/>
    <n v="25"/>
    <n v="10"/>
    <s v="Cash"/>
    <x v="2"/>
    <m/>
    <m/>
    <m/>
  </r>
  <r>
    <s v="20/08/2024"/>
    <d v="1899-12-30T19:35:00"/>
    <s v="Delamere 450g yoghurt"/>
    <n v="1"/>
    <n v="160"/>
    <n v="137"/>
    <n v="23"/>
    <s v="Mpesa"/>
    <x v="2"/>
    <m/>
    <m/>
    <m/>
  </r>
  <r>
    <s v="20/08/2024"/>
    <d v="1899-12-30T19:35:00"/>
    <s v="Mt kenya milk 500ml"/>
    <n v="2"/>
    <n v="130"/>
    <n v="96.666666666666671"/>
    <n v="33.333333333333329"/>
    <s v="Mpesa"/>
    <x v="2"/>
    <m/>
    <m/>
    <m/>
  </r>
  <r>
    <s v="20/08/2024"/>
    <d v="1899-12-30T19:38:00"/>
    <s v="Sindano rice"/>
    <n v="1"/>
    <n v="150"/>
    <n v="120"/>
    <n v="30"/>
    <s v="Mpesa"/>
    <x v="2"/>
    <m/>
    <m/>
    <m/>
  </r>
  <r>
    <s v="20/08/2024"/>
    <d v="1899-12-30T19:38:00"/>
    <s v="Festive Bread 400g"/>
    <n v="1"/>
    <n v="65"/>
    <n v="60"/>
    <n v="5"/>
    <s v="Mpesa"/>
    <x v="2"/>
    <m/>
    <m/>
    <m/>
  </r>
  <r>
    <s v="21/08/2024"/>
    <d v="1899-12-30T08:08:00"/>
    <s v="Lollipop"/>
    <n v="1"/>
    <n v="5"/>
    <n v="2.4"/>
    <n v="2.6"/>
    <s v="Cash"/>
    <x v="2"/>
    <m/>
    <m/>
    <m/>
  </r>
  <r>
    <s v="21/08/2024"/>
    <d v="1899-12-30T08:08:00"/>
    <s v="Patco"/>
    <n v="2"/>
    <n v="5"/>
    <n v="2.4"/>
    <n v="2.6"/>
    <s v="Cash"/>
    <x v="2"/>
    <m/>
    <m/>
    <m/>
  </r>
  <r>
    <s v="21/08/2024"/>
    <d v="1899-12-30T08:08:00"/>
    <s v="coo"/>
    <n v="2"/>
    <n v="5"/>
    <n v="2.4"/>
    <n v="2.6"/>
    <s v="Cash"/>
    <x v="2"/>
    <m/>
    <m/>
    <m/>
  </r>
  <r>
    <s v="21/08/2024"/>
    <d v="1899-12-30T08:08:00"/>
    <s v="Lollipop"/>
    <n v="1"/>
    <n v="5"/>
    <n v="2.4"/>
    <n v="2.6"/>
    <s v="Cash"/>
    <x v="2"/>
    <m/>
    <m/>
    <m/>
  </r>
  <r>
    <s v="21/08/2024"/>
    <d v="1899-12-30T08:08:00"/>
    <s v="Gumballs"/>
    <n v="10"/>
    <n v="10"/>
    <n v="7"/>
    <n v="3"/>
    <s v="Cash"/>
    <x v="2"/>
    <m/>
    <m/>
    <m/>
  </r>
  <r>
    <s v="21/08/2024"/>
    <d v="1899-12-30T08:14:00"/>
    <s v="Festive 600g"/>
    <n v="1"/>
    <n v="100"/>
    <n v="90"/>
    <n v="10"/>
    <s v="Mpesa"/>
    <x v="2"/>
    <m/>
    <m/>
    <m/>
  </r>
  <r>
    <s v="21/08/2024"/>
    <d v="1899-12-30T09:06:00"/>
    <s v="Safari"/>
    <n v="1"/>
    <n v="15"/>
    <n v="8.5"/>
    <n v="6.5"/>
    <s v="Cash"/>
    <x v="2"/>
    <m/>
    <m/>
    <m/>
  </r>
  <r>
    <s v="21/08/2024"/>
    <d v="1899-12-30T09:22:00"/>
    <s v="Mt Kenya milk 200ml"/>
    <n v="1"/>
    <n v="35"/>
    <n v="24.285714285714285"/>
    <n v="10.714285714285715"/>
    <s v="Credit"/>
    <x v="5"/>
    <m/>
    <m/>
    <m/>
  </r>
  <r>
    <s v="21/08/2024"/>
    <d v="1899-12-30T09:22:00"/>
    <s v="Festive Bread 400g"/>
    <n v="1"/>
    <n v="65"/>
    <n v="60"/>
    <n v="5"/>
    <s v="Credit"/>
    <x v="2"/>
    <m/>
    <m/>
    <m/>
  </r>
  <r>
    <s v="21/08/2024"/>
    <d v="1899-12-30T09:39:00"/>
    <s v="Peanut Cookies"/>
    <n v="1"/>
    <n v="35"/>
    <n v="25"/>
    <n v="10"/>
    <s v="Mpesa"/>
    <x v="2"/>
    <m/>
    <m/>
    <m/>
  </r>
  <r>
    <s v="21/08/2024"/>
    <d v="1899-12-30T09:40:00"/>
    <s v="eggs"/>
    <n v="2"/>
    <n v="40"/>
    <n v="28.666666666666668"/>
    <n v="11.333333333333332"/>
    <s v="Mpesa"/>
    <x v="2"/>
    <m/>
    <m/>
    <m/>
  </r>
  <r>
    <s v="21/08/2024"/>
    <d v="1899-12-30T09:40:00"/>
    <s v="Festive 800g"/>
    <n v="1"/>
    <n v="130"/>
    <n v="120"/>
    <n v="10"/>
    <s v="Mpesa"/>
    <x v="2"/>
    <m/>
    <m/>
    <m/>
  </r>
  <r>
    <s v="21/08/2024"/>
    <d v="1899-12-30T09:40:00"/>
    <s v="Nuvita Bisquit"/>
    <n v="2"/>
    <n v="10"/>
    <n v="8.3333333333333339"/>
    <n v="1.6666666666666661"/>
    <s v="Mpesa"/>
    <x v="2"/>
    <m/>
    <m/>
    <m/>
  </r>
  <r>
    <s v="21/08/2024"/>
    <d v="1899-12-30T11:49:00"/>
    <s v="BB Bread 400g"/>
    <n v="2"/>
    <n v="130"/>
    <n v="120"/>
    <n v="10"/>
    <s v="Mpesa"/>
    <x v="2"/>
    <m/>
    <m/>
    <m/>
  </r>
  <r>
    <s v="21/08/2024"/>
    <d v="1899-12-30T12:20:00"/>
    <s v="eggs"/>
    <n v="10"/>
    <n v="200"/>
    <n v="143.33333333333334"/>
    <n v="56.666666666666657"/>
    <s v="Mpesa"/>
    <x v="2"/>
    <m/>
    <m/>
    <m/>
  </r>
  <r>
    <s v="21/08/2024"/>
    <d v="1899-12-30T12:20:00"/>
    <s v="Indomie beef"/>
    <n v="1"/>
    <n v="50"/>
    <n v="38"/>
    <n v="12"/>
    <s v="Mpesa"/>
    <x v="2"/>
    <m/>
    <m/>
    <m/>
  </r>
  <r>
    <s v="21/08/2024"/>
    <d v="1899-12-30T12:20:00"/>
    <s v="Bella Tissue"/>
    <n v="1"/>
    <n v="50"/>
    <n v="35"/>
    <n v="15"/>
    <s v="Mpesa"/>
    <x v="2"/>
    <m/>
    <m/>
    <m/>
  </r>
  <r>
    <s v="21/08/2024"/>
    <d v="1899-12-30T12:21:00"/>
    <s v="Airtel 50 Credit"/>
    <n v="1"/>
    <n v="50"/>
    <n v="47"/>
    <n v="3"/>
    <s v="Cash"/>
    <x v="2"/>
    <m/>
    <m/>
    <m/>
  </r>
  <r>
    <s v="21/08/2024"/>
    <d v="1899-12-30T12:21:00"/>
    <s v="Airtel 10 Credit"/>
    <n v="1"/>
    <n v="10"/>
    <n v="9"/>
    <n v="1"/>
    <s v="Cash"/>
    <x v="2"/>
    <m/>
    <m/>
    <m/>
  </r>
  <r>
    <s v="21/08/2024"/>
    <d v="1899-12-30T12:42:00"/>
    <s v="Tomatoes"/>
    <n v="1"/>
    <n v="10"/>
    <n v="5"/>
    <n v="5"/>
    <s v="Cash"/>
    <x v="2"/>
    <m/>
    <m/>
    <m/>
  </r>
  <r>
    <s v="21/08/2024"/>
    <d v="1899-12-30T13:23:00"/>
    <s v="BB Bread 400g"/>
    <n v="1"/>
    <n v="65"/>
    <n v="60"/>
    <n v="5"/>
    <s v="Mpesa"/>
    <x v="2"/>
    <m/>
    <m/>
    <m/>
  </r>
  <r>
    <s v="21/08/2024"/>
    <d v="1899-12-30T13:23:00"/>
    <s v="Kinangop Fresh Milk 500ml"/>
    <n v="1"/>
    <n v="60"/>
    <n v="55"/>
    <n v="5"/>
    <s v="Mpesa"/>
    <x v="2"/>
    <m/>
    <m/>
    <m/>
  </r>
  <r>
    <s v="21/08/2024"/>
    <d v="1899-12-30T13:40:00"/>
    <s v="soda 300ml glass"/>
    <n v="1"/>
    <n v="40"/>
    <n v="32.5"/>
    <n v="7.5"/>
    <s v="Cash"/>
    <x v="2"/>
    <m/>
    <m/>
    <m/>
  </r>
  <r>
    <s v="21/08/2024"/>
    <d v="1899-12-30T13:40:00"/>
    <s v="BB Bread 400g"/>
    <n v="1"/>
    <n v="65"/>
    <n v="60"/>
    <n v="5"/>
    <s v="Cash"/>
    <x v="2"/>
    <m/>
    <m/>
    <m/>
  </r>
  <r>
    <s v="21/08/2024"/>
    <d v="1899-12-30T13:41:00"/>
    <s v="soda 500ml plastic"/>
    <n v="1"/>
    <n v="70"/>
    <n v="60.416666666666664"/>
    <n v="9.5833333333333357"/>
    <s v="Credit"/>
    <x v="8"/>
    <m/>
    <m/>
    <m/>
  </r>
  <r>
    <s v="21/08/2024"/>
    <d v="1899-12-30T13:43:00"/>
    <s v="Bigdaddy"/>
    <n v="4"/>
    <n v="40"/>
    <n v="24"/>
    <n v="16"/>
    <s v="Cash"/>
    <x v="2"/>
    <m/>
    <m/>
    <m/>
  </r>
  <r>
    <s v="21/08/2024"/>
    <d v="1899-12-30T13:43:00"/>
    <s v="soda 500ml glass"/>
    <n v="1"/>
    <n v="55"/>
    <n v="50"/>
    <n v="5"/>
    <s v="Credit"/>
    <x v="19"/>
    <m/>
    <m/>
    <m/>
  </r>
  <r>
    <s v="21/08/2024"/>
    <d v="1899-12-30T13:43:00"/>
    <s v="Half pound cake"/>
    <n v="1"/>
    <n v="100"/>
    <n v="90"/>
    <n v="10"/>
    <s v="Cash"/>
    <x v="2"/>
    <m/>
    <m/>
    <m/>
  </r>
  <r>
    <s v="21/08/2024"/>
    <d v="1899-12-30T13:43:00"/>
    <s v="Safaricom 50 Credit"/>
    <n v="2"/>
    <n v="100"/>
    <n v="94"/>
    <n v="6"/>
    <s v="Cash"/>
    <x v="2"/>
    <m/>
    <m/>
    <m/>
  </r>
  <r>
    <s v="21/08/2024"/>
    <d v="1899-12-30T14:27:00"/>
    <s v="Bella Tissue"/>
    <n v="1"/>
    <n v="50"/>
    <n v="35"/>
    <n v="15"/>
    <s v="Mpesa"/>
    <x v="2"/>
    <m/>
    <m/>
    <m/>
  </r>
  <r>
    <s v="21/08/2024"/>
    <d v="1899-12-30T14:47:00"/>
    <s v="predator"/>
    <n v="1"/>
    <n v="70"/>
    <n v="54.166666666666664"/>
    <n v="15.833333333333336"/>
    <s v="Credit"/>
    <x v="19"/>
    <m/>
    <m/>
    <m/>
  </r>
  <r>
    <s v="21/08/2024"/>
    <d v="1899-12-30T14:47:00"/>
    <s v="Lemon Bisquit"/>
    <n v="4"/>
    <n v="20"/>
    <n v="17.333333333333332"/>
    <n v="2.6666666666666679"/>
    <s v="Credit"/>
    <x v="19"/>
    <m/>
    <m/>
    <m/>
  </r>
  <r>
    <s v="21/08/2024"/>
    <d v="1899-12-30T14:48:00"/>
    <s v="Mt Kenya milk 200ml"/>
    <n v="1"/>
    <n v="35"/>
    <n v="24.285714285714285"/>
    <n v="10.714285714285715"/>
    <s v="Cash"/>
    <x v="2"/>
    <m/>
    <m/>
    <m/>
  </r>
  <r>
    <s v="21/08/2024"/>
    <d v="1899-12-30T14:48:00"/>
    <s v="BB Bread 400g"/>
    <n v="1"/>
    <n v="65"/>
    <n v="60"/>
    <n v="5"/>
    <s v="Cash"/>
    <x v="2"/>
    <m/>
    <m/>
    <m/>
  </r>
  <r>
    <s v="21/08/2024"/>
    <d v="1899-12-30T14:15:00"/>
    <s v="soda 300ml glass"/>
    <n v="1"/>
    <n v="40"/>
    <n v="32.5"/>
    <n v="7.5"/>
    <s v="Cash"/>
    <x v="2"/>
    <m/>
    <m/>
    <m/>
  </r>
  <r>
    <s v="21/08/2024"/>
    <d v="1899-12-30T14:15:00"/>
    <s v="Mt kenya milk 500ml"/>
    <n v="1"/>
    <n v="65"/>
    <n v="48.333333333333336"/>
    <n v="16.666666666666664"/>
    <s v="Cash"/>
    <x v="2"/>
    <m/>
    <m/>
    <m/>
  </r>
  <r>
    <s v="21/08/2024"/>
    <d v="1899-12-30T14:15:00"/>
    <s v="BB Bread 400g"/>
    <n v="1"/>
    <n v="65"/>
    <n v="60"/>
    <n v="5"/>
    <s v="Cash"/>
    <x v="2"/>
    <m/>
    <m/>
    <m/>
  </r>
  <r>
    <s v="21/08/2024"/>
    <d v="1899-12-30T14:27:00"/>
    <s v="Black Shampoo"/>
    <n v="2"/>
    <n v="100"/>
    <n v="56"/>
    <n v="44"/>
    <s v="Cash"/>
    <x v="2"/>
    <m/>
    <m/>
    <m/>
  </r>
  <r>
    <s v="21/08/2024"/>
    <d v="1899-12-30T14:27:00"/>
    <s v="Bigboss"/>
    <n v="4"/>
    <n v="20"/>
    <n v="14"/>
    <n v="6"/>
    <s v="Cash"/>
    <x v="2"/>
    <m/>
    <m/>
    <m/>
  </r>
  <r>
    <s v="21/08/2024"/>
    <d v="1899-12-30T14:38:00"/>
    <s v="Safari"/>
    <n v="2"/>
    <n v="30"/>
    <n v="17"/>
    <n v="13"/>
    <s v="Cash"/>
    <x v="2"/>
    <m/>
    <m/>
    <m/>
  </r>
  <r>
    <s v="21/08/2024"/>
    <d v="1899-12-30T14:42:00"/>
    <s v="Lollipop"/>
    <n v="1"/>
    <n v="5"/>
    <n v="2.4"/>
    <n v="2.6"/>
    <s v="Cash"/>
    <x v="2"/>
    <m/>
    <m/>
    <m/>
  </r>
  <r>
    <s v="21/08/2024"/>
    <d v="1899-12-30T14:56:00"/>
    <s v="funtime snacks"/>
    <n v="1"/>
    <n v="15"/>
    <n v="9"/>
    <n v="6"/>
    <s v="Mpesa"/>
    <x v="2"/>
    <m/>
    <m/>
    <m/>
  </r>
  <r>
    <s v="21/08/2024"/>
    <d v="1899-12-30T15:33:00"/>
    <s v="Panadol Extra"/>
    <n v="2"/>
    <n v="40"/>
    <n v="26"/>
    <n v="14"/>
    <s v="Cash"/>
    <x v="2"/>
    <m/>
    <m/>
    <m/>
  </r>
  <r>
    <s v="21/08/2024"/>
    <d v="1899-12-30T15:33:00"/>
    <s v="Bigboss"/>
    <n v="2"/>
    <n v="10"/>
    <n v="7"/>
    <n v="3"/>
    <s v="Cash"/>
    <x v="2"/>
    <m/>
    <m/>
    <m/>
  </r>
  <r>
    <s v="21/08/2024"/>
    <d v="1899-12-30T16:47:00"/>
    <s v="soda 500ml plastic"/>
    <n v="1"/>
    <n v="70"/>
    <n v="60.416666666666664"/>
    <n v="9.5833333333333357"/>
    <s v="Mpesa"/>
    <x v="2"/>
    <m/>
    <m/>
    <m/>
  </r>
  <r>
    <s v="21/08/2024"/>
    <d v="1899-12-30T16:47:00"/>
    <s v="funtime snacks"/>
    <n v="2"/>
    <n v="30"/>
    <n v="18"/>
    <n v="12"/>
    <s v="Mpesa"/>
    <x v="2"/>
    <m/>
    <m/>
    <m/>
  </r>
  <r>
    <s v="21/08/2024"/>
    <d v="1899-12-30T16:48:00"/>
    <s v="Onion"/>
    <n v="5"/>
    <n v="50"/>
    <n v="40"/>
    <n v="10"/>
    <s v="Credit"/>
    <x v="22"/>
    <m/>
    <m/>
    <m/>
  </r>
  <r>
    <s v="21/08/2024"/>
    <d v="1899-12-30T17:45:00"/>
    <s v="Softcare pads"/>
    <n v="1"/>
    <n v="85"/>
    <n v="66"/>
    <n v="19"/>
    <s v="Mpesa"/>
    <x v="2"/>
    <m/>
    <m/>
    <m/>
  </r>
  <r>
    <s v="21/08/2024"/>
    <d v="1899-12-30T17:45:00"/>
    <s v="Choc-chip Cookies"/>
    <n v="1"/>
    <n v="35"/>
    <n v="25"/>
    <n v="10"/>
    <s v="Mpesa"/>
    <x v="2"/>
    <m/>
    <m/>
    <m/>
  </r>
  <r>
    <s v="21/08/2024"/>
    <d v="1899-12-30T17:45:00"/>
    <s v="Carrier bag small"/>
    <n v="1"/>
    <n v="10"/>
    <n v="3"/>
    <n v="7"/>
    <s v="Mpesa"/>
    <x v="2"/>
    <m/>
    <m/>
    <m/>
  </r>
  <r>
    <s v="21/08/2024"/>
    <d v="1899-12-30T17:45:00"/>
    <s v="300ml water"/>
    <n v="1"/>
    <n v="30"/>
    <n v="12.5"/>
    <n v="17.5"/>
    <s v="Cash"/>
    <x v="2"/>
    <m/>
    <m/>
    <m/>
  </r>
  <r>
    <s v="21/08/2024"/>
    <d v="1899-12-30T17:45:00"/>
    <s v="Safari"/>
    <n v="3"/>
    <n v="45"/>
    <n v="25.5"/>
    <n v="19.5"/>
    <s v="Cash"/>
    <x v="2"/>
    <m/>
    <m/>
    <m/>
  </r>
  <r>
    <s v="21/08/2024"/>
    <d v="1899-12-30T17:45:00"/>
    <s v="Kaluma Pain Balm Big"/>
    <n v="1"/>
    <n v="50"/>
    <n v="37.5"/>
    <n v="12.5"/>
    <s v="Cash"/>
    <x v="2"/>
    <m/>
    <m/>
    <m/>
  </r>
  <r>
    <s v="21/08/2024"/>
    <d v="1899-12-30T17:47:00"/>
    <s v="Fresh Blue"/>
    <n v="2"/>
    <n v="20"/>
    <n v="10"/>
    <n v="10"/>
    <s v="Cash"/>
    <x v="2"/>
    <m/>
    <m/>
    <m/>
  </r>
  <r>
    <s v="21/08/2024"/>
    <d v="1899-12-30T17:47:00"/>
    <s v="Ginger"/>
    <n v="2"/>
    <n v="40"/>
    <n v="20"/>
    <n v="20"/>
    <s v="Cash"/>
    <x v="2"/>
    <m/>
    <m/>
    <m/>
  </r>
  <r>
    <s v="21/08/2024"/>
    <d v="1899-12-30T17:53:00"/>
    <s v="Whitewash "/>
    <n v="1"/>
    <n v="50"/>
    <n v="33.75"/>
    <n v="16.25"/>
    <s v="Mpesa"/>
    <x v="2"/>
    <m/>
    <m/>
    <m/>
  </r>
  <r>
    <s v="21/08/2024"/>
    <d v="1899-12-30T17:53:00"/>
    <s v="Match Box"/>
    <n v="1"/>
    <n v="5"/>
    <n v="2.3611111111111112"/>
    <n v="2.6388888888888888"/>
    <s v="Cash"/>
    <x v="2"/>
    <m/>
    <m/>
    <m/>
  </r>
  <r>
    <s v="21/08/2024"/>
    <d v="1899-12-30T19:05:00"/>
    <s v="Eno"/>
    <n v="2"/>
    <n v="40"/>
    <n v="22"/>
    <n v="18"/>
    <s v="Cash"/>
    <x v="2"/>
    <m/>
    <m/>
    <m/>
  </r>
  <r>
    <s v="21/08/2024"/>
    <d v="1899-12-30T19:05:00"/>
    <s v="Maramoja"/>
    <n v="1"/>
    <n v="10"/>
    <n v="7"/>
    <n v="3"/>
    <s v="Cash"/>
    <x v="2"/>
    <m/>
    <m/>
    <m/>
  </r>
  <r>
    <s v="21/08/2024"/>
    <d v="1899-12-30T18:11:00"/>
    <s v="Safari"/>
    <n v="2"/>
    <n v="30"/>
    <n v="17"/>
    <n v="13"/>
    <s v="Mpesa"/>
    <x v="2"/>
    <m/>
    <m/>
    <m/>
  </r>
  <r>
    <s v="21/08/2024"/>
    <d v="1899-12-30T19:23:00"/>
    <s v="Tukuza 1kg"/>
    <n v="1"/>
    <n v="90"/>
    <n v="61.25"/>
    <n v="28.75"/>
    <s v="Cash"/>
    <x v="2"/>
    <m/>
    <m/>
    <m/>
  </r>
  <r>
    <s v="21/08/2024"/>
    <d v="1899-12-30T19:23:00"/>
    <s v="Tomatoes"/>
    <n v="1"/>
    <n v="10"/>
    <n v="5"/>
    <n v="5"/>
    <s v="Cash"/>
    <x v="2"/>
    <m/>
    <m/>
    <m/>
  </r>
  <r>
    <s v="21/08/2024"/>
    <d v="1899-12-30T19:23:00"/>
    <s v="Onion"/>
    <n v="1"/>
    <n v="10"/>
    <n v="8"/>
    <n v="2"/>
    <s v="Cash"/>
    <x v="2"/>
    <m/>
    <m/>
    <m/>
  </r>
  <r>
    <s v="21/08/2024"/>
    <d v="1899-12-30T19:37:00"/>
    <s v="Medium Colgate Toothbrush"/>
    <n v="1"/>
    <n v="40"/>
    <n v="25"/>
    <n v="15"/>
    <s v="Mpesa"/>
    <x v="2"/>
    <m/>
    <m/>
    <m/>
  </r>
  <r>
    <s v="21/08/2024"/>
    <d v="1899-12-30T20:12:00"/>
    <s v="T.Heat Potato crisps Tomato 25g"/>
    <n v="3"/>
    <n v="90"/>
    <n v="68.75"/>
    <n v="21.25"/>
    <s v="Mpesa"/>
    <x v="2"/>
    <m/>
    <m/>
    <m/>
  </r>
  <r>
    <s v="21/08/2024"/>
    <d v="1899-12-30T20:12:00"/>
    <s v="Tropical heat crisps 50g"/>
    <n v="1"/>
    <n v="70"/>
    <n v="50"/>
    <n v="20"/>
    <s v="Mpesa"/>
    <x v="2"/>
    <m/>
    <m/>
    <m/>
  </r>
  <r>
    <s v="21/08/2024"/>
    <d v="1899-12-30T20:12:00"/>
    <s v="Ringoz Paprika"/>
    <n v="2"/>
    <n v="30"/>
    <n v="17.600000000000001"/>
    <n v="12.399999999999999"/>
    <s v="Mpesa"/>
    <x v="2"/>
    <m/>
    <m/>
    <m/>
  </r>
  <r>
    <s v="21/08/2024"/>
    <d v="1899-12-30T20:12:00"/>
    <s v="Tamu  Tamu Green"/>
    <n v="2"/>
    <n v="30"/>
    <n v="17.2"/>
    <n v="12.8"/>
    <s v="Mpesa"/>
    <x v="2"/>
    <m/>
    <m/>
    <m/>
  </r>
  <r>
    <s v="21/08/2024"/>
    <d v="1899-12-30T20:12:00"/>
    <s v="Bigboss"/>
    <n v="4"/>
    <n v="20"/>
    <n v="14"/>
    <n v="6"/>
    <s v="Mpesa"/>
    <x v="2"/>
    <m/>
    <m/>
    <m/>
  </r>
  <r>
    <s v="21/08/2024"/>
    <d v="1899-12-30T20:09:00"/>
    <s v="eggs"/>
    <n v="10"/>
    <n v="200"/>
    <n v="143.33333333333334"/>
    <n v="56.666666666666657"/>
    <s v="Mpesa"/>
    <x v="2"/>
    <m/>
    <m/>
    <m/>
  </r>
  <r>
    <s v="21/08/2024"/>
    <d v="1899-12-30T20:09:00"/>
    <s v="Tomatoes"/>
    <n v="3"/>
    <n v="30"/>
    <n v="15"/>
    <n v="15"/>
    <s v="Mpesa"/>
    <x v="2"/>
    <m/>
    <m/>
    <m/>
  </r>
  <r>
    <s v="21/08/2024"/>
    <d v="1899-12-30T20:09:00"/>
    <s v="Mt kenya milk 500ml"/>
    <n v="2"/>
    <n v="130"/>
    <n v="96.666666666666671"/>
    <n v="33.333333333333329"/>
    <s v="Mpesa"/>
    <x v="2"/>
    <m/>
    <m/>
    <m/>
  </r>
  <r>
    <s v="21/08/2024"/>
    <d v="1899-12-30T20:09:00"/>
    <s v="Bigdaddy"/>
    <n v="2"/>
    <n v="20"/>
    <n v="12"/>
    <n v="8"/>
    <s v="Mpesa"/>
    <x v="2"/>
    <m/>
    <m/>
    <m/>
  </r>
  <r>
    <s v="21/08/2024"/>
    <d v="1899-12-30T20:09:00"/>
    <s v="Bigboss"/>
    <n v="2"/>
    <n v="10"/>
    <n v="7"/>
    <n v="3"/>
    <s v="Mpesa"/>
    <x v="2"/>
    <m/>
    <m/>
    <m/>
  </r>
  <r>
    <s v="21/08/2024"/>
    <d v="1899-12-30T20:35:00"/>
    <s v="Patco"/>
    <n v="8"/>
    <n v="20"/>
    <n v="9.6"/>
    <n v="10.4"/>
    <s v="Cash"/>
    <x v="2"/>
    <s v="Pauline"/>
    <n v="90"/>
    <s v="Mpesa"/>
  </r>
  <r>
    <s v="21/08/2024"/>
    <d v="1899-12-30T20:40:00"/>
    <s v="Kinangop Fresh Milk 500ml"/>
    <n v="1"/>
    <n v="60"/>
    <n v="55"/>
    <n v="5"/>
    <s v="Cash"/>
    <x v="2"/>
    <s v="Ruth"/>
    <n v="70"/>
    <s v="Cash"/>
  </r>
  <r>
    <s v="21/08/2024"/>
    <d v="1899-12-30T20:48:00"/>
    <s v="Mt kenya milk 500ml"/>
    <n v="1"/>
    <n v="65"/>
    <n v="48.333333333333336"/>
    <n v="16.666666666666664"/>
    <s v="Mpesa"/>
    <x v="2"/>
    <s v="Milly"/>
    <n v="615"/>
    <s v="Mpesa"/>
  </r>
  <r>
    <s v="22/08/2024"/>
    <d v="1899-12-30T07:54:00"/>
    <s v="Geisha big"/>
    <n v="1"/>
    <n v="120"/>
    <n v="95"/>
    <n v="25"/>
    <s v="Mpesa"/>
    <x v="2"/>
    <m/>
    <m/>
    <m/>
  </r>
  <r>
    <s v="22/08/2024"/>
    <d v="1899-12-30T07:54:00"/>
    <s v="Mt kenya milk 500ml"/>
    <n v="1"/>
    <n v="65"/>
    <n v="48.333333333333336"/>
    <n v="16.666666666666664"/>
    <s v="Mpesa"/>
    <x v="2"/>
    <m/>
    <m/>
    <m/>
  </r>
  <r>
    <s v="22/08/2024"/>
    <d v="1899-12-30T07:54:00"/>
    <s v="Festive Bread 400g"/>
    <n v="1"/>
    <n v="65"/>
    <n v="60"/>
    <n v="5"/>
    <s v="Mpesa"/>
    <x v="2"/>
    <m/>
    <m/>
    <m/>
  </r>
  <r>
    <s v="22/08/2024"/>
    <d v="1899-12-30T08:37:00"/>
    <s v="Geisha big"/>
    <n v="1"/>
    <n v="120"/>
    <n v="95"/>
    <n v="25"/>
    <s v="Cash"/>
    <x v="2"/>
    <m/>
    <m/>
    <m/>
  </r>
  <r>
    <s v="22/08/2024"/>
    <d v="1899-12-30T08:51:00"/>
    <s v="BB Bread 400g"/>
    <n v="1"/>
    <n v="65"/>
    <n v="60"/>
    <n v="5"/>
    <s v="Mpesa"/>
    <x v="2"/>
    <m/>
    <m/>
    <m/>
  </r>
  <r>
    <s v="22/08/2024"/>
    <d v="1899-12-30T09:01:00"/>
    <s v="Safari"/>
    <n v="1"/>
    <n v="15"/>
    <n v="8.5"/>
    <n v="6.5"/>
    <s v="Cash"/>
    <x v="2"/>
    <m/>
    <m/>
    <m/>
  </r>
  <r>
    <s v="22/08/2024"/>
    <d v="1899-12-30T09:01:00"/>
    <s v="Soko Maize meal"/>
    <n v="1"/>
    <n v="160"/>
    <n v="125"/>
    <n v="35"/>
    <s v="Credit"/>
    <x v="39"/>
    <m/>
    <m/>
    <m/>
  </r>
  <r>
    <s v="22/08/2024"/>
    <d v="1899-12-30T09:20:00"/>
    <s v="Festive 600g"/>
    <n v="1"/>
    <n v="100"/>
    <n v="90"/>
    <n v="10"/>
    <s v="Cash"/>
    <x v="2"/>
    <m/>
    <m/>
    <m/>
  </r>
  <r>
    <s v="22/08/2024"/>
    <d v="1899-12-30T09:38:00"/>
    <s v="Bigdaddy"/>
    <n v="1"/>
    <n v="10"/>
    <n v="6"/>
    <n v="4"/>
    <s v="Cash"/>
    <x v="2"/>
    <m/>
    <m/>
    <m/>
  </r>
  <r>
    <s v="22/08/2024"/>
    <d v="1899-12-30T09:40:00"/>
    <s v="Festive 800g"/>
    <n v="1"/>
    <n v="130"/>
    <n v="120"/>
    <n v="10"/>
    <s v="Cash"/>
    <x v="2"/>
    <m/>
    <m/>
    <m/>
  </r>
  <r>
    <s v="22/08/2024"/>
    <d v="1899-12-30T09:50:00"/>
    <s v="Safari"/>
    <n v="4"/>
    <n v="60"/>
    <n v="34"/>
    <n v="26"/>
    <s v="Cash"/>
    <x v="2"/>
    <m/>
    <m/>
    <m/>
  </r>
  <r>
    <s v="22/08/2024"/>
    <d v="1899-12-30T09:50:00"/>
    <s v="Nuvita Bisquit"/>
    <n v="2"/>
    <n v="10"/>
    <n v="8.3333333333333339"/>
    <n v="1.6666666666666661"/>
    <s v="Cash"/>
    <x v="2"/>
    <m/>
    <m/>
    <m/>
  </r>
  <r>
    <s v="22/08/2024"/>
    <d v="1899-12-30T10:00:00"/>
    <s v="Festive 600g"/>
    <n v="1"/>
    <n v="100"/>
    <n v="90"/>
    <n v="10"/>
    <s v="Cash"/>
    <x v="2"/>
    <m/>
    <m/>
    <m/>
  </r>
  <r>
    <s v="22/08/2024"/>
    <d v="1899-12-30T10:00:00"/>
    <s v="Airtel 20 Credit"/>
    <n v="2"/>
    <n v="40"/>
    <n v="36"/>
    <n v="4"/>
    <s v="Cash"/>
    <x v="2"/>
    <m/>
    <m/>
    <m/>
  </r>
  <r>
    <s v="22/08/2024"/>
    <d v="1899-12-30T10:20:00"/>
    <s v="kabras sugar 1kg"/>
    <n v="1"/>
    <n v="180"/>
    <n v="140"/>
    <n v="40"/>
    <s v="Credit"/>
    <x v="40"/>
    <m/>
    <m/>
    <m/>
  </r>
  <r>
    <s v="22/08/2024"/>
    <d v="1899-12-30T10:20:00"/>
    <s v="Cooking Oil Measured"/>
    <n v="1"/>
    <n v="280"/>
    <n v="200"/>
    <n v="80"/>
    <s v="Credit"/>
    <x v="40"/>
    <m/>
    <m/>
    <m/>
  </r>
  <r>
    <s v="22/08/2024"/>
    <d v="1899-12-30T10:20:00"/>
    <s v="Choc-chip Cookies"/>
    <n v="1"/>
    <n v="35"/>
    <n v="25"/>
    <n v="10"/>
    <s v="Credit"/>
    <x v="40"/>
    <m/>
    <m/>
    <m/>
  </r>
  <r>
    <s v="22/08/2024"/>
    <d v="1899-12-30T10:25:00"/>
    <s v="5ltrs water"/>
    <n v="1"/>
    <n v="120"/>
    <n v="75"/>
    <n v="45"/>
    <s v="Mpesa"/>
    <x v="2"/>
    <m/>
    <m/>
    <m/>
  </r>
  <r>
    <s v="22/08/2024"/>
    <d v="1899-12-30T10:32:00"/>
    <s v="Bigdaddy"/>
    <n v="3"/>
    <n v="30"/>
    <n v="18"/>
    <n v="12"/>
    <s v="Cash"/>
    <x v="2"/>
    <m/>
    <m/>
    <m/>
  </r>
  <r>
    <s v="22/08/2024"/>
    <d v="1899-12-30T10:41:00"/>
    <s v="BB Bread 400g"/>
    <n v="2"/>
    <n v="130"/>
    <n v="120"/>
    <n v="10"/>
    <s v="Mpesa"/>
    <x v="2"/>
    <m/>
    <m/>
    <m/>
  </r>
  <r>
    <s v="22/08/2024"/>
    <d v="1899-12-30T11:08:00"/>
    <s v="eggs"/>
    <n v="2"/>
    <n v="40"/>
    <n v="28.666666666666668"/>
    <n v="11.333333333333332"/>
    <s v="Credit"/>
    <x v="12"/>
    <s v="Pauline"/>
    <n v="40"/>
    <s v="Mpesa"/>
  </r>
  <r>
    <s v="22/08/2024"/>
    <d v="1899-12-30T11:30:00"/>
    <s v="Festive 600g"/>
    <n v="1"/>
    <n v="100"/>
    <n v="90"/>
    <n v="10"/>
    <s v="Mpesa"/>
    <x v="2"/>
    <m/>
    <m/>
    <m/>
  </r>
  <r>
    <s v="22/08/2024"/>
    <d v="1899-12-30T11:30:00"/>
    <s v="Mt kenya milk 500ml"/>
    <n v="2"/>
    <n v="130"/>
    <n v="96.666666666666671"/>
    <n v="33.333333333333329"/>
    <s v="Mpesa"/>
    <x v="2"/>
    <m/>
    <m/>
    <m/>
  </r>
  <r>
    <s v="22/08/2024"/>
    <d v="1899-12-30T11:51:00"/>
    <s v="Safari"/>
    <n v="6"/>
    <n v="90"/>
    <n v="51"/>
    <n v="39"/>
    <s v="Mpesa"/>
    <x v="2"/>
    <m/>
    <m/>
    <m/>
  </r>
  <r>
    <s v="22/08/2024"/>
    <d v="1899-12-30T11:51:00"/>
    <s v="Maramoja"/>
    <n v="1"/>
    <n v="10"/>
    <n v="7"/>
    <n v="3"/>
    <s v="Mpesa"/>
    <x v="2"/>
    <m/>
    <m/>
    <m/>
  </r>
  <r>
    <s v="22/08/2024"/>
    <d v="1899-12-30T12:27:00"/>
    <s v="Pishori rice"/>
    <n v="0.25"/>
    <n v="55"/>
    <n v="45"/>
    <n v="10"/>
    <s v="Cash"/>
    <x v="2"/>
    <m/>
    <m/>
    <m/>
  </r>
  <r>
    <s v="22/08/2024"/>
    <d v="1899-12-30T12:27:00"/>
    <s v="Tomatoes"/>
    <n v="2"/>
    <n v="20"/>
    <n v="10"/>
    <n v="10"/>
    <s v="Cash"/>
    <x v="2"/>
    <m/>
    <m/>
    <m/>
  </r>
  <r>
    <s v="22/08/2024"/>
    <d v="1899-12-30T13:00:00"/>
    <s v="Cooking Oil Measured"/>
    <n v="0.5"/>
    <n v="140"/>
    <n v="100"/>
    <n v="40"/>
    <s v="Mpesa"/>
    <x v="2"/>
    <m/>
    <m/>
    <m/>
  </r>
  <r>
    <s v="22/08/2024"/>
    <d v="1899-12-30T13:00:00"/>
    <s v="Magadi"/>
    <n v="1"/>
    <n v="10"/>
    <n v="5"/>
    <n v="5"/>
    <s v="Mpesa"/>
    <x v="2"/>
    <m/>
    <m/>
    <m/>
  </r>
  <r>
    <s v="22/08/2024"/>
    <d v="1899-12-30T13:04:00"/>
    <s v="Safaricom 50 Credit"/>
    <n v="2"/>
    <n v="100"/>
    <n v="94"/>
    <n v="6"/>
    <s v="Cash"/>
    <x v="2"/>
    <m/>
    <m/>
    <m/>
  </r>
  <r>
    <s v="22/08/2024"/>
    <d v="1899-12-30T13:04:00"/>
    <s v="Bigboss"/>
    <n v="2"/>
    <n v="10"/>
    <n v="7"/>
    <n v="3"/>
    <s v="Cash"/>
    <x v="2"/>
    <m/>
    <m/>
    <m/>
  </r>
  <r>
    <s v="22/08/2024"/>
    <d v="1899-12-30T13:09:00"/>
    <s v="Match Box"/>
    <n v="2"/>
    <n v="10"/>
    <n v="4.7222222222222223"/>
    <n v="5.2777777777777777"/>
    <s v="Mpesa"/>
    <x v="2"/>
    <m/>
    <m/>
    <m/>
  </r>
  <r>
    <s v="22/08/2024"/>
    <d v="1899-12-30T13:09:00"/>
    <s v="Tomatoes"/>
    <n v="1"/>
    <n v="10"/>
    <n v="5"/>
    <n v="5"/>
    <s v="Mpesa"/>
    <x v="2"/>
    <m/>
    <m/>
    <m/>
  </r>
  <r>
    <s v="22/08/2024"/>
    <d v="1899-12-30T13:09:00"/>
    <s v="Royco cubes"/>
    <n v="2"/>
    <n v="10"/>
    <n v="6"/>
    <n v="4"/>
    <s v="Mpesa"/>
    <x v="2"/>
    <m/>
    <m/>
    <m/>
  </r>
  <r>
    <s v="22/08/2024"/>
    <d v="1899-12-30T13:58:00"/>
    <s v="Mt Kenya milk 200ml"/>
    <n v="1"/>
    <n v="35"/>
    <n v="24.285714285714285"/>
    <n v="10.714285714285715"/>
    <s v="Cash"/>
    <x v="2"/>
    <m/>
    <m/>
    <m/>
  </r>
  <r>
    <s v="22/08/2024"/>
    <d v="1899-12-30T13:58:00"/>
    <s v="BB Bread 400g"/>
    <n v="1"/>
    <n v="65"/>
    <n v="60"/>
    <n v="5"/>
    <s v="Mpesa"/>
    <x v="2"/>
    <m/>
    <m/>
    <m/>
  </r>
  <r>
    <s v="22/08/2024"/>
    <d v="1899-12-30T13:58:00"/>
    <s v="soda 300ml glass"/>
    <n v="1"/>
    <n v="40"/>
    <n v="32.5"/>
    <n v="7.5"/>
    <s v="Mpesa"/>
    <x v="2"/>
    <m/>
    <m/>
    <m/>
  </r>
  <r>
    <s v="22/08/2024"/>
    <d v="1899-12-30T13:58:00"/>
    <s v="soda 500ml plastic"/>
    <n v="1"/>
    <n v="70"/>
    <n v="60.416666666666664"/>
    <n v="9.5833333333333357"/>
    <s v="Mpesa"/>
    <x v="2"/>
    <m/>
    <m/>
    <m/>
  </r>
  <r>
    <s v="22/08/2024"/>
    <d v="1899-12-30T14:02:00"/>
    <s v="Safari"/>
    <n v="1"/>
    <n v="15"/>
    <n v="8.5"/>
    <n v="6.5"/>
    <s v="Mpesa"/>
    <x v="2"/>
    <m/>
    <m/>
    <m/>
  </r>
  <r>
    <s v="22/08/2024"/>
    <d v="1899-12-30T14:30:00"/>
    <s v="Indomie beef"/>
    <n v="4"/>
    <n v="200"/>
    <n v="152"/>
    <n v="48"/>
    <s v="Mpesa"/>
    <x v="2"/>
    <m/>
    <m/>
    <m/>
  </r>
  <r>
    <s v="22/08/2024"/>
    <d v="1899-12-30T14:30:00"/>
    <s v="eggs"/>
    <n v="1"/>
    <n v="20"/>
    <n v="14.333333333333334"/>
    <n v="5.6666666666666661"/>
    <s v="Mpesa"/>
    <x v="2"/>
    <m/>
    <m/>
    <m/>
  </r>
  <r>
    <s v="22/08/2024"/>
    <d v="1899-12-30T14:59:00"/>
    <s v="Ring Cake"/>
    <n v="1"/>
    <n v="50"/>
    <n v="45"/>
    <n v="5"/>
    <s v="Mpesa"/>
    <x v="2"/>
    <m/>
    <m/>
    <m/>
  </r>
  <r>
    <s v="22/08/2024"/>
    <d v="1899-12-30T15:28:00"/>
    <s v="omo 20g"/>
    <n v="1"/>
    <n v="15"/>
    <n v="9.1666666666666661"/>
    <n v="5.8333333333333339"/>
    <s v="Mpesa"/>
    <x v="2"/>
    <m/>
    <m/>
    <m/>
  </r>
  <r>
    <s v="22/08/2024"/>
    <d v="1899-12-30T16:05:00"/>
    <s v="Safaricom 50 Credit"/>
    <n v="2"/>
    <n v="100"/>
    <n v="94"/>
    <n v="6"/>
    <s v="Cash"/>
    <x v="2"/>
    <m/>
    <m/>
    <m/>
  </r>
  <r>
    <s v="22/08/2024"/>
    <d v="1899-12-30T16:36:00"/>
    <s v="Soko Maize meal"/>
    <n v="1"/>
    <n v="160"/>
    <n v="125"/>
    <n v="35"/>
    <s v="Mpesa"/>
    <x v="2"/>
    <m/>
    <m/>
    <m/>
  </r>
  <r>
    <s v="22/08/2024"/>
    <d v="1899-12-30T18:00:00"/>
    <s v="Safari"/>
    <n v="1"/>
    <n v="15"/>
    <n v="8.5"/>
    <n v="6.5"/>
    <s v="Cash"/>
    <x v="2"/>
    <m/>
    <m/>
    <m/>
  </r>
  <r>
    <s v="22/08/2024"/>
    <d v="1899-12-30T18:01:00"/>
    <s v="Lemon Bisquit"/>
    <n v="1"/>
    <n v="5"/>
    <n v="4.333333333333333"/>
    <n v="0.66666666666666696"/>
    <s v="Cash"/>
    <x v="2"/>
    <m/>
    <m/>
    <m/>
  </r>
  <r>
    <s v="22/08/2024"/>
    <d v="1899-12-30T18:01:00"/>
    <s v="Safari"/>
    <n v="1"/>
    <n v="15"/>
    <n v="8.5"/>
    <n v="6.5"/>
    <s v="Cash"/>
    <x v="2"/>
    <m/>
    <m/>
    <m/>
  </r>
  <r>
    <s v="22/08/2024"/>
    <d v="1899-12-30T18:01:00"/>
    <s v="Match Box"/>
    <n v="1"/>
    <n v="5"/>
    <n v="2.3611111111111112"/>
    <n v="2.6388888888888888"/>
    <s v="Cash"/>
    <x v="2"/>
    <m/>
    <m/>
    <m/>
  </r>
  <r>
    <s v="22/08/2024"/>
    <d v="1899-12-30T18:01:00"/>
    <s v="Fresh green"/>
    <n v="1"/>
    <n v="10"/>
    <n v="5"/>
    <n v="5"/>
    <s v="Cash"/>
    <x v="2"/>
    <m/>
    <m/>
    <m/>
  </r>
  <r>
    <s v="22/08/2024"/>
    <d v="1899-12-30T18:46:00"/>
    <s v="Bigdaddy"/>
    <n v="5"/>
    <n v="50"/>
    <n v="30"/>
    <n v="20"/>
    <s v="Mpesa"/>
    <x v="2"/>
    <m/>
    <m/>
    <m/>
  </r>
  <r>
    <s v="22/08/2024"/>
    <d v="1899-12-30T18:47:00"/>
    <s v="Royco cubes"/>
    <n v="2"/>
    <n v="10"/>
    <n v="6"/>
    <n v="4"/>
    <s v="Credit"/>
    <x v="1"/>
    <m/>
    <m/>
    <m/>
  </r>
  <r>
    <s v="22/08/2024"/>
    <d v="1899-12-30T18:56:00"/>
    <s v="Bella Tissue"/>
    <n v="1"/>
    <n v="50"/>
    <n v="35"/>
    <n v="15"/>
    <s v="Mpesa"/>
    <x v="2"/>
    <m/>
    <m/>
    <m/>
  </r>
  <r>
    <s v="22/08/2024"/>
    <d v="1899-12-30T19:04:00"/>
    <s v="Eno"/>
    <n v="1"/>
    <n v="20"/>
    <n v="11"/>
    <n v="9"/>
    <s v="Cash"/>
    <x v="2"/>
    <m/>
    <m/>
    <m/>
  </r>
  <r>
    <s v="22/08/2024"/>
    <d v="1899-12-30T19:04:00"/>
    <s v="Maramoja"/>
    <n v="2"/>
    <n v="20"/>
    <n v="14"/>
    <n v="6"/>
    <s v="Cash"/>
    <x v="2"/>
    <m/>
    <m/>
    <m/>
  </r>
  <r>
    <s v="22/08/2024"/>
    <d v="1899-12-30T19:26:00"/>
    <s v="minutemaid 400ml"/>
    <n v="1"/>
    <n v="85"/>
    <n v="62.5"/>
    <n v="22.5"/>
    <s v="Mpesa"/>
    <x v="2"/>
    <m/>
    <m/>
    <m/>
  </r>
  <r>
    <s v="22/08/2024"/>
    <d v="1899-12-30T19:04:00"/>
    <s v="Fresh green"/>
    <n v="2"/>
    <n v="20"/>
    <n v="10"/>
    <n v="10"/>
    <s v="Mpesa"/>
    <x v="2"/>
    <m/>
    <m/>
    <m/>
  </r>
  <r>
    <s v="22/08/2024"/>
    <d v="1899-12-30T19:34:00"/>
    <s v="Tomato sauce"/>
    <n v="1"/>
    <n v="70"/>
    <n v="50"/>
    <n v="20"/>
    <s v="Mpesa"/>
    <x v="2"/>
    <m/>
    <m/>
    <m/>
  </r>
  <r>
    <s v="22/08/2024"/>
    <d v="1899-12-30T19:04:00"/>
    <s v="eggs"/>
    <n v="4"/>
    <n v="80"/>
    <n v="57.333333333333336"/>
    <n v="22.666666666666664"/>
    <s v="Mpesa"/>
    <x v="2"/>
    <m/>
    <m/>
    <m/>
  </r>
  <r>
    <s v="22/08/2024"/>
    <d v="1899-12-30T19:47:00"/>
    <s v="Indomie beef"/>
    <n v="1"/>
    <n v="50"/>
    <n v="38"/>
    <n v="12"/>
    <s v="Mpesa"/>
    <x v="2"/>
    <m/>
    <m/>
    <m/>
  </r>
  <r>
    <s v="22/08/2024"/>
    <d v="1899-12-30T19:47:00"/>
    <s v="Festive Bread 400g"/>
    <n v="1"/>
    <n v="65"/>
    <n v="60"/>
    <n v="5"/>
    <s v="Mpesa"/>
    <x v="2"/>
    <m/>
    <m/>
    <m/>
  </r>
  <r>
    <s v="22/08/2024"/>
    <d v="1899-12-30T19:54:00"/>
    <s v="Tomatoes"/>
    <n v="1"/>
    <n v="10"/>
    <n v="5"/>
    <n v="5"/>
    <s v="Credit"/>
    <x v="3"/>
    <s v="Faith"/>
    <n v="100"/>
    <s v="Mpesa"/>
  </r>
  <r>
    <s v="22/08/2024"/>
    <d v="1899-12-30T19:54:00"/>
    <s v="Tomato paste"/>
    <n v="1"/>
    <n v="30"/>
    <n v="12.5"/>
    <n v="17.5"/>
    <s v="Credit"/>
    <x v="3"/>
    <m/>
    <m/>
    <m/>
  </r>
  <r>
    <s v="22/08/2024"/>
    <d v="1899-12-30T20:04:00"/>
    <s v="5ltrs water"/>
    <n v="1"/>
    <n v="120"/>
    <n v="75"/>
    <n v="45"/>
    <s v="Credit"/>
    <x v="7"/>
    <m/>
    <m/>
    <m/>
  </r>
  <r>
    <s v="22/08/2024"/>
    <d v="1899-12-30T20:04:00"/>
    <s v="Bella Tissue"/>
    <n v="1"/>
    <n v="50"/>
    <n v="35"/>
    <n v="15"/>
    <s v="Cash"/>
    <x v="2"/>
    <m/>
    <m/>
    <m/>
  </r>
  <r>
    <s v="23/08/2024"/>
    <d v="1899-12-30T20:04:00"/>
    <s v="BB Bread 400g"/>
    <n v="1"/>
    <n v="65"/>
    <n v="60"/>
    <n v="5"/>
    <s v="Credit"/>
    <x v="3"/>
    <m/>
    <m/>
    <m/>
  </r>
  <r>
    <s v="23/08/2024"/>
    <d v="1899-12-30T20:04:00"/>
    <s v="Geisha small"/>
    <n v="1"/>
    <n v="70"/>
    <n v="50"/>
    <n v="20"/>
    <s v="Cash"/>
    <x v="2"/>
    <m/>
    <m/>
    <m/>
  </r>
  <r>
    <s v="23/08/2024"/>
    <d v="1899-12-30T07:35:00"/>
    <s v="5ltrs water"/>
    <n v="1"/>
    <n v="120"/>
    <n v="75"/>
    <n v="45"/>
    <s v="Mpesa"/>
    <x v="2"/>
    <m/>
    <m/>
    <m/>
  </r>
  <r>
    <s v="23/08/2024"/>
    <d v="1899-12-30T07:46:00"/>
    <s v="Safaricom 20 Credit"/>
    <n v="1"/>
    <n v="20"/>
    <n v="18"/>
    <n v="2"/>
    <s v="Cash"/>
    <x v="2"/>
    <m/>
    <m/>
    <m/>
  </r>
  <r>
    <s v="23/08/2024"/>
    <d v="1899-12-30T07:46:00"/>
    <s v="predator"/>
    <n v="1"/>
    <n v="70"/>
    <n v="54.166666666666664"/>
    <n v="15.833333333333336"/>
    <s v="Mpesa"/>
    <x v="2"/>
    <m/>
    <m/>
    <m/>
  </r>
  <r>
    <s v="23/08/2024"/>
    <d v="1899-12-30T08:10:00"/>
    <s v="Choc-chip Cookies"/>
    <n v="1"/>
    <n v="35"/>
    <n v="25"/>
    <n v="10"/>
    <s v="Mpesa"/>
    <x v="2"/>
    <m/>
    <m/>
    <m/>
  </r>
  <r>
    <s v="23/08/2024"/>
    <d v="1899-12-30T09:00:00"/>
    <s v="Festive 600g"/>
    <n v="1"/>
    <n v="100"/>
    <n v="90"/>
    <n v="10"/>
    <s v="Mpesa"/>
    <x v="2"/>
    <m/>
    <m/>
    <m/>
  </r>
  <r>
    <s v="23/08/2024"/>
    <d v="1899-12-30T09:42:00"/>
    <s v="Indomie beef"/>
    <n v="1"/>
    <n v="50"/>
    <n v="38"/>
    <n v="12"/>
    <s v="Mpesa"/>
    <x v="2"/>
    <m/>
    <m/>
    <m/>
  </r>
  <r>
    <s v="23/08/2024"/>
    <d v="1899-12-30T09:42:00"/>
    <s v="eggs"/>
    <n v="2"/>
    <n v="40"/>
    <n v="28.666666666666668"/>
    <n v="11.333333333333332"/>
    <s v="Mpesa"/>
    <x v="2"/>
    <m/>
    <m/>
    <m/>
  </r>
  <r>
    <s v="23/08/2024"/>
    <d v="1899-12-30T09:46:00"/>
    <s v="funtime snacks"/>
    <n v="2"/>
    <n v="30"/>
    <n v="18"/>
    <n v="12"/>
    <s v="Cash"/>
    <x v="2"/>
    <m/>
    <m/>
    <m/>
  </r>
  <r>
    <s v="23/08/2024"/>
    <d v="1899-12-30T09:46:00"/>
    <s v="Tamu  Tamu Green"/>
    <n v="2"/>
    <n v="30"/>
    <n v="17.2"/>
    <n v="12.8"/>
    <s v="Cash"/>
    <x v="2"/>
    <m/>
    <m/>
    <m/>
  </r>
  <r>
    <s v="23/08/2024"/>
    <d v="1899-12-30T09:46:00"/>
    <s v="Bigboss"/>
    <n v="6"/>
    <n v="30"/>
    <n v="21"/>
    <n v="9"/>
    <s v="Cash"/>
    <x v="2"/>
    <m/>
    <m/>
    <m/>
  </r>
  <r>
    <s v="23/08/2024"/>
    <d v="1899-12-30T09:46:00"/>
    <s v="Festive 600g"/>
    <n v="1"/>
    <n v="100"/>
    <n v="90"/>
    <n v="10"/>
    <s v="Cash"/>
    <x v="2"/>
    <m/>
    <m/>
    <m/>
  </r>
  <r>
    <s v="23/08/2024"/>
    <d v="1899-12-30T10:23:00"/>
    <s v="BB Bread 400g"/>
    <n v="2"/>
    <n v="130"/>
    <n v="120"/>
    <n v="10"/>
    <s v="Mpesa"/>
    <x v="2"/>
    <m/>
    <m/>
    <m/>
  </r>
  <r>
    <s v="23/08/2024"/>
    <d v="1899-12-30T10:48:00"/>
    <s v="Gumballs"/>
    <n v="5"/>
    <n v="5"/>
    <n v="3.5"/>
    <n v="1.5"/>
    <s v="Cash"/>
    <x v="2"/>
    <m/>
    <m/>
    <m/>
  </r>
  <r>
    <s v="23/08/2024"/>
    <d v="1899-12-30T10:48:00"/>
    <s v="Lollipop"/>
    <n v="2"/>
    <n v="10"/>
    <n v="4.8"/>
    <n v="5.2"/>
    <s v="Cash"/>
    <x v="2"/>
    <m/>
    <m/>
    <m/>
  </r>
  <r>
    <s v="23/08/2024"/>
    <d v="1899-12-30T10:48:00"/>
    <s v="Bigboss"/>
    <n v="1"/>
    <n v="5"/>
    <n v="3.5"/>
    <n v="1.5"/>
    <s v="Cash"/>
    <x v="2"/>
    <m/>
    <m/>
    <m/>
  </r>
  <r>
    <s v="23/08/2024"/>
    <d v="1899-12-30T10:48:00"/>
    <s v="Lollipop"/>
    <n v="1"/>
    <n v="5"/>
    <n v="2.4"/>
    <n v="2.6"/>
    <s v="Cash"/>
    <x v="2"/>
    <m/>
    <m/>
    <m/>
  </r>
  <r>
    <s v="23/08/2024"/>
    <d v="1899-12-30T10:50:00"/>
    <s v="Safari"/>
    <n v="2"/>
    <n v="30"/>
    <n v="17"/>
    <n v="13"/>
    <s v="Mpesa"/>
    <x v="2"/>
    <m/>
    <m/>
    <m/>
  </r>
  <r>
    <s v="23/08/2024"/>
    <d v="1899-12-30T11:54:00"/>
    <s v="Festive 800g"/>
    <n v="1"/>
    <n v="130"/>
    <n v="120"/>
    <n v="10"/>
    <s v="Credit"/>
    <x v="41"/>
    <m/>
    <m/>
    <m/>
  </r>
  <r>
    <s v="23/08/2024"/>
    <d v="1899-12-30T11:54:00"/>
    <s v="Bigboss"/>
    <n v="1"/>
    <n v="5"/>
    <n v="3.5"/>
    <n v="1.5"/>
    <s v="Credit"/>
    <x v="41"/>
    <m/>
    <m/>
    <m/>
  </r>
  <r>
    <s v="23/08/2024"/>
    <d v="1899-12-30T11:56:00"/>
    <s v="predator"/>
    <n v="1"/>
    <n v="70"/>
    <n v="54.166666666666664"/>
    <n v="15.833333333333336"/>
    <s v="Credit"/>
    <x v="19"/>
    <s v="Titus"/>
    <n v="170"/>
    <s v="Cash"/>
  </r>
  <r>
    <s v="23/08/2024"/>
    <d v="1899-12-30T11:56:00"/>
    <s v="Half pound cake"/>
    <n v="1"/>
    <n v="100"/>
    <n v="90"/>
    <n v="10"/>
    <s v="Credit"/>
    <x v="19"/>
    <s v="Titus"/>
    <m/>
    <m/>
  </r>
  <r>
    <s v="23/08/2024"/>
    <d v="1899-12-30T11:57:00"/>
    <s v="Ring Cake"/>
    <n v="1"/>
    <n v="50"/>
    <n v="45"/>
    <n v="5"/>
    <s v="Cash"/>
    <x v="2"/>
    <m/>
    <m/>
    <m/>
  </r>
  <r>
    <s v="23/08/2024"/>
    <d v="1899-12-30T12:11:00"/>
    <s v="Kamande"/>
    <n v="0.25"/>
    <n v="87.5"/>
    <n v="75"/>
    <n v="12.5"/>
    <s v="Mpesa"/>
    <x v="2"/>
    <m/>
    <m/>
    <m/>
  </r>
  <r>
    <s v="23/08/2024"/>
    <d v="1899-12-30T12:11:00"/>
    <s v="Pishori rice"/>
    <n v="1"/>
    <n v="220"/>
    <n v="180"/>
    <n v="40"/>
    <s v="Mpesa"/>
    <x v="2"/>
    <m/>
    <m/>
    <m/>
  </r>
  <r>
    <s v="23/08/2024"/>
    <d v="1899-12-30T12:11:00"/>
    <s v="Whitewash "/>
    <n v="1"/>
    <n v="50"/>
    <n v="33.75"/>
    <n v="16.25"/>
    <s v="Mpesa"/>
    <x v="2"/>
    <m/>
    <m/>
    <m/>
  </r>
  <r>
    <s v="23/08/2024"/>
    <d v="1899-12-30T12:11:00"/>
    <s v="Mt kenya milk 500ml"/>
    <n v="1"/>
    <n v="65"/>
    <n v="48.333333333333336"/>
    <n v="16.666666666666664"/>
    <s v="Mpesa"/>
    <x v="2"/>
    <m/>
    <m/>
    <m/>
  </r>
  <r>
    <s v="23/08/2024"/>
    <d v="1899-12-30T12:11:00"/>
    <s v="eggs"/>
    <n v="2"/>
    <n v="40"/>
    <n v="28.666666666666668"/>
    <n v="11.333333333333332"/>
    <s v="Mpesa"/>
    <x v="2"/>
    <m/>
    <m/>
    <m/>
  </r>
  <r>
    <s v="23/08/2024"/>
    <d v="1899-12-30T12:19:00"/>
    <s v="Bigboss"/>
    <n v="2"/>
    <n v="10"/>
    <n v="7"/>
    <n v="3"/>
    <s v="Cash"/>
    <x v="2"/>
    <m/>
    <m/>
    <m/>
  </r>
  <r>
    <s v="23/08/2024"/>
    <d v="1899-12-30T12:19:00"/>
    <s v="Patco"/>
    <n v="4"/>
    <n v="10"/>
    <n v="4.8"/>
    <n v="5.2"/>
    <s v="Cash"/>
    <x v="2"/>
    <m/>
    <m/>
    <m/>
  </r>
  <r>
    <s v="23/08/2024"/>
    <d v="1899-12-30T12:19:00"/>
    <s v="Fresh green"/>
    <n v="2"/>
    <n v="20"/>
    <n v="10"/>
    <n v="10"/>
    <s v="Mpesa"/>
    <x v="2"/>
    <m/>
    <m/>
    <m/>
  </r>
  <r>
    <s v="23/08/2024"/>
    <d v="1899-12-30T13:00:00"/>
    <s v="Safari"/>
    <n v="1"/>
    <n v="15"/>
    <n v="8.5"/>
    <n v="6.5"/>
    <s v="Mpesa"/>
    <x v="2"/>
    <m/>
    <m/>
    <m/>
  </r>
  <r>
    <s v="23/08/2024"/>
    <d v="1899-12-30T13:08:00"/>
    <s v="Poa Pekee Tissue"/>
    <n v="1"/>
    <n v="30"/>
    <n v="13.333333333333334"/>
    <n v="16.666666666666664"/>
    <s v="Cash"/>
    <x v="2"/>
    <m/>
    <m/>
    <m/>
  </r>
  <r>
    <s v="23/08/2024"/>
    <d v="1899-12-30T13:13:00"/>
    <s v="Safari"/>
    <n v="1"/>
    <n v="15"/>
    <n v="8.5"/>
    <n v="6.5"/>
    <s v="Cash"/>
    <x v="2"/>
    <m/>
    <m/>
    <m/>
  </r>
  <r>
    <s v="23/08/2024"/>
    <d v="1899-12-30T13:13:00"/>
    <s v="Ginger Bisquit"/>
    <n v="1"/>
    <n v="5"/>
    <n v="4.333333333333333"/>
    <n v="0.66666666666666696"/>
    <s v="Cash"/>
    <x v="2"/>
    <m/>
    <m/>
    <m/>
  </r>
  <r>
    <s v="23/08/2024"/>
    <d v="1899-12-30T13:24:00"/>
    <s v="Nuvita Bisquit"/>
    <n v="2"/>
    <n v="10"/>
    <n v="8.3333333333333339"/>
    <n v="1.6666666666666661"/>
    <s v="Cash"/>
    <x v="2"/>
    <m/>
    <m/>
    <m/>
  </r>
  <r>
    <s v="23/08/2024"/>
    <d v="1899-12-30T13:24:00"/>
    <s v="Safari"/>
    <n v="1"/>
    <n v="15"/>
    <n v="8.5"/>
    <n v="6.5"/>
    <s v="Cash"/>
    <x v="2"/>
    <m/>
    <m/>
    <m/>
  </r>
  <r>
    <s v="23/08/2024"/>
    <d v="1899-12-30T13:33:00"/>
    <s v="Safari"/>
    <n v="1"/>
    <n v="15"/>
    <n v="8.5"/>
    <n v="6.5"/>
    <s v="Mpesa"/>
    <x v="2"/>
    <m/>
    <m/>
    <m/>
  </r>
  <r>
    <s v="23/08/2024"/>
    <d v="1899-12-30T13:42:00"/>
    <s v="eggs"/>
    <n v="2"/>
    <n v="40"/>
    <n v="28.666666666666668"/>
    <n v="11.333333333333332"/>
    <s v="Mpesa"/>
    <x v="2"/>
    <m/>
    <m/>
    <m/>
  </r>
  <r>
    <s v="23/08/2024"/>
    <d v="1899-12-30T13:45:00"/>
    <s v="Safaricom 50 Credit"/>
    <n v="2"/>
    <n v="100"/>
    <n v="94"/>
    <n v="6"/>
    <s v="Cash"/>
    <x v="2"/>
    <m/>
    <m/>
    <m/>
  </r>
  <r>
    <s v="23/08/2024"/>
    <d v="1899-12-30T14:05:00"/>
    <s v="BB Bread 400g"/>
    <n v="1"/>
    <n v="65"/>
    <n v="60"/>
    <n v="5"/>
    <s v="Mpesa"/>
    <x v="2"/>
    <m/>
    <m/>
    <m/>
  </r>
  <r>
    <s v="23/08/2024"/>
    <d v="1899-12-30T14:05:00"/>
    <s v="Mt kenya milk 500ml"/>
    <n v="1"/>
    <n v="65"/>
    <n v="48.333333333333336"/>
    <n v="16.666666666666664"/>
    <s v="Mpesa"/>
    <x v="2"/>
    <m/>
    <m/>
    <m/>
  </r>
  <r>
    <s v="23/08/2024"/>
    <d v="1899-12-30T14:57:00"/>
    <s v="omo 75g"/>
    <n v="1"/>
    <n v="35"/>
    <n v="27.5"/>
    <n v="7.5"/>
    <s v="Credit"/>
    <x v="4"/>
    <m/>
    <m/>
    <m/>
  </r>
  <r>
    <s v="23/08/2024"/>
    <d v="1899-12-30T14:57:00"/>
    <s v="Vaseline"/>
    <n v="1"/>
    <n v="40"/>
    <n v="30"/>
    <n v="10"/>
    <s v="Credit"/>
    <x v="4"/>
    <m/>
    <m/>
    <m/>
  </r>
  <r>
    <s v="23/08/2024"/>
    <d v="1899-12-30T15:09:00"/>
    <s v="Patco"/>
    <n v="4"/>
    <n v="10"/>
    <n v="4.8"/>
    <n v="5.2"/>
    <s v="Cash"/>
    <x v="2"/>
    <m/>
    <m/>
    <m/>
  </r>
  <r>
    <s v="23/08/2024"/>
    <d v="1899-12-30T15:20:00"/>
    <s v="Ginger Bisquit"/>
    <n v="2"/>
    <n v="10"/>
    <n v="8.6666666666666661"/>
    <n v="1.3333333333333339"/>
    <s v="Cash"/>
    <x v="2"/>
    <m/>
    <m/>
    <m/>
  </r>
  <r>
    <s v="23/08/2024"/>
    <d v="1899-12-30T15:22:00"/>
    <s v="Safari"/>
    <n v="1"/>
    <n v="15"/>
    <n v="8.5"/>
    <n v="6.5"/>
    <s v="Mpesa"/>
    <x v="2"/>
    <m/>
    <m/>
    <m/>
  </r>
  <r>
    <s v="23/08/2024"/>
    <d v="1899-12-30T15:51:00"/>
    <s v="BB Bread 400g"/>
    <n v="1"/>
    <n v="65"/>
    <n v="60"/>
    <n v="5"/>
    <s v="Cash"/>
    <x v="2"/>
    <m/>
    <m/>
    <m/>
  </r>
  <r>
    <s v="23/08/2024"/>
    <d v="1899-12-30T15:51:00"/>
    <s v="Choc-chip Cookies"/>
    <n v="1"/>
    <n v="35"/>
    <n v="25"/>
    <n v="10"/>
    <s v="Cash"/>
    <x v="2"/>
    <m/>
    <m/>
    <m/>
  </r>
  <r>
    <s v="23/08/2024"/>
    <d v="1899-12-30T16:08:00"/>
    <s v="Icepop"/>
    <n v="1"/>
    <n v="15"/>
    <n v="7.5"/>
    <n v="7.5"/>
    <s v="Cash"/>
    <x v="2"/>
    <m/>
    <m/>
    <m/>
  </r>
  <r>
    <s v="23/08/2024"/>
    <d v="1899-12-30T16:22:00"/>
    <s v="Cooking Oil Measured"/>
    <n v="0.25"/>
    <n v="70"/>
    <n v="50"/>
    <n v="20"/>
    <s v="Mpesa"/>
    <x v="2"/>
    <m/>
    <m/>
    <m/>
  </r>
  <r>
    <s v="23/08/2024"/>
    <d v="1899-12-30T16:22:00"/>
    <s v="Bigdaddy"/>
    <n v="1"/>
    <n v="10"/>
    <n v="6"/>
    <n v="4"/>
    <s v="Cash"/>
    <x v="2"/>
    <m/>
    <m/>
    <m/>
  </r>
  <r>
    <s v="23/08/2024"/>
    <d v="1899-12-30T16:22:00"/>
    <s v="Cough drops"/>
    <n v="1"/>
    <n v="5"/>
    <n v="4"/>
    <n v="1"/>
    <s v="Cash"/>
    <x v="2"/>
    <m/>
    <m/>
    <m/>
  </r>
  <r>
    <s v="23/08/2024"/>
    <d v="1899-12-30T17:09:00"/>
    <s v="Pishori rice"/>
    <n v="1"/>
    <n v="220"/>
    <n v="180"/>
    <n v="40"/>
    <s v="Credit"/>
    <x v="42"/>
    <s v="Meltus"/>
    <n v="290"/>
    <s v="Mpesa"/>
  </r>
  <r>
    <s v="23/08/2024"/>
    <d v="1899-12-30T17:09:00"/>
    <s v="Festive 800g"/>
    <n v="1"/>
    <n v="130"/>
    <n v="120"/>
    <n v="10"/>
    <s v="Credit"/>
    <x v="42"/>
    <m/>
    <m/>
    <m/>
  </r>
  <r>
    <s v="23/08/2024"/>
    <d v="1899-12-30T17:09:00"/>
    <s v="Mt kenya milk 500ml"/>
    <n v="1"/>
    <n v="65"/>
    <n v="48.333333333333336"/>
    <n v="16.666666666666664"/>
    <s v="Credit"/>
    <x v="42"/>
    <m/>
    <m/>
    <m/>
  </r>
  <r>
    <s v="23/08/2024"/>
    <d v="1899-12-30T17:48:00"/>
    <s v="Ginger"/>
    <n v="1"/>
    <n v="20"/>
    <n v="10"/>
    <n v="10"/>
    <s v="Cash"/>
    <x v="2"/>
    <m/>
    <m/>
    <m/>
  </r>
  <r>
    <s v="23/08/2024"/>
    <d v="1899-12-30T17:48:00"/>
    <s v="Icepop"/>
    <n v="1"/>
    <n v="15"/>
    <n v="7.5"/>
    <n v="7.5"/>
    <s v="Cash"/>
    <x v="2"/>
    <m/>
    <m/>
    <m/>
  </r>
  <r>
    <s v="23/08/2024"/>
    <d v="1899-12-30T17:59:00"/>
    <s v="Mt kenya milk 500ml"/>
    <n v="1"/>
    <n v="65"/>
    <n v="48.333333333333336"/>
    <n v="16.666666666666664"/>
    <s v="Mpesa"/>
    <x v="2"/>
    <m/>
    <m/>
    <m/>
  </r>
  <r>
    <s v="23/08/2024"/>
    <d v="1899-12-30T18:37:00"/>
    <s v=" soda 1.25lts"/>
    <n v="1"/>
    <n v="130"/>
    <n v="112.5"/>
    <n v="17.5"/>
    <s v="Credit"/>
    <x v="20"/>
    <m/>
    <m/>
    <m/>
  </r>
  <r>
    <s v="23/08/2024"/>
    <d v="1899-12-30T18:37:00"/>
    <s v="predator"/>
    <n v="1"/>
    <n v="70"/>
    <n v="54.166666666666664"/>
    <n v="15.833333333333336"/>
    <s v="Credit"/>
    <x v="2"/>
    <m/>
    <m/>
    <m/>
  </r>
  <r>
    <s v="23/08/2024"/>
    <d v="1899-12-30T18:37:00"/>
    <s v="Bella Tissue"/>
    <n v="1"/>
    <n v="50"/>
    <n v="35"/>
    <n v="15"/>
    <s v="Mpesa"/>
    <x v="2"/>
    <m/>
    <m/>
    <m/>
  </r>
  <r>
    <s v="23/08/2024"/>
    <d v="1899-12-30T18:37:00"/>
    <s v="Royco cubes"/>
    <n v="2"/>
    <n v="10"/>
    <n v="6"/>
    <n v="4"/>
    <s v="Mpesa"/>
    <x v="2"/>
    <m/>
    <m/>
    <m/>
  </r>
  <r>
    <s v="23/08/2024"/>
    <d v="1899-12-30T18:46:00"/>
    <s v="5ltrs water"/>
    <n v="2"/>
    <n v="240"/>
    <n v="150"/>
    <n v="90"/>
    <s v="Mpesa"/>
    <x v="2"/>
    <m/>
    <m/>
    <m/>
  </r>
  <r>
    <s v="23/08/2024"/>
    <d v="1899-12-30T18:46:00"/>
    <s v="Festive Bread 400g"/>
    <n v="2"/>
    <n v="130"/>
    <n v="120"/>
    <n v="10"/>
    <s v="Cash"/>
    <x v="2"/>
    <m/>
    <m/>
    <m/>
  </r>
  <r>
    <s v="23/08/2024"/>
    <d v="1899-12-30T18:47:00"/>
    <s v="kensalt 1kg"/>
    <n v="1"/>
    <n v="50"/>
    <n v="35"/>
    <n v="15"/>
    <s v="Credit"/>
    <x v="7"/>
    <m/>
    <m/>
    <m/>
  </r>
  <r>
    <s v="23/08/2024"/>
    <d v="1899-12-30T19:03:00"/>
    <s v="Delamere 450g yoghurt"/>
    <n v="1"/>
    <n v="160"/>
    <n v="137"/>
    <n v="23"/>
    <s v="Mpesa"/>
    <x v="2"/>
    <m/>
    <m/>
    <m/>
  </r>
  <r>
    <s v="23/08/2024"/>
    <d v="1899-12-30T19:03:00"/>
    <s v="Garlic"/>
    <n v="1"/>
    <n v="30"/>
    <n v="20"/>
    <n v="10"/>
    <s v="Mpesa"/>
    <x v="2"/>
    <m/>
    <m/>
    <m/>
  </r>
  <r>
    <s v="23/08/2024"/>
    <d v="1899-12-30T19:03:00"/>
    <s v="Ginger"/>
    <n v="1"/>
    <n v="20"/>
    <n v="10"/>
    <n v="10"/>
    <s v="Mpesa"/>
    <x v="2"/>
    <m/>
    <m/>
    <m/>
  </r>
  <r>
    <s v="23/08/2024"/>
    <d v="1899-12-30T19:23:00"/>
    <s v="Goodday Cookies"/>
    <n v="4"/>
    <n v="60"/>
    <n v="37.333333333333336"/>
    <n v="22.666666666666664"/>
    <s v="Mpesa"/>
    <x v="2"/>
    <m/>
    <m/>
    <m/>
  </r>
  <r>
    <s v="23/08/2024"/>
    <d v="1899-12-30T19:33:00"/>
    <s v="Safari"/>
    <n v="4"/>
    <n v="60"/>
    <n v="34"/>
    <n v="26"/>
    <s v="Cash"/>
    <x v="2"/>
    <m/>
    <m/>
    <m/>
  </r>
  <r>
    <s v="23/08/2024"/>
    <d v="1899-12-30T20:15:00"/>
    <s v="eggs"/>
    <n v="2"/>
    <n v="40"/>
    <n v="28.666666666666668"/>
    <n v="11.333333333333332"/>
    <s v="Mpesa"/>
    <x v="2"/>
    <m/>
    <m/>
    <m/>
  </r>
  <r>
    <s v="23/08/2024"/>
    <d v="1899-12-30T20:27:00"/>
    <s v="Mt kenya milk 500ml"/>
    <n v="1"/>
    <n v="65"/>
    <n v="48.333333333333336"/>
    <n v="16.666666666666664"/>
    <s v="Mpesa"/>
    <x v="2"/>
    <m/>
    <m/>
    <m/>
  </r>
  <r>
    <s v="24/08/2024"/>
    <d v="1899-12-30T07:40:00"/>
    <s v="Banana"/>
    <n v="3"/>
    <n v="30"/>
    <n v="25"/>
    <n v="5"/>
    <s v="Mpesa"/>
    <x v="2"/>
    <m/>
    <m/>
    <m/>
  </r>
  <r>
    <s v="24/08/2024"/>
    <d v="1899-12-30T07:40:00"/>
    <s v="BB Bread 400g"/>
    <n v="1"/>
    <n v="65"/>
    <n v="60"/>
    <n v="5"/>
    <s v="Credit"/>
    <x v="1"/>
    <m/>
    <m/>
    <m/>
  </r>
  <r>
    <s v="24/08/2024"/>
    <d v="1899-12-30T07:44:00"/>
    <s v="BB Bread 400g"/>
    <n v="2"/>
    <n v="130"/>
    <n v="120"/>
    <n v="10"/>
    <s v="Credit"/>
    <x v="3"/>
    <m/>
    <m/>
    <m/>
  </r>
  <r>
    <s v="24/08/2024"/>
    <d v="1899-12-30T07:44:00"/>
    <s v="Mt kenya milk 500ml"/>
    <n v="1"/>
    <n v="65"/>
    <n v="48.333333333333336"/>
    <n v="16.666666666666664"/>
    <s v="Credit"/>
    <x v="3"/>
    <m/>
    <m/>
    <m/>
  </r>
  <r>
    <s v="24/08/2024"/>
    <d v="1899-12-30T08:40:00"/>
    <s v="BB Bread 400g"/>
    <n v="1"/>
    <n v="65"/>
    <n v="60"/>
    <n v="5"/>
    <s v="Credit"/>
    <x v="10"/>
    <m/>
    <m/>
    <m/>
  </r>
  <r>
    <s v="24/08/2024"/>
    <d v="1899-12-30T09:11:00"/>
    <s v="5ltrs water"/>
    <n v="1"/>
    <n v="120"/>
    <n v="75"/>
    <n v="45"/>
    <s v="Cash"/>
    <x v="2"/>
    <m/>
    <m/>
    <m/>
  </r>
  <r>
    <s v="24/08/2024"/>
    <d v="1899-12-30T09:11:00"/>
    <s v="Bella Tissue"/>
    <n v="2"/>
    <n v="100"/>
    <n v="70"/>
    <n v="30"/>
    <s v="Cash"/>
    <x v="2"/>
    <m/>
    <m/>
    <m/>
  </r>
  <r>
    <s v="24/08/2024"/>
    <d v="1899-12-30T09:11:00"/>
    <s v="Airtel 20 Credit"/>
    <n v="1"/>
    <n v="20"/>
    <n v="18"/>
    <n v="2"/>
    <s v="Cash"/>
    <x v="2"/>
    <m/>
    <m/>
    <m/>
  </r>
  <r>
    <s v="24/08/2024"/>
    <d v="1899-12-30T09:44:00"/>
    <s v="BB Bread 400g"/>
    <n v="2"/>
    <n v="130"/>
    <n v="120"/>
    <n v="10"/>
    <s v="Mpesa"/>
    <x v="2"/>
    <m/>
    <m/>
    <m/>
  </r>
  <r>
    <s v="24/08/2024"/>
    <d v="1899-12-30T09:44:00"/>
    <s v="Arimis small"/>
    <n v="1"/>
    <n v="35"/>
    <n v="23.333333333333332"/>
    <n v="11.666666666666668"/>
    <s v="Cash"/>
    <x v="2"/>
    <m/>
    <m/>
    <m/>
  </r>
  <r>
    <s v="24/08/2024"/>
    <d v="1899-12-30T10:07:00"/>
    <s v="Maramoja"/>
    <n v="3"/>
    <n v="30"/>
    <n v="21"/>
    <n v="9"/>
    <s v="Cash"/>
    <x v="2"/>
    <m/>
    <m/>
    <m/>
  </r>
  <r>
    <s v="24/08/2024"/>
    <d v="1899-12-30T10:40:00"/>
    <s v="Safari"/>
    <n v="1"/>
    <n v="15"/>
    <n v="8.5"/>
    <n v="6.5"/>
    <s v="Mpesa"/>
    <x v="2"/>
    <m/>
    <m/>
    <m/>
  </r>
  <r>
    <s v="24/08/2024"/>
    <d v="1899-12-30T10:54:00"/>
    <s v="Downy sunrise fresh"/>
    <n v="2"/>
    <n v="40"/>
    <n v="34.666666666666664"/>
    <n v="5.3333333333333357"/>
    <s v="Credit"/>
    <x v="16"/>
    <m/>
    <m/>
    <m/>
  </r>
  <r>
    <s v="24/08/2024"/>
    <d v="1899-12-30T11:12:00"/>
    <s v="soda 350ml plastic"/>
    <n v="1"/>
    <n v="50"/>
    <n v="41.666666666666664"/>
    <n v="8.3333333333333357"/>
    <s v="Cash"/>
    <x v="2"/>
    <m/>
    <m/>
    <m/>
  </r>
  <r>
    <s v="24/08/2024"/>
    <d v="1899-12-30T11:13:00"/>
    <s v="omo 75g"/>
    <n v="1"/>
    <n v="35"/>
    <n v="27.5"/>
    <n v="7.5"/>
    <s v="Cash"/>
    <x v="2"/>
    <m/>
    <m/>
    <m/>
  </r>
  <r>
    <s v="24/08/2024"/>
    <d v="1899-12-30T11:13:00"/>
    <s v="Downy sunrise fresh"/>
    <n v="2"/>
    <n v="40"/>
    <n v="34.666666666666664"/>
    <n v="5.3333333333333357"/>
    <s v="Cash"/>
    <x v="2"/>
    <m/>
    <m/>
    <m/>
  </r>
  <r>
    <s v="24/08/2024"/>
    <d v="1899-12-30T11:13:00"/>
    <s v="Ngumu"/>
    <n v="2"/>
    <n v="20"/>
    <n v="16.666666666666668"/>
    <n v="3.3333333333333321"/>
    <s v="Cash"/>
    <x v="2"/>
    <m/>
    <m/>
    <m/>
  </r>
  <r>
    <s v="24/08/2024"/>
    <d v="1899-12-30T11:27:00"/>
    <s v="Bigboss"/>
    <n v="2"/>
    <n v="10"/>
    <n v="7"/>
    <n v="3"/>
    <s v="Cash"/>
    <x v="2"/>
    <m/>
    <m/>
    <m/>
  </r>
  <r>
    <s v="24/08/2024"/>
    <d v="1899-12-30T11:27:00"/>
    <s v="Baloon"/>
    <n v="1"/>
    <n v="10"/>
    <n v="6"/>
    <n v="4"/>
    <s v="Cash"/>
    <x v="2"/>
    <m/>
    <m/>
    <m/>
  </r>
  <r>
    <s v="24/08/2024"/>
    <d v="1899-12-30T12:12:00"/>
    <s v="Airtel 50 Credit"/>
    <n v="2"/>
    <n v="100"/>
    <n v="94"/>
    <n v="6"/>
    <s v="Cash"/>
    <x v="2"/>
    <m/>
    <m/>
    <m/>
  </r>
  <r>
    <s v="24/08/2024"/>
    <d v="1899-12-30T12:47:00"/>
    <s v="Festive Bread 400g"/>
    <n v="1"/>
    <n v="65"/>
    <n v="60"/>
    <n v="5"/>
    <s v="Mpesa"/>
    <x v="2"/>
    <m/>
    <m/>
    <m/>
  </r>
  <r>
    <s v="24/08/2024"/>
    <d v="1899-12-30T12:47:00"/>
    <s v="Downy sunrise fresh"/>
    <n v="2"/>
    <n v="40"/>
    <n v="34.666666666666664"/>
    <n v="5.3333333333333357"/>
    <s v="Mpesa"/>
    <x v="2"/>
    <m/>
    <m/>
    <m/>
  </r>
  <r>
    <s v="24/08/2024"/>
    <d v="1899-12-30T13:04:00"/>
    <s v="Tomato sauce"/>
    <n v="1"/>
    <n v="70"/>
    <n v="50"/>
    <n v="20"/>
    <s v="Cash"/>
    <x v="2"/>
    <m/>
    <m/>
    <m/>
  </r>
  <r>
    <s v="24/08/2024"/>
    <d v="1899-12-30T13:04:00"/>
    <s v="Patco"/>
    <n v="10"/>
    <n v="25"/>
    <n v="12"/>
    <n v="13"/>
    <s v="Cash"/>
    <x v="2"/>
    <m/>
    <m/>
    <m/>
  </r>
  <r>
    <s v="24/08/2024"/>
    <d v="1899-12-30T13:04:00"/>
    <s v="Icepop"/>
    <n v="1"/>
    <n v="15"/>
    <n v="7.5"/>
    <n v="7.5"/>
    <s v="Cash"/>
    <x v="2"/>
    <m/>
    <m/>
    <m/>
  </r>
  <r>
    <s v="24/08/2024"/>
    <d v="1899-12-30T13:04:00"/>
    <s v="Mt kenya milk 500ml"/>
    <n v="1"/>
    <n v="65"/>
    <n v="48.333333333333336"/>
    <n v="16.666666666666664"/>
    <s v="Cash"/>
    <x v="2"/>
    <m/>
    <m/>
    <m/>
  </r>
  <r>
    <s v="24/08/2024"/>
    <d v="1899-12-30T13:04:00"/>
    <s v="Bigdaddy"/>
    <n v="1"/>
    <n v="10"/>
    <n v="6"/>
    <n v="4"/>
    <s v="Cash"/>
    <x v="2"/>
    <m/>
    <m/>
    <m/>
  </r>
  <r>
    <s v="24/08/2024"/>
    <d v="1899-12-30T13:28:00"/>
    <s v="soda 500ml glass"/>
    <n v="1"/>
    <n v="55"/>
    <n v="50"/>
    <n v="5"/>
    <s v="Credit"/>
    <x v="4"/>
    <s v="Shariffa"/>
    <n v="75"/>
    <s v="Mpesa"/>
  </r>
  <r>
    <s v="24/08/2024"/>
    <d v="1899-12-30T13:28:00"/>
    <s v="Festive Bread 400g"/>
    <n v="1"/>
    <n v="65"/>
    <n v="60"/>
    <n v="5"/>
    <s v="Credit"/>
    <x v="4"/>
    <m/>
    <m/>
    <m/>
  </r>
  <r>
    <s v="24/08/2024"/>
    <d v="1899-12-30T13:28:00"/>
    <s v="soda 500ml glass"/>
    <n v="1"/>
    <n v="55"/>
    <n v="50"/>
    <n v="5"/>
    <s v="Credit"/>
    <x v="4"/>
    <m/>
    <m/>
    <m/>
  </r>
  <r>
    <s v="24/08/2024"/>
    <d v="1899-12-30T13:28:00"/>
    <s v="Mandazi"/>
    <n v="4"/>
    <n v="20"/>
    <n v="16.666666666666668"/>
    <n v="3.3333333333333321"/>
    <s v="Credit"/>
    <x v="4"/>
    <m/>
    <m/>
    <m/>
  </r>
  <r>
    <s v="24/08/2024"/>
    <d v="1899-12-30T13:28:00"/>
    <s v="soda 500ml glass"/>
    <n v="1"/>
    <n v="55"/>
    <n v="50"/>
    <n v="5"/>
    <s v="Credit"/>
    <x v="4"/>
    <m/>
    <m/>
    <m/>
  </r>
  <r>
    <s v="24/08/2024"/>
    <d v="1899-12-30T13:35:00"/>
    <s v="Safari"/>
    <n v="1"/>
    <n v="15"/>
    <n v="8.5"/>
    <n v="6.5"/>
    <s v="Mpesa"/>
    <x v="2"/>
    <m/>
    <m/>
    <m/>
  </r>
  <r>
    <s v="24/08/2024"/>
    <d v="1899-12-30T13:50:00"/>
    <s v="Safari"/>
    <n v="1"/>
    <n v="15"/>
    <n v="8.5"/>
    <n v="6.5"/>
    <s v="Mpesa"/>
    <x v="2"/>
    <m/>
    <m/>
    <m/>
  </r>
  <r>
    <s v="24/08/2024"/>
    <d v="1899-12-30T13:54:00"/>
    <s v="Ajab 2kg"/>
    <n v="1"/>
    <n v="220"/>
    <n v="175"/>
    <n v="45"/>
    <s v="Mpesa"/>
    <x v="2"/>
    <m/>
    <m/>
    <m/>
  </r>
  <r>
    <s v="24/08/2024"/>
    <d v="1899-12-30T13:54:00"/>
    <s v="Mt kenya milk 500ml"/>
    <n v="2"/>
    <n v="130"/>
    <n v="96.666666666666671"/>
    <n v="33.333333333333329"/>
    <s v="Mpesa"/>
    <x v="2"/>
    <m/>
    <m/>
    <m/>
  </r>
  <r>
    <s v="24/08/2024"/>
    <d v="1899-12-30T13:54:00"/>
    <s v="eggs"/>
    <n v="1"/>
    <n v="20"/>
    <n v="14.333333333333334"/>
    <n v="5.6666666666666661"/>
    <s v="Mpesa"/>
    <x v="2"/>
    <m/>
    <m/>
    <m/>
  </r>
  <r>
    <s v="24/08/2024"/>
    <d v="1899-12-30T13:54:00"/>
    <s v="Toss 100g"/>
    <n v="1"/>
    <n v="60"/>
    <n v="36.666666666666664"/>
    <n v="23.333333333333336"/>
    <s v="Mpesa"/>
    <x v="2"/>
    <m/>
    <m/>
    <m/>
  </r>
  <r>
    <s v="24/08/2024"/>
    <d v="1899-12-30T13:58:00"/>
    <s v="Bigdaddy"/>
    <n v="3"/>
    <n v="30"/>
    <n v="18"/>
    <n v="12"/>
    <s v="Cash"/>
    <x v="2"/>
    <m/>
    <m/>
    <m/>
  </r>
  <r>
    <s v="24/08/2024"/>
    <d v="1899-12-30T14:09:00"/>
    <s v="Indomie beef"/>
    <n v="1"/>
    <n v="50"/>
    <n v="38"/>
    <n v="12"/>
    <s v="Mpesa"/>
    <x v="2"/>
    <m/>
    <m/>
    <m/>
  </r>
  <r>
    <s v="24/08/2024"/>
    <d v="1899-12-30T14:09:00"/>
    <s v="Banana"/>
    <n v="1"/>
    <n v="10"/>
    <n v="8.3333333333333339"/>
    <n v="1.6666666666666661"/>
    <s v="Mpesa"/>
    <x v="2"/>
    <m/>
    <m/>
    <m/>
  </r>
  <r>
    <s v="24/08/2024"/>
    <d v="1899-12-30T14:09:00"/>
    <s v="Sindano rice"/>
    <n v="0.25"/>
    <n v="37.5"/>
    <n v="30"/>
    <n v="7.5"/>
    <s v="Mpesa"/>
    <x v="2"/>
    <m/>
    <m/>
    <m/>
  </r>
  <r>
    <s v="24/08/2024"/>
    <d v="1899-12-30T14:21:00"/>
    <s v="Indomie chicken"/>
    <n v="3"/>
    <n v="150"/>
    <n v="112.5"/>
    <n v="37.5"/>
    <s v="Mpesa"/>
    <x v="2"/>
    <m/>
    <m/>
    <m/>
  </r>
  <r>
    <s v="24/08/2024"/>
    <d v="1899-12-30T14:21:00"/>
    <s v="Ngumu"/>
    <n v="10"/>
    <n v="100"/>
    <n v="83.333333333333343"/>
    <n v="16.666666666666657"/>
    <s v="Mpesa"/>
    <x v="2"/>
    <m/>
    <m/>
    <m/>
  </r>
  <r>
    <s v="24/08/2024"/>
    <d v="1899-12-30T14:22:00"/>
    <s v="soda 350ml plastic"/>
    <n v="1"/>
    <n v="50"/>
    <n v="41.666666666666664"/>
    <n v="8.3333333333333357"/>
    <s v="Credit"/>
    <x v="40"/>
    <m/>
    <m/>
    <m/>
  </r>
  <r>
    <s v="24/08/2024"/>
    <d v="1899-12-30T14:22:00"/>
    <s v="Choc-chip Cookies"/>
    <n v="1"/>
    <n v="35"/>
    <n v="25"/>
    <n v="10"/>
    <s v="Credit"/>
    <x v="40"/>
    <m/>
    <m/>
    <m/>
  </r>
  <r>
    <s v="24/08/2024"/>
    <d v="1899-12-30T14:22:00"/>
    <s v="Ringoz Barbeque"/>
    <n v="2"/>
    <n v="30"/>
    <n v="17.2"/>
    <n v="12.8"/>
    <s v="Credit"/>
    <x v="2"/>
    <m/>
    <m/>
    <m/>
  </r>
  <r>
    <s v="24/08/2024"/>
    <d v="1899-12-30T14:23:00"/>
    <s v="predator"/>
    <n v="1"/>
    <n v="70"/>
    <n v="54.166666666666664"/>
    <n v="15.833333333333336"/>
    <s v="Credit"/>
    <x v="19"/>
    <s v="Titus"/>
    <n v="60"/>
    <s v="Cash"/>
  </r>
  <r>
    <s v="24/08/2024"/>
    <d v="1899-12-30T14:57:00"/>
    <s v="Icepop"/>
    <n v="3"/>
    <n v="45"/>
    <n v="22.5"/>
    <n v="22.5"/>
    <s v="Cash"/>
    <x v="2"/>
    <m/>
    <m/>
    <m/>
  </r>
  <r>
    <s v="24/08/2024"/>
    <d v="1899-12-30T14:57:00"/>
    <s v="Gomba"/>
    <n v="6"/>
    <n v="15"/>
    <n v="10.8"/>
    <n v="4.1999999999999993"/>
    <s v="Cash"/>
    <x v="2"/>
    <m/>
    <m/>
    <m/>
  </r>
  <r>
    <s v="24/08/2024"/>
    <d v="1899-12-30T15:41:00"/>
    <s v="Glucose 10g"/>
    <n v="2"/>
    <n v="10"/>
    <n v="7.5"/>
    <n v="2.5"/>
    <s v="Mpesa"/>
    <x v="11"/>
    <s v="Gladys"/>
    <n v="55"/>
    <s v="Mpesa"/>
  </r>
  <r>
    <s v="24/08/2024"/>
    <d v="1899-12-30T15:41:00"/>
    <s v="eggs"/>
    <n v="2"/>
    <n v="40"/>
    <n v="28.666666666666668"/>
    <n v="11.333333333333332"/>
    <s v="Mpesa"/>
    <x v="11"/>
    <m/>
    <m/>
    <m/>
  </r>
  <r>
    <s v="24/08/2024"/>
    <d v="1899-12-30T15:41:00"/>
    <s v="kensalt 200g"/>
    <n v="1"/>
    <n v="15"/>
    <n v="5.5"/>
    <n v="9.5"/>
    <s v="Mpesa"/>
    <x v="2"/>
    <m/>
    <m/>
    <m/>
  </r>
  <r>
    <s v="24/08/2024"/>
    <d v="1899-12-30T15:41:00"/>
    <s v="Glucose 10g"/>
    <n v="2"/>
    <n v="10"/>
    <n v="7.5"/>
    <n v="2.5"/>
    <s v="Mpesa"/>
    <x v="2"/>
    <m/>
    <m/>
    <m/>
  </r>
  <r>
    <s v="24/08/2024"/>
    <d v="1899-12-30T15:49:00"/>
    <s v="Ginger Bisquit"/>
    <n v="6"/>
    <n v="30"/>
    <n v="26"/>
    <n v="4"/>
    <s v="Credit"/>
    <x v="4"/>
    <m/>
    <m/>
    <m/>
  </r>
  <r>
    <s v="24/08/2024"/>
    <d v="1899-12-30T15:53:00"/>
    <s v="Colgate Herbal 70g"/>
    <n v="1"/>
    <n v="160"/>
    <n v="133.33333333333334"/>
    <n v="26.666666666666657"/>
    <s v="Cash"/>
    <x v="2"/>
    <m/>
    <m/>
    <m/>
  </r>
  <r>
    <s v="24/08/2024"/>
    <d v="1899-12-30T16:56:00"/>
    <s v="Bigdaddy"/>
    <n v="2"/>
    <n v="20"/>
    <n v="12"/>
    <n v="8"/>
    <s v="Cash"/>
    <x v="2"/>
    <m/>
    <m/>
    <m/>
  </r>
  <r>
    <s v="24/08/2024"/>
    <d v="1899-12-30T17:06:00"/>
    <s v="Mt kenya milk 500ml"/>
    <n v="3"/>
    <n v="195"/>
    <n v="145"/>
    <n v="50"/>
    <s v="Mpesa"/>
    <x v="2"/>
    <m/>
    <m/>
    <m/>
  </r>
  <r>
    <s v="24/08/2024"/>
    <d v="1899-12-30T17:06:00"/>
    <s v="BB Bread 400g"/>
    <n v="1"/>
    <n v="65"/>
    <n v="60"/>
    <n v="5"/>
    <s v="Mpesa"/>
    <x v="2"/>
    <m/>
    <m/>
    <m/>
  </r>
  <r>
    <s v="24/08/2024"/>
    <d v="1899-12-30T17:06:00"/>
    <s v="Njugu"/>
    <n v="2"/>
    <n v="40"/>
    <n v="21.333333333333332"/>
    <n v="18.666666666666668"/>
    <s v="Mpesa"/>
    <x v="2"/>
    <m/>
    <m/>
    <m/>
  </r>
  <r>
    <s v="24/08/2024"/>
    <d v="1899-12-30T17:17:00"/>
    <s v="Delamere 450g yoghurt"/>
    <n v="1"/>
    <n v="160"/>
    <n v="137"/>
    <n v="23"/>
    <s v="Mpesa"/>
    <x v="2"/>
    <m/>
    <m/>
    <m/>
  </r>
  <r>
    <s v="24/08/2024"/>
    <d v="1899-12-30T17:17:00"/>
    <s v="eggs"/>
    <n v="3"/>
    <n v="60"/>
    <n v="43"/>
    <n v="17"/>
    <s v="Mpesa"/>
    <x v="2"/>
    <m/>
    <m/>
    <m/>
  </r>
  <r>
    <s v="24/08/2024"/>
    <d v="1899-12-30T17:17:00"/>
    <s v="Carrier bag small"/>
    <n v="1"/>
    <n v="10"/>
    <n v="3"/>
    <n v="7"/>
    <s v="Mpesa"/>
    <x v="2"/>
    <m/>
    <m/>
    <m/>
  </r>
  <r>
    <s v="24/08/2024"/>
    <d v="1899-12-30T18:01:00"/>
    <s v="Indomie beef"/>
    <n v="2"/>
    <n v="100"/>
    <n v="76"/>
    <n v="24"/>
    <s v="Mpesa"/>
    <x v="2"/>
    <m/>
    <m/>
    <m/>
  </r>
  <r>
    <s v="24/08/2024"/>
    <d v="1899-12-30T18:01:00"/>
    <s v="eggs"/>
    <n v="7"/>
    <n v="140"/>
    <n v="100.33333333333334"/>
    <n v="39.666666666666657"/>
    <s v="Mpesa"/>
    <x v="2"/>
    <m/>
    <m/>
    <m/>
  </r>
  <r>
    <s v="24/08/2024"/>
    <d v="1899-12-30T18:01:00"/>
    <s v="Onion"/>
    <n v="3"/>
    <n v="30"/>
    <n v="24"/>
    <n v="6"/>
    <s v="Mpesa"/>
    <x v="2"/>
    <m/>
    <m/>
    <m/>
  </r>
  <r>
    <s v="24/08/2024"/>
    <d v="1899-12-30T18:01:00"/>
    <s v="Tomatoes"/>
    <n v="5"/>
    <n v="50"/>
    <n v="25"/>
    <n v="25"/>
    <s v="Mpesa"/>
    <x v="2"/>
    <m/>
    <m/>
    <m/>
  </r>
  <r>
    <s v="24/08/2024"/>
    <d v="1899-12-30T18:01:00"/>
    <s v="Royco cubes"/>
    <n v="4"/>
    <n v="20"/>
    <n v="12"/>
    <n v="8"/>
    <s v="Mpesa"/>
    <x v="2"/>
    <m/>
    <m/>
    <m/>
  </r>
  <r>
    <s v="24/08/2024"/>
    <d v="1899-12-30T18:01:00"/>
    <s v="Sugar 1/2 kg"/>
    <n v="1"/>
    <n v="90"/>
    <n v="60"/>
    <n v="30"/>
    <s v="Mpesa"/>
    <x v="2"/>
    <m/>
    <m/>
    <m/>
  </r>
  <r>
    <s v="24/08/2024"/>
    <d v="1899-12-30T18:01:00"/>
    <s v="Toss 100g"/>
    <n v="1"/>
    <n v="60"/>
    <n v="36.666666666666664"/>
    <n v="23.333333333333336"/>
    <s v="Mpesa"/>
    <x v="2"/>
    <m/>
    <m/>
    <m/>
  </r>
  <r>
    <s v="24/08/2024"/>
    <d v="1899-12-30T18:02:00"/>
    <s v="Safari"/>
    <n v="1"/>
    <n v="15"/>
    <n v="8.5"/>
    <n v="6.5"/>
    <s v="Cash"/>
    <x v="2"/>
    <m/>
    <m/>
    <m/>
  </r>
  <r>
    <s v="24/08/2024"/>
    <d v="1899-12-30T19:05:00"/>
    <s v="Pishori rice"/>
    <n v="0.5"/>
    <n v="110"/>
    <n v="90"/>
    <n v="20"/>
    <s v="Mpesa"/>
    <x v="2"/>
    <m/>
    <m/>
    <m/>
  </r>
  <r>
    <s v="24/08/2024"/>
    <d v="1899-12-30T19:05:00"/>
    <s v="Ndengu"/>
    <n v="0.25"/>
    <n v="40"/>
    <n v="30"/>
    <n v="10"/>
    <s v="Mpesa"/>
    <x v="2"/>
    <m/>
    <m/>
    <m/>
  </r>
  <r>
    <s v="24/08/2024"/>
    <d v="1899-12-30T19:10:00"/>
    <s v="Panadol Extra"/>
    <n v="2"/>
    <n v="40"/>
    <n v="26"/>
    <n v="14"/>
    <s v="Credit"/>
    <x v="41"/>
    <m/>
    <m/>
    <m/>
  </r>
  <r>
    <s v="24/08/2024"/>
    <d v="1899-12-30T19:10:00"/>
    <s v="Royco cubes"/>
    <n v="4"/>
    <n v="20"/>
    <n v="12"/>
    <n v="8"/>
    <s v="Credit"/>
    <x v="41"/>
    <m/>
    <m/>
    <m/>
  </r>
  <r>
    <s v="24/08/2024"/>
    <d v="1899-12-30T19:23:00"/>
    <s v="Pishori rice"/>
    <n v="1"/>
    <n v="220"/>
    <n v="180"/>
    <n v="40"/>
    <s v="Cash"/>
    <x v="2"/>
    <m/>
    <m/>
    <m/>
  </r>
  <r>
    <s v="24/08/2024"/>
    <d v="1899-12-30T19:23:00"/>
    <s v="Safaricom 50 Credit"/>
    <n v="1"/>
    <n v="50"/>
    <n v="47"/>
    <n v="3"/>
    <s v="Cash"/>
    <x v="2"/>
    <m/>
    <m/>
    <m/>
  </r>
  <r>
    <s v="24/08/2024"/>
    <d v="1899-12-30T19:24:00"/>
    <s v="Patco"/>
    <n v="6"/>
    <n v="15"/>
    <n v="7.1999999999999993"/>
    <n v="7.8000000000000007"/>
    <s v="Credit"/>
    <x v="20"/>
    <m/>
    <m/>
    <m/>
  </r>
  <r>
    <s v="24/08/2024"/>
    <d v="1899-12-30T19:26:00"/>
    <s v="kabras sugar 1kg"/>
    <n v="1"/>
    <n v="180"/>
    <n v="140"/>
    <n v="40"/>
    <s v="Mpesa"/>
    <x v="2"/>
    <m/>
    <m/>
    <m/>
  </r>
  <r>
    <s v="24/08/2024"/>
    <d v="1899-12-30T19:26:00"/>
    <s v="Safari"/>
    <n v="1"/>
    <n v="15"/>
    <n v="8.5"/>
    <n v="6.5"/>
    <s v="Cash"/>
    <x v="2"/>
    <m/>
    <m/>
    <m/>
  </r>
  <r>
    <s v="24/08/2024"/>
    <d v="1899-12-30T19:27:00"/>
    <s v="Drinking Chocolate 20g"/>
    <n v="1"/>
    <n v="20"/>
    <n v="10.416666666666666"/>
    <n v="9.5833333333333339"/>
    <s v="Credit"/>
    <x v="11"/>
    <m/>
    <m/>
    <m/>
  </r>
  <r>
    <s v="24/08/2024"/>
    <d v="1899-12-30T19:27:00"/>
    <s v="eggs"/>
    <n v="1"/>
    <n v="20"/>
    <n v="14.333333333333334"/>
    <n v="5.6666666666666661"/>
    <s v="Credit"/>
    <x v="2"/>
    <m/>
    <m/>
    <m/>
  </r>
  <r>
    <s v="24/08/2024"/>
    <d v="1899-12-30T19:38:00"/>
    <s v="Safari"/>
    <n v="1"/>
    <n v="15"/>
    <n v="8.5"/>
    <n v="6.5"/>
    <s v="Mpesa"/>
    <x v="2"/>
    <m/>
    <m/>
    <m/>
  </r>
  <r>
    <s v="24/08/2024"/>
    <d v="1899-12-30T19:48:00"/>
    <s v="Patco"/>
    <n v="8"/>
    <n v="20"/>
    <n v="9.6"/>
    <n v="10.4"/>
    <s v="Mpesa"/>
    <x v="2"/>
    <m/>
    <m/>
    <m/>
  </r>
  <r>
    <s v="24/08/2024"/>
    <d v="1899-12-30T19:58:00"/>
    <s v="Ringoz Barbeque"/>
    <n v="4"/>
    <n v="60"/>
    <n v="34.4"/>
    <n v="25.6"/>
    <s v="Mpesa"/>
    <x v="2"/>
    <m/>
    <m/>
    <m/>
  </r>
  <r>
    <s v="24/08/2024"/>
    <d v="1899-12-30T19:58:00"/>
    <s v="Bigboss"/>
    <n v="4"/>
    <n v="20"/>
    <n v="14"/>
    <n v="6"/>
    <s v="Mpesa"/>
    <x v="2"/>
    <m/>
    <m/>
    <m/>
  </r>
  <r>
    <s v="24/08/2024"/>
    <d v="1899-12-30T19:51:00"/>
    <s v="Mt kenya milk 500ml"/>
    <n v="1"/>
    <n v="65"/>
    <n v="48.333333333333336"/>
    <n v="16.666666666666664"/>
    <s v="Cash"/>
    <x v="2"/>
    <m/>
    <m/>
    <m/>
  </r>
  <r>
    <s v="24/08/2024"/>
    <d v="1899-12-30T19:51:00"/>
    <s v="Scones"/>
    <n v="2"/>
    <n v="20"/>
    <n v="16.666666666666668"/>
    <n v="3.3333333333333321"/>
    <s v="Cash"/>
    <x v="2"/>
    <m/>
    <m/>
    <m/>
  </r>
  <r>
    <s v="24/08/2024"/>
    <d v="1899-12-30T20:19:00"/>
    <s v="Royco cubes"/>
    <n v="2"/>
    <n v="10"/>
    <n v="6"/>
    <n v="4"/>
    <s v="Credit"/>
    <x v="1"/>
    <m/>
    <m/>
    <m/>
  </r>
  <r>
    <s v="24/08/2024"/>
    <d v="1899-12-30T20:19:00"/>
    <s v="Zycet (cetrizine)"/>
    <n v="1"/>
    <n v="15"/>
    <n v="8"/>
    <n v="7"/>
    <s v="Credit"/>
    <x v="2"/>
    <m/>
    <m/>
    <m/>
  </r>
  <r>
    <s v="24/08/2024"/>
    <d v="1899-12-30T20:19:00"/>
    <s v="Lemon Bisquit"/>
    <n v="1"/>
    <n v="5"/>
    <n v="4.333333333333333"/>
    <n v="0.66666666666666696"/>
    <s v="Credit"/>
    <x v="2"/>
    <m/>
    <m/>
    <m/>
  </r>
  <r>
    <s v="24/08/2024"/>
    <d v="1899-12-30T20:20:00"/>
    <s v="Bigdaddy"/>
    <n v="2"/>
    <n v="20"/>
    <n v="12"/>
    <n v="8"/>
    <s v="Cash"/>
    <x v="4"/>
    <s v="Shariffa"/>
    <n v="75"/>
    <s v="Mpesa"/>
  </r>
  <r>
    <s v="24/08/2024"/>
    <d v="1899-12-30T20:50:00"/>
    <s v="kensalt 500g"/>
    <n v="1"/>
    <n v="25"/>
    <n v="14"/>
    <n v="11"/>
    <s v="Mpesa"/>
    <x v="2"/>
    <m/>
    <m/>
    <m/>
  </r>
  <r>
    <s v="24/08/2024"/>
    <d v="1899-12-30T20:06:00"/>
    <s v="kinangop 500g youghurt"/>
    <n v="1"/>
    <n v="120"/>
    <n v="92.5"/>
    <n v="27.5"/>
    <s v="Mpesa"/>
    <x v="2"/>
    <m/>
    <m/>
    <m/>
  </r>
  <r>
    <s v="24/08/2024"/>
    <d v="1899-12-30T20:06:00"/>
    <s v="Nuvita Bisquit"/>
    <n v="6"/>
    <n v="30"/>
    <n v="25"/>
    <n v="5"/>
    <s v="Mpesa"/>
    <x v="2"/>
    <m/>
    <m/>
    <m/>
  </r>
  <r>
    <s v="24/08/2024"/>
    <d v="1899-12-30T20:06:00"/>
    <s v="Baloon"/>
    <n v="1"/>
    <n v="10"/>
    <n v="6"/>
    <n v="4"/>
    <s v="Mpesa"/>
    <x v="2"/>
    <m/>
    <m/>
    <m/>
  </r>
  <r>
    <s v="24/08/2024"/>
    <d v="1899-12-30T20:07:00"/>
    <s v="Lemon Bisquit"/>
    <n v="4"/>
    <n v="20"/>
    <n v="17.333333333333332"/>
    <n v="2.6666666666666679"/>
    <s v="Cash"/>
    <x v="2"/>
    <m/>
    <m/>
    <m/>
  </r>
  <r>
    <s v="24/08/2024"/>
    <d v="1899-12-30T20:50:00"/>
    <s v="Kienyeji  Eggs"/>
    <n v="2"/>
    <n v="60"/>
    <n v="40"/>
    <n v="20"/>
    <s v="Credit"/>
    <x v="16"/>
    <m/>
    <m/>
    <m/>
  </r>
  <r>
    <s v="24/08/2024"/>
    <d v="1899-12-30T20:50:00"/>
    <s v="Tomatoes"/>
    <n v="1"/>
    <n v="10"/>
    <n v="5"/>
    <n v="5"/>
    <s v="Credit"/>
    <x v="2"/>
    <m/>
    <m/>
    <m/>
  </r>
  <r>
    <s v="24/08/2024"/>
    <d v="1899-12-30T20:50:00"/>
    <s v="Onion"/>
    <n v="1"/>
    <n v="10"/>
    <n v="8"/>
    <n v="2"/>
    <s v="Credit"/>
    <x v="2"/>
    <m/>
    <m/>
    <m/>
  </r>
  <r>
    <s v="25/08/2024"/>
    <d v="1899-12-30T07:50:00"/>
    <s v="BB Bread 400g"/>
    <n v="1"/>
    <n v="65"/>
    <n v="60"/>
    <n v="5"/>
    <s v="Credit"/>
    <x v="8"/>
    <m/>
    <m/>
    <m/>
  </r>
  <r>
    <s v="25/08/2024"/>
    <d v="1899-12-30T08:20:00"/>
    <s v="Festive Bread 400g"/>
    <n v="1"/>
    <n v="65"/>
    <n v="60"/>
    <n v="5"/>
    <s v="Mpesa"/>
    <x v="2"/>
    <m/>
    <m/>
    <m/>
  </r>
  <r>
    <s v="25/08/2024"/>
    <d v="1899-12-30T08:20:00"/>
    <s v="Mt kenya milk 500ml"/>
    <n v="1"/>
    <n v="65"/>
    <n v="48.333333333333336"/>
    <n v="16.666666666666664"/>
    <s v="Mpesa"/>
    <x v="2"/>
    <m/>
    <m/>
    <m/>
  </r>
  <r>
    <s v="25/08/2024"/>
    <d v="1899-12-30T08:30:00"/>
    <s v="BB Bread 400g"/>
    <n v="1"/>
    <n v="65"/>
    <n v="60"/>
    <n v="5"/>
    <s v="Cash"/>
    <x v="2"/>
    <m/>
    <m/>
    <m/>
  </r>
  <r>
    <s v="25/08/2024"/>
    <d v="1899-12-30T08:30:00"/>
    <s v="Festive Bread 400g"/>
    <n v="1"/>
    <n v="65"/>
    <n v="60"/>
    <n v="5"/>
    <s v="Cash"/>
    <x v="2"/>
    <m/>
    <m/>
    <m/>
  </r>
  <r>
    <s v="25/08/2024"/>
    <d v="1899-12-30T08:56:00"/>
    <s v="omo 20g"/>
    <n v="1"/>
    <n v="15"/>
    <n v="9.1666666666666661"/>
    <n v="5.8333333333333339"/>
    <s v="Credit"/>
    <x v="9"/>
    <m/>
    <m/>
    <m/>
  </r>
  <r>
    <s v="25/08/2024"/>
    <d v="1899-12-30T08:56:00"/>
    <s v="Safari"/>
    <n v="2"/>
    <n v="30"/>
    <n v="17"/>
    <n v="13"/>
    <s v="Credit"/>
    <x v="9"/>
    <m/>
    <m/>
    <m/>
  </r>
  <r>
    <s v="25/08/2024"/>
    <d v="1899-12-30T09:00:00"/>
    <s v="Colgate Herbal 70g"/>
    <n v="1"/>
    <n v="160"/>
    <n v="133.33333333333334"/>
    <n v="26.666666666666657"/>
    <s v="Credit"/>
    <x v="16"/>
    <m/>
    <m/>
    <m/>
  </r>
  <r>
    <s v="25/08/2024"/>
    <d v="1899-12-30T09:00:00"/>
    <s v="Indomie beef"/>
    <n v="1"/>
    <n v="50"/>
    <n v="38"/>
    <n v="12"/>
    <s v="Credit"/>
    <x v="16"/>
    <m/>
    <m/>
    <m/>
  </r>
  <r>
    <s v="25/08/2024"/>
    <d v="1899-12-30T09:00:00"/>
    <s v="AVC Led bulb"/>
    <n v="1"/>
    <n v="100"/>
    <n v="69"/>
    <n v="31"/>
    <s v="Credit"/>
    <x v="16"/>
    <m/>
    <m/>
    <m/>
  </r>
  <r>
    <s v="25/08/2024"/>
    <d v="1899-12-30T09:00:00"/>
    <s v="Festive Bread 400g"/>
    <n v="1"/>
    <n v="65"/>
    <n v="60"/>
    <n v="5"/>
    <s v="Credit"/>
    <x v="31"/>
    <m/>
    <m/>
    <m/>
  </r>
  <r>
    <s v="25/08/2024"/>
    <d v="1899-12-30T09:04:00"/>
    <s v="Kdf"/>
    <n v="1"/>
    <n v="10"/>
    <n v="8.3333333333333339"/>
    <n v="1.6666666666666661"/>
    <s v="Mpesa"/>
    <x v="2"/>
    <m/>
    <m/>
    <m/>
  </r>
  <r>
    <s v="25/08/2024"/>
    <d v="1899-12-30T09:11:00"/>
    <s v="Festive 600g"/>
    <n v="1"/>
    <n v="100"/>
    <n v="90"/>
    <n v="10"/>
    <s v="Mpesa"/>
    <x v="2"/>
    <m/>
    <m/>
    <m/>
  </r>
  <r>
    <s v="25/08/2024"/>
    <d v="1899-12-30T09:11:00"/>
    <s v="Patco"/>
    <n v="8"/>
    <n v="20"/>
    <n v="9.6"/>
    <n v="10.4"/>
    <s v="Mpesa"/>
    <x v="2"/>
    <m/>
    <m/>
    <m/>
  </r>
  <r>
    <s v="25/08/2024"/>
    <d v="1899-12-30T09:11:00"/>
    <s v="Tropical"/>
    <n v="1"/>
    <n v="5"/>
    <n v="1.5"/>
    <n v="3.5"/>
    <s v="Mpesa"/>
    <x v="2"/>
    <m/>
    <m/>
    <m/>
  </r>
  <r>
    <s v="25/08/2024"/>
    <d v="1899-12-30T09:18:00"/>
    <s v="Festive 600g"/>
    <n v="1"/>
    <n v="100"/>
    <n v="90"/>
    <n v="10"/>
    <s v="Mpesa"/>
    <x v="2"/>
    <m/>
    <m/>
    <m/>
  </r>
  <r>
    <s v="25/08/2024"/>
    <d v="1899-12-30T09:18:00"/>
    <s v="Mt kenya milk 500ml"/>
    <n v="1"/>
    <n v="65"/>
    <n v="48.333333333333336"/>
    <n v="16.666666666666664"/>
    <s v="Mpesa"/>
    <x v="2"/>
    <m/>
    <m/>
    <m/>
  </r>
  <r>
    <s v="25/08/2024"/>
    <d v="1899-12-30T09:18:00"/>
    <s v="Mt kenya milk 500ml"/>
    <n v="2"/>
    <n v="130"/>
    <n v="96.666666666666671"/>
    <n v="33.333333333333329"/>
    <s v="Mpesa"/>
    <x v="2"/>
    <m/>
    <m/>
    <m/>
  </r>
  <r>
    <s v="25/08/2024"/>
    <d v="1899-12-30T09:18:00"/>
    <s v="Crown Gold Milk 500ml"/>
    <n v="1"/>
    <n v="65"/>
    <n v="54.166666666666664"/>
    <n v="10.833333333333336"/>
    <s v="Mpesa"/>
    <x v="2"/>
    <m/>
    <n v="120"/>
    <s v="Cash"/>
  </r>
  <r>
    <s v="25/08/2024"/>
    <d v="1899-12-30T09:50:00"/>
    <s v="Safari"/>
    <n v="2"/>
    <n v="30"/>
    <n v="17"/>
    <n v="13"/>
    <s v="Mpesa"/>
    <x v="2"/>
    <m/>
    <m/>
    <m/>
  </r>
  <r>
    <s v="25/08/2024"/>
    <d v="1899-12-30T09:50:00"/>
    <s v="BB Bread 400g"/>
    <n v="1"/>
    <n v="65"/>
    <n v="60"/>
    <n v="5"/>
    <s v="Cash"/>
    <x v="2"/>
    <m/>
    <m/>
    <m/>
  </r>
  <r>
    <s v="25/08/2024"/>
    <d v="1899-12-30T09:50:00"/>
    <s v="BB Bread 400g"/>
    <n v="1"/>
    <n v="65"/>
    <n v="60"/>
    <n v="5"/>
    <s v="Mpesa"/>
    <x v="2"/>
    <m/>
    <m/>
    <m/>
  </r>
  <r>
    <s v="25/08/2024"/>
    <d v="1899-12-30T09:50:00"/>
    <s v="Crown Gold Milk 500ml"/>
    <n v="1"/>
    <n v="65"/>
    <n v="54.166666666666664"/>
    <n v="10.833333333333336"/>
    <s v="Mpesa"/>
    <x v="2"/>
    <m/>
    <m/>
    <m/>
  </r>
  <r>
    <s v="25/08/2024"/>
    <d v="1899-12-30T09:50:00"/>
    <s v="Banana"/>
    <n v="1"/>
    <n v="10"/>
    <n v="8.3333333333333339"/>
    <n v="1.6666666666666661"/>
    <s v="Mpesa"/>
    <x v="2"/>
    <m/>
    <m/>
    <m/>
  </r>
  <r>
    <s v="25/08/2024"/>
    <d v="1899-12-30T09:50:00"/>
    <s v="BB Bread 400g"/>
    <n v="1"/>
    <n v="65"/>
    <n v="60"/>
    <n v="5"/>
    <s v="Credit"/>
    <x v="1"/>
    <m/>
    <m/>
    <m/>
  </r>
  <r>
    <s v="25/08/2024"/>
    <d v="1899-12-30T09:50:00"/>
    <s v="Airtel 50 Credit"/>
    <n v="1"/>
    <n v="50"/>
    <n v="47"/>
    <n v="3"/>
    <s v="Credit"/>
    <x v="3"/>
    <m/>
    <m/>
    <m/>
  </r>
  <r>
    <s v="25/08/2024"/>
    <d v="1899-12-30T10:19:00"/>
    <s v="Festive 800g"/>
    <n v="1"/>
    <n v="130"/>
    <n v="120"/>
    <n v="10"/>
    <s v="Credit"/>
    <x v="29"/>
    <s v="Zueda"/>
    <n v="160"/>
    <s v="Mpesa"/>
  </r>
  <r>
    <s v="25/08/2024"/>
    <d v="1899-12-30T10:19:00"/>
    <s v="Kdf"/>
    <n v="6"/>
    <n v="60"/>
    <n v="50"/>
    <n v="10"/>
    <s v="Credit"/>
    <x v="2"/>
    <m/>
    <m/>
    <m/>
  </r>
  <r>
    <s v="25/08/2024"/>
    <d v="1899-12-30T10:50:00"/>
    <s v="Menengai Bar 1kg"/>
    <n v="0.2"/>
    <n v="50"/>
    <n v="38"/>
    <n v="12"/>
    <s v="Cash"/>
    <x v="2"/>
    <m/>
    <m/>
    <m/>
  </r>
  <r>
    <s v="25/08/2024"/>
    <d v="1899-12-30T11:20:00"/>
    <s v="Bella Tissue"/>
    <n v="2"/>
    <n v="100"/>
    <n v="70"/>
    <n v="30"/>
    <s v="Mpesa"/>
    <x v="2"/>
    <s v="Zueda"/>
    <n v="130"/>
    <s v="Mpesa"/>
  </r>
  <r>
    <s v="25/08/2024"/>
    <d v="1899-12-30T12:14:00"/>
    <s v="kensalt 1kg"/>
    <n v="1"/>
    <n v="50"/>
    <n v="35"/>
    <n v="15"/>
    <s v="Cash"/>
    <x v="2"/>
    <m/>
    <m/>
    <m/>
  </r>
  <r>
    <s v="25/08/2024"/>
    <d v="1899-12-30T13:26:00"/>
    <s v="Ginger Bisquit"/>
    <n v="1"/>
    <n v="5"/>
    <n v="4.333333333333333"/>
    <n v="0.66666666666666696"/>
    <s v="Cash"/>
    <x v="2"/>
    <m/>
    <m/>
    <m/>
  </r>
  <r>
    <s v="25/08/2024"/>
    <d v="1899-12-30T14:10:00"/>
    <s v="Safari"/>
    <n v="3"/>
    <n v="45"/>
    <n v="25.5"/>
    <n v="19.5"/>
    <s v="Credit"/>
    <x v="9"/>
    <m/>
    <m/>
    <m/>
  </r>
  <r>
    <s v="25/08/2024"/>
    <d v="1899-12-30T14:10:00"/>
    <s v="Brookside Lala Sweetened"/>
    <n v="1"/>
    <n v="110"/>
    <n v="93"/>
    <n v="17"/>
    <s v="Credit"/>
    <x v="2"/>
    <m/>
    <m/>
    <m/>
  </r>
  <r>
    <s v="25/08/2024"/>
    <d v="1899-12-30T14:10:00"/>
    <s v="Scones"/>
    <n v="4"/>
    <n v="40"/>
    <n v="33.333333333333336"/>
    <n v="6.6666666666666643"/>
    <s v="Credit"/>
    <x v="2"/>
    <m/>
    <m/>
    <m/>
  </r>
  <r>
    <s v="25/08/2024"/>
    <d v="1899-12-30T14:42:00"/>
    <s v="Bella Tissue"/>
    <n v="1"/>
    <n v="50"/>
    <n v="35"/>
    <n v="15"/>
    <s v="Cash"/>
    <x v="2"/>
    <m/>
    <m/>
    <m/>
  </r>
  <r>
    <s v="25/08/2024"/>
    <d v="1899-12-30T14:42:00"/>
    <s v="predator"/>
    <n v="1"/>
    <n v="70"/>
    <n v="54.166666666666664"/>
    <n v="15.833333333333336"/>
    <s v="Cash"/>
    <x v="2"/>
    <m/>
    <m/>
    <m/>
  </r>
  <r>
    <s v="25/08/2024"/>
    <d v="1899-12-30T15:27:00"/>
    <s v="Safari"/>
    <n v="2"/>
    <n v="30"/>
    <n v="17"/>
    <n v="13"/>
    <s v="Cash"/>
    <x v="2"/>
    <m/>
    <m/>
    <m/>
  </r>
  <r>
    <s v="25/08/2024"/>
    <d v="1899-12-30T15:36:00"/>
    <s v="soda 500ml glass"/>
    <n v="1"/>
    <n v="55"/>
    <n v="50"/>
    <n v="5"/>
    <s v="Cash"/>
    <x v="2"/>
    <m/>
    <m/>
    <m/>
  </r>
  <r>
    <s v="25/08/2024"/>
    <d v="1899-12-30T15:38:00"/>
    <s v="Indomie chicken"/>
    <n v="2"/>
    <n v="100"/>
    <n v="75"/>
    <n v="25"/>
    <s v="Mpesa"/>
    <x v="2"/>
    <m/>
    <m/>
    <m/>
  </r>
  <r>
    <s v="25/08/2024"/>
    <d v="1899-12-30T15:38:00"/>
    <s v="Kdf"/>
    <n v="5"/>
    <n v="50"/>
    <n v="41.666666666666671"/>
    <n v="8.3333333333333286"/>
    <s v="Mpesa"/>
    <x v="2"/>
    <m/>
    <m/>
    <m/>
  </r>
  <r>
    <s v="25/08/2024"/>
    <d v="1899-12-30T15:38:00"/>
    <s v="Kdf"/>
    <n v="5"/>
    <n v="50"/>
    <n v="41.666666666666671"/>
    <n v="8.3333333333333286"/>
    <s v="Mpesa"/>
    <x v="2"/>
    <m/>
    <m/>
    <m/>
  </r>
  <r>
    <s v="25/08/2024"/>
    <d v="1899-12-30T15:51:00"/>
    <s v="Nuvita Bisquit"/>
    <n v="1"/>
    <n v="5"/>
    <n v="4.166666666666667"/>
    <n v="0.83333333333333304"/>
    <s v="Cash"/>
    <x v="2"/>
    <m/>
    <m/>
    <m/>
  </r>
  <r>
    <s v="25/08/2024"/>
    <d v="1899-12-30T15:51:00"/>
    <s v="Ginger Bisquit"/>
    <n v="1"/>
    <n v="5"/>
    <n v="4.333333333333333"/>
    <n v="0.66666666666666696"/>
    <s v="Cash"/>
    <x v="2"/>
    <m/>
    <m/>
    <m/>
  </r>
  <r>
    <s v="25/08/2024"/>
    <d v="1899-12-30T16:00:00"/>
    <s v="Carrier bag small"/>
    <n v="1"/>
    <n v="10"/>
    <n v="3"/>
    <n v="7"/>
    <s v="Mpesa"/>
    <x v="2"/>
    <m/>
    <m/>
    <m/>
  </r>
  <r>
    <s v="25/08/2024"/>
    <d v="1899-12-30T16:00:00"/>
    <s v="Ringoz Barbeque"/>
    <n v="2"/>
    <n v="30"/>
    <n v="17.2"/>
    <n v="12.8"/>
    <s v="Mpesa"/>
    <x v="2"/>
    <m/>
    <m/>
    <m/>
  </r>
  <r>
    <s v="25/08/2024"/>
    <d v="1899-12-30T16:00:00"/>
    <s v="Tamu  Tamu Green"/>
    <n v="2"/>
    <n v="30"/>
    <n v="17.2"/>
    <n v="12.8"/>
    <s v="Mpesa"/>
    <x v="2"/>
    <m/>
    <m/>
    <m/>
  </r>
  <r>
    <s v="25/08/2024"/>
    <d v="1899-12-30T16:00:00"/>
    <s v="predator"/>
    <n v="1"/>
    <n v="70"/>
    <n v="54.166666666666664"/>
    <n v="15.833333333333336"/>
    <s v="Mpesa"/>
    <x v="2"/>
    <m/>
    <m/>
    <m/>
  </r>
  <r>
    <s v="25/08/2024"/>
    <d v="1899-12-30T16:00:00"/>
    <s v="soda 500ml plastic"/>
    <n v="1"/>
    <n v="70"/>
    <n v="60.416666666666664"/>
    <n v="9.5833333333333357"/>
    <s v="Mpesa"/>
    <x v="2"/>
    <m/>
    <m/>
    <m/>
  </r>
  <r>
    <s v="25/08/2024"/>
    <d v="1899-12-30T16:00:00"/>
    <s v="Glucose 50g"/>
    <n v="1"/>
    <n v="30"/>
    <n v="15.833333333333334"/>
    <n v="14.166666666666666"/>
    <s v="Mpesa"/>
    <x v="2"/>
    <m/>
    <m/>
    <m/>
  </r>
  <r>
    <s v="25/08/2024"/>
    <d v="1899-12-30T16:00:00"/>
    <s v="T.Heat Potato crisps salted 25g"/>
    <n v="1"/>
    <n v="30"/>
    <n v="22.916666666666668"/>
    <n v="7.0833333333333321"/>
    <s v="Mpesa"/>
    <x v="2"/>
    <m/>
    <m/>
    <m/>
  </r>
  <r>
    <s v="25/08/2024"/>
    <d v="1899-12-30T16:19:00"/>
    <s v="Ringoz Paprika"/>
    <n v="2"/>
    <n v="30"/>
    <n v="17.600000000000001"/>
    <n v="12.399999999999999"/>
    <s v="Mpesa"/>
    <x v="2"/>
    <m/>
    <m/>
    <m/>
  </r>
  <r>
    <s v="25/08/2024"/>
    <d v="1899-12-30T16:40:00"/>
    <s v="Bigdaddy"/>
    <n v="3"/>
    <n v="30"/>
    <n v="18"/>
    <n v="12"/>
    <s v="Mpesa"/>
    <x v="2"/>
    <m/>
    <m/>
    <m/>
  </r>
  <r>
    <s v="25/08/2024"/>
    <d v="1899-12-30T16:49:00"/>
    <s v="Nuvita Bisquit"/>
    <n v="2"/>
    <n v="10"/>
    <n v="8.3333333333333339"/>
    <n v="1.6666666666666661"/>
    <s v="Cash"/>
    <x v="2"/>
    <m/>
    <m/>
    <m/>
  </r>
  <r>
    <s v="25/08/2024"/>
    <d v="1899-12-30T16:49:00"/>
    <s v="Ginger Bisquit"/>
    <n v="2"/>
    <n v="10"/>
    <n v="8.6666666666666661"/>
    <n v="1.3333333333333339"/>
    <s v="Cash"/>
    <x v="2"/>
    <m/>
    <m/>
    <m/>
  </r>
  <r>
    <s v="25/08/2024"/>
    <d v="1899-12-30T16:51:00"/>
    <s v="Menengai Bar 1kg"/>
    <n v="0.2"/>
    <n v="50"/>
    <n v="38"/>
    <n v="12"/>
    <s v="Cash"/>
    <x v="2"/>
    <m/>
    <m/>
    <m/>
  </r>
  <r>
    <s v="25/08/2024"/>
    <d v="1899-12-30T16:51:00"/>
    <s v="Safari"/>
    <n v="1"/>
    <n v="15"/>
    <n v="8.5"/>
    <n v="6.5"/>
    <s v="Cash"/>
    <x v="2"/>
    <m/>
    <m/>
    <m/>
  </r>
  <r>
    <s v="25/08/2024"/>
    <d v="1899-12-30T16:51:00"/>
    <s v="coo"/>
    <n v="2"/>
    <n v="5"/>
    <n v="2.4"/>
    <n v="2.6"/>
    <s v="Cash"/>
    <x v="2"/>
    <m/>
    <m/>
    <m/>
  </r>
  <r>
    <s v="25/08/2024"/>
    <d v="1899-12-30T16:54:00"/>
    <s v="eggs"/>
    <n v="2"/>
    <n v="40"/>
    <n v="28.666666666666668"/>
    <n v="11.333333333333332"/>
    <s v="Mpesa"/>
    <x v="2"/>
    <m/>
    <m/>
    <m/>
  </r>
  <r>
    <s v="25/08/2024"/>
    <d v="1899-12-30T16:54:00"/>
    <s v="Banana"/>
    <n v="2"/>
    <n v="20"/>
    <n v="16.666666666666668"/>
    <n v="3.3333333333333321"/>
    <s v="Mpesa"/>
    <x v="2"/>
    <m/>
    <m/>
    <m/>
  </r>
  <r>
    <s v="25/08/2024"/>
    <d v="1899-12-30T17:12:00"/>
    <s v="Icepop"/>
    <n v="1"/>
    <n v="15"/>
    <n v="7.5"/>
    <n v="7.5"/>
    <s v="Cash"/>
    <x v="2"/>
    <m/>
    <m/>
    <m/>
  </r>
  <r>
    <s v="25/08/2024"/>
    <d v="1899-12-30T17:12:00"/>
    <s v="Tropical"/>
    <n v="2"/>
    <n v="10"/>
    <n v="3"/>
    <n v="7"/>
    <s v="Cash"/>
    <x v="2"/>
    <m/>
    <m/>
    <m/>
  </r>
  <r>
    <s v="25/08/2024"/>
    <d v="1899-12-30T17:12:00"/>
    <s v="Tamu  Tamu Green"/>
    <n v="1"/>
    <n v="15"/>
    <n v="8.6"/>
    <n v="6.4"/>
    <s v="Cash"/>
    <x v="2"/>
    <m/>
    <m/>
    <m/>
  </r>
  <r>
    <s v="25/08/2024"/>
    <d v="1899-12-30T17:12:00"/>
    <s v="Glucose 10g"/>
    <n v="2"/>
    <n v="10"/>
    <n v="7.5"/>
    <n v="2.5"/>
    <s v="Cash"/>
    <x v="2"/>
    <m/>
    <m/>
    <m/>
  </r>
  <r>
    <s v="25/08/2024"/>
    <d v="1899-12-30T17:50:00"/>
    <s v="Glucose 10g"/>
    <m/>
    <n v="5"/>
    <n v="0"/>
    <n v="5"/>
    <s v="Cash"/>
    <x v="2"/>
    <m/>
    <m/>
    <m/>
  </r>
  <r>
    <s v="25/08/2024"/>
    <d v="1899-12-30T17:54:00"/>
    <s v="Icepop"/>
    <n v="1"/>
    <n v="15"/>
    <n v="7.5"/>
    <n v="7.5"/>
    <s v="Cash"/>
    <x v="2"/>
    <m/>
    <m/>
    <m/>
  </r>
  <r>
    <s v="25/08/2024"/>
    <d v="1899-12-30T17:54:00"/>
    <s v="T.Heat Potato crisps vinegar and salt 25g"/>
    <n v="1"/>
    <n v="30"/>
    <n v="22.916666666666668"/>
    <n v="7.0833333333333321"/>
    <s v="Cash"/>
    <x v="2"/>
    <m/>
    <m/>
    <m/>
  </r>
  <r>
    <s v="25/08/2024"/>
    <d v="1899-12-30T18:10:00"/>
    <s v="Fresh green"/>
    <n v="2"/>
    <n v="20"/>
    <n v="10"/>
    <n v="10"/>
    <s v="Cash"/>
    <x v="2"/>
    <m/>
    <m/>
    <m/>
  </r>
  <r>
    <s v="25/08/2024"/>
    <d v="1899-12-30T18:10:00"/>
    <s v="Bigdaddy"/>
    <n v="3"/>
    <n v="30"/>
    <n v="18"/>
    <n v="12"/>
    <s v="Cash"/>
    <x v="2"/>
    <m/>
    <m/>
    <m/>
  </r>
  <r>
    <s v="25/08/2024"/>
    <d v="1899-12-30T18:12:00"/>
    <s v="Onion"/>
    <n v="1"/>
    <n v="10"/>
    <n v="8"/>
    <n v="2"/>
    <s v="Mpesa"/>
    <x v="2"/>
    <m/>
    <m/>
    <m/>
  </r>
  <r>
    <s v="25/08/2024"/>
    <d v="1899-12-30T18:12:00"/>
    <s v="Cooking Oil Measured"/>
    <n v="0.5"/>
    <n v="140"/>
    <n v="100"/>
    <n v="40"/>
    <s v="Mpesa"/>
    <x v="2"/>
    <m/>
    <m/>
    <m/>
  </r>
  <r>
    <s v="25/08/2024"/>
    <d v="1899-12-30T18:12:00"/>
    <s v="Patco"/>
    <n v="2"/>
    <n v="5"/>
    <n v="2.4"/>
    <n v="2.6"/>
    <s v="Mpesa"/>
    <x v="2"/>
    <m/>
    <m/>
    <m/>
  </r>
  <r>
    <s v="25/08/2024"/>
    <d v="1899-12-30T18:30:00"/>
    <s v="Icepop"/>
    <n v="2"/>
    <n v="30"/>
    <n v="15"/>
    <n v="15"/>
    <s v="Cash"/>
    <x v="2"/>
    <m/>
    <m/>
    <m/>
  </r>
  <r>
    <s v="25/08/2024"/>
    <d v="1899-12-30T18:41:00"/>
    <s v="Ajab 2kg"/>
    <n v="1"/>
    <n v="220"/>
    <n v="175"/>
    <n v="45"/>
    <s v="Credit"/>
    <x v="7"/>
    <m/>
    <m/>
    <m/>
  </r>
  <r>
    <s v="25/08/2024"/>
    <d v="1899-12-30T18:44:00"/>
    <s v="Icepop"/>
    <n v="1"/>
    <n v="15"/>
    <n v="7.5"/>
    <n v="7.5"/>
    <s v="Cash"/>
    <x v="2"/>
    <m/>
    <m/>
    <m/>
  </r>
  <r>
    <s v="25/08/2024"/>
    <d v="1899-12-30T19:03:00"/>
    <s v="kabras sugar 1kg"/>
    <n v="1"/>
    <n v="180"/>
    <n v="140"/>
    <n v="40"/>
    <s v="Credit"/>
    <x v="7"/>
    <m/>
    <m/>
    <m/>
  </r>
  <r>
    <s v="25/08/2024"/>
    <d v="1899-12-30T19:03:00"/>
    <s v="Nuvita Bisquit"/>
    <n v="2"/>
    <n v="10"/>
    <n v="8.3333333333333339"/>
    <n v="1.6666666666666661"/>
    <s v="Cash"/>
    <x v="2"/>
    <m/>
    <m/>
    <m/>
  </r>
  <r>
    <s v="25/08/2024"/>
    <d v="1899-12-30T19:03:00"/>
    <s v="Lemon Bisquit"/>
    <n v="2"/>
    <n v="10"/>
    <n v="8.6666666666666661"/>
    <n v="1.3333333333333339"/>
    <s v="Cash"/>
    <x v="2"/>
    <m/>
    <m/>
    <m/>
  </r>
  <r>
    <s v="25/08/2024"/>
    <d v="1899-12-30T19:03:00"/>
    <s v="Ginger Bisquit"/>
    <n v="2"/>
    <n v="10"/>
    <n v="8.6666666666666661"/>
    <n v="1.3333333333333339"/>
    <s v="Cash"/>
    <x v="2"/>
    <m/>
    <m/>
    <m/>
  </r>
  <r>
    <s v="25/08/2024"/>
    <d v="1899-12-30T19:03:00"/>
    <s v="Bigdaddy"/>
    <n v="3"/>
    <n v="30"/>
    <n v="18"/>
    <n v="12"/>
    <s v="Cash"/>
    <x v="2"/>
    <m/>
    <m/>
    <m/>
  </r>
  <r>
    <s v="25/08/2024"/>
    <d v="1899-12-30T19:03:00"/>
    <s v="Brookside milk 500ml"/>
    <n v="5"/>
    <n v="350"/>
    <n v="295"/>
    <n v="55"/>
    <s v="Mpesa"/>
    <x v="2"/>
    <m/>
    <m/>
    <m/>
  </r>
  <r>
    <s v="25/08/2024"/>
    <d v="1899-12-30T19:03:00"/>
    <s v="Carrier bag big"/>
    <n v="1"/>
    <n v="20"/>
    <n v="5"/>
    <n v="15"/>
    <s v="Mpesa"/>
    <x v="2"/>
    <m/>
    <m/>
    <m/>
  </r>
  <r>
    <s v="25/08/2024"/>
    <d v="1899-12-30T19:03:00"/>
    <s v="predator"/>
    <n v="1"/>
    <n v="70"/>
    <n v="54.166666666666664"/>
    <n v="15.833333333333336"/>
    <s v="Mpesa"/>
    <x v="2"/>
    <m/>
    <m/>
    <m/>
  </r>
  <r>
    <s v="25/08/2024"/>
    <d v="1899-12-30T19:03:00"/>
    <s v="Icepop"/>
    <n v="3"/>
    <n v="45"/>
    <n v="22.5"/>
    <n v="22.5"/>
    <s v="Mpesa"/>
    <x v="2"/>
    <m/>
    <m/>
    <m/>
  </r>
  <r>
    <s v="25/08/2024"/>
    <d v="1899-12-30T19:23:00"/>
    <s v="minutemaid 400ml"/>
    <n v="1"/>
    <n v="85"/>
    <n v="62.5"/>
    <n v="22.5"/>
    <s v="Mpesa"/>
    <x v="2"/>
    <m/>
    <m/>
    <m/>
  </r>
  <r>
    <s v="25/08/2024"/>
    <d v="1899-12-30T19:23:00"/>
    <s v="mosquito stick"/>
    <n v="2"/>
    <n v="20"/>
    <n v="18"/>
    <n v="2"/>
    <s v="Mpesa"/>
    <x v="2"/>
    <m/>
    <m/>
    <m/>
  </r>
  <r>
    <s v="25/08/2024"/>
    <d v="1899-12-30T19:46:00"/>
    <s v="Ginger"/>
    <n v="1"/>
    <n v="20"/>
    <n v="10"/>
    <n v="10"/>
    <s v="Mpesa"/>
    <x v="2"/>
    <m/>
    <m/>
    <m/>
  </r>
  <r>
    <s v="25/08/2024"/>
    <d v="1899-12-30T19:53:00"/>
    <s v="Safari"/>
    <n v="2"/>
    <n v="30"/>
    <n v="17"/>
    <n v="13"/>
    <s v="Mpesa"/>
    <x v="2"/>
    <m/>
    <m/>
    <m/>
  </r>
  <r>
    <s v="25/08/2024"/>
    <d v="1899-12-30T20:22:00"/>
    <s v="Safari"/>
    <n v="3"/>
    <n v="45"/>
    <n v="25.5"/>
    <n v="19.5"/>
    <s v="Cash"/>
    <x v="2"/>
    <m/>
    <m/>
    <m/>
  </r>
  <r>
    <s v="25/08/2024"/>
    <d v="1899-12-30T20:15:00"/>
    <s v="5ltrs water"/>
    <n v="1"/>
    <n v="120"/>
    <n v="75"/>
    <n v="45"/>
    <s v="Cash"/>
    <x v="2"/>
    <m/>
    <m/>
    <m/>
  </r>
  <r>
    <s v="25/08/2024"/>
    <d v="1899-12-30T20:34:00"/>
    <s v="Sugar 1/2 kg"/>
    <n v="1"/>
    <n v="90"/>
    <n v="60"/>
    <n v="30"/>
    <s v="Cash"/>
    <x v="2"/>
    <m/>
    <m/>
    <m/>
  </r>
  <r>
    <s v="25/08/2024"/>
    <d v="1899-12-30T20:34:00"/>
    <s v="Bigdaddy"/>
    <n v="1"/>
    <n v="10"/>
    <n v="6"/>
    <n v="4"/>
    <s v="Cash"/>
    <x v="2"/>
    <m/>
    <m/>
    <m/>
  </r>
  <r>
    <s v="25/08/2024"/>
    <d v="1899-12-30T21:00:00"/>
    <s v="Whitewash "/>
    <n v="1"/>
    <n v="50"/>
    <n v="33.75"/>
    <n v="16.25"/>
    <s v="Mpesa"/>
    <x v="2"/>
    <m/>
    <m/>
    <m/>
  </r>
  <r>
    <s v="25/08/2024"/>
    <d v="1899-12-30T21:00:00"/>
    <s v="Fresh green"/>
    <n v="1"/>
    <n v="10"/>
    <n v="5"/>
    <n v="5"/>
    <s v="Mpesa"/>
    <x v="2"/>
    <m/>
    <m/>
    <m/>
  </r>
  <r>
    <s v="25/08/2024"/>
    <d v="1899-12-30T21:00:00"/>
    <s v="Brookside milk 500ml"/>
    <n v="1"/>
    <n v="70"/>
    <n v="59"/>
    <n v="11"/>
    <s v="Credit"/>
    <x v="43"/>
    <m/>
    <m/>
    <m/>
  </r>
  <r>
    <s v="25/08/2024"/>
    <d v="1899-12-30T21:00:00"/>
    <s v="Ngumu"/>
    <n v="3"/>
    <n v="30"/>
    <n v="25"/>
    <n v="5"/>
    <s v="Credit"/>
    <x v="16"/>
    <m/>
    <m/>
    <m/>
  </r>
  <r>
    <s v="26/08/2024"/>
    <d v="1899-12-30T07:38:00"/>
    <s v="Brookside milk 500ml"/>
    <n v="2"/>
    <n v="140"/>
    <n v="118"/>
    <n v="22"/>
    <s v="Credit"/>
    <x v="7"/>
    <m/>
    <m/>
    <m/>
  </r>
  <r>
    <s v="26/08/2024"/>
    <d v="1899-12-30T07:40:00"/>
    <s v="Brookside milk 500ml"/>
    <n v="2"/>
    <n v="140"/>
    <n v="118"/>
    <n v="22"/>
    <s v="Cash"/>
    <x v="2"/>
    <m/>
    <m/>
    <m/>
  </r>
  <r>
    <s v="26/08/2024"/>
    <d v="1899-12-30T07:40:00"/>
    <s v="Ginger Bisquit"/>
    <n v="3"/>
    <n v="15"/>
    <n v="13"/>
    <n v="2"/>
    <s v="Cash"/>
    <x v="2"/>
    <m/>
    <m/>
    <m/>
  </r>
  <r>
    <s v="26/08/2024"/>
    <d v="1899-12-30T08:38:00"/>
    <s v="Ngumu"/>
    <n v="5"/>
    <n v="50"/>
    <n v="41.666666666666671"/>
    <n v="8.3333333333333286"/>
    <s v="Mpesa"/>
    <x v="2"/>
    <m/>
    <m/>
    <m/>
  </r>
  <r>
    <s v="26/08/2024"/>
    <d v="1899-12-30T09:21:00"/>
    <s v="Safaricom 20 Credit"/>
    <n v="1"/>
    <n v="20"/>
    <n v="18"/>
    <n v="2"/>
    <s v="Cash"/>
    <x v="2"/>
    <m/>
    <m/>
    <m/>
  </r>
  <r>
    <s v="26/08/2024"/>
    <d v="1899-12-30T09:32:00"/>
    <s v="Ngumu"/>
    <n v="4"/>
    <n v="40"/>
    <n v="33.333333333333336"/>
    <n v="6.6666666666666643"/>
    <s v="Mpesa"/>
    <x v="2"/>
    <m/>
    <m/>
    <m/>
  </r>
  <r>
    <s v="26/08/2024"/>
    <d v="1899-12-30T09:32:00"/>
    <s v="kabras sugar 1kg"/>
    <n v="1"/>
    <n v="180"/>
    <n v="140"/>
    <n v="40"/>
    <s v="Mpesa"/>
    <x v="2"/>
    <m/>
    <m/>
    <m/>
  </r>
  <r>
    <s v="26/08/2024"/>
    <d v="1899-12-30T10:10:00"/>
    <s v="Brookside milk 500ml"/>
    <n v="1"/>
    <n v="70"/>
    <n v="59"/>
    <n v="11"/>
    <s v="Mpesa"/>
    <x v="2"/>
    <m/>
    <m/>
    <m/>
  </r>
  <r>
    <s v="26/08/2024"/>
    <d v="1899-12-30T10:10:00"/>
    <s v="Hanaan Tissue"/>
    <n v="1"/>
    <n v="55"/>
    <n v="43"/>
    <n v="12"/>
    <s v="Mpesa"/>
    <x v="2"/>
    <m/>
    <m/>
    <m/>
  </r>
  <r>
    <s v="26/08/2024"/>
    <d v="1899-12-30T10:10:00"/>
    <s v="Royco cubes"/>
    <n v="6"/>
    <n v="30"/>
    <n v="18"/>
    <n v="12"/>
    <s v="Mpesa"/>
    <x v="2"/>
    <m/>
    <m/>
    <m/>
  </r>
  <r>
    <s v="26/08/2024"/>
    <d v="1899-12-30T10:10:00"/>
    <s v="Tomatoes"/>
    <n v="5"/>
    <n v="50"/>
    <n v="25"/>
    <n v="25"/>
    <s v="Mpesa"/>
    <x v="2"/>
    <m/>
    <m/>
    <m/>
  </r>
  <r>
    <s v="26/08/2024"/>
    <d v="1899-12-30T10:11:00"/>
    <s v="Kortex pads"/>
    <n v="1"/>
    <n v="130"/>
    <n v="106"/>
    <n v="24"/>
    <s v="Cash"/>
    <x v="2"/>
    <m/>
    <m/>
    <m/>
  </r>
  <r>
    <s v="26/08/2024"/>
    <d v="1899-12-30T10:11:00"/>
    <s v="BB Bread 400g"/>
    <n v="2"/>
    <n v="130"/>
    <n v="120"/>
    <n v="10"/>
    <s v="Cash"/>
    <x v="2"/>
    <m/>
    <m/>
    <m/>
  </r>
  <r>
    <s v="26/08/2024"/>
    <d v="1899-12-30T10:11:00"/>
    <s v="Downy lavender"/>
    <n v="1"/>
    <n v="20"/>
    <n v="17.333333333333332"/>
    <n v="2.6666666666666679"/>
    <s v="Cash"/>
    <x v="2"/>
    <m/>
    <m/>
    <m/>
  </r>
  <r>
    <s v="26/08/2024"/>
    <d v="1899-12-30T10:25:00"/>
    <s v="Festive Bread 400g"/>
    <n v="1"/>
    <n v="65"/>
    <n v="60"/>
    <n v="5"/>
    <s v="Cash"/>
    <x v="2"/>
    <m/>
    <m/>
    <m/>
  </r>
  <r>
    <s v="26/08/2024"/>
    <d v="1899-12-30T10:45:00"/>
    <s v="Icepop"/>
    <n v="3"/>
    <n v="45"/>
    <n v="22.5"/>
    <n v="22.5"/>
    <s v="Mpesa"/>
    <x v="2"/>
    <m/>
    <m/>
    <m/>
  </r>
  <r>
    <s v="26/08/2024"/>
    <d v="1899-12-30T10:45:00"/>
    <s v="Choc-chip Cookies"/>
    <n v="3"/>
    <n v="105"/>
    <n v="75"/>
    <n v="30"/>
    <s v="Mpesa"/>
    <x v="2"/>
    <m/>
    <m/>
    <m/>
  </r>
  <r>
    <s v="26/08/2024"/>
    <d v="1899-12-30T10:45:00"/>
    <s v="Safari"/>
    <n v="3"/>
    <n v="45"/>
    <n v="25.5"/>
    <n v="19.5"/>
    <s v="Mpesa"/>
    <x v="2"/>
    <m/>
    <m/>
    <m/>
  </r>
  <r>
    <s v="26/08/2024"/>
    <d v="1899-12-30T11:09:00"/>
    <s v="Safari"/>
    <n v="1"/>
    <n v="15"/>
    <n v="8.5"/>
    <n v="6.5"/>
    <s v="Mpesa"/>
    <x v="2"/>
    <m/>
    <m/>
    <m/>
  </r>
  <r>
    <s v="26/08/2024"/>
    <d v="1899-12-30T11:09:00"/>
    <s v="Tomato sauce"/>
    <n v="1"/>
    <n v="70"/>
    <n v="50"/>
    <n v="20"/>
    <s v="Mpesa"/>
    <x v="2"/>
    <m/>
    <m/>
    <m/>
  </r>
  <r>
    <s v="26/08/2024"/>
    <d v="1899-12-30T11:09:00"/>
    <s v="Cooking Oil Measured"/>
    <n v="0.25"/>
    <n v="70"/>
    <n v="50"/>
    <n v="20"/>
    <s v="Mpesa"/>
    <x v="2"/>
    <s v="Gladys"/>
    <n v="55"/>
    <s v="Mpesa"/>
  </r>
  <r>
    <s v="26/08/2024"/>
    <d v="1899-12-30T11:09:00"/>
    <s v="soda 500ml glass"/>
    <n v="1"/>
    <n v="55"/>
    <n v="50"/>
    <n v="5"/>
    <s v="Mpesa"/>
    <x v="2"/>
    <s v="Oburu"/>
    <n v="120"/>
    <s v="Cash"/>
  </r>
  <r>
    <s v="26/08/2024"/>
    <d v="1899-12-30T11:10:00"/>
    <s v="soda 500ml plastic"/>
    <n v="1"/>
    <n v="70"/>
    <n v="60.416666666666664"/>
    <n v="9.5833333333333357"/>
    <s v="Credit"/>
    <x v="19"/>
    <s v="Mum Worship"/>
    <n v="280"/>
    <s v="Mpesa"/>
  </r>
  <r>
    <s v="26/08/2024"/>
    <d v="1899-12-30T11:10:00"/>
    <s v="Half pound cake"/>
    <n v="1"/>
    <n v="100"/>
    <n v="90"/>
    <n v="10"/>
    <s v="Credit"/>
    <x v="2"/>
    <s v="Milly"/>
    <n v="160"/>
    <s v="Mpesa"/>
  </r>
  <r>
    <s v="26/08/2024"/>
    <d v="1899-12-30T11:52:00"/>
    <s v="Fresh green"/>
    <n v="1"/>
    <n v="10"/>
    <n v="5"/>
    <n v="5"/>
    <s v="Cash"/>
    <x v="2"/>
    <s v="Erick"/>
    <n v="65"/>
    <s v="Mpesa"/>
  </r>
  <r>
    <s v="26/08/2024"/>
    <d v="1899-12-30T12:02:00"/>
    <s v="Ginger Bisquit"/>
    <n v="1"/>
    <n v="5"/>
    <n v="4.333333333333333"/>
    <n v="0.66666666666666696"/>
    <s v="Cash"/>
    <x v="2"/>
    <m/>
    <m/>
    <m/>
  </r>
  <r>
    <s v="26/08/2024"/>
    <d v="1899-12-30T12:15:00"/>
    <s v="Maramoja"/>
    <n v="2"/>
    <n v="20"/>
    <n v="14"/>
    <n v="6"/>
    <s v="Credit"/>
    <x v="23"/>
    <m/>
    <m/>
    <m/>
  </r>
  <r>
    <s v="26/08/2024"/>
    <d v="1899-12-30T12:48:00"/>
    <s v="Safari"/>
    <n v="1"/>
    <n v="15"/>
    <n v="8.5"/>
    <n v="6.5"/>
    <s v="Mpesa"/>
    <x v="2"/>
    <m/>
    <m/>
    <m/>
  </r>
  <r>
    <s v="26/08/2024"/>
    <d v="1899-12-30T12:50:00"/>
    <s v="Banana"/>
    <n v="2"/>
    <n v="20"/>
    <n v="16.666666666666668"/>
    <n v="3.3333333333333321"/>
    <s v="Cash"/>
    <x v="2"/>
    <m/>
    <m/>
    <m/>
  </r>
  <r>
    <s v="26/08/2024"/>
    <d v="1899-12-30T13:01:00"/>
    <s v="Kdf"/>
    <n v="1"/>
    <n v="10"/>
    <n v="8.3333333333333339"/>
    <n v="1.6666666666666661"/>
    <s v="Cash"/>
    <x v="2"/>
    <m/>
    <m/>
    <m/>
  </r>
  <r>
    <s v="26/08/2024"/>
    <d v="1899-12-30T13:01:00"/>
    <s v="minutemaid 400ml"/>
    <n v="1"/>
    <n v="85"/>
    <n v="62.5"/>
    <n v="22.5"/>
    <s v="Cash"/>
    <x v="2"/>
    <m/>
    <m/>
    <m/>
  </r>
  <r>
    <s v="26/08/2024"/>
    <d v="1899-12-30T13:01:00"/>
    <s v="Ginger Bisquit"/>
    <n v="2"/>
    <n v="10"/>
    <n v="8.6666666666666661"/>
    <n v="1.3333333333333339"/>
    <s v="Cash"/>
    <x v="2"/>
    <m/>
    <m/>
    <m/>
  </r>
  <r>
    <s v="26/08/2024"/>
    <d v="1899-12-30T13:18:00"/>
    <s v="soda 300ml glass"/>
    <n v="2"/>
    <n v="80"/>
    <n v="65"/>
    <n v="15"/>
    <s v="Cash"/>
    <x v="2"/>
    <m/>
    <m/>
    <m/>
  </r>
  <r>
    <s v="26/08/2024"/>
    <d v="1899-12-30T13:23:00"/>
    <s v="Indomie beef"/>
    <n v="3"/>
    <n v="150"/>
    <n v="114"/>
    <n v="36"/>
    <s v="Mpesa"/>
    <x v="2"/>
    <m/>
    <m/>
    <m/>
  </r>
  <r>
    <s v="26/08/2024"/>
    <d v="1899-12-30T13:38:00"/>
    <s v="Mt kenya milk 500ml"/>
    <m/>
    <n v="0"/>
    <n v="0"/>
    <n v="0"/>
    <s v="Credit"/>
    <x v="33"/>
    <m/>
    <m/>
    <m/>
  </r>
  <r>
    <s v="26/08/2024"/>
    <d v="1899-12-30T13:55:00"/>
    <s v="ilara 250g yoghurt"/>
    <n v="1"/>
    <n v="85"/>
    <n v="73"/>
    <n v="12"/>
    <s v="Credit"/>
    <x v="16"/>
    <m/>
    <m/>
    <m/>
  </r>
  <r>
    <s v="26/08/2024"/>
    <d v="1899-12-30T14:20:00"/>
    <s v="soda 500ml glass"/>
    <n v="1"/>
    <n v="55"/>
    <n v="50"/>
    <n v="5"/>
    <s v="Mpesa"/>
    <x v="2"/>
    <m/>
    <m/>
    <m/>
  </r>
  <r>
    <s v="26/08/2024"/>
    <d v="1899-12-30T14:20:00"/>
    <s v="Kdf"/>
    <n v="2"/>
    <n v="20"/>
    <n v="16.666666666666668"/>
    <n v="3.3333333333333321"/>
    <s v="Mpesa"/>
    <x v="2"/>
    <m/>
    <m/>
    <m/>
  </r>
  <r>
    <s v="26/08/2024"/>
    <d v="1899-12-30T14:31:00"/>
    <s v="Safari"/>
    <n v="1"/>
    <n v="15"/>
    <n v="8.5"/>
    <n v="6.5"/>
    <s v="Cash"/>
    <x v="2"/>
    <m/>
    <m/>
    <m/>
  </r>
  <r>
    <s v="26/08/2024"/>
    <d v="1899-12-30T14:31:00"/>
    <s v="Tropical"/>
    <n v="1"/>
    <n v="5"/>
    <n v="1.5"/>
    <n v="3.5"/>
    <s v="Cash"/>
    <x v="2"/>
    <m/>
    <m/>
    <m/>
  </r>
  <r>
    <s v="26/08/2024"/>
    <d v="1899-12-30T14:36:00"/>
    <s v="Kdf"/>
    <n v="2"/>
    <n v="20"/>
    <n v="16.666666666666668"/>
    <n v="3.3333333333333321"/>
    <s v="Cash"/>
    <x v="2"/>
    <m/>
    <m/>
    <m/>
  </r>
  <r>
    <s v="26/08/2024"/>
    <d v="1899-12-30T14:36:00"/>
    <s v="Banana"/>
    <n v="4"/>
    <n v="40"/>
    <n v="33.333333333333336"/>
    <n v="6.6666666666666643"/>
    <s v="Cash"/>
    <x v="2"/>
    <m/>
    <m/>
    <m/>
  </r>
  <r>
    <s v="26/08/2024"/>
    <d v="1899-12-30T14:37:00"/>
    <s v="Safaricom 10 Credit"/>
    <n v="3"/>
    <n v="30"/>
    <n v="27"/>
    <n v="3"/>
    <s v="Credit"/>
    <x v="44"/>
    <s v="Aunty mum victor"/>
    <n v="40"/>
    <s v="Mpesa"/>
  </r>
  <r>
    <s v="26/08/2024"/>
    <d v="1899-12-30T14:37:00"/>
    <s v="Maramoja"/>
    <n v="1"/>
    <n v="10"/>
    <n v="7"/>
    <n v="3"/>
    <s v="Credit"/>
    <x v="44"/>
    <m/>
    <m/>
    <m/>
  </r>
  <r>
    <s v="26/08/2024"/>
    <d v="1899-12-30T14:53:00"/>
    <s v="Menengai Bar 1kg"/>
    <n v="0.2"/>
    <n v="50"/>
    <n v="38"/>
    <n v="12"/>
    <s v="Credit"/>
    <x v="1"/>
    <m/>
    <m/>
    <m/>
  </r>
  <r>
    <s v="26/08/2024"/>
    <d v="1899-12-30T14:53:00"/>
    <s v="ariel 75g"/>
    <n v="1"/>
    <n v="35"/>
    <n v="27.5"/>
    <n v="7.5"/>
    <s v="Credit"/>
    <x v="1"/>
    <m/>
    <m/>
    <m/>
  </r>
  <r>
    <s v="26/08/2024"/>
    <d v="1899-12-30T15:08:00"/>
    <s v="eggs"/>
    <n v="5"/>
    <n v="100"/>
    <n v="71.666666666666671"/>
    <n v="28.333333333333329"/>
    <s v="Credit"/>
    <x v="1"/>
    <m/>
    <m/>
    <m/>
  </r>
  <r>
    <s v="26/08/2024"/>
    <d v="1899-12-30T15:08:00"/>
    <s v="Tomatoes"/>
    <n v="1"/>
    <n v="10"/>
    <n v="5"/>
    <n v="5"/>
    <s v="Credit"/>
    <x v="1"/>
    <m/>
    <m/>
    <m/>
  </r>
  <r>
    <s v="26/08/2024"/>
    <d v="1899-12-30T15:08:00"/>
    <s v="Onion"/>
    <n v="1"/>
    <n v="10"/>
    <n v="8"/>
    <n v="2"/>
    <s v="Credit"/>
    <x v="1"/>
    <m/>
    <m/>
    <m/>
  </r>
  <r>
    <s v="26/08/2024"/>
    <d v="1899-12-30T15:10:00"/>
    <s v="Menengai Bar 1kg"/>
    <n v="0.2"/>
    <n v="50"/>
    <n v="38"/>
    <n v="12"/>
    <s v="Mpesa"/>
    <x v="2"/>
    <m/>
    <m/>
    <m/>
  </r>
  <r>
    <s v="26/08/2024"/>
    <d v="1899-12-30T15:10:00"/>
    <s v="afia 500ml"/>
    <n v="1"/>
    <n v="85"/>
    <n v="70.833333333333329"/>
    <n v="14.166666666666671"/>
    <s v="Mpesa"/>
    <x v="2"/>
    <m/>
    <m/>
    <m/>
  </r>
  <r>
    <s v="26/08/2024"/>
    <d v="1899-12-30T15:10:00"/>
    <s v="Kdf"/>
    <n v="2"/>
    <n v="20"/>
    <n v="16.666666666666668"/>
    <n v="3.3333333333333321"/>
    <s v="Mpesa"/>
    <x v="2"/>
    <m/>
    <m/>
    <m/>
  </r>
  <r>
    <s v="26/08/2024"/>
    <d v="1899-12-30T15:11:00"/>
    <s v="predator"/>
    <n v="1"/>
    <n v="70"/>
    <n v="54.166666666666664"/>
    <n v="15.833333333333336"/>
    <s v="Mpesa"/>
    <x v="2"/>
    <m/>
    <m/>
    <m/>
  </r>
  <r>
    <s v="26/08/2024"/>
    <d v="1899-12-30T15:47:00"/>
    <s v="Kioo+comb"/>
    <n v="1"/>
    <n v="50"/>
    <n v="40"/>
    <n v="10"/>
    <s v="Cash"/>
    <x v="2"/>
    <m/>
    <m/>
    <m/>
  </r>
  <r>
    <s v="26/08/2024"/>
    <d v="1899-12-30T15:47:00"/>
    <s v="predator"/>
    <n v="1"/>
    <n v="70"/>
    <n v="54.166666666666664"/>
    <n v="15.833333333333336"/>
    <s v="Mpesa"/>
    <x v="2"/>
    <m/>
    <m/>
    <m/>
  </r>
  <r>
    <s v="26/08/2024"/>
    <d v="1899-12-30T16:13:00"/>
    <s v="Safari"/>
    <n v="1"/>
    <n v="15"/>
    <n v="8.5"/>
    <n v="6.5"/>
    <s v="Mpesa"/>
    <x v="2"/>
    <m/>
    <m/>
    <m/>
  </r>
  <r>
    <s v="26/08/2024"/>
    <d v="1899-12-30T16:29:00"/>
    <s v="BB Bread 400g"/>
    <n v="2"/>
    <n v="130"/>
    <n v="120"/>
    <n v="10"/>
    <s v="Mpesa"/>
    <x v="2"/>
    <m/>
    <m/>
    <m/>
  </r>
  <r>
    <s v="26/08/2024"/>
    <d v="1899-12-30T17:09:00"/>
    <s v="Goodday Cookies"/>
    <n v="3"/>
    <n v="45"/>
    <n v="28"/>
    <n v="17"/>
    <s v="Credit"/>
    <x v="7"/>
    <m/>
    <m/>
    <m/>
  </r>
  <r>
    <s v="26/08/2024"/>
    <d v="1899-12-30T17:24:00"/>
    <s v="Ginger Bisquit"/>
    <n v="3"/>
    <n v="15"/>
    <n v="13"/>
    <n v="2"/>
    <s v="Cash"/>
    <x v="2"/>
    <m/>
    <m/>
    <m/>
  </r>
  <r>
    <s v="26/08/2024"/>
    <d v="1899-12-30T17:24:00"/>
    <s v="Icepop"/>
    <n v="1"/>
    <n v="15"/>
    <n v="7.5"/>
    <n v="7.5"/>
    <s v="Cash"/>
    <x v="2"/>
    <m/>
    <m/>
    <m/>
  </r>
  <r>
    <s v="26/08/2024"/>
    <d v="1899-12-30T17:34:00"/>
    <s v="Banana"/>
    <n v="2"/>
    <n v="20"/>
    <n v="16.666666666666668"/>
    <n v="3.3333333333333321"/>
    <s v="Mpesa"/>
    <x v="2"/>
    <m/>
    <m/>
    <m/>
  </r>
  <r>
    <s v="26/08/2024"/>
    <d v="1899-12-30T17:45:00"/>
    <s v="Kaluma King"/>
    <n v="2"/>
    <n v="40"/>
    <n v="26"/>
    <n v="14"/>
    <s v="Credit"/>
    <x v="33"/>
    <m/>
    <m/>
    <m/>
  </r>
  <r>
    <s v="26/08/2024"/>
    <d v="1899-12-30T17:45:00"/>
    <s v="kinangop250g youghurt"/>
    <n v="1"/>
    <n v="60"/>
    <n v="48.333333333333336"/>
    <n v="11.666666666666664"/>
    <s v="Credit"/>
    <x v="33"/>
    <m/>
    <m/>
    <m/>
  </r>
  <r>
    <s v="26/08/2024"/>
    <d v="1899-12-30T17:45:00"/>
    <s v="Piriton"/>
    <n v="20"/>
    <n v="20"/>
    <n v="10"/>
    <n v="10"/>
    <s v="Credit"/>
    <x v="33"/>
    <m/>
    <m/>
    <m/>
  </r>
  <r>
    <s v="26/08/2024"/>
    <d v="1899-12-30T17:47:00"/>
    <s v="Mt Kenya milk 200ml"/>
    <n v="1"/>
    <n v="35"/>
    <n v="24.285714285714285"/>
    <n v="10.714285714285715"/>
    <s v="Mpesa"/>
    <x v="2"/>
    <m/>
    <m/>
    <m/>
  </r>
  <r>
    <s v="26/08/2024"/>
    <d v="1899-12-30T17:47:00"/>
    <s v="Ringoz Paprika"/>
    <n v="1"/>
    <n v="15"/>
    <n v="8.8000000000000007"/>
    <n v="6.1999999999999993"/>
    <s v="Mpesa"/>
    <x v="2"/>
    <m/>
    <m/>
    <m/>
  </r>
  <r>
    <s v="26/08/2024"/>
    <d v="1899-12-30T18:10:00"/>
    <s v="Safari"/>
    <n v="1"/>
    <n v="15"/>
    <n v="8.5"/>
    <n v="6.5"/>
    <s v="Mpesa"/>
    <x v="2"/>
    <m/>
    <m/>
    <m/>
  </r>
  <r>
    <s v="26/08/2024"/>
    <d v="1899-12-30T18:23:00"/>
    <s v="Garlic"/>
    <n v="2"/>
    <n v="60"/>
    <n v="40"/>
    <n v="20"/>
    <s v="Cash"/>
    <x v="2"/>
    <m/>
    <m/>
    <m/>
  </r>
  <r>
    <s v="26/08/2024"/>
    <d v="1899-12-30T18:23:00"/>
    <s v="Sharpener"/>
    <n v="2"/>
    <n v="30"/>
    <n v="10"/>
    <n v="20"/>
    <s v="Cash"/>
    <x v="2"/>
    <m/>
    <m/>
    <m/>
  </r>
  <r>
    <s v="26/08/2024"/>
    <d v="1899-12-30T18:26:00"/>
    <s v="Mt Kenya milk 200ml"/>
    <n v="3"/>
    <n v="105"/>
    <n v="72.857142857142861"/>
    <n v="32.142857142857139"/>
    <s v="Credit"/>
    <x v="45"/>
    <m/>
    <m/>
    <m/>
  </r>
  <r>
    <s v="26/08/2024"/>
    <d v="1899-12-30T18:26:00"/>
    <s v="Festive Bread 400g"/>
    <n v="1"/>
    <n v="65"/>
    <n v="60"/>
    <n v="5"/>
    <s v="Credit"/>
    <x v="45"/>
    <m/>
    <m/>
    <m/>
  </r>
  <r>
    <s v="26/08/2024"/>
    <d v="1899-12-30T18:26:00"/>
    <s v="soda 500ml plastic"/>
    <n v="1"/>
    <n v="70"/>
    <n v="60.416666666666664"/>
    <n v="9.5833333333333357"/>
    <s v="Credit"/>
    <x v="45"/>
    <m/>
    <m/>
    <m/>
  </r>
  <r>
    <s v="26/08/2024"/>
    <d v="1899-12-30T18:26:00"/>
    <s v="Choc-chip Cookies"/>
    <n v="1"/>
    <n v="35"/>
    <n v="25"/>
    <n v="10"/>
    <s v="Credit"/>
    <x v="45"/>
    <m/>
    <m/>
    <m/>
  </r>
  <r>
    <s v="26/08/2024"/>
    <d v="1899-12-30T18:26:00"/>
    <s v="Cooking Oil Measured"/>
    <n v="1"/>
    <n v="280"/>
    <n v="200"/>
    <n v="80"/>
    <s v="Credit"/>
    <x v="45"/>
    <m/>
    <m/>
    <m/>
  </r>
  <r>
    <s v="26/08/2024"/>
    <d v="1899-12-30T18:35:00"/>
    <s v="Cooking Oil Measured"/>
    <n v="0.5"/>
    <n v="140"/>
    <n v="100"/>
    <n v="40"/>
    <s v="Credit"/>
    <x v="33"/>
    <m/>
    <m/>
    <m/>
  </r>
  <r>
    <s v="26/08/2024"/>
    <d v="1899-12-30T18:35:00"/>
    <s v=" soda 1.25lts"/>
    <n v="1"/>
    <n v="130"/>
    <n v="112.5"/>
    <n v="17.5"/>
    <s v="Mpesa"/>
    <x v="2"/>
    <m/>
    <m/>
    <m/>
  </r>
  <r>
    <s v="26/08/2024"/>
    <d v="1899-12-30T18:54:00"/>
    <s v="predator"/>
    <n v="3"/>
    <n v="210"/>
    <n v="162.5"/>
    <n v="47.5"/>
    <s v="Cash"/>
    <x v="2"/>
    <m/>
    <m/>
    <m/>
  </r>
  <r>
    <s v="26/08/2024"/>
    <d v="1899-12-30T18:54:00"/>
    <s v="Mandazi"/>
    <n v="2"/>
    <n v="10"/>
    <n v="8.3333333333333339"/>
    <n v="1.6666666666666661"/>
    <s v="Cash"/>
    <x v="2"/>
    <m/>
    <m/>
    <m/>
  </r>
  <r>
    <s v="26/08/2024"/>
    <d v="1899-12-30T18:55:00"/>
    <s v="Pishori rice"/>
    <n v="0.5"/>
    <n v="110"/>
    <n v="90"/>
    <n v="20"/>
    <s v="Credit"/>
    <x v="1"/>
    <m/>
    <m/>
    <m/>
  </r>
  <r>
    <s v="26/08/2024"/>
    <d v="1899-12-30T18:56:00"/>
    <s v="Brookside Lala Natural"/>
    <n v="1"/>
    <n v="100"/>
    <n v="87"/>
    <n v="13"/>
    <s v="Credit"/>
    <x v="45"/>
    <s v="Japhet"/>
    <n v="100"/>
    <s v="Mpesa"/>
  </r>
  <r>
    <s v="26/08/2024"/>
    <d v="1899-12-30T19:01:00"/>
    <s v="Mt Kenya milk 200ml"/>
    <n v="1"/>
    <n v="35"/>
    <n v="24.285714285714285"/>
    <n v="10.714285714285715"/>
    <s v="Credit"/>
    <x v="33"/>
    <m/>
    <m/>
    <m/>
  </r>
  <r>
    <s v="26/08/2024"/>
    <d v="1899-12-30T19:01:00"/>
    <s v="Royco cubes"/>
    <n v="2"/>
    <n v="10"/>
    <n v="6"/>
    <n v="4"/>
    <s v="Credit"/>
    <x v="33"/>
    <m/>
    <m/>
    <m/>
  </r>
  <r>
    <s v="26/08/2024"/>
    <d v="1899-12-30T19:02:00"/>
    <s v="Festive Bread 400g"/>
    <n v="1"/>
    <n v="65"/>
    <n v="60"/>
    <n v="5"/>
    <s v="Mpesa"/>
    <x v="2"/>
    <m/>
    <m/>
    <m/>
  </r>
  <r>
    <s v="26/08/2024"/>
    <d v="1899-12-30T19:08:00"/>
    <s v="Ginger"/>
    <n v="1"/>
    <n v="20"/>
    <n v="10"/>
    <n v="10"/>
    <s v="Mpesa"/>
    <x v="2"/>
    <m/>
    <m/>
    <m/>
  </r>
  <r>
    <s v="26/08/2024"/>
    <d v="1899-12-30T19:08:00"/>
    <s v="minutemaid 400ml"/>
    <n v="1"/>
    <n v="85"/>
    <n v="62.5"/>
    <n v="22.5"/>
    <s v="Mpesa"/>
    <x v="2"/>
    <m/>
    <m/>
    <m/>
  </r>
  <r>
    <s v="26/08/2024"/>
    <d v="1899-12-30T19:08:00"/>
    <s v="Mt Kenya milk 200ml"/>
    <n v="1"/>
    <n v="35"/>
    <n v="24.285714285714285"/>
    <n v="10.714285714285715"/>
    <s v="Mpesa"/>
    <x v="2"/>
    <m/>
    <m/>
    <m/>
  </r>
  <r>
    <s v="26/08/2024"/>
    <d v="1899-12-30T19:09:00"/>
    <s v="Brookside Lala Natural"/>
    <n v="1"/>
    <n v="100"/>
    <n v="87"/>
    <n v="13"/>
    <s v="Credit"/>
    <x v="33"/>
    <m/>
    <m/>
    <m/>
  </r>
  <r>
    <s v="26/08/2024"/>
    <d v="1899-12-30T19:27:00"/>
    <s v="mosquito stick"/>
    <n v="1"/>
    <n v="10"/>
    <n v="9"/>
    <n v="1"/>
    <s v="Credit"/>
    <x v="46"/>
    <m/>
    <m/>
    <m/>
  </r>
  <r>
    <s v="26/08/2024"/>
    <d v="1899-12-30T19:52:00"/>
    <s v="Sindano rice"/>
    <n v="0.5"/>
    <n v="75"/>
    <n v="60"/>
    <n v="15"/>
    <s v="Mpesa"/>
    <x v="2"/>
    <m/>
    <m/>
    <m/>
  </r>
  <r>
    <s v="26/08/2024"/>
    <d v="1899-12-30T20:31:00"/>
    <s v="Gumballs"/>
    <n v="10"/>
    <n v="10"/>
    <n v="7"/>
    <n v="3"/>
    <s v="Mpesa"/>
    <x v="2"/>
    <m/>
    <m/>
    <m/>
  </r>
  <r>
    <s v="26/08/2024"/>
    <d v="1899-12-30T20:31:00"/>
    <s v="Toothbrush Children"/>
    <n v="1"/>
    <n v="30"/>
    <n v="19.166666666666668"/>
    <n v="10.833333333333332"/>
    <s v="Mpesa"/>
    <x v="2"/>
    <m/>
    <m/>
    <m/>
  </r>
  <r>
    <s v="26/08/2024"/>
    <d v="1899-12-30T20:31:00"/>
    <s v="1ltr Brookside Lala Sweetened"/>
    <n v="1"/>
    <n v="190"/>
    <n v="173"/>
    <n v="17"/>
    <s v="Credit"/>
    <x v="16"/>
    <m/>
    <m/>
    <m/>
  </r>
  <r>
    <s v="27/08/2024"/>
    <d v="1899-12-30T07:29:00"/>
    <s v="Safari"/>
    <n v="1"/>
    <n v="15"/>
    <n v="8.5"/>
    <n v="6.5"/>
    <s v="Mpesa"/>
    <x v="2"/>
    <m/>
    <n v="5"/>
    <s v="Cash"/>
  </r>
  <r>
    <s v="27/08/2024"/>
    <d v="1899-12-30T08:38:00"/>
    <s v="Mt Kenya milk 200ml"/>
    <n v="1"/>
    <n v="35"/>
    <n v="24.285714285714285"/>
    <n v="10.714285714285715"/>
    <s v="Cash"/>
    <x v="2"/>
    <m/>
    <m/>
    <m/>
  </r>
  <r>
    <s v="27/08/2024"/>
    <d v="1899-12-30T08:45:00"/>
    <s v="Festive 600g"/>
    <n v="1"/>
    <n v="100"/>
    <n v="90"/>
    <n v="10"/>
    <s v="Mpesa"/>
    <x v="2"/>
    <m/>
    <m/>
    <m/>
  </r>
  <r>
    <s v="27/08/2024"/>
    <d v="1899-12-30T09:53:00"/>
    <s v="BB Bread 400g"/>
    <n v="2"/>
    <n v="130"/>
    <n v="120"/>
    <n v="10"/>
    <s v="Mpesa"/>
    <x v="2"/>
    <m/>
    <m/>
    <m/>
  </r>
  <r>
    <s v="27/08/2024"/>
    <d v="1899-12-30T10:18:00"/>
    <s v="Softcare pads"/>
    <n v="1"/>
    <n v="85"/>
    <n v="66"/>
    <n v="19"/>
    <s v="Mpesa"/>
    <x v="2"/>
    <m/>
    <m/>
    <m/>
  </r>
  <r>
    <s v="27/08/2024"/>
    <d v="1899-12-30T10:23:00"/>
    <s v="Airtel 20 Credit"/>
    <n v="1"/>
    <n v="20"/>
    <n v="18"/>
    <n v="2"/>
    <s v="Cash"/>
    <x v="2"/>
    <m/>
    <m/>
    <m/>
  </r>
  <r>
    <s v="27/08/2024"/>
    <d v="1899-12-30T10:24:00"/>
    <s v="Brookside milk 500ml"/>
    <n v="1"/>
    <n v="70"/>
    <n v="59"/>
    <n v="11"/>
    <s v="Credit"/>
    <x v="3"/>
    <m/>
    <m/>
    <m/>
  </r>
  <r>
    <s v="27/08/2024"/>
    <d v="1899-12-30T10:24:00"/>
    <s v="Festive Bread 400g"/>
    <n v="2"/>
    <n v="130"/>
    <n v="120"/>
    <n v="10"/>
    <s v="Credit"/>
    <x v="3"/>
    <m/>
    <m/>
    <m/>
  </r>
  <r>
    <s v="27/08/2024"/>
    <d v="1899-12-30T10:36:00"/>
    <s v="Yellow Beans"/>
    <n v="0.5"/>
    <n v="90"/>
    <n v="62.5"/>
    <n v="27.5"/>
    <s v="Credit"/>
    <x v="1"/>
    <m/>
    <m/>
    <m/>
  </r>
  <r>
    <s v="27/08/2024"/>
    <d v="1899-12-30T10:44:00"/>
    <s v="Pencil"/>
    <n v="2"/>
    <n v="20"/>
    <n v="15"/>
    <n v="5"/>
    <s v="Cash"/>
    <x v="2"/>
    <m/>
    <m/>
    <m/>
  </r>
  <r>
    <s v="27/08/2024"/>
    <d v="1899-12-30T10:56:00"/>
    <s v="Safari"/>
    <n v="1"/>
    <n v="15"/>
    <n v="8.5"/>
    <n v="6.5"/>
    <s v="Mpesa"/>
    <x v="2"/>
    <m/>
    <m/>
    <m/>
  </r>
  <r>
    <s v="27/08/2024"/>
    <d v="1899-12-30T11:05:00"/>
    <s v="Festive Bread 400g"/>
    <n v="1"/>
    <n v="65"/>
    <n v="60"/>
    <n v="5"/>
    <s v="Mpesa"/>
    <x v="2"/>
    <m/>
    <m/>
    <m/>
  </r>
  <r>
    <s v="27/08/2024"/>
    <d v="1899-12-30T11:05:00"/>
    <s v="Banana"/>
    <n v="2"/>
    <n v="20"/>
    <n v="16.666666666666668"/>
    <n v="3.3333333333333321"/>
    <s v="Mpesa"/>
    <x v="2"/>
    <m/>
    <m/>
    <m/>
  </r>
  <r>
    <s v="27/08/2024"/>
    <d v="1899-12-30T11:06:00"/>
    <s v="Match Box"/>
    <n v="1"/>
    <n v="5"/>
    <n v="2.3611111111111112"/>
    <n v="2.6388888888888888"/>
    <s v="Credit"/>
    <x v="19"/>
    <m/>
    <m/>
    <m/>
  </r>
  <r>
    <s v="27/08/2024"/>
    <d v="1899-12-30T11:21:00"/>
    <s v="pens red"/>
    <n v="4"/>
    <n v="40"/>
    <n v="20"/>
    <n v="20"/>
    <s v="Cash"/>
    <x v="2"/>
    <m/>
    <m/>
    <m/>
  </r>
  <r>
    <s v="27/08/2024"/>
    <d v="1899-12-30T11:21:00"/>
    <s v="pens black"/>
    <n v="3"/>
    <n v="30"/>
    <n v="15"/>
    <n v="15"/>
    <s v="Cash"/>
    <x v="2"/>
    <m/>
    <m/>
    <m/>
  </r>
  <r>
    <s v="27/08/2024"/>
    <d v="1899-12-30T11:21:00"/>
    <s v="pens blue"/>
    <n v="8"/>
    <n v="80"/>
    <n v="40"/>
    <n v="40"/>
    <s v="Cash"/>
    <x v="2"/>
    <m/>
    <m/>
    <m/>
  </r>
  <r>
    <s v="27/08/2024"/>
    <d v="1899-12-30T11:22:00"/>
    <s v="Safari"/>
    <n v="1"/>
    <n v="15"/>
    <n v="8.5"/>
    <n v="6.5"/>
    <s v="Cash"/>
    <x v="2"/>
    <m/>
    <m/>
    <m/>
  </r>
  <r>
    <s v="27/08/2024"/>
    <d v="1899-12-30T12:03:00"/>
    <s v="scooty steel wire"/>
    <n v="1"/>
    <n v="10"/>
    <n v="7.5"/>
    <n v="2.5"/>
    <s v="Credit"/>
    <x v="1"/>
    <m/>
    <m/>
    <m/>
  </r>
  <r>
    <s v="27/08/2024"/>
    <d v="1899-12-30T12:17:00"/>
    <s v="ariel 75g"/>
    <n v="1"/>
    <n v="35"/>
    <n v="27.5"/>
    <n v="7.5"/>
    <s v="Mpesa"/>
    <x v="2"/>
    <m/>
    <m/>
    <m/>
  </r>
  <r>
    <s v="27/08/2024"/>
    <d v="1899-12-30T12:17:00"/>
    <s v="Menengai Bar 1kg"/>
    <n v="0.2"/>
    <n v="50"/>
    <n v="38"/>
    <n v="12"/>
    <s v="Mpesa"/>
    <x v="2"/>
    <m/>
    <m/>
    <m/>
  </r>
  <r>
    <s v="27/08/2024"/>
    <d v="1899-12-30T12:18:00"/>
    <s v="omo 75g"/>
    <n v="1"/>
    <n v="35"/>
    <n v="27.5"/>
    <n v="7.5"/>
    <s v="Cash"/>
    <x v="2"/>
    <m/>
    <m/>
    <m/>
  </r>
  <r>
    <s v="27/08/2024"/>
    <d v="1899-12-30T12:18:00"/>
    <s v="Menengai Bar 1kg"/>
    <n v="0.2"/>
    <n v="50"/>
    <n v="38"/>
    <n v="12"/>
    <s v="Cash"/>
    <x v="2"/>
    <m/>
    <m/>
    <m/>
  </r>
  <r>
    <s v="27/08/2024"/>
    <d v="1899-12-30T12:18:00"/>
    <s v="Nuvita Bisquit"/>
    <n v="1"/>
    <n v="5"/>
    <n v="4.166666666666667"/>
    <n v="0.83333333333333304"/>
    <s v="Cash"/>
    <x v="2"/>
    <m/>
    <m/>
    <m/>
  </r>
  <r>
    <s v="27/08/2024"/>
    <d v="1899-12-30T12:20:00"/>
    <s v="waru"/>
    <n v="4"/>
    <n v="200"/>
    <n v="119.99999999999999"/>
    <n v="80.000000000000014"/>
    <s v="Credit"/>
    <x v="8"/>
    <m/>
    <m/>
    <m/>
  </r>
  <r>
    <s v="27/08/2024"/>
    <d v="1899-12-30T12:53:00"/>
    <s v="5ltrs water"/>
    <n v="1"/>
    <n v="120"/>
    <n v="75"/>
    <n v="45"/>
    <s v="Mpesa"/>
    <x v="2"/>
    <m/>
    <m/>
    <m/>
  </r>
  <r>
    <s v="27/08/2024"/>
    <d v="1899-12-30T12:53:00"/>
    <s v="Festive Bread 400g"/>
    <n v="1"/>
    <n v="65"/>
    <n v="60"/>
    <n v="5"/>
    <s v="Mpesa"/>
    <x v="2"/>
    <m/>
    <m/>
    <m/>
  </r>
  <r>
    <s v="27/08/2024"/>
    <d v="1899-12-30T13:00:00"/>
    <s v="soda 500ml glass"/>
    <n v="1"/>
    <n v="55"/>
    <n v="50"/>
    <n v="5"/>
    <s v="Credit"/>
    <x v="17"/>
    <m/>
    <m/>
    <m/>
  </r>
  <r>
    <s v="27/08/2024"/>
    <d v="1899-12-30T13:00:00"/>
    <s v="Festive Bread 400g"/>
    <n v="1"/>
    <n v="65"/>
    <n v="60"/>
    <n v="5"/>
    <s v="Credit"/>
    <x v="17"/>
    <m/>
    <m/>
    <m/>
  </r>
  <r>
    <s v="27/08/2024"/>
    <d v="1899-12-30T13:20:00"/>
    <s v="soda 500ml glass"/>
    <n v="1"/>
    <n v="55"/>
    <n v="50"/>
    <n v="5"/>
    <s v="Cash"/>
    <x v="2"/>
    <m/>
    <m/>
    <m/>
  </r>
  <r>
    <s v="27/08/2024"/>
    <d v="1899-12-30T13:20:00"/>
    <s v="Nuvita Bisquit"/>
    <n v="3"/>
    <n v="15"/>
    <n v="12.5"/>
    <n v="2.5"/>
    <s v="Cash"/>
    <x v="2"/>
    <m/>
    <m/>
    <m/>
  </r>
  <r>
    <s v="27/08/2024"/>
    <d v="1899-12-30T13:22:00"/>
    <s v="soda 500ml glass"/>
    <n v="1"/>
    <n v="55"/>
    <n v="50"/>
    <n v="5"/>
    <s v="Credit"/>
    <x v="17"/>
    <s v="Oburu"/>
    <n v="85"/>
    <s v="Cash"/>
  </r>
  <r>
    <s v="27/08/2024"/>
    <d v="1899-12-30T13:25:00"/>
    <s v="soda 300ml glass"/>
    <n v="1"/>
    <n v="40"/>
    <n v="32.5"/>
    <n v="7.5"/>
    <s v="Mpesa"/>
    <x v="2"/>
    <s v="Oburu"/>
    <n v="90"/>
    <s v="Mpesa"/>
  </r>
  <r>
    <s v="27/08/2024"/>
    <d v="1899-12-30T13:25:00"/>
    <s v="Mandazi"/>
    <n v="4"/>
    <n v="20"/>
    <n v="16.666666666666668"/>
    <n v="3.3333333333333321"/>
    <s v="Mpesa"/>
    <x v="2"/>
    <m/>
    <m/>
    <m/>
  </r>
  <r>
    <s v="27/08/2024"/>
    <d v="1899-12-30T13:26:00"/>
    <s v="Safari"/>
    <n v="1"/>
    <n v="15"/>
    <n v="8.5"/>
    <n v="6.5"/>
    <s v="Cash"/>
    <x v="2"/>
    <m/>
    <m/>
    <m/>
  </r>
  <r>
    <s v="27/08/2024"/>
    <d v="1899-12-30T13:36:00"/>
    <s v="Nuvita Bisquit"/>
    <n v="2"/>
    <n v="10"/>
    <n v="8.3333333333333339"/>
    <n v="1.6666666666666661"/>
    <s v="Cash"/>
    <x v="2"/>
    <m/>
    <m/>
    <m/>
  </r>
  <r>
    <s v="27/08/2024"/>
    <d v="1899-12-30T13:51:00"/>
    <s v="Indomie chicken"/>
    <n v="3"/>
    <n v="150"/>
    <n v="112.5"/>
    <n v="37.5"/>
    <s v="Mpesa"/>
    <x v="2"/>
    <m/>
    <m/>
    <m/>
  </r>
  <r>
    <s v="27/08/2024"/>
    <d v="1899-12-30T15:04:00"/>
    <s v="Safari"/>
    <n v="3"/>
    <n v="45"/>
    <n v="25.5"/>
    <n v="19.5"/>
    <s v="Mpesa"/>
    <x v="2"/>
    <m/>
    <m/>
    <m/>
  </r>
  <r>
    <s v="27/08/2024"/>
    <d v="1899-12-30T15:04:00"/>
    <s v="Match Box"/>
    <n v="1"/>
    <n v="5"/>
    <n v="2.3611111111111112"/>
    <n v="2.6388888888888888"/>
    <s v="Mpesa"/>
    <x v="2"/>
    <m/>
    <m/>
    <m/>
  </r>
  <r>
    <s v="27/08/2024"/>
    <d v="1899-12-30T15:51:00"/>
    <s v="Mt Kenya milk 200ml"/>
    <n v="1"/>
    <n v="35"/>
    <n v="24.285714285714285"/>
    <n v="10.714285714285715"/>
    <s v="Mpesa"/>
    <x v="2"/>
    <m/>
    <m/>
    <m/>
  </r>
  <r>
    <s v="27/08/2024"/>
    <d v="1899-12-30T15:51:00"/>
    <s v="Brookside milk 500ml"/>
    <n v="1"/>
    <n v="70"/>
    <n v="59"/>
    <n v="11"/>
    <s v="Mpesa"/>
    <x v="2"/>
    <m/>
    <m/>
    <m/>
  </r>
  <r>
    <s v="27/08/2024"/>
    <d v="1899-12-30T16:40:00"/>
    <s v="Festive Bread 400g"/>
    <n v="1"/>
    <n v="65"/>
    <n v="60"/>
    <n v="5"/>
    <s v="Cash"/>
    <x v="2"/>
    <m/>
    <m/>
    <m/>
  </r>
  <r>
    <s v="27/08/2024"/>
    <d v="1899-12-30T16:40:00"/>
    <s v="Patco"/>
    <n v="4"/>
    <n v="10"/>
    <n v="4.8"/>
    <n v="5.2"/>
    <s v="Cash"/>
    <x v="2"/>
    <m/>
    <m/>
    <m/>
  </r>
  <r>
    <s v="27/08/2024"/>
    <d v="1899-12-30T16:57:00"/>
    <s v="Tomatoes"/>
    <n v="9"/>
    <n v="90"/>
    <n v="45"/>
    <n v="45"/>
    <s v="Cash"/>
    <x v="2"/>
    <m/>
    <m/>
    <m/>
  </r>
  <r>
    <s v="27/08/2024"/>
    <d v="1899-12-30T16:57:00"/>
    <s v="Onion"/>
    <n v="10"/>
    <n v="100"/>
    <n v="80"/>
    <n v="20"/>
    <s v="Cash"/>
    <x v="2"/>
    <m/>
    <m/>
    <m/>
  </r>
  <r>
    <s v="27/08/2024"/>
    <d v="1899-12-30T16:57:00"/>
    <s v="Choc-chip Cookies"/>
    <n v="3"/>
    <n v="105"/>
    <n v="75"/>
    <n v="30"/>
    <s v="Cash"/>
    <x v="2"/>
    <m/>
    <m/>
    <m/>
  </r>
  <r>
    <s v="27/08/2024"/>
    <d v="1899-12-30T16:57:00"/>
    <s v="Mt kenya milk 500ml"/>
    <n v="2"/>
    <n v="130"/>
    <n v="96.666666666666671"/>
    <n v="33.333333333333329"/>
    <s v="Cash"/>
    <x v="2"/>
    <m/>
    <m/>
    <m/>
  </r>
  <r>
    <s v="27/08/2024"/>
    <d v="1899-12-30T16:56:00"/>
    <s v="Curry Powder"/>
    <n v="1"/>
    <n v="15"/>
    <n v="7.5"/>
    <n v="7.5"/>
    <s v="Cash"/>
    <x v="2"/>
    <m/>
    <m/>
    <m/>
  </r>
  <r>
    <s v="27/08/2024"/>
    <d v="1899-12-30T16:56:00"/>
    <s v="Royco cubes"/>
    <n v="6"/>
    <n v="30"/>
    <n v="18"/>
    <n v="12"/>
    <s v="Mpesa"/>
    <x v="2"/>
    <m/>
    <m/>
    <m/>
  </r>
  <r>
    <s v="27/08/2024"/>
    <d v="1899-12-30T16:56:00"/>
    <s v="Mt kenya milk 500ml"/>
    <n v="2"/>
    <n v="130"/>
    <n v="96.666666666666671"/>
    <n v="33.333333333333329"/>
    <s v="Mpesa"/>
    <x v="2"/>
    <m/>
    <m/>
    <m/>
  </r>
  <r>
    <s v="27/08/2024"/>
    <d v="1899-12-30T16:58:00"/>
    <s v="Airtel 10 Credit"/>
    <n v="1"/>
    <n v="10"/>
    <n v="9"/>
    <n v="1"/>
    <s v="Cash"/>
    <x v="2"/>
    <m/>
    <m/>
    <m/>
  </r>
  <r>
    <s v="27/08/2024"/>
    <d v="1899-12-30T17:15:00"/>
    <s v="minutemaid 400ml"/>
    <n v="1"/>
    <n v="85"/>
    <n v="62.5"/>
    <n v="22.5"/>
    <s v="Mpesa"/>
    <x v="2"/>
    <m/>
    <m/>
    <m/>
  </r>
  <r>
    <s v="27/08/2024"/>
    <d v="1899-12-30T17:16:00"/>
    <s v="Airtel 20 Credit"/>
    <n v="1"/>
    <n v="20"/>
    <n v="18"/>
    <n v="2"/>
    <s v="Cash"/>
    <x v="2"/>
    <m/>
    <m/>
    <m/>
  </r>
  <r>
    <s v="27/08/2024"/>
    <d v="1899-12-30T17:12:00"/>
    <s v="Royco cubes"/>
    <n v="8"/>
    <n v="40"/>
    <n v="24"/>
    <n v="16"/>
    <s v="Mpesa"/>
    <x v="2"/>
    <m/>
    <m/>
    <m/>
  </r>
  <r>
    <s v="27/08/2024"/>
    <d v="1899-12-30T17:12:00"/>
    <s v="5ltrs water"/>
    <n v="1"/>
    <n v="120"/>
    <n v="75"/>
    <n v="45"/>
    <s v="Mpesa"/>
    <x v="2"/>
    <m/>
    <m/>
    <m/>
  </r>
  <r>
    <s v="27/08/2024"/>
    <d v="1899-12-30T17:12:00"/>
    <s v="eggs"/>
    <n v="1"/>
    <n v="20"/>
    <n v="14.333333333333334"/>
    <n v="5.6666666666666661"/>
    <s v="Mpesa"/>
    <x v="2"/>
    <m/>
    <m/>
    <m/>
  </r>
  <r>
    <s v="27/08/2024"/>
    <d v="1899-12-30T17:33:00"/>
    <s v="Icepop"/>
    <n v="1"/>
    <n v="15"/>
    <n v="7.5"/>
    <n v="7.5"/>
    <s v="Cash"/>
    <x v="2"/>
    <m/>
    <m/>
    <m/>
  </r>
  <r>
    <s v="27/08/2024"/>
    <d v="1899-12-30T17:44:00"/>
    <s v="Mandazi"/>
    <n v="2"/>
    <n v="10"/>
    <n v="8.3333333333333339"/>
    <n v="1.6666666666666661"/>
    <s v="Cash"/>
    <x v="2"/>
    <m/>
    <m/>
    <m/>
  </r>
  <r>
    <s v="27/08/2024"/>
    <d v="1899-12-30T17:56:00"/>
    <s v="Festive Bread 400g"/>
    <n v="1"/>
    <n v="65"/>
    <n v="60"/>
    <n v="5"/>
    <s v="Mpesa"/>
    <x v="2"/>
    <m/>
    <m/>
    <m/>
  </r>
  <r>
    <s v="27/08/2024"/>
    <d v="1899-12-30T17:56:00"/>
    <s v="Royco cubes"/>
    <n v="4"/>
    <n v="20"/>
    <n v="12"/>
    <n v="8"/>
    <s v="Mpesa"/>
    <x v="2"/>
    <m/>
    <m/>
    <m/>
  </r>
  <r>
    <s v="27/08/2024"/>
    <d v="1899-12-30T18:10:00"/>
    <s v="Patco"/>
    <n v="8"/>
    <n v="20"/>
    <n v="9.6"/>
    <n v="10.4"/>
    <s v="Mpesa"/>
    <x v="2"/>
    <m/>
    <m/>
    <m/>
  </r>
  <r>
    <s v="27/08/2024"/>
    <d v="1899-12-30T18:15:00"/>
    <s v="Tomatoes"/>
    <n v="1"/>
    <n v="10"/>
    <n v="5"/>
    <n v="5"/>
    <s v="Cash"/>
    <x v="2"/>
    <m/>
    <m/>
    <m/>
  </r>
  <r>
    <s v="27/08/2024"/>
    <d v="1899-12-30T18:17:00"/>
    <s v="Icepop"/>
    <n v="1"/>
    <n v="15"/>
    <n v="7.5"/>
    <n v="7.5"/>
    <s v="Cash"/>
    <x v="2"/>
    <m/>
    <m/>
    <m/>
  </r>
  <r>
    <s v="27/08/2024"/>
    <d v="1899-12-30T18:35:00"/>
    <s v="Ringoz Paprika"/>
    <n v="1"/>
    <n v="15"/>
    <n v="8.8000000000000007"/>
    <n v="6.1999999999999993"/>
    <s v="Mpesa"/>
    <x v="2"/>
    <m/>
    <m/>
    <m/>
  </r>
  <r>
    <s v="27/08/2024"/>
    <d v="1899-12-30T18:48:00"/>
    <s v="soda 500ml glass"/>
    <n v="6"/>
    <n v="330"/>
    <n v="300"/>
    <n v="30"/>
    <s v="Mpesa"/>
    <x v="2"/>
    <m/>
    <m/>
    <m/>
  </r>
  <r>
    <s v="27/08/2024"/>
    <d v="1899-12-30T18:48:00"/>
    <s v="Bella Tissue"/>
    <n v="2"/>
    <n v="100"/>
    <n v="70"/>
    <n v="30"/>
    <s v="Mpesa"/>
    <x v="2"/>
    <m/>
    <m/>
    <m/>
  </r>
  <r>
    <s v="27/08/2024"/>
    <d v="1899-12-30T18:48:00"/>
    <s v="Nescafe 1.5g"/>
    <n v="6"/>
    <n v="90"/>
    <n v="55"/>
    <n v="35"/>
    <s v="Mpesa"/>
    <x v="2"/>
    <m/>
    <m/>
    <m/>
  </r>
  <r>
    <s v="27/08/2024"/>
    <d v="1899-12-30T18:48:00"/>
    <s v="Tomatoes"/>
    <n v="6"/>
    <n v="60"/>
    <n v="30"/>
    <n v="30"/>
    <s v="Mpesa"/>
    <x v="2"/>
    <m/>
    <m/>
    <m/>
  </r>
  <r>
    <s v="27/08/2024"/>
    <d v="1899-12-30T19:00:00"/>
    <s v="Safari"/>
    <n v="4"/>
    <n v="60"/>
    <n v="34"/>
    <n v="26"/>
    <s v="Mpesa"/>
    <x v="2"/>
    <m/>
    <m/>
    <m/>
  </r>
  <r>
    <s v="27/08/2024"/>
    <d v="1899-12-30T19:23:00"/>
    <s v=" soda 1.25lts"/>
    <n v="1"/>
    <n v="130"/>
    <n v="112.5"/>
    <n v="17.5"/>
    <s v="Mpesa"/>
    <x v="2"/>
    <m/>
    <m/>
    <m/>
  </r>
  <r>
    <s v="27/08/2024"/>
    <d v="1899-12-30T19:23:00"/>
    <s v="Festive 800g"/>
    <n v="1"/>
    <n v="130"/>
    <n v="120"/>
    <n v="10"/>
    <s v="Mpesa"/>
    <x v="2"/>
    <m/>
    <m/>
    <m/>
  </r>
  <r>
    <s v="27/08/2024"/>
    <d v="1899-12-30T19:21:00"/>
    <s v="Tomatoes"/>
    <n v="5"/>
    <n v="50"/>
    <n v="25"/>
    <n v="25"/>
    <s v="Mpesa"/>
    <x v="2"/>
    <m/>
    <m/>
    <m/>
  </r>
  <r>
    <s v="27/08/2024"/>
    <d v="1899-12-30T19:21:00"/>
    <s v="Tropical"/>
    <n v="2"/>
    <n v="10"/>
    <n v="3"/>
    <n v="7"/>
    <s v="Mpesa"/>
    <x v="2"/>
    <m/>
    <m/>
    <m/>
  </r>
  <r>
    <s v="27/08/2024"/>
    <d v="1899-12-30T19:55:00"/>
    <s v="Cooking Oil Measured"/>
    <n v="0.25"/>
    <n v="70"/>
    <n v="50"/>
    <n v="20"/>
    <s v="Mpesa"/>
    <x v="2"/>
    <m/>
    <m/>
    <m/>
  </r>
  <r>
    <s v="27/08/2024"/>
    <d v="1899-12-30T19:55:00"/>
    <s v="Soko Maize meal"/>
    <n v="1"/>
    <n v="160"/>
    <n v="125"/>
    <n v="35"/>
    <s v="Mpesa"/>
    <x v="2"/>
    <m/>
    <m/>
    <m/>
  </r>
  <r>
    <s v="27/08/2024"/>
    <d v="1899-12-30T19:58:00"/>
    <s v="Mt kenya milk 500ml"/>
    <n v="2"/>
    <n v="130"/>
    <n v="96.666666666666671"/>
    <n v="33.333333333333329"/>
    <s v="Cash"/>
    <x v="2"/>
    <m/>
    <m/>
    <m/>
  </r>
  <r>
    <s v="27/08/2024"/>
    <d v="1899-12-30T20:28:00"/>
    <s v="Maxguard"/>
    <n v="1"/>
    <n v="80"/>
    <n v="30"/>
    <n v="50"/>
    <s v="Mpesa"/>
    <x v="2"/>
    <m/>
    <m/>
    <m/>
  </r>
  <r>
    <s v="27/08/2024"/>
    <d v="1899-12-30T20:28:00"/>
    <s v="Sugar 1/2 kg"/>
    <n v="1"/>
    <n v="90"/>
    <n v="60"/>
    <n v="30"/>
    <s v="Mpesa"/>
    <x v="2"/>
    <m/>
    <m/>
    <m/>
  </r>
  <r>
    <s v="27/08/2024"/>
    <d v="1899-12-30T20:28:00"/>
    <s v="Festive Bread 400g"/>
    <n v="2"/>
    <n v="130"/>
    <n v="120"/>
    <n v="10"/>
    <s v="Mpesa"/>
    <x v="2"/>
    <m/>
    <m/>
    <m/>
  </r>
  <r>
    <s v="27/08/2024"/>
    <d v="1899-12-30T20:20:00"/>
    <s v="Nuvita Bisquit"/>
    <n v="3"/>
    <n v="15"/>
    <n v="12.5"/>
    <n v="2.5"/>
    <s v="Mpesa"/>
    <x v="2"/>
    <m/>
    <m/>
    <m/>
  </r>
  <r>
    <s v="28/08/2024"/>
    <d v="1899-12-30T07:31:00"/>
    <s v="Festive Bread 400g"/>
    <n v="1"/>
    <n v="65"/>
    <n v="60"/>
    <n v="5"/>
    <s v="Credit"/>
    <x v="47"/>
    <m/>
    <m/>
    <m/>
  </r>
  <r>
    <s v="28/08/2024"/>
    <d v="1899-12-30T07:32:00"/>
    <s v="Festive 800g"/>
    <n v="1"/>
    <n v="130"/>
    <n v="120"/>
    <n v="10"/>
    <s v="Credit"/>
    <x v="48"/>
    <m/>
    <m/>
    <m/>
  </r>
  <r>
    <s v="28/08/2024"/>
    <d v="1899-12-30T08:05:00"/>
    <s v="Mt kenya milk 500ml"/>
    <n v="1"/>
    <n v="65"/>
    <n v="48.333333333333336"/>
    <n v="16.666666666666664"/>
    <s v="Cash"/>
    <x v="2"/>
    <m/>
    <m/>
    <m/>
  </r>
  <r>
    <s v="28/08/2024"/>
    <d v="1899-12-30T08:34:00"/>
    <s v="Safari"/>
    <n v="1"/>
    <n v="15"/>
    <n v="8.5"/>
    <n v="6.5"/>
    <s v="Cash"/>
    <x v="2"/>
    <m/>
    <m/>
    <m/>
  </r>
  <r>
    <s v="28/08/2024"/>
    <d v="1899-12-30T08:38:00"/>
    <s v="Mandazi"/>
    <n v="2"/>
    <n v="10"/>
    <n v="8.3333333333333339"/>
    <n v="1.6666666666666661"/>
    <s v="Cash"/>
    <x v="2"/>
    <m/>
    <m/>
    <m/>
  </r>
  <r>
    <s v="28/08/2024"/>
    <d v="1899-12-30T09:00:00"/>
    <s v="Festive Bread 400g"/>
    <n v="1"/>
    <n v="65"/>
    <n v="60"/>
    <n v="5"/>
    <s v="Credit"/>
    <x v="3"/>
    <m/>
    <m/>
    <m/>
  </r>
  <r>
    <s v="28/08/2024"/>
    <d v="1899-12-30T09:01:00"/>
    <s v="Mt Kenya milk 200ml"/>
    <n v="1"/>
    <n v="35"/>
    <n v="24.285714285714285"/>
    <n v="10.714285714285715"/>
    <s v="Cash"/>
    <x v="2"/>
    <m/>
    <m/>
    <m/>
  </r>
  <r>
    <s v="28/08/2024"/>
    <d v="1899-12-30T09:02:00"/>
    <s v="Ginger Bisquit"/>
    <n v="1"/>
    <n v="5"/>
    <n v="4.333333333333333"/>
    <n v="0.66666666666666696"/>
    <s v="Cash"/>
    <x v="2"/>
    <m/>
    <m/>
    <m/>
  </r>
  <r>
    <s v="28/08/2024"/>
    <d v="1899-12-30T09:11:00"/>
    <s v="Festive Bread 400g"/>
    <n v="1"/>
    <n v="65"/>
    <n v="60"/>
    <n v="5"/>
    <s v="Mpesa"/>
    <x v="2"/>
    <m/>
    <m/>
    <m/>
  </r>
  <r>
    <s v="28/08/2024"/>
    <d v="1899-12-30T09:11:00"/>
    <s v="Choc-chip Cookies"/>
    <n v="1"/>
    <n v="35"/>
    <n v="25"/>
    <n v="10"/>
    <s v="Mpesa"/>
    <x v="2"/>
    <m/>
    <m/>
    <m/>
  </r>
  <r>
    <s v="28/08/2024"/>
    <d v="1899-12-30T09:16:00"/>
    <s v="Mandazi"/>
    <n v="1"/>
    <n v="5"/>
    <n v="4.166666666666667"/>
    <n v="0.83333333333333304"/>
    <s v="Cash"/>
    <x v="2"/>
    <m/>
    <m/>
    <m/>
  </r>
  <r>
    <s v="28/08/2024"/>
    <d v="1899-12-30T09:40:00"/>
    <s v="Airtel 50 Credit"/>
    <n v="11"/>
    <n v="550"/>
    <n v="517"/>
    <n v="33"/>
    <s v="Cash"/>
    <x v="2"/>
    <m/>
    <m/>
    <m/>
  </r>
  <r>
    <s v="28/08/2024"/>
    <d v="1899-12-30T09:40:00"/>
    <s v="Safari"/>
    <n v="2"/>
    <n v="30"/>
    <n v="17"/>
    <n v="13"/>
    <s v="Cash"/>
    <x v="2"/>
    <m/>
    <m/>
    <m/>
  </r>
  <r>
    <s v="28/08/2024"/>
    <d v="1899-12-30T09:40:00"/>
    <s v="Safari"/>
    <n v="2"/>
    <n v="30"/>
    <n v="17"/>
    <n v="13"/>
    <s v="Mpesa"/>
    <x v="2"/>
    <m/>
    <m/>
    <m/>
  </r>
  <r>
    <s v="28/08/2024"/>
    <d v="1899-12-30T09:58:00"/>
    <s v="Festive 600g"/>
    <n v="1"/>
    <n v="100"/>
    <n v="90"/>
    <n v="10"/>
    <s v="Mpesa"/>
    <x v="2"/>
    <m/>
    <m/>
    <m/>
  </r>
  <r>
    <s v="28/08/2024"/>
    <d v="1899-12-30T10:47:00"/>
    <s v="Festive 600g"/>
    <n v="1"/>
    <n v="100"/>
    <n v="90"/>
    <n v="10"/>
    <s v="Mpesa"/>
    <x v="2"/>
    <m/>
    <m/>
    <m/>
  </r>
  <r>
    <s v="28/08/2024"/>
    <d v="1899-12-30T11:02:00"/>
    <s v="Safaricom 20 Credit"/>
    <n v="1"/>
    <n v="20"/>
    <n v="18"/>
    <n v="2"/>
    <s v="Cash"/>
    <x v="2"/>
    <m/>
    <m/>
    <m/>
  </r>
  <r>
    <s v="28/08/2024"/>
    <d v="1899-12-30T11:01:00"/>
    <s v="soda 300ml glass"/>
    <n v="1"/>
    <n v="40"/>
    <n v="32.5"/>
    <n v="7.5"/>
    <s v="Mpesa"/>
    <x v="2"/>
    <m/>
    <m/>
    <m/>
  </r>
  <r>
    <s v="28/08/2024"/>
    <d v="1899-12-30T11:01:00"/>
    <s v="Mandazi"/>
    <n v="4"/>
    <n v="20"/>
    <n v="16.666666666666668"/>
    <n v="3.3333333333333321"/>
    <s v="Mpesa"/>
    <x v="2"/>
    <m/>
    <m/>
    <m/>
  </r>
  <r>
    <s v="28/08/2024"/>
    <d v="1899-12-30T11:18:00"/>
    <s v="eggs"/>
    <n v="2"/>
    <n v="40"/>
    <n v="28.666666666666668"/>
    <n v="11.333333333333332"/>
    <s v="Credit"/>
    <x v="31"/>
    <s v="Erick"/>
    <n v="40"/>
    <s v="Mpesa"/>
  </r>
  <r>
    <s v="28/08/2024"/>
    <d v="1899-12-30T11:27:00"/>
    <s v="Maramoja"/>
    <n v="1"/>
    <n v="10"/>
    <n v="7"/>
    <n v="3"/>
    <s v="Mpesa"/>
    <x v="2"/>
    <m/>
    <m/>
    <m/>
  </r>
  <r>
    <s v="28/08/2024"/>
    <d v="1899-12-30T11:27:00"/>
    <s v="Cooking Oil Measured"/>
    <n v="0.25"/>
    <n v="70"/>
    <n v="50"/>
    <n v="20"/>
    <s v="Mpesa"/>
    <x v="2"/>
    <m/>
    <m/>
    <m/>
  </r>
  <r>
    <s v="28/08/2024"/>
    <d v="1899-12-30T11:27:00"/>
    <s v="Onion"/>
    <n v="1"/>
    <n v="10"/>
    <n v="8"/>
    <n v="2"/>
    <s v="Mpesa"/>
    <x v="2"/>
    <m/>
    <m/>
    <m/>
  </r>
  <r>
    <s v="28/08/2024"/>
    <d v="1899-12-30T11:44:00"/>
    <s v="Mandazi"/>
    <n v="4"/>
    <n v="20"/>
    <n v="16.666666666666668"/>
    <n v="3.3333333333333321"/>
    <s v="Mpesa"/>
    <x v="2"/>
    <m/>
    <m/>
    <m/>
  </r>
  <r>
    <s v="28/08/2024"/>
    <d v="1899-12-30T11:56:00"/>
    <s v="Menengai Bar 1kg"/>
    <n v="0.2"/>
    <n v="50"/>
    <n v="38"/>
    <n v="12"/>
    <s v="Mpesa"/>
    <x v="2"/>
    <m/>
    <m/>
    <m/>
  </r>
  <r>
    <s v="28/08/2024"/>
    <d v="1899-12-30T13:04:00"/>
    <s v="predator"/>
    <n v="1"/>
    <n v="70"/>
    <n v="54.166666666666664"/>
    <n v="15.833333333333336"/>
    <s v="Mpesa"/>
    <x v="2"/>
    <m/>
    <m/>
    <m/>
  </r>
  <r>
    <s v="28/08/2024"/>
    <d v="1899-12-30T13:38:00"/>
    <s v="Indomie chicken"/>
    <n v="1"/>
    <n v="50"/>
    <n v="37.5"/>
    <n v="12.5"/>
    <s v="Credit"/>
    <x v="13"/>
    <m/>
    <m/>
    <m/>
  </r>
  <r>
    <s v="28/08/2024"/>
    <d v="1899-12-30T13:38:00"/>
    <s v="Pishori rice"/>
    <n v="0.5"/>
    <n v="110"/>
    <n v="90"/>
    <n v="20"/>
    <s v="Credit"/>
    <x v="13"/>
    <m/>
    <m/>
    <m/>
  </r>
  <r>
    <s v="28/08/2024"/>
    <d v="1899-12-30T13:38:00"/>
    <s v="Tomatoes"/>
    <n v="2"/>
    <n v="20"/>
    <n v="10"/>
    <n v="10"/>
    <s v="Cash"/>
    <x v="2"/>
    <m/>
    <m/>
    <m/>
  </r>
  <r>
    <s v="28/08/2024"/>
    <d v="1899-12-30T13:13:00"/>
    <s v="Safari"/>
    <n v="2"/>
    <n v="30"/>
    <n v="17"/>
    <n v="13"/>
    <s v="Mpesa"/>
    <x v="2"/>
    <m/>
    <m/>
    <m/>
  </r>
  <r>
    <s v="28/08/2024"/>
    <d v="1899-12-30T14:41:00"/>
    <s v="Indomie chicken"/>
    <n v="3"/>
    <n v="150"/>
    <n v="112.5"/>
    <n v="37.5"/>
    <s v="Credit"/>
    <x v="12"/>
    <s v="Pauline"/>
    <n v="150"/>
    <s v="Mpesa"/>
  </r>
  <r>
    <s v="28/08/2024"/>
    <d v="1899-12-30T15:41:00"/>
    <s v="Sportsman"/>
    <n v="1"/>
    <n v="20"/>
    <n v="13"/>
    <n v="7"/>
    <s v="Cash"/>
    <x v="2"/>
    <m/>
    <m/>
    <m/>
  </r>
  <r>
    <s v="28/08/2024"/>
    <d v="1899-12-30T16:13:00"/>
    <s v="Brookside milk 500ml"/>
    <n v="1"/>
    <n v="70"/>
    <n v="59"/>
    <n v="11"/>
    <s v="Mpesa"/>
    <x v="2"/>
    <m/>
    <m/>
    <m/>
  </r>
  <r>
    <s v="28/08/2024"/>
    <d v="1899-12-30T16:23:00"/>
    <s v="Indomie chicken"/>
    <n v="1"/>
    <n v="50"/>
    <n v="37.5"/>
    <n v="12.5"/>
    <s v="Credit"/>
    <x v="12"/>
    <s v="Pauline"/>
    <n v="50"/>
    <s v="Mpesa"/>
  </r>
  <r>
    <s v="28/08/2024"/>
    <d v="1899-12-30T16:46:00"/>
    <s v="Safaricom 20 Credit"/>
    <n v="2"/>
    <n v="40"/>
    <n v="36"/>
    <n v="4"/>
    <s v="Cash"/>
    <x v="2"/>
    <m/>
    <m/>
    <m/>
  </r>
  <r>
    <s v="28/08/2024"/>
    <d v="1899-12-30T16:46:00"/>
    <s v="Container 20ltrs"/>
    <n v="2"/>
    <n v="100"/>
    <n v="0"/>
    <n v="100"/>
    <s v="Cash"/>
    <x v="2"/>
    <m/>
    <m/>
    <m/>
  </r>
  <r>
    <s v="28/08/2024"/>
    <d v="1899-12-30T17:00:00"/>
    <s v="Tropical"/>
    <n v="4"/>
    <n v="20"/>
    <n v="6"/>
    <n v="14"/>
    <s v="Cash"/>
    <x v="2"/>
    <m/>
    <m/>
    <m/>
  </r>
  <r>
    <s v="28/08/2024"/>
    <d v="1899-12-30T17:00:00"/>
    <s v="Bigdaddy"/>
    <n v="3"/>
    <n v="30"/>
    <n v="18"/>
    <n v="12"/>
    <s v="Cash"/>
    <x v="2"/>
    <m/>
    <m/>
    <m/>
  </r>
  <r>
    <s v="28/08/2024"/>
    <d v="1899-12-30T17:00:00"/>
    <s v="Safaricom 50 Credit"/>
    <n v="1"/>
    <n v="50"/>
    <n v="47"/>
    <n v="3"/>
    <s v="Cash"/>
    <x v="2"/>
    <m/>
    <m/>
    <m/>
  </r>
  <r>
    <s v="28/08/2024"/>
    <d v="1899-12-30T17:05:00"/>
    <s v="Goodday Cookies"/>
    <n v="2"/>
    <n v="30"/>
    <n v="18.666666666666668"/>
    <n v="11.333333333333332"/>
    <s v="Cash"/>
    <x v="2"/>
    <m/>
    <m/>
    <m/>
  </r>
  <r>
    <s v="28/08/2024"/>
    <d v="1899-12-30T17:05:00"/>
    <s v="Ringoz Barbeque"/>
    <n v="1"/>
    <n v="15"/>
    <n v="8.6"/>
    <n v="6.4"/>
    <s v="Cash"/>
    <x v="2"/>
    <m/>
    <m/>
    <m/>
  </r>
  <r>
    <s v="28/08/2024"/>
    <d v="1899-12-30T17:05:00"/>
    <s v="Ring Cake"/>
    <n v="1"/>
    <n v="50"/>
    <n v="45"/>
    <n v="5"/>
    <s v="Cash"/>
    <x v="2"/>
    <m/>
    <m/>
    <m/>
  </r>
  <r>
    <s v="28/08/2024"/>
    <d v="1899-12-30T17:05:00"/>
    <s v="Bigboss"/>
    <n v="1"/>
    <n v="5"/>
    <n v="3.5"/>
    <n v="1.5"/>
    <s v="Cash"/>
    <x v="2"/>
    <m/>
    <m/>
    <m/>
  </r>
  <r>
    <s v="28/08/2024"/>
    <d v="1899-12-30T18:03:00"/>
    <s v="Tomatoes"/>
    <n v="1"/>
    <n v="10"/>
    <n v="5"/>
    <n v="5"/>
    <s v="Mpesa"/>
    <x v="2"/>
    <m/>
    <m/>
    <m/>
  </r>
  <r>
    <s v="28/08/2024"/>
    <d v="1899-12-30T18:03:00"/>
    <s v="eggs"/>
    <n v="1"/>
    <n v="20"/>
    <n v="14.333333333333334"/>
    <n v="5.6666666666666661"/>
    <s v="Cash"/>
    <x v="2"/>
    <m/>
    <m/>
    <m/>
  </r>
  <r>
    <s v="28/08/2024"/>
    <d v="1899-12-30T18:13:00"/>
    <s v="Icepop"/>
    <n v="2"/>
    <n v="30"/>
    <n v="15"/>
    <n v="15"/>
    <s v="Cash"/>
    <x v="2"/>
    <m/>
    <m/>
    <m/>
  </r>
  <r>
    <s v="28/08/2024"/>
    <d v="1899-12-30T18:13:00"/>
    <s v="Patco"/>
    <n v="12"/>
    <n v="30"/>
    <n v="14.399999999999999"/>
    <n v="15.600000000000001"/>
    <s v="Cash"/>
    <x v="2"/>
    <m/>
    <m/>
    <m/>
  </r>
  <r>
    <s v="28/08/2024"/>
    <d v="1899-12-30T18:13:00"/>
    <s v="Bigdaddy"/>
    <n v="1"/>
    <n v="10"/>
    <n v="6"/>
    <n v="4"/>
    <s v="Cash"/>
    <x v="2"/>
    <m/>
    <m/>
    <m/>
  </r>
  <r>
    <s v="28/08/2024"/>
    <d v="1899-12-30T18:26:00"/>
    <s v="Soko Maize meal"/>
    <n v="1"/>
    <n v="160"/>
    <n v="125"/>
    <n v="35"/>
    <s v="Mpesa"/>
    <x v="2"/>
    <m/>
    <m/>
    <m/>
  </r>
  <r>
    <s v="28/08/2024"/>
    <d v="1899-12-30T18:26:00"/>
    <s v="Cooking Oil Measured"/>
    <n v="0.5"/>
    <n v="140"/>
    <n v="100"/>
    <n v="40"/>
    <s v="Mpesa"/>
    <x v="2"/>
    <m/>
    <m/>
    <m/>
  </r>
  <r>
    <s v="28/08/2024"/>
    <d v="1899-12-30T18:26:00"/>
    <s v="eggs"/>
    <n v="5"/>
    <n v="100"/>
    <n v="71.666666666666671"/>
    <n v="28.333333333333329"/>
    <s v="Mpesa"/>
    <x v="2"/>
    <m/>
    <m/>
    <m/>
  </r>
  <r>
    <s v="28/08/2024"/>
    <d v="1899-12-30T18:45:00"/>
    <s v="Mt kenya milk 500ml"/>
    <n v="1"/>
    <n v="65"/>
    <n v="48.333333333333336"/>
    <n v="16.666666666666664"/>
    <s v="Mpesa"/>
    <x v="2"/>
    <m/>
    <m/>
    <m/>
  </r>
  <r>
    <s v="28/08/2024"/>
    <d v="1899-12-30T19:04:00"/>
    <s v="kensalt 200g"/>
    <n v="1"/>
    <n v="15"/>
    <n v="5.5"/>
    <n v="9.5"/>
    <s v="Mpesa"/>
    <x v="34"/>
    <s v="fredy"/>
    <n v="5"/>
    <s v="Mpesa"/>
  </r>
  <r>
    <s v="28/08/2024"/>
    <d v="1899-12-30T19:04:00"/>
    <s v="Sportsman"/>
    <n v="1"/>
    <n v="20"/>
    <n v="13"/>
    <n v="7"/>
    <s v="Mpesa"/>
    <x v="34"/>
    <m/>
    <m/>
    <m/>
  </r>
  <r>
    <s v="28/08/2024"/>
    <d v="1899-12-30T19:05:00"/>
    <s v="Icepop"/>
    <n v="1"/>
    <n v="15"/>
    <n v="7.5"/>
    <n v="7.5"/>
    <s v="Mpesa"/>
    <x v="2"/>
    <m/>
    <m/>
    <m/>
  </r>
  <r>
    <s v="28/08/2024"/>
    <d v="1899-12-30T19:05:00"/>
    <s v="Patco"/>
    <n v="8"/>
    <n v="20"/>
    <n v="9.6"/>
    <n v="10.4"/>
    <s v="Cash"/>
    <x v="2"/>
    <m/>
    <m/>
    <m/>
  </r>
  <r>
    <s v="28/08/2024"/>
    <d v="1899-12-30T19:05:00"/>
    <s v="Softcare pads"/>
    <n v="1"/>
    <n v="85"/>
    <n v="66"/>
    <n v="19"/>
    <s v="Mpesa"/>
    <x v="2"/>
    <m/>
    <m/>
    <m/>
  </r>
  <r>
    <s v="28/08/2024"/>
    <d v="1899-12-30T19:05:00"/>
    <s v="Safaricom 20 Credit"/>
    <n v="1"/>
    <n v="20"/>
    <n v="18"/>
    <n v="2"/>
    <s v="Cash"/>
    <x v="2"/>
    <m/>
    <m/>
    <m/>
  </r>
  <r>
    <s v="28/08/2024"/>
    <d v="1899-12-30T19:06:00"/>
    <s v="Pishori rice"/>
    <n v="1"/>
    <n v="220"/>
    <n v="180"/>
    <n v="40"/>
    <s v="Cash"/>
    <x v="2"/>
    <m/>
    <m/>
    <m/>
  </r>
  <r>
    <s v="28/08/2024"/>
    <d v="1899-12-30T19:07:00"/>
    <s v="Icepop"/>
    <n v="1"/>
    <n v="15"/>
    <n v="7.5"/>
    <n v="7.5"/>
    <s v="Cash"/>
    <x v="2"/>
    <m/>
    <m/>
    <m/>
  </r>
  <r>
    <s v="28/08/2024"/>
    <d v="1899-12-30T19:19:00"/>
    <s v="Festive Bread 400g"/>
    <n v="2"/>
    <n v="130"/>
    <n v="120"/>
    <n v="10"/>
    <s v="Mpesa"/>
    <x v="2"/>
    <m/>
    <m/>
    <m/>
  </r>
  <r>
    <s v="28/08/2024"/>
    <d v="1899-12-30T19:19:00"/>
    <s v="Royco cubes"/>
    <n v="2"/>
    <n v="10"/>
    <n v="6"/>
    <n v="4"/>
    <s v="Mpesa"/>
    <x v="2"/>
    <m/>
    <m/>
    <m/>
  </r>
  <r>
    <s v="28/08/2024"/>
    <d v="1899-12-30T19:59:00"/>
    <s v="minutemaid 400ml"/>
    <n v="1"/>
    <n v="85"/>
    <n v="62.5"/>
    <n v="22.5"/>
    <s v="Mpesa"/>
    <x v="2"/>
    <m/>
    <m/>
    <m/>
  </r>
  <r>
    <s v="28/08/2024"/>
    <d v="1899-12-30T20:07:00"/>
    <s v="Cooking Oil Measured"/>
    <n v="0.25"/>
    <n v="70"/>
    <n v="50"/>
    <n v="20"/>
    <s v="Cash"/>
    <x v="2"/>
    <m/>
    <m/>
    <m/>
  </r>
  <r>
    <s v="28/08/2024"/>
    <d v="1899-12-30T20:19:00"/>
    <s v="Sportsman"/>
    <n v="2"/>
    <n v="40"/>
    <n v="26"/>
    <n v="14"/>
    <s v="Cash"/>
    <x v="2"/>
    <m/>
    <m/>
    <m/>
  </r>
  <r>
    <s v="28/08/2024"/>
    <d v="1899-12-30T20:19:00"/>
    <s v="Maramoja"/>
    <n v="1"/>
    <n v="10"/>
    <n v="7"/>
    <n v="3"/>
    <s v="Cash"/>
    <x v="2"/>
    <m/>
    <m/>
    <m/>
  </r>
  <r>
    <s v="28/08/2024"/>
    <d v="1899-12-30T19:20:00"/>
    <s v="Festive 800g"/>
    <n v="1"/>
    <n v="130"/>
    <n v="120"/>
    <n v="10"/>
    <s v="Mpesa"/>
    <x v="2"/>
    <m/>
    <m/>
    <m/>
  </r>
  <r>
    <s v="28/08/2024"/>
    <d v="1899-12-30T20:23:00"/>
    <s v="Kiwi"/>
    <n v="1"/>
    <n v="50"/>
    <n v="37.5"/>
    <n v="12.5"/>
    <s v="Credit"/>
    <x v="12"/>
    <s v="Pauline"/>
    <n v="100"/>
    <s v="Mpesa"/>
  </r>
  <r>
    <s v="28/08/2024"/>
    <d v="1899-12-30T20:23:00"/>
    <s v="Menengai Bar 1kg"/>
    <n v="0.2"/>
    <n v="50"/>
    <n v="38"/>
    <n v="12"/>
    <s v="Credit"/>
    <x v="12"/>
    <m/>
    <m/>
    <m/>
  </r>
  <r>
    <s v="28/08/2024"/>
    <d v="1899-12-30T20:23:00"/>
    <s v="Ginger Bisquit"/>
    <n v="6"/>
    <n v="30"/>
    <n v="26"/>
    <n v="4"/>
    <s v="Cash"/>
    <x v="2"/>
    <m/>
    <m/>
    <m/>
  </r>
  <r>
    <s v="28/08/2024"/>
    <d v="1899-12-30T20:23:00"/>
    <s v="soda 500ml plastic"/>
    <n v="3"/>
    <n v="210"/>
    <n v="181.25"/>
    <n v="28.75"/>
    <s v="Cash"/>
    <x v="2"/>
    <m/>
    <m/>
    <m/>
  </r>
  <r>
    <s v="28/08/2024"/>
    <d v="1899-12-30T20:23:00"/>
    <s v="Glucose 10g"/>
    <n v="3"/>
    <n v="15"/>
    <n v="11.25"/>
    <n v="3.75"/>
    <s v="Cash"/>
    <x v="2"/>
    <m/>
    <m/>
    <m/>
  </r>
  <r>
    <s v="28/08/2024"/>
    <d v="1899-12-30T21:00:00"/>
    <s v="Bigdaddy"/>
    <n v="5"/>
    <n v="50"/>
    <n v="30"/>
    <n v="20"/>
    <s v="Cash"/>
    <x v="2"/>
    <m/>
    <m/>
    <m/>
  </r>
  <r>
    <s v="28/08/2024"/>
    <d v="1899-12-30T21:00:00"/>
    <s v="Baloon"/>
    <n v="4"/>
    <n v="40"/>
    <n v="24"/>
    <n v="16"/>
    <s v="Cash"/>
    <x v="2"/>
    <m/>
    <m/>
    <m/>
  </r>
  <r>
    <s v="28/08/2024"/>
    <d v="1899-12-30T21:00:00"/>
    <s v="pens black"/>
    <n v="4"/>
    <n v="40"/>
    <n v="20"/>
    <n v="20"/>
    <s v="Cash"/>
    <x v="2"/>
    <m/>
    <m/>
    <m/>
  </r>
  <r>
    <s v="28/08/2024"/>
    <d v="1899-12-30T21:00:00"/>
    <s v="pens red"/>
    <n v="4"/>
    <n v="40"/>
    <n v="20"/>
    <n v="20"/>
    <s v="Cash"/>
    <x v="2"/>
    <m/>
    <m/>
    <m/>
  </r>
  <r>
    <s v="28/08/2024"/>
    <d v="1899-12-30T21:00:00"/>
    <s v="Carrier bag big"/>
    <n v="1"/>
    <n v="20"/>
    <n v="5"/>
    <n v="15"/>
    <s v="Credit"/>
    <x v="3"/>
    <m/>
    <m/>
    <m/>
  </r>
  <r>
    <s v="28/08/2024"/>
    <d v="1899-12-30T21:07:00"/>
    <s v="Brookside milk 500ml"/>
    <n v="1"/>
    <n v="70"/>
    <n v="59"/>
    <n v="11"/>
    <s v="Credit"/>
    <x v="8"/>
    <m/>
    <m/>
    <m/>
  </r>
  <r>
    <s v="28/08/2024"/>
    <d v="1899-12-30T16:47:00"/>
    <s v="soda 300ml glass"/>
    <n v="1"/>
    <n v="40"/>
    <n v="32.5"/>
    <n v="7.5"/>
    <s v="Credit"/>
    <x v="13"/>
    <m/>
    <m/>
    <m/>
  </r>
  <r>
    <s v="28/08/2024"/>
    <d v="1899-12-30T13:11:00"/>
    <s v="eggs"/>
    <n v="2"/>
    <n v="40"/>
    <n v="28.666666666666668"/>
    <n v="11.333333333333332"/>
    <s v="Credit"/>
    <x v="31"/>
    <s v="Erick"/>
    <n v="40"/>
    <s v="Mpesa"/>
  </r>
  <r>
    <d v="2024-08-29T00:00:00"/>
    <d v="1899-12-30T07:17:00"/>
    <s v="Sportsman"/>
    <n v="1"/>
    <n v="20"/>
    <n v="13"/>
    <n v="7"/>
    <s v="Mpesa"/>
    <x v="2"/>
    <m/>
    <m/>
    <m/>
  </r>
  <r>
    <d v="2024-08-29T00:00:00"/>
    <d v="1899-12-30T07:30:00"/>
    <s v="Steel Wool 15g"/>
    <n v="2"/>
    <n v="20"/>
    <n v="10.466666666666667"/>
    <n v="9.5333333333333332"/>
    <s v="Mpesa"/>
    <x v="2"/>
    <m/>
    <m/>
    <m/>
  </r>
  <r>
    <d v="2024-08-29T00:00:00"/>
    <d v="1899-12-30T08:08:00"/>
    <s v="Safaricom 20 Credit"/>
    <n v="1"/>
    <n v="20"/>
    <n v="18"/>
    <n v="2"/>
    <s v="Cash"/>
    <x v="2"/>
    <m/>
    <m/>
    <m/>
  </r>
  <r>
    <d v="2024-08-29T00:00:00"/>
    <d v="1899-12-30T08:36:00"/>
    <s v="Sportsman"/>
    <n v="1"/>
    <n v="20"/>
    <n v="13"/>
    <n v="7"/>
    <s v="Mpesa"/>
    <x v="2"/>
    <m/>
    <m/>
    <m/>
  </r>
  <r>
    <d v="2024-08-29T00:00:00"/>
    <d v="1899-12-30T08:45:00"/>
    <s v="1.5ltrs water"/>
    <n v="1"/>
    <n v="70"/>
    <n v="25"/>
    <n v="45"/>
    <s v="Mpesa"/>
    <x v="2"/>
    <m/>
    <m/>
    <m/>
  </r>
  <r>
    <d v="2024-08-29T00:00:00"/>
    <d v="1899-12-30T08:58:00"/>
    <s v="Sportsman"/>
    <n v="1"/>
    <n v="20"/>
    <n v="13"/>
    <n v="7"/>
    <s v="Cash"/>
    <x v="2"/>
    <m/>
    <m/>
    <m/>
  </r>
  <r>
    <d v="2024-08-29T00:00:00"/>
    <d v="1899-12-30T09:16:00"/>
    <s v="Sportsman"/>
    <n v="3"/>
    <n v="60"/>
    <n v="39"/>
    <n v="21"/>
    <s v="Cash"/>
    <x v="2"/>
    <m/>
    <m/>
    <m/>
  </r>
  <r>
    <d v="2024-08-29T00:00:00"/>
    <d v="1899-12-30T09:38:00"/>
    <s v="Tomatoes"/>
    <n v="1"/>
    <n v="10"/>
    <n v="5"/>
    <n v="5"/>
    <s v="Mpesa"/>
    <x v="2"/>
    <m/>
    <m/>
    <m/>
  </r>
  <r>
    <d v="2024-08-29T00:00:00"/>
    <d v="1899-12-30T09:38:00"/>
    <s v="Onion"/>
    <n v="1"/>
    <n v="10"/>
    <n v="8"/>
    <n v="2"/>
    <s v="Mpesa"/>
    <x v="2"/>
    <m/>
    <m/>
    <m/>
  </r>
  <r>
    <d v="2024-08-29T00:00:00"/>
    <d v="1899-12-30T10:21:00"/>
    <s v="Festive Bread 400g"/>
    <n v="1"/>
    <n v="65"/>
    <n v="60"/>
    <n v="5"/>
    <s v="Cash"/>
    <x v="2"/>
    <m/>
    <m/>
    <m/>
  </r>
  <r>
    <d v="2024-08-29T00:00:00"/>
    <d v="1899-12-30T10:21:00"/>
    <s v="ariel 10g"/>
    <n v="1"/>
    <n v="15"/>
    <n v="9.1666666666666661"/>
    <n v="5.8333333333333339"/>
    <s v="Cash"/>
    <x v="2"/>
    <m/>
    <m/>
    <m/>
  </r>
  <r>
    <d v="2024-08-29T00:00:00"/>
    <d v="1899-12-30T10:52:00"/>
    <s v="Ginger Bisquit"/>
    <n v="1"/>
    <n v="5"/>
    <n v="4.333333333333333"/>
    <n v="0.66666666666666696"/>
    <s v="Mpesa"/>
    <x v="2"/>
    <m/>
    <m/>
    <m/>
  </r>
  <r>
    <d v="2024-08-29T00:00:00"/>
    <d v="1899-12-30T10:52:00"/>
    <s v="Festive Bread 400g"/>
    <n v="1"/>
    <n v="65"/>
    <n v="60"/>
    <n v="5"/>
    <s v="Mpesa"/>
    <x v="2"/>
    <m/>
    <m/>
    <m/>
  </r>
  <r>
    <d v="2024-08-29T00:00:00"/>
    <d v="1899-12-30T11:09:00"/>
    <s v="BB Bread 400g"/>
    <n v="1"/>
    <n v="65"/>
    <n v="60"/>
    <n v="5"/>
    <s v="Mpesa"/>
    <x v="2"/>
    <m/>
    <m/>
    <m/>
  </r>
  <r>
    <d v="2024-08-29T00:00:00"/>
    <d v="1899-12-30T11:09:00"/>
    <s v="Mt kenya milk 500ml"/>
    <n v="1"/>
    <n v="65"/>
    <n v="48.333333333333336"/>
    <n v="16.666666666666664"/>
    <s v="Mpesa"/>
    <x v="2"/>
    <m/>
    <m/>
    <m/>
  </r>
  <r>
    <d v="2024-08-29T00:00:00"/>
    <d v="1899-12-30T11:09:00"/>
    <s v="Tomatoes"/>
    <n v="5"/>
    <n v="50"/>
    <n v="25"/>
    <n v="25"/>
    <s v="Mpesa"/>
    <x v="2"/>
    <m/>
    <m/>
    <m/>
  </r>
  <r>
    <d v="2024-08-29T00:00:00"/>
    <d v="1899-12-30T11:11:00"/>
    <s v="Whitewash "/>
    <n v="1"/>
    <n v="50"/>
    <n v="33.75"/>
    <n v="16.25"/>
    <s v="Mpesa"/>
    <x v="2"/>
    <m/>
    <m/>
    <m/>
  </r>
  <r>
    <d v="2024-08-29T00:00:00"/>
    <d v="1899-12-30T11:30:00"/>
    <s v="Sportsman"/>
    <n v="1"/>
    <n v="20"/>
    <n v="13"/>
    <n v="7"/>
    <s v="Mpesa"/>
    <x v="2"/>
    <m/>
    <m/>
    <m/>
  </r>
  <r>
    <d v="2024-08-29T00:00:00"/>
    <d v="1899-12-30T11:59:00"/>
    <s v="Airtel 10 Credit"/>
    <n v="2"/>
    <n v="20"/>
    <n v="18"/>
    <n v="2"/>
    <s v="Cash"/>
    <x v="2"/>
    <m/>
    <m/>
    <m/>
  </r>
  <r>
    <d v="2024-08-29T00:00:00"/>
    <d v="1899-12-30T11:59:00"/>
    <s v="Safaricom 10 Credit"/>
    <n v="3"/>
    <n v="30"/>
    <n v="27"/>
    <n v="3"/>
    <s v="Cash"/>
    <x v="2"/>
    <m/>
    <m/>
    <m/>
  </r>
  <r>
    <d v="2024-08-29T00:00:00"/>
    <d v="1899-12-30T12:28:00"/>
    <s v="soda 500ml glass"/>
    <n v="1"/>
    <n v="55"/>
    <n v="50"/>
    <n v="5"/>
    <s v="Mpesa"/>
    <x v="2"/>
    <m/>
    <m/>
    <m/>
  </r>
  <r>
    <d v="2024-08-29T00:00:00"/>
    <d v="1899-12-30T12:31:00"/>
    <s v="Sindano rice"/>
    <n v="1"/>
    <n v="150"/>
    <n v="120"/>
    <n v="30"/>
    <s v="Credit"/>
    <x v="7"/>
    <m/>
    <m/>
    <m/>
  </r>
  <r>
    <d v="2024-08-29T00:00:00"/>
    <d v="1899-12-30T12:40:00"/>
    <s v="Tropical"/>
    <n v="4"/>
    <n v="20"/>
    <n v="6"/>
    <n v="14"/>
    <s v="Cash"/>
    <x v="2"/>
    <m/>
    <m/>
    <m/>
  </r>
  <r>
    <d v="2024-08-29T00:00:00"/>
    <d v="1899-12-30T12:52:00"/>
    <s v="Eno"/>
    <n v="2"/>
    <n v="40"/>
    <n v="22"/>
    <n v="18"/>
    <s v="Mpesa"/>
    <x v="2"/>
    <m/>
    <m/>
    <m/>
  </r>
  <r>
    <d v="2024-08-29T00:00:00"/>
    <d v="1899-12-30T13:04:00"/>
    <s v="predator"/>
    <n v="1"/>
    <n v="70"/>
    <n v="54.166666666666664"/>
    <n v="15.833333333333336"/>
    <s v="Credit"/>
    <x v="19"/>
    <m/>
    <m/>
    <m/>
  </r>
  <r>
    <d v="2024-08-29T00:00:00"/>
    <d v="1899-12-30T13:04:00"/>
    <s v="Half pound cake"/>
    <n v="1"/>
    <n v="100"/>
    <n v="90"/>
    <n v="10"/>
    <s v="Credit"/>
    <x v="19"/>
    <s v="Irene"/>
    <n v="245"/>
    <s v="Mpesa"/>
  </r>
  <r>
    <d v="2024-08-29T00:00:00"/>
    <d v="1899-12-30T13:15:00"/>
    <s v="Mt kenya milk 500ml"/>
    <n v="1"/>
    <n v="65"/>
    <n v="48.333333333333336"/>
    <n v="16.666666666666664"/>
    <s v="Mpesa"/>
    <x v="2"/>
    <m/>
    <m/>
    <m/>
  </r>
  <r>
    <d v="2024-08-29T00:00:00"/>
    <d v="1899-12-30T13:15:00"/>
    <s v="Match Box"/>
    <n v="1"/>
    <n v="5"/>
    <n v="2.3611111111111112"/>
    <n v="2.6388888888888888"/>
    <s v="Mpesa"/>
    <x v="2"/>
    <m/>
    <m/>
    <m/>
  </r>
  <r>
    <d v="2024-08-29T00:00:00"/>
    <d v="1899-12-30T13:15:00"/>
    <s v="Lollipop"/>
    <n v="1"/>
    <n v="5"/>
    <n v="2.4"/>
    <n v="2.6"/>
    <s v="Mpesa"/>
    <x v="2"/>
    <m/>
    <m/>
    <m/>
  </r>
  <r>
    <d v="2024-08-29T00:00:00"/>
    <d v="1899-12-30T13:21:00"/>
    <s v="BB Bread 400g"/>
    <n v="1"/>
    <n v="65"/>
    <n v="60"/>
    <n v="5"/>
    <s v="Mpesa"/>
    <x v="2"/>
    <m/>
    <m/>
    <m/>
  </r>
  <r>
    <d v="2024-08-29T00:00:00"/>
    <d v="1899-12-30T13:21:00"/>
    <s v="soda 350ml plastic"/>
    <n v="1"/>
    <n v="50"/>
    <n v="41.666666666666664"/>
    <n v="8.3333333333333357"/>
    <s v="Mpesa"/>
    <x v="2"/>
    <m/>
    <m/>
    <m/>
  </r>
  <r>
    <d v="2024-08-29T00:00:00"/>
    <d v="1899-12-30T13:21:00"/>
    <s v="Mt kenya milk 500ml"/>
    <n v="1"/>
    <n v="65"/>
    <n v="48.333333333333336"/>
    <n v="16.666666666666664"/>
    <s v="Mpesa"/>
    <x v="2"/>
    <m/>
    <m/>
    <m/>
  </r>
  <r>
    <d v="2024-08-29T00:00:00"/>
    <d v="1899-12-30T13:21:00"/>
    <s v="Choc-chip Cookies"/>
    <n v="1"/>
    <n v="35"/>
    <n v="25"/>
    <n v="10"/>
    <s v="Mpesa"/>
    <x v="2"/>
    <m/>
    <m/>
    <m/>
  </r>
  <r>
    <d v="2024-08-29T00:00:00"/>
    <d v="1899-12-30T13:21:00"/>
    <s v="Bigdaddy"/>
    <n v="1"/>
    <n v="10"/>
    <n v="6"/>
    <n v="4"/>
    <s v="Mpesa"/>
    <x v="2"/>
    <m/>
    <m/>
    <m/>
  </r>
  <r>
    <d v="2024-08-29T00:00:00"/>
    <d v="1899-12-30T12:58:00"/>
    <s v="eggs"/>
    <n v="7"/>
    <n v="140"/>
    <n v="100.33333333333334"/>
    <n v="39.666666666666657"/>
    <s v="Mpesa"/>
    <x v="2"/>
    <m/>
    <m/>
    <m/>
  </r>
  <r>
    <d v="2024-08-29T00:00:00"/>
    <d v="1899-12-30T12:58:00"/>
    <s v="Battery AA"/>
    <n v="2"/>
    <n v="30"/>
    <n v="20"/>
    <n v="10"/>
    <s v="Mpesa"/>
    <x v="2"/>
    <m/>
    <m/>
    <m/>
  </r>
  <r>
    <d v="2024-08-29T00:00:00"/>
    <d v="1899-12-30T12:58:00"/>
    <s v="Royco cubes"/>
    <n v="2"/>
    <n v="10"/>
    <n v="6"/>
    <n v="4"/>
    <s v="Mpesa"/>
    <x v="2"/>
    <m/>
    <m/>
    <m/>
  </r>
  <r>
    <d v="2024-08-29T00:00:00"/>
    <d v="1899-12-30T14:42:00"/>
    <s v="Lemon Bisquit"/>
    <n v="4"/>
    <n v="20"/>
    <n v="17.333333333333332"/>
    <n v="2.6666666666666679"/>
    <s v="Mpesa"/>
    <x v="2"/>
    <m/>
    <m/>
    <m/>
  </r>
  <r>
    <d v="2024-08-29T00:00:00"/>
    <d v="1899-12-30T14:53:00"/>
    <s v="soda 500ml glass"/>
    <n v="1"/>
    <n v="55"/>
    <n v="50"/>
    <n v="5"/>
    <s v="Cash"/>
    <x v="2"/>
    <m/>
    <m/>
    <m/>
  </r>
  <r>
    <d v="2024-08-29T00:00:00"/>
    <d v="1899-12-30T14:53:00"/>
    <s v="Ginger Bisquit"/>
    <n v="3"/>
    <n v="15"/>
    <n v="13"/>
    <n v="2"/>
    <s v="Cash"/>
    <x v="2"/>
    <m/>
    <m/>
    <m/>
  </r>
  <r>
    <d v="2024-08-29T00:00:00"/>
    <d v="1899-12-30T15:09:00"/>
    <s v="Royco cubes"/>
    <n v="4"/>
    <n v="20"/>
    <n v="12"/>
    <n v="8"/>
    <s v="Cash"/>
    <x v="2"/>
    <m/>
    <m/>
    <m/>
  </r>
  <r>
    <d v="2024-08-29T00:00:00"/>
    <d v="1899-12-30T15:44:00"/>
    <s v="Hanaan Tissue"/>
    <n v="1"/>
    <n v="55"/>
    <n v="43"/>
    <n v="12"/>
    <s v="Credit"/>
    <x v="1"/>
    <m/>
    <m/>
    <m/>
  </r>
  <r>
    <d v="2024-08-29T00:00:00"/>
    <d v="1899-12-30T15:45:00"/>
    <s v="kinangop250g youghurt"/>
    <n v="1"/>
    <n v="60"/>
    <n v="48.333333333333336"/>
    <n v="11.666666666666664"/>
    <s v="Credit"/>
    <x v="13"/>
    <m/>
    <m/>
    <m/>
  </r>
  <r>
    <d v="2024-08-29T00:00:00"/>
    <d v="1899-12-30T17:14:00"/>
    <s v="Ajab 1kg"/>
    <n v="1"/>
    <n v="120"/>
    <n v="87.5"/>
    <n v="32.5"/>
    <s v="Mpesa"/>
    <x v="2"/>
    <m/>
    <m/>
    <m/>
  </r>
  <r>
    <d v="2024-08-29T00:00:00"/>
    <d v="1899-12-30T17:16:00"/>
    <s v="Mt kenya milk 500ml"/>
    <n v="1"/>
    <n v="65"/>
    <n v="48.333333333333336"/>
    <n v="16.666666666666664"/>
    <s v="Credit"/>
    <x v="15"/>
    <m/>
    <m/>
    <m/>
  </r>
  <r>
    <d v="2024-08-29T00:00:00"/>
    <d v="1899-12-30T17:32:00"/>
    <s v="Airtel 50 Credit"/>
    <n v="1"/>
    <n v="50"/>
    <n v="47"/>
    <n v="3"/>
    <s v="Cash"/>
    <x v="2"/>
    <m/>
    <m/>
    <m/>
  </r>
  <r>
    <d v="2024-08-29T00:00:00"/>
    <d v="1899-12-30T17:46:00"/>
    <s v="Bella Tissue"/>
    <n v="1"/>
    <n v="50"/>
    <n v="35"/>
    <n v="15"/>
    <s v="Mpesa"/>
    <x v="2"/>
    <m/>
    <m/>
    <m/>
  </r>
  <r>
    <d v="2024-08-29T00:00:00"/>
    <d v="1899-12-30T17:50:00"/>
    <s v="Festive 800g"/>
    <n v="1"/>
    <n v="130"/>
    <n v="120"/>
    <n v="10"/>
    <s v="Mpesa"/>
    <x v="2"/>
    <m/>
    <m/>
    <m/>
  </r>
  <r>
    <d v="2024-08-29T00:00:00"/>
    <d v="1899-12-30T18:15:00"/>
    <s v="BB Bread 400g"/>
    <n v="1"/>
    <n v="65"/>
    <n v="60"/>
    <n v="5"/>
    <s v="Mpesa"/>
    <x v="2"/>
    <m/>
    <m/>
    <m/>
  </r>
  <r>
    <d v="2024-08-29T00:00:00"/>
    <d v="1899-12-30T18:17:00"/>
    <s v="Tomatoes"/>
    <n v="2"/>
    <n v="20"/>
    <n v="10"/>
    <n v="10"/>
    <s v="Mpesa"/>
    <x v="2"/>
    <m/>
    <m/>
    <m/>
  </r>
  <r>
    <d v="2024-08-29T00:00:00"/>
    <d v="1899-12-30T18:20:00"/>
    <s v="Delamere 450g yoghurt"/>
    <n v="1"/>
    <n v="160"/>
    <n v="137"/>
    <n v="23"/>
    <s v="Cash"/>
    <x v="2"/>
    <m/>
    <m/>
    <m/>
  </r>
  <r>
    <d v="2024-08-29T00:00:00"/>
    <d v="1899-12-30T18:25:00"/>
    <s v="eggs"/>
    <n v="2"/>
    <n v="40"/>
    <n v="28.666666666666668"/>
    <n v="11.333333333333332"/>
    <s v="Mpesa"/>
    <x v="2"/>
    <m/>
    <m/>
    <m/>
  </r>
  <r>
    <d v="2024-08-29T00:00:00"/>
    <d v="1899-12-30T18:25:00"/>
    <s v="Lemon Bisquit"/>
    <n v="2"/>
    <n v="10"/>
    <n v="8.6666666666666661"/>
    <n v="1.3333333333333339"/>
    <s v="Mpesa"/>
    <x v="2"/>
    <m/>
    <m/>
    <m/>
  </r>
  <r>
    <d v="2024-08-29T00:00:00"/>
    <d v="1899-12-30T18:36:00"/>
    <s v="Royco cubes"/>
    <n v="2"/>
    <n v="10"/>
    <n v="6"/>
    <n v="4"/>
    <s v="Mpesa"/>
    <x v="2"/>
    <m/>
    <m/>
    <m/>
  </r>
  <r>
    <d v="2024-08-29T00:00:00"/>
    <d v="1899-12-30T18:36:00"/>
    <s v="Royco Beef Mchuzi Mix"/>
    <n v="1"/>
    <n v="10"/>
    <n v="8.3333333333333339"/>
    <n v="1.6666666666666661"/>
    <s v="Mpesa"/>
    <x v="2"/>
    <m/>
    <m/>
    <m/>
  </r>
  <r>
    <d v="2024-08-29T00:00:00"/>
    <d v="1899-12-30T18:41:00"/>
    <s v="Colgate 15g"/>
    <n v="1"/>
    <n v="50"/>
    <n v="36.25"/>
    <n v="13.75"/>
    <s v="Cash"/>
    <x v="2"/>
    <m/>
    <m/>
    <m/>
  </r>
  <r>
    <d v="2024-08-29T00:00:00"/>
    <d v="1899-12-30T18:41:00"/>
    <s v="Whitewash "/>
    <n v="1"/>
    <n v="50"/>
    <n v="33.75"/>
    <n v="16.25"/>
    <s v="Cash"/>
    <x v="2"/>
    <m/>
    <m/>
    <m/>
  </r>
  <r>
    <d v="2024-08-29T00:00:00"/>
    <d v="1899-12-30T18:41:00"/>
    <s v="omo 75g"/>
    <n v="1"/>
    <n v="35"/>
    <n v="27.5"/>
    <n v="7.5"/>
    <s v="Cash"/>
    <x v="2"/>
    <m/>
    <m/>
    <m/>
  </r>
  <r>
    <d v="2024-08-29T00:00:00"/>
    <d v="1899-12-30T19:10:00"/>
    <s v="Mt kenya milk 500ml"/>
    <n v="2"/>
    <n v="130"/>
    <n v="96.666666666666671"/>
    <n v="33.333333333333329"/>
    <s v="Mpesa"/>
    <x v="2"/>
    <m/>
    <m/>
    <m/>
  </r>
  <r>
    <d v="2024-08-29T00:00:00"/>
    <d v="1899-12-30T19:10:00"/>
    <s v="Indomie beef"/>
    <n v="2"/>
    <n v="100"/>
    <n v="76"/>
    <n v="24"/>
    <s v="Mpesa"/>
    <x v="2"/>
    <m/>
    <m/>
    <m/>
  </r>
  <r>
    <d v="2024-08-29T00:00:00"/>
    <d v="1899-12-30T19:11:00"/>
    <s v="Airtel 10 Credit"/>
    <n v="1"/>
    <n v="10"/>
    <n v="9"/>
    <n v="1"/>
    <s v="Cash"/>
    <x v="2"/>
    <m/>
    <m/>
    <m/>
  </r>
  <r>
    <d v="2024-08-29T00:00:00"/>
    <d v="1899-12-30T19:11:00"/>
    <s v="Airtel 20 Credit"/>
    <n v="1"/>
    <n v="20"/>
    <n v="18"/>
    <n v="2"/>
    <s v="Cash"/>
    <x v="2"/>
    <m/>
    <m/>
    <m/>
  </r>
  <r>
    <d v="2024-08-29T00:00:00"/>
    <d v="1899-12-30T19:13:00"/>
    <s v="Tomatoes"/>
    <n v="2"/>
    <n v="20"/>
    <n v="10"/>
    <n v="10"/>
    <s v="Mpesa"/>
    <x v="2"/>
    <m/>
    <m/>
    <m/>
  </r>
  <r>
    <d v="2024-08-29T00:00:00"/>
    <d v="1899-12-30T19:13:00"/>
    <s v="kabras sugar 1kg"/>
    <n v="1"/>
    <n v="180"/>
    <n v="140"/>
    <n v="40"/>
    <s v="Mpesa"/>
    <x v="2"/>
    <m/>
    <m/>
    <m/>
  </r>
  <r>
    <d v="2024-08-29T00:00:00"/>
    <d v="1899-12-30T19:13:00"/>
    <s v="Whitewash "/>
    <n v="1"/>
    <n v="50"/>
    <n v="33.75"/>
    <n v="16.25"/>
    <s v="Mpesa"/>
    <x v="2"/>
    <m/>
    <m/>
    <m/>
  </r>
  <r>
    <d v="2024-08-29T00:00:00"/>
    <d v="1899-12-30T19:19:00"/>
    <s v="Festive Bread 400g"/>
    <n v="1"/>
    <n v="65"/>
    <n v="60"/>
    <n v="5"/>
    <s v="Cash"/>
    <x v="2"/>
    <m/>
    <m/>
    <m/>
  </r>
  <r>
    <d v="2024-08-29T00:00:00"/>
    <d v="1899-12-30T19:20:00"/>
    <s v="Sugar 1/2 kg"/>
    <n v="1"/>
    <n v="90"/>
    <n v="60"/>
    <n v="30"/>
    <s v="Credit"/>
    <x v="1"/>
    <m/>
    <m/>
    <m/>
  </r>
  <r>
    <d v="2024-08-29T00:00:00"/>
    <d v="1899-12-30T19:26:00"/>
    <s v="BB Bread 400g"/>
    <n v="2"/>
    <n v="130"/>
    <n v="120"/>
    <n v="10"/>
    <s v="Cash"/>
    <x v="2"/>
    <m/>
    <m/>
    <m/>
  </r>
  <r>
    <d v="2024-08-29T00:00:00"/>
    <d v="1899-12-30T19:26:00"/>
    <s v="Choc-chip Cookies"/>
    <n v="1"/>
    <n v="35"/>
    <n v="25"/>
    <n v="10"/>
    <s v="Cash"/>
    <x v="2"/>
    <m/>
    <m/>
    <m/>
  </r>
  <r>
    <d v="2024-08-29T00:00:00"/>
    <d v="1899-12-30T19:36:00"/>
    <s v="Vaseline"/>
    <n v="1"/>
    <n v="40"/>
    <n v="30"/>
    <n v="10"/>
    <s v="Mpesa"/>
    <x v="2"/>
    <m/>
    <m/>
    <m/>
  </r>
  <r>
    <d v="2024-08-29T00:00:00"/>
    <d v="1899-12-30T19:45:00"/>
    <s v="Safari"/>
    <n v="1"/>
    <n v="15"/>
    <n v="8.5"/>
    <n v="6.5"/>
    <s v="Mpesa"/>
    <x v="2"/>
    <m/>
    <m/>
    <m/>
  </r>
  <r>
    <d v="2024-08-29T00:00:00"/>
    <d v="1899-12-30T19:52:00"/>
    <s v="eggs"/>
    <n v="2"/>
    <n v="40"/>
    <n v="28.666666666666668"/>
    <n v="11.333333333333332"/>
    <s v="Mpesa"/>
    <x v="2"/>
    <m/>
    <m/>
    <m/>
  </r>
  <r>
    <d v="2024-08-29T00:00:00"/>
    <d v="1899-12-30T19:52:00"/>
    <s v="Festive Bread 400g"/>
    <n v="1"/>
    <n v="65"/>
    <n v="60"/>
    <n v="5"/>
    <s v="Cash"/>
    <x v="2"/>
    <m/>
    <m/>
    <m/>
  </r>
  <r>
    <d v="2024-08-29T00:00:00"/>
    <d v="1899-12-30T19:59:00"/>
    <s v="Pencil"/>
    <n v="2"/>
    <n v="20"/>
    <n v="15"/>
    <n v="5"/>
    <s v="Cash"/>
    <x v="2"/>
    <m/>
    <m/>
    <m/>
  </r>
  <r>
    <d v="2024-08-29T00:00:00"/>
    <d v="1899-12-30T19:59:00"/>
    <s v="Mt Kenya milk 200ml"/>
    <n v="1"/>
    <n v="35"/>
    <n v="24.285714285714285"/>
    <n v="10.714285714285715"/>
    <s v="Cash"/>
    <x v="2"/>
    <m/>
    <m/>
    <m/>
  </r>
  <r>
    <d v="2024-08-29T00:00:00"/>
    <d v="1899-12-30T19:59:00"/>
    <s v="Festive Bread 400g"/>
    <n v="1"/>
    <n v="65"/>
    <n v="60"/>
    <n v="5"/>
    <s v="Cash"/>
    <x v="2"/>
    <m/>
    <m/>
    <m/>
  </r>
  <r>
    <d v="2024-08-29T00:00:00"/>
    <d v="1899-12-30T20:02:00"/>
    <s v="Brookside milk 500ml"/>
    <n v="1"/>
    <n v="70"/>
    <n v="59"/>
    <n v="11"/>
    <s v="Credit"/>
    <x v="7"/>
    <m/>
    <m/>
    <m/>
  </r>
  <r>
    <d v="2024-08-29T00:00:00"/>
    <d v="1899-12-30T20:02:00"/>
    <s v="kabras sugar 1kg"/>
    <n v="1"/>
    <n v="180"/>
    <n v="140"/>
    <n v="40"/>
    <s v="Credit"/>
    <x v="7"/>
    <m/>
    <m/>
    <m/>
  </r>
  <r>
    <d v="2024-08-29T00:00:00"/>
    <d v="1899-12-30T20:02:00"/>
    <s v="Fahari Tea 50g"/>
    <n v="1"/>
    <n v="30"/>
    <n v="17.5"/>
    <n v="12.5"/>
    <s v="Credit"/>
    <x v="7"/>
    <m/>
    <m/>
    <m/>
  </r>
  <r>
    <d v="2024-08-29T00:00:00"/>
    <d v="1899-12-30T20:19:00"/>
    <s v="Nescafe 1.5g"/>
    <n v="1"/>
    <n v="15"/>
    <n v="9.1666666666666661"/>
    <n v="5.8333333333333339"/>
    <s v="Credit"/>
    <x v="49"/>
    <m/>
    <m/>
    <m/>
  </r>
  <r>
    <d v="2024-08-29T00:00:00"/>
    <d v="1899-12-30T20:19:00"/>
    <s v="Pishori rice"/>
    <n v="0.5"/>
    <n v="110"/>
    <n v="90"/>
    <n v="20"/>
    <s v="Credit"/>
    <x v="23"/>
    <m/>
    <m/>
    <m/>
  </r>
  <r>
    <d v="2024-08-29T00:00:00"/>
    <d v="1899-12-30T20:19:00"/>
    <s v="Tomatoes"/>
    <n v="1"/>
    <n v="10"/>
    <n v="5"/>
    <n v="5"/>
    <s v="Credit"/>
    <x v="23"/>
    <m/>
    <m/>
    <m/>
  </r>
  <r>
    <d v="2024-08-29T00:00:00"/>
    <d v="1899-12-30T20:19:00"/>
    <s v="Maccofee"/>
    <n v="1"/>
    <n v="15"/>
    <n v="9.3333333333333339"/>
    <n v="5.6666666666666661"/>
    <s v="Credit"/>
    <x v="49"/>
    <m/>
    <m/>
    <m/>
  </r>
  <r>
    <d v="2024-08-29T00:00:00"/>
    <d v="1899-12-30T20:20:00"/>
    <s v="Mt kenya milk 500ml"/>
    <n v="1"/>
    <n v="65"/>
    <n v="48.333333333333336"/>
    <n v="16.666666666666664"/>
    <s v="Credit"/>
    <x v="50"/>
    <s v="Boniface"/>
    <n v="65"/>
    <s v="Mpesa"/>
  </r>
  <r>
    <d v="2024-08-30T00:00:00"/>
    <d v="1899-12-30T09:43:00"/>
    <s v="Brookside milk 500ml"/>
    <n v="1"/>
    <n v="70"/>
    <n v="59"/>
    <n v="11"/>
    <s v="Mpesa"/>
    <x v="2"/>
    <m/>
    <m/>
    <m/>
  </r>
  <r>
    <d v="2024-08-30T00:00:00"/>
    <d v="1899-12-30T09:43:00"/>
    <s v="BB Bread 400g"/>
    <n v="1"/>
    <n v="65"/>
    <n v="60"/>
    <n v="5"/>
    <s v="Mpesa"/>
    <x v="2"/>
    <m/>
    <m/>
    <m/>
  </r>
  <r>
    <d v="2024-08-30T00:00:00"/>
    <d v="1899-12-30T09:46:00"/>
    <s v="eggs"/>
    <n v="4"/>
    <n v="80"/>
    <n v="57.333333333333336"/>
    <n v="22.666666666666664"/>
    <s v="Mpesa"/>
    <x v="2"/>
    <m/>
    <m/>
    <m/>
  </r>
  <r>
    <d v="2024-08-30T00:00:00"/>
    <d v="1899-12-30T09:46:00"/>
    <s v="Safari"/>
    <n v="1"/>
    <n v="15"/>
    <n v="8.5"/>
    <n v="6.5"/>
    <s v="Mpesa"/>
    <x v="2"/>
    <m/>
    <m/>
    <m/>
  </r>
  <r>
    <d v="2024-08-30T00:00:00"/>
    <d v="1899-12-30T09:53:00"/>
    <s v="Medium Colgate Toothbrush"/>
    <n v="2"/>
    <n v="80"/>
    <n v="50"/>
    <n v="30"/>
    <s v="Cash"/>
    <x v="2"/>
    <m/>
    <m/>
    <m/>
  </r>
  <r>
    <d v="2024-08-30T00:00:00"/>
    <d v="1899-12-30T09:54:00"/>
    <s v="Safari"/>
    <n v="1"/>
    <n v="15"/>
    <n v="8.5"/>
    <n v="6.5"/>
    <s v="Credit"/>
    <x v="51"/>
    <s v="Fredrick"/>
    <n v="15"/>
    <s v="Mpesa"/>
  </r>
  <r>
    <d v="2024-08-30T00:00:00"/>
    <d v="1899-12-30T09:56:00"/>
    <s v="eggs"/>
    <n v="2"/>
    <n v="40"/>
    <n v="28.666666666666668"/>
    <n v="11.333333333333332"/>
    <s v="Cash"/>
    <x v="2"/>
    <m/>
    <m/>
    <m/>
  </r>
  <r>
    <d v="2024-08-30T00:00:00"/>
    <d v="1899-12-30T09:59:00"/>
    <s v="Safari"/>
    <n v="1"/>
    <n v="15"/>
    <n v="8.5"/>
    <n v="6.5"/>
    <s v="Mpesa"/>
    <x v="2"/>
    <m/>
    <m/>
    <m/>
  </r>
  <r>
    <d v="2024-08-30T00:00:00"/>
    <d v="1899-12-30T10:29:00"/>
    <s v="eggs"/>
    <n v="6"/>
    <n v="120"/>
    <n v="86"/>
    <n v="34"/>
    <s v="Mpesa"/>
    <x v="2"/>
    <m/>
    <m/>
    <m/>
  </r>
  <r>
    <d v="2024-08-30T00:00:00"/>
    <d v="1899-12-30T10:39:00"/>
    <s v="Poa Pekee Tissue"/>
    <n v="1"/>
    <n v="30"/>
    <n v="13.333333333333334"/>
    <n v="16.666666666666664"/>
    <s v="Mpesa"/>
    <x v="2"/>
    <m/>
    <m/>
    <m/>
  </r>
  <r>
    <d v="2024-08-30T00:00:00"/>
    <d v="1899-12-30T10:39:00"/>
    <s v="Lollipop"/>
    <n v="1"/>
    <n v="5"/>
    <n v="2.4"/>
    <n v="2.6"/>
    <s v="Mpesa"/>
    <x v="2"/>
    <m/>
    <m/>
    <m/>
  </r>
  <r>
    <d v="2024-08-30T00:00:00"/>
    <d v="1899-12-30T10:39:00"/>
    <s v="Menengai Bar 1kg"/>
    <n v="1"/>
    <n v="250"/>
    <n v="190"/>
    <n v="60"/>
    <s v="Credit"/>
    <x v="2"/>
    <m/>
    <m/>
    <m/>
  </r>
  <r>
    <d v="2024-08-30T00:00:00"/>
    <d v="1899-12-30T10:39:00"/>
    <s v="ariel 10g"/>
    <n v="1"/>
    <n v="15"/>
    <n v="9.1666666666666661"/>
    <n v="5.8333333333333339"/>
    <s v="Credit"/>
    <x v="34"/>
    <s v="Fredy"/>
    <n v="30"/>
    <s v="Cash"/>
  </r>
  <r>
    <d v="2024-08-30T00:00:00"/>
    <d v="1899-12-30T12:18:00"/>
    <s v="ariel 10g"/>
    <n v="2"/>
    <n v="30"/>
    <n v="18.333333333333332"/>
    <n v="11.666666666666668"/>
    <s v="Cash"/>
    <x v="2"/>
    <m/>
    <m/>
    <m/>
  </r>
  <r>
    <d v="2024-08-30T00:00:00"/>
    <d v="1899-12-30T13:00:00"/>
    <s v="Safari"/>
    <n v="2"/>
    <n v="30"/>
    <n v="17"/>
    <n v="13"/>
    <s v="Cash"/>
    <x v="2"/>
    <m/>
    <m/>
    <m/>
  </r>
  <r>
    <d v="2024-08-30T00:00:00"/>
    <d v="1899-12-30T13:57:00"/>
    <s v="Half pound cake"/>
    <n v="1"/>
    <n v="100"/>
    <n v="90"/>
    <n v="10"/>
    <s v="Mpesa"/>
    <x v="2"/>
    <m/>
    <m/>
    <m/>
  </r>
  <r>
    <d v="2024-08-30T00:00:00"/>
    <d v="1899-12-30T13:57:00"/>
    <s v="soda 500ml plastic"/>
    <n v="1"/>
    <n v="70"/>
    <n v="60.416666666666664"/>
    <n v="9.5833333333333357"/>
    <s v="Credit"/>
    <x v="19"/>
    <m/>
    <m/>
    <m/>
  </r>
  <r>
    <d v="2024-08-30T00:00:00"/>
    <d v="1899-12-30T14:48:00"/>
    <s v="Queen cake"/>
    <n v="1"/>
    <n v="10"/>
    <n v="8.3333333333333339"/>
    <n v="1.6666666666666661"/>
    <s v="Mpesa"/>
    <x v="2"/>
    <m/>
    <m/>
    <m/>
  </r>
  <r>
    <d v="2024-08-30T00:00:00"/>
    <d v="1899-12-30T14:48:00"/>
    <s v="Ngumu"/>
    <n v="1"/>
    <n v="10"/>
    <n v="8.3333333333333339"/>
    <n v="1.6666666666666661"/>
    <s v="Mpesa"/>
    <x v="2"/>
    <m/>
    <m/>
    <m/>
  </r>
  <r>
    <d v="2024-08-30T00:00:00"/>
    <d v="1899-12-30T14:48:00"/>
    <s v="Bigdaddy"/>
    <n v="1"/>
    <n v="10"/>
    <n v="6"/>
    <n v="4"/>
    <s v="Mpesa"/>
    <x v="2"/>
    <m/>
    <m/>
    <m/>
  </r>
  <r>
    <d v="2024-08-30T00:00:00"/>
    <d v="1899-12-30T14:49:00"/>
    <s v="Kdf"/>
    <n v="1"/>
    <n v="10"/>
    <n v="8.3333333333333339"/>
    <n v="1.6666666666666661"/>
    <s v="Cash"/>
    <x v="2"/>
    <m/>
    <m/>
    <m/>
  </r>
  <r>
    <d v="2024-08-30T00:00:00"/>
    <d v="1899-12-30T14:50:00"/>
    <s v="Brookside milk 500ml"/>
    <n v="1"/>
    <n v="70"/>
    <n v="59"/>
    <n v="11"/>
    <s v="Mpesa"/>
    <x v="2"/>
    <m/>
    <m/>
    <m/>
  </r>
  <r>
    <d v="2024-08-30T00:00:00"/>
    <d v="1899-12-30T15:02:00"/>
    <s v="T.Heat Potato crisps Tomato 25g"/>
    <n v="4"/>
    <n v="120"/>
    <n v="91.666666666666671"/>
    <n v="28.333333333333329"/>
    <s v="Mpesa"/>
    <x v="2"/>
    <m/>
    <m/>
    <m/>
  </r>
  <r>
    <d v="2024-08-30T00:00:00"/>
    <d v="1899-12-30T15:02:00"/>
    <s v="Bigdaddy"/>
    <n v="4"/>
    <n v="40"/>
    <n v="24"/>
    <n v="16"/>
    <s v="Mpesa"/>
    <x v="2"/>
    <m/>
    <m/>
    <m/>
  </r>
  <r>
    <d v="2024-08-30T00:00:00"/>
    <d v="1899-12-30T15:41:00"/>
    <s v="soda 300ml glass"/>
    <n v="2"/>
    <n v="80"/>
    <n v="65"/>
    <n v="15"/>
    <s v="Credit"/>
    <x v="13"/>
    <m/>
    <m/>
    <m/>
  </r>
  <r>
    <d v="2024-08-30T00:00:00"/>
    <d v="1899-12-30T15:41:00"/>
    <s v="Kdf"/>
    <n v="3"/>
    <n v="30"/>
    <n v="25"/>
    <n v="5"/>
    <s v="Credit"/>
    <x v="13"/>
    <m/>
    <m/>
    <m/>
  </r>
  <r>
    <d v="2024-08-30T00:00:00"/>
    <d v="1899-12-30T16:13:00"/>
    <s v="Safari"/>
    <n v="1"/>
    <n v="15"/>
    <n v="8.5"/>
    <n v="6.5"/>
    <s v="Mpesa"/>
    <x v="2"/>
    <m/>
    <m/>
    <m/>
  </r>
  <r>
    <d v="2024-08-30T00:00:00"/>
    <d v="1899-12-30T16:40:00"/>
    <s v="Airtel 20 Credit"/>
    <n v="2"/>
    <n v="40"/>
    <n v="36"/>
    <n v="4"/>
    <s v="Cash"/>
    <x v="2"/>
    <m/>
    <m/>
    <m/>
  </r>
  <r>
    <d v="2024-08-30T00:00:00"/>
    <d v="1899-12-30T16:46:00"/>
    <s v="Mt kenya milk 500ml"/>
    <n v="1"/>
    <n v="65"/>
    <n v="48.333333333333336"/>
    <n v="16.666666666666664"/>
    <s v="Cash"/>
    <x v="2"/>
    <m/>
    <m/>
    <m/>
  </r>
  <r>
    <d v="2024-08-30T00:00:00"/>
    <d v="1899-12-30T17:51:00"/>
    <s v="Bella Tissue"/>
    <n v="2"/>
    <n v="100"/>
    <n v="70"/>
    <n v="30"/>
    <s v="Mpesa"/>
    <x v="2"/>
    <m/>
    <m/>
    <m/>
  </r>
  <r>
    <d v="2024-08-30T00:00:00"/>
    <d v="1899-12-30T17:51:00"/>
    <s v="Festive Bread 400g"/>
    <n v="1"/>
    <n v="65"/>
    <n v="60"/>
    <n v="5"/>
    <s v="Mpesa"/>
    <x v="2"/>
    <m/>
    <m/>
    <m/>
  </r>
  <r>
    <d v="2024-08-30T00:00:00"/>
    <d v="1899-12-30T17:51:00"/>
    <s v="Ngumu"/>
    <n v="3"/>
    <n v="30"/>
    <n v="25"/>
    <n v="5"/>
    <s v="Mpesa"/>
    <x v="2"/>
    <m/>
    <m/>
    <m/>
  </r>
  <r>
    <d v="2024-08-30T00:00:00"/>
    <d v="1899-12-30T17:51:00"/>
    <s v="Lemon Bisquit"/>
    <n v="1"/>
    <n v="5"/>
    <n v="4.333333333333333"/>
    <n v="0.66666666666666696"/>
    <s v="Mpesa"/>
    <x v="2"/>
    <m/>
    <m/>
    <m/>
  </r>
  <r>
    <d v="2024-08-30T00:00:00"/>
    <d v="1899-12-30T19:06:00"/>
    <s v="Cooking Oil Measured"/>
    <n v="0.5"/>
    <n v="140"/>
    <n v="100"/>
    <n v="40"/>
    <s v="Mpesa"/>
    <x v="2"/>
    <m/>
    <m/>
    <m/>
  </r>
  <r>
    <d v="2024-08-30T00:00:00"/>
    <d v="1899-12-30T19:13:00"/>
    <s v="Canned cookies"/>
    <n v="1"/>
    <n v="60"/>
    <n v="50"/>
    <n v="10"/>
    <s v="Mpesa"/>
    <x v="2"/>
    <m/>
    <m/>
    <m/>
  </r>
  <r>
    <d v="2024-08-30T00:00:00"/>
    <d v="1899-12-30T19:13:00"/>
    <s v="T.Heat Potato crisps Tomato 25g"/>
    <n v="2"/>
    <n v="60"/>
    <n v="45.833333333333336"/>
    <n v="14.166666666666664"/>
    <s v="Mpesa"/>
    <x v="2"/>
    <m/>
    <m/>
    <m/>
  </r>
  <r>
    <d v="2024-08-30T00:00:00"/>
    <d v="1899-12-30T19:13:00"/>
    <s v="Delamere 450g yoghurt"/>
    <n v="1"/>
    <n v="160"/>
    <n v="137"/>
    <n v="23"/>
    <s v="Mpesa"/>
    <x v="2"/>
    <m/>
    <m/>
    <m/>
  </r>
  <r>
    <d v="2024-08-30T00:00:00"/>
    <d v="1899-12-30T19:13:00"/>
    <s v="Goodday Cookies"/>
    <n v="1"/>
    <n v="15"/>
    <n v="9.3333333333333339"/>
    <n v="5.6666666666666661"/>
    <s v="Mpesa"/>
    <x v="2"/>
    <m/>
    <m/>
    <m/>
  </r>
  <r>
    <d v="2024-08-30T00:00:00"/>
    <d v="1899-12-30T19:13:00"/>
    <s v="Glucose 50g"/>
    <n v="1"/>
    <n v="30"/>
    <n v="15.833333333333334"/>
    <n v="14.166666666666666"/>
    <s v="Mpesa"/>
    <x v="2"/>
    <m/>
    <m/>
    <m/>
  </r>
  <r>
    <d v="2024-08-30T00:00:00"/>
    <d v="1899-12-30T19:25:00"/>
    <s v="ariel 75g"/>
    <n v="1"/>
    <n v="35"/>
    <n v="27.5"/>
    <n v="7.5"/>
    <s v="Cash"/>
    <x v="2"/>
    <m/>
    <m/>
    <m/>
  </r>
  <r>
    <d v="2024-08-30T00:00:00"/>
    <d v="1899-12-30T19:25:00"/>
    <s v="Menengai Bar 1kg"/>
    <n v="1"/>
    <n v="250"/>
    <n v="190"/>
    <n v="60"/>
    <s v="Cash"/>
    <x v="2"/>
    <m/>
    <m/>
    <m/>
  </r>
  <r>
    <d v="2024-08-30T00:00:00"/>
    <d v="1899-12-30T19:25:00"/>
    <s v="Arimis big"/>
    <n v="1"/>
    <n v="60"/>
    <n v="45.833333333333336"/>
    <n v="14.166666666666664"/>
    <s v="Cash"/>
    <x v="2"/>
    <m/>
    <m/>
    <m/>
  </r>
  <r>
    <d v="2024-08-30T00:00:00"/>
    <d v="1899-12-30T19:28:00"/>
    <s v="eggs"/>
    <n v="1"/>
    <n v="20"/>
    <n v="14.333333333333334"/>
    <n v="5.6666666666666661"/>
    <s v="Mpesa"/>
    <x v="2"/>
    <m/>
    <m/>
    <m/>
  </r>
  <r>
    <d v="2024-08-30T00:00:00"/>
    <d v="1899-12-30T19:28:00"/>
    <s v="Tomatoes"/>
    <n v="1"/>
    <n v="10"/>
    <n v="5"/>
    <n v="5"/>
    <s v="Mpesa"/>
    <x v="2"/>
    <m/>
    <m/>
    <m/>
  </r>
  <r>
    <d v="2024-08-30T00:00:00"/>
    <d v="1899-12-30T19:30:00"/>
    <s v="Safari"/>
    <n v="1"/>
    <n v="15"/>
    <n v="8.5"/>
    <n v="6.5"/>
    <s v="Mpesa"/>
    <x v="2"/>
    <m/>
    <m/>
    <m/>
  </r>
  <r>
    <d v="2024-08-30T00:00:00"/>
    <d v="1899-12-30T19:30:00"/>
    <s v="mosquito stick"/>
    <n v="1"/>
    <n v="10"/>
    <n v="9"/>
    <n v="1"/>
    <s v="Mpesa"/>
    <x v="2"/>
    <m/>
    <m/>
    <m/>
  </r>
  <r>
    <d v="2024-08-30T00:00:00"/>
    <d v="1899-12-30T19:30:00"/>
    <m/>
    <m/>
    <m/>
    <m/>
    <m/>
    <m/>
    <x v="2"/>
    <m/>
    <m/>
    <m/>
  </r>
  <r>
    <d v="2024-08-30T00:00:00"/>
    <d v="1899-12-30T19:33:00"/>
    <s v="Safari"/>
    <n v="1"/>
    <n v="15"/>
    <n v="8.5"/>
    <n v="6.5"/>
    <s v="Credit"/>
    <x v="51"/>
    <m/>
    <m/>
    <m/>
  </r>
  <r>
    <d v="2024-08-30T00:00:00"/>
    <d v="1899-12-30T19:45:00"/>
    <s v="Battery AA"/>
    <n v="1"/>
    <n v="15"/>
    <n v="10"/>
    <n v="5"/>
    <s v="Credit"/>
    <x v="26"/>
    <m/>
    <m/>
    <m/>
  </r>
  <r>
    <d v="2024-08-30T00:00:00"/>
    <d v="1899-12-30T20:22:00"/>
    <s v="Spagetti"/>
    <n v="1"/>
    <n v="85"/>
    <n v="75.599999999999994"/>
    <n v="9.4000000000000057"/>
    <s v="Mpesa"/>
    <x v="2"/>
    <m/>
    <m/>
    <m/>
  </r>
  <r>
    <d v="2024-08-30T00:00:00"/>
    <d v="1899-12-30T20:22:00"/>
    <s v="Mandazi"/>
    <n v="3"/>
    <n v="15"/>
    <n v="12.5"/>
    <n v="2.5"/>
    <s v="Mpesa"/>
    <x v="2"/>
    <m/>
    <m/>
    <m/>
  </r>
  <r>
    <d v="2024-08-30T00:00:00"/>
    <d v="1899-12-30T20:47:00"/>
    <s v="Mt kenya milk 500ml"/>
    <n v="2"/>
    <n v="130"/>
    <n v="96.666666666666671"/>
    <n v="33.333333333333329"/>
    <s v="Mpesa"/>
    <x v="2"/>
    <m/>
    <m/>
    <m/>
  </r>
  <r>
    <d v="2024-08-30T00:00:00"/>
    <d v="1899-12-30T20:47:00"/>
    <s v="Tomatoes"/>
    <n v="5"/>
    <n v="50"/>
    <n v="25"/>
    <n v="25"/>
    <s v="Mpesa"/>
    <x v="2"/>
    <m/>
    <m/>
    <m/>
  </r>
  <r>
    <d v="2024-08-30T00:00:00"/>
    <d v="1899-12-30T20:47:00"/>
    <s v="Royco cubes"/>
    <n v="6"/>
    <n v="30"/>
    <n v="18"/>
    <n v="12"/>
    <s v="Mpesa"/>
    <x v="2"/>
    <m/>
    <m/>
    <m/>
  </r>
  <r>
    <d v="2024-08-30T00:00:00"/>
    <d v="1899-12-30T20:47:00"/>
    <s v="eggs"/>
    <n v="4"/>
    <n v="80"/>
    <n v="57.333333333333336"/>
    <n v="22.666666666666664"/>
    <s v="Mpesa"/>
    <x v="2"/>
    <m/>
    <m/>
    <m/>
  </r>
  <r>
    <d v="2024-08-30T00:00:00"/>
    <d v="1899-12-30T20:47:00"/>
    <s v="Curry Powder"/>
    <n v="2"/>
    <n v="30"/>
    <n v="15"/>
    <n v="15"/>
    <s v="Mpesa"/>
    <x v="2"/>
    <m/>
    <m/>
    <m/>
  </r>
  <r>
    <d v="2024-08-30T00:00:00"/>
    <d v="1899-12-30T21:24:00"/>
    <s v="tumbocide"/>
    <n v="2"/>
    <n v="20"/>
    <n v="14"/>
    <n v="6"/>
    <s v="Credit"/>
    <x v="23"/>
    <m/>
    <m/>
    <m/>
  </r>
  <r>
    <d v="2024-08-31T00:00:00"/>
    <d v="1899-12-30T08:07:00"/>
    <s v="Festive 600g"/>
    <n v="1"/>
    <n v="100"/>
    <n v="90"/>
    <n v="10"/>
    <s v="Cash"/>
    <x v="2"/>
    <m/>
    <m/>
    <m/>
  </r>
  <r>
    <d v="2024-08-31T00:00:00"/>
    <d v="1899-12-30T08:07:00"/>
    <s v="Mt kenya milk 500ml"/>
    <n v="3"/>
    <n v="195"/>
    <n v="145"/>
    <n v="50"/>
    <s v="Cash"/>
    <x v="2"/>
    <m/>
    <m/>
    <m/>
  </r>
  <r>
    <d v="2024-08-31T00:00:00"/>
    <d v="1899-12-30T08:14:00"/>
    <s v="Festive Bread 400g"/>
    <n v="1"/>
    <n v="65"/>
    <n v="60"/>
    <n v="5"/>
    <s v="Mpesa"/>
    <x v="2"/>
    <m/>
    <m/>
    <m/>
  </r>
  <r>
    <d v="2024-08-31T00:00:00"/>
    <d v="1899-12-30T08:17:00"/>
    <s v="Safari"/>
    <n v="1"/>
    <n v="15"/>
    <n v="8.5"/>
    <n v="6.5"/>
    <s v="Mpesa"/>
    <x v="2"/>
    <m/>
    <m/>
    <m/>
  </r>
  <r>
    <d v="2024-08-31T00:00:00"/>
    <d v="1899-12-30T08:35:00"/>
    <s v="BB Bread 400g"/>
    <n v="2"/>
    <n v="130"/>
    <n v="120"/>
    <n v="10"/>
    <s v="Credit"/>
    <x v="12"/>
    <s v="Pauline"/>
    <n v="180"/>
    <s v="Mpesa"/>
  </r>
  <r>
    <d v="2024-08-31T00:00:00"/>
    <d v="1899-12-30T08:35:00"/>
    <s v="Bella Tissue"/>
    <n v="1"/>
    <n v="50"/>
    <n v="35"/>
    <n v="15"/>
    <s v="Credit"/>
    <x v="12"/>
    <m/>
    <m/>
    <m/>
  </r>
  <r>
    <d v="2024-08-31T00:00:00"/>
    <d v="1899-12-30T09:02:00"/>
    <s v="Mt kenya milk 500ml"/>
    <n v="1"/>
    <n v="65"/>
    <n v="48.333333333333336"/>
    <n v="16.666666666666664"/>
    <s v="Mpesa"/>
    <x v="2"/>
    <m/>
    <m/>
    <m/>
  </r>
  <r>
    <d v="2024-08-31T00:00:00"/>
    <d v="1899-12-30T09:45:00"/>
    <s v="Festive 600g"/>
    <n v="1"/>
    <n v="100"/>
    <n v="90"/>
    <n v="10"/>
    <s v="Mpesa"/>
    <x v="2"/>
    <m/>
    <m/>
    <m/>
  </r>
  <r>
    <d v="2024-08-31T00:00:00"/>
    <d v="1899-12-30T09:45:00"/>
    <s v="Softcare pads"/>
    <n v="1"/>
    <n v="85"/>
    <n v="66"/>
    <n v="19"/>
    <s v="Mpesa"/>
    <x v="2"/>
    <m/>
    <m/>
    <m/>
  </r>
  <r>
    <d v="2024-08-31T00:00:00"/>
    <d v="1899-12-30T09:45:00"/>
    <s v="eggs"/>
    <n v="1"/>
    <n v="20"/>
    <n v="14.333333333333334"/>
    <n v="5.6666666666666661"/>
    <s v="Mpesa"/>
    <x v="2"/>
    <m/>
    <m/>
    <m/>
  </r>
  <r>
    <d v="2024-08-31T00:00:00"/>
    <d v="1899-12-30T09:45:00"/>
    <s v="Glucose 10g"/>
    <n v="1"/>
    <n v="5"/>
    <n v="3.75"/>
    <n v="1.25"/>
    <s v="Mpesa"/>
    <x v="2"/>
    <m/>
    <m/>
    <m/>
  </r>
  <r>
    <d v="2024-08-31T00:00:00"/>
    <d v="1899-12-30T10:39:00"/>
    <s v="Menengai Bar 1kg"/>
    <n v="0.4"/>
    <n v="100"/>
    <n v="76"/>
    <n v="24"/>
    <s v="Cash"/>
    <x v="2"/>
    <m/>
    <m/>
    <m/>
  </r>
  <r>
    <d v="2024-08-31T00:00:00"/>
    <d v="1899-12-30T11:32:00"/>
    <s v="predator"/>
    <n v="1"/>
    <n v="70"/>
    <n v="54.166666666666664"/>
    <n v="15.833333333333336"/>
    <s v="Mpesa"/>
    <x v="2"/>
    <m/>
    <m/>
    <m/>
  </r>
  <r>
    <d v="2024-08-31T00:00:00"/>
    <d v="1899-12-30T11:32:00"/>
    <s v="Kdf"/>
    <n v="1"/>
    <n v="10"/>
    <n v="8.3333333333333339"/>
    <n v="1.6666666666666661"/>
    <s v="Mpesa"/>
    <x v="2"/>
    <m/>
    <m/>
    <m/>
  </r>
  <r>
    <d v="2024-08-31T00:00:00"/>
    <d v="1899-12-30T11:35:00"/>
    <s v="Kdf"/>
    <n v="2"/>
    <n v="20"/>
    <n v="16.666666666666668"/>
    <n v="3.3333333333333321"/>
    <s v="Mpesa"/>
    <x v="2"/>
    <m/>
    <m/>
    <m/>
  </r>
  <r>
    <d v="2024-08-31T00:00:00"/>
    <d v="1899-12-30T12:08:00"/>
    <s v="Safari"/>
    <n v="1"/>
    <n v="15"/>
    <n v="8.5"/>
    <n v="6.5"/>
    <s v="Mpesa"/>
    <x v="2"/>
    <m/>
    <m/>
    <m/>
  </r>
  <r>
    <d v="2024-08-31T00:00:00"/>
    <d v="1899-12-30T12:08:00"/>
    <s v="ariel 10g"/>
    <n v="2"/>
    <n v="30"/>
    <n v="18.333333333333332"/>
    <n v="11.666666666666668"/>
    <s v="Mpesa"/>
    <x v="2"/>
    <m/>
    <m/>
    <m/>
  </r>
  <r>
    <d v="2024-08-31T00:00:00"/>
    <d v="1899-12-30T12:19:00"/>
    <s v="Safari"/>
    <n v="6"/>
    <n v="90"/>
    <n v="51"/>
    <n v="39"/>
    <s v="Mpesa"/>
    <x v="2"/>
    <m/>
    <m/>
    <m/>
  </r>
  <r>
    <d v="2024-08-31T00:00:00"/>
    <d v="1899-12-30T12:30:00"/>
    <s v="Festive 600g"/>
    <n v="1"/>
    <n v="100"/>
    <n v="90"/>
    <n v="10"/>
    <s v="Cash"/>
    <x v="2"/>
    <m/>
    <m/>
    <m/>
  </r>
  <r>
    <d v="2024-08-31T00:00:00"/>
    <d v="1899-12-30T13:33:00"/>
    <s v="Safari"/>
    <n v="1"/>
    <n v="15"/>
    <n v="8.5"/>
    <n v="6.5"/>
    <s v="Cash"/>
    <x v="2"/>
    <m/>
    <m/>
    <m/>
  </r>
  <r>
    <d v="2024-08-31T00:00:00"/>
    <d v="1899-12-30T13:36:00"/>
    <s v="Bigboss"/>
    <n v="3"/>
    <n v="15"/>
    <n v="10.5"/>
    <n v="4.5"/>
    <s v="Cash"/>
    <x v="2"/>
    <m/>
    <m/>
    <m/>
  </r>
  <r>
    <d v="2024-08-31T00:00:00"/>
    <d v="1899-12-30T13:47:00"/>
    <s v="Kdf"/>
    <n v="4"/>
    <n v="40"/>
    <n v="33.333333333333336"/>
    <n v="6.6666666666666643"/>
    <s v="Mpesa"/>
    <x v="34"/>
    <s v="Fredy"/>
    <n v="35"/>
    <s v="Mpesa"/>
  </r>
  <r>
    <d v="2024-08-31T00:00:00"/>
    <d v="1899-12-30T13:47:00"/>
    <s v="soda 500ml glass"/>
    <n v="1"/>
    <n v="55"/>
    <n v="50"/>
    <n v="5"/>
    <s v="Mpesa"/>
    <x v="2"/>
    <m/>
    <m/>
    <m/>
  </r>
  <r>
    <d v="2024-08-31T00:00:00"/>
    <d v="1899-12-30T13:57:00"/>
    <s v="Softcare pads"/>
    <n v="1"/>
    <n v="85"/>
    <n v="66"/>
    <n v="19"/>
    <s v="Credit"/>
    <x v="52"/>
    <s v="Judy"/>
    <n v="105"/>
    <s v="Mpesa"/>
  </r>
  <r>
    <d v="2024-08-31T00:00:00"/>
    <d v="1899-12-30T13:57:00"/>
    <s v="Mandazi"/>
    <n v="4"/>
    <n v="20"/>
    <n v="16.666666666666668"/>
    <n v="3.3333333333333321"/>
    <s v="Credit"/>
    <x v="52"/>
    <m/>
    <m/>
    <m/>
  </r>
  <r>
    <d v="2024-08-31T00:00:00"/>
    <d v="1899-12-30T13:57:00"/>
    <s v="Indomie chicken"/>
    <n v="5"/>
    <n v="250"/>
    <n v="187.5"/>
    <n v="62.5"/>
    <s v="Mpesa"/>
    <x v="2"/>
    <m/>
    <m/>
    <m/>
  </r>
  <r>
    <d v="2024-08-31T00:00:00"/>
    <d v="1899-12-30T14:05:00"/>
    <s v="Nuvita Bisquit"/>
    <n v="2"/>
    <n v="10"/>
    <n v="8.3333333333333339"/>
    <n v="1.6666666666666661"/>
    <s v="Cash"/>
    <x v="2"/>
    <m/>
    <m/>
    <m/>
  </r>
  <r>
    <d v="2024-08-31T00:00:00"/>
    <d v="1899-12-30T14:17:00"/>
    <s v="Choc-chip Cookies"/>
    <n v="1"/>
    <n v="35"/>
    <n v="25"/>
    <n v="10"/>
    <s v="Cash"/>
    <x v="2"/>
    <m/>
    <m/>
    <m/>
  </r>
  <r>
    <d v="2024-08-31T00:00:00"/>
    <d v="1899-12-30T14:05:00"/>
    <s v="Icepop"/>
    <n v="3"/>
    <n v="45"/>
    <n v="22.5"/>
    <n v="22.5"/>
    <s v="Cash"/>
    <x v="2"/>
    <m/>
    <m/>
    <m/>
  </r>
  <r>
    <d v="2024-08-31T00:00:00"/>
    <d v="1899-12-30T14:17:00"/>
    <s v="Nuvita Bisquit"/>
    <n v="1"/>
    <n v="5"/>
    <n v="4.166666666666667"/>
    <n v="0.83333333333333304"/>
    <s v="Cash"/>
    <x v="2"/>
    <m/>
    <m/>
    <m/>
  </r>
  <r>
    <d v="2024-08-31T00:00:00"/>
    <d v="1899-12-30T14:19:00"/>
    <s v="Nuvita Bisquit"/>
    <n v="3"/>
    <n v="15"/>
    <n v="12.5"/>
    <n v="2.5"/>
    <s v="Credit"/>
    <x v="34"/>
    <m/>
    <m/>
    <m/>
  </r>
  <r>
    <d v="2024-08-31T00:00:00"/>
    <d v="1899-12-30T14:27:00"/>
    <s v="Maramoja"/>
    <n v="1"/>
    <n v="10"/>
    <n v="7"/>
    <n v="3"/>
    <s v="Mpesa"/>
    <x v="2"/>
    <m/>
    <m/>
    <m/>
  </r>
  <r>
    <d v="2024-08-31T00:00:00"/>
    <d v="1899-12-30T14:29:00"/>
    <s v="predator"/>
    <n v="1"/>
    <n v="70"/>
    <n v="54.166666666666664"/>
    <n v="15.833333333333336"/>
    <s v="Mpesa"/>
    <x v="2"/>
    <m/>
    <m/>
    <m/>
  </r>
  <r>
    <d v="2024-08-31T00:00:00"/>
    <d v="1899-12-30T14:51:00"/>
    <s v="Kdf"/>
    <n v="3"/>
    <n v="30"/>
    <n v="25"/>
    <n v="5"/>
    <s v="Cash"/>
    <x v="2"/>
    <m/>
    <m/>
    <m/>
  </r>
  <r>
    <d v="2024-08-31T00:00:00"/>
    <d v="1899-12-30T15:10:00"/>
    <s v="Brookside milk 500ml"/>
    <n v="1"/>
    <n v="70"/>
    <n v="59"/>
    <n v="11"/>
    <s v="Mpesa"/>
    <x v="2"/>
    <m/>
    <m/>
    <m/>
  </r>
  <r>
    <d v="2024-08-31T00:00:00"/>
    <d v="1899-12-30T15:21:00"/>
    <s v="Icepop"/>
    <n v="3"/>
    <n v="45"/>
    <n v="22.5"/>
    <n v="22.5"/>
    <s v="Mpesa"/>
    <x v="2"/>
    <m/>
    <m/>
    <m/>
  </r>
  <r>
    <d v="2024-08-31T00:00:00"/>
    <d v="1899-12-30T15:21:00"/>
    <s v="Queen cake"/>
    <n v="2"/>
    <n v="20"/>
    <n v="16.666666666666668"/>
    <n v="3.3333333333333321"/>
    <s v="Mpesa"/>
    <x v="2"/>
    <m/>
    <m/>
    <m/>
  </r>
  <r>
    <d v="2024-08-31T00:00:00"/>
    <d v="1899-12-30T15:21:00"/>
    <s v="Ajab 1kg"/>
    <n v="1"/>
    <n v="120"/>
    <n v="87.5"/>
    <n v="32.5"/>
    <s v="Mpesa"/>
    <x v="2"/>
    <m/>
    <m/>
    <m/>
  </r>
  <r>
    <d v="2024-08-31T00:00:00"/>
    <d v="1899-12-30T16:15:00"/>
    <s v="Safari"/>
    <n v="2"/>
    <n v="30"/>
    <n v="17"/>
    <n v="13"/>
    <s v="Mpesa"/>
    <x v="2"/>
    <m/>
    <m/>
    <m/>
  </r>
  <r>
    <d v="2024-08-31T00:00:00"/>
    <d v="1899-12-30T16:29:00"/>
    <s v="Icepop"/>
    <n v="1"/>
    <n v="15"/>
    <n v="7.5"/>
    <n v="7.5"/>
    <s v="Cash"/>
    <x v="2"/>
    <m/>
    <m/>
    <m/>
  </r>
  <r>
    <d v="2024-08-31T00:00:00"/>
    <d v="1899-12-30T16:29:00"/>
    <s v="Bigdaddy"/>
    <n v="2"/>
    <n v="20"/>
    <n v="12"/>
    <n v="8"/>
    <s v="Cash"/>
    <x v="2"/>
    <m/>
    <m/>
    <m/>
  </r>
  <r>
    <d v="2024-08-31T00:00:00"/>
    <d v="1899-12-30T16:50:00"/>
    <s v="Safaricom 20 Credit"/>
    <n v="1"/>
    <n v="20"/>
    <n v="18"/>
    <n v="2"/>
    <s v="Cash"/>
    <x v="2"/>
    <m/>
    <m/>
    <m/>
  </r>
  <r>
    <d v="2024-08-31T00:00:00"/>
    <d v="1899-12-30T17:06:00"/>
    <s v="Crown Gold Milk 500ml"/>
    <n v="2"/>
    <n v="130"/>
    <n v="108.33333333333333"/>
    <n v="21.666666666666671"/>
    <s v="Mpesa"/>
    <x v="2"/>
    <m/>
    <m/>
    <m/>
  </r>
  <r>
    <d v="2024-08-31T00:00:00"/>
    <d v="1899-12-30T17:06:00"/>
    <s v="Festive 800g"/>
    <n v="1"/>
    <n v="130"/>
    <n v="120"/>
    <n v="10"/>
    <s v="Mpesa"/>
    <x v="2"/>
    <m/>
    <m/>
    <m/>
  </r>
  <r>
    <d v="2024-08-31T00:00:00"/>
    <d v="1899-12-30T17:06:00"/>
    <s v="Maramoja"/>
    <n v="2"/>
    <n v="20"/>
    <n v="14"/>
    <n v="6"/>
    <s v="Mpesa"/>
    <x v="2"/>
    <m/>
    <m/>
    <m/>
  </r>
  <r>
    <d v="2024-08-31T00:00:00"/>
    <d v="1899-12-30T17:07:00"/>
    <s v="Bigdaddy"/>
    <n v="1"/>
    <n v="10"/>
    <n v="6"/>
    <n v="4"/>
    <s v="Mpesa"/>
    <x v="2"/>
    <m/>
    <m/>
    <m/>
  </r>
  <r>
    <d v="2024-08-31T00:00:00"/>
    <d v="1899-12-30T17:14:00"/>
    <s v="T.Heat Potato crisps vinegar and salt 25g"/>
    <n v="1"/>
    <n v="30"/>
    <n v="22.916666666666668"/>
    <n v="7.0833333333333321"/>
    <s v="Mpesa"/>
    <x v="2"/>
    <m/>
    <m/>
    <m/>
  </r>
  <r>
    <d v="2024-08-31T00:00:00"/>
    <d v="1899-12-30T17:14:00"/>
    <s v="Safaricom 10 Credit"/>
    <n v="1"/>
    <n v="10"/>
    <n v="9"/>
    <n v="1"/>
    <s v="Cash"/>
    <x v="2"/>
    <m/>
    <m/>
    <m/>
  </r>
  <r>
    <d v="2024-08-31T00:00:00"/>
    <d v="1899-12-30T17:15:00"/>
    <s v="Safaricom 20 Credit"/>
    <n v="1"/>
    <n v="20"/>
    <n v="18"/>
    <n v="2"/>
    <s v="Cash"/>
    <x v="2"/>
    <m/>
    <m/>
    <m/>
  </r>
  <r>
    <d v="2024-08-31T00:00:00"/>
    <d v="1899-12-30T17:15:00"/>
    <s v="smash juice"/>
    <n v="1"/>
    <n v="20"/>
    <n v="15"/>
    <n v="5"/>
    <s v="Credit"/>
    <x v="12"/>
    <s v="Pauline"/>
    <n v="15"/>
    <s v="Cash"/>
  </r>
  <r>
    <d v="2024-08-31T00:00:00"/>
    <d v="1899-12-30T17:41:00"/>
    <s v="Bigdaddy"/>
    <n v="1"/>
    <n v="10"/>
    <n v="6"/>
    <n v="4"/>
    <s v="Mpesa"/>
    <x v="2"/>
    <m/>
    <m/>
    <m/>
  </r>
  <r>
    <d v="2024-08-31T00:00:00"/>
    <d v="1899-12-30T17:41:00"/>
    <s v="Safari"/>
    <n v="3"/>
    <n v="45"/>
    <n v="25.5"/>
    <n v="19.5"/>
    <s v="Mpesa"/>
    <x v="2"/>
    <m/>
    <m/>
    <m/>
  </r>
  <r>
    <d v="2024-08-31T00:00:00"/>
    <d v="1899-12-30T18:15:00"/>
    <s v="Icepop"/>
    <n v="1"/>
    <n v="15"/>
    <n v="7.5"/>
    <n v="7.5"/>
    <s v="Cash"/>
    <x v="2"/>
    <m/>
    <m/>
    <m/>
  </r>
  <r>
    <d v="2024-08-31T00:00:00"/>
    <d v="1899-12-30T18:31:00"/>
    <s v="Safari"/>
    <n v="3"/>
    <n v="45"/>
    <n v="25.5"/>
    <n v="19.5"/>
    <s v="Mpesa"/>
    <x v="2"/>
    <m/>
    <m/>
    <m/>
  </r>
  <r>
    <d v="2024-08-31T00:00:00"/>
    <d v="1899-12-30T18:45:00"/>
    <s v="Airtel 50 Credit"/>
    <n v="1"/>
    <n v="50"/>
    <n v="47"/>
    <n v="3"/>
    <s v="Cash"/>
    <x v="2"/>
    <m/>
    <m/>
    <m/>
  </r>
  <r>
    <d v="2024-08-31T00:00:00"/>
    <d v="1899-12-30T18:45:00"/>
    <s v="Patco"/>
    <n v="2"/>
    <n v="5"/>
    <n v="2.4"/>
    <n v="2.6"/>
    <s v="Cash"/>
    <x v="2"/>
    <m/>
    <m/>
    <m/>
  </r>
  <r>
    <d v="2024-08-31T00:00:00"/>
    <d v="1899-12-30T18:45:00"/>
    <s v="Gumballs"/>
    <n v="5"/>
    <n v="5"/>
    <n v="3.5"/>
    <n v="1.5"/>
    <s v="Cash"/>
    <x v="2"/>
    <m/>
    <m/>
    <m/>
  </r>
  <r>
    <d v="2024-08-31T00:00:00"/>
    <d v="1899-12-30T18:49:00"/>
    <s v="Queen cake"/>
    <n v="1"/>
    <n v="10"/>
    <n v="8.3333333333333339"/>
    <n v="1.6666666666666661"/>
    <s v="Mpesa"/>
    <x v="2"/>
    <m/>
    <m/>
    <m/>
  </r>
  <r>
    <d v="2024-08-31T00:00:00"/>
    <d v="1899-12-30T18:49:00"/>
    <s v="Mandazi"/>
    <n v="2"/>
    <n v="10"/>
    <n v="8.3333333333333339"/>
    <n v="1.6666666666666661"/>
    <s v="Mpesa"/>
    <x v="2"/>
    <m/>
    <m/>
    <m/>
  </r>
  <r>
    <d v="2024-08-31T00:00:00"/>
    <d v="1899-12-30T18:49:00"/>
    <s v="Ngumu"/>
    <n v="1"/>
    <n v="10"/>
    <n v="8.3333333333333339"/>
    <n v="1.6666666666666661"/>
    <s v="Mpesa"/>
    <x v="2"/>
    <m/>
    <m/>
    <m/>
  </r>
  <r>
    <d v="2024-08-31T00:00:00"/>
    <d v="1899-12-30T19:22:00"/>
    <s v="Pembe 2kg"/>
    <n v="1"/>
    <n v="160"/>
    <n v="123.33333333333333"/>
    <n v="36.666666666666671"/>
    <s v="Credit"/>
    <x v="3"/>
    <m/>
    <m/>
    <m/>
  </r>
  <r>
    <d v="2024-08-31T00:00:00"/>
    <d v="1899-12-30T19:25:00"/>
    <s v="Safari"/>
    <n v="1"/>
    <n v="15"/>
    <n v="8.5"/>
    <n v="6.5"/>
    <s v="Mpesa"/>
    <x v="2"/>
    <m/>
    <m/>
    <m/>
  </r>
  <r>
    <d v="2024-08-31T00:00:00"/>
    <d v="1899-12-30T19:30:00"/>
    <s v="Festive Bread 400g"/>
    <n v="1"/>
    <n v="65"/>
    <n v="60"/>
    <n v="5"/>
    <s v="Mpesa"/>
    <x v="2"/>
    <m/>
    <m/>
    <m/>
  </r>
  <r>
    <d v="2024-08-31T00:00:00"/>
    <d v="1899-12-30T19:40:00"/>
    <s v="Safari"/>
    <n v="2"/>
    <n v="30"/>
    <n v="17"/>
    <n v="13"/>
    <s v="Mpesa"/>
    <x v="2"/>
    <m/>
    <m/>
    <m/>
  </r>
  <r>
    <d v="2024-08-31T00:00:00"/>
    <d v="1899-12-30T19:41:00"/>
    <s v="Ngumu"/>
    <n v="2"/>
    <n v="20"/>
    <n v="16.666666666666668"/>
    <n v="3.3333333333333321"/>
    <s v="Mpesa"/>
    <x v="2"/>
    <m/>
    <m/>
    <m/>
  </r>
  <r>
    <d v="2024-08-31T00:00:00"/>
    <d v="1899-12-30T19:41:00"/>
    <s v="Tomatoes"/>
    <n v="5"/>
    <n v="50"/>
    <n v="25"/>
    <n v="25"/>
    <s v="Mpesa"/>
    <x v="2"/>
    <m/>
    <m/>
    <m/>
  </r>
  <r>
    <d v="2024-08-31T00:00:00"/>
    <d v="1899-12-30T19:41:00"/>
    <s v="Mt Kenya milk 200ml"/>
    <n v="2"/>
    <n v="70"/>
    <n v="48.571428571428569"/>
    <n v="21.428571428571431"/>
    <s v="Mpesa"/>
    <x v="2"/>
    <m/>
    <m/>
    <m/>
  </r>
  <r>
    <d v="2024-08-31T00:00:00"/>
    <d v="1899-12-30T19:41:00"/>
    <s v="Royco cubes"/>
    <n v="6"/>
    <n v="30"/>
    <n v="18"/>
    <n v="12"/>
    <s v="Mpesa"/>
    <x v="2"/>
    <m/>
    <m/>
    <m/>
  </r>
  <r>
    <d v="2024-08-31T00:00:00"/>
    <d v="1899-12-30T19:41:00"/>
    <s v="Mt Kenya milk 200ml"/>
    <n v="1"/>
    <n v="35"/>
    <n v="24.285714285714285"/>
    <n v="10.714285714285715"/>
    <s v="Mpesa"/>
    <x v="2"/>
    <m/>
    <m/>
    <m/>
  </r>
  <r>
    <d v="2024-08-31T00:00:00"/>
    <d v="1899-12-30T20:21:00"/>
    <s v="Ring Cake"/>
    <n v="1"/>
    <n v="50"/>
    <n v="45"/>
    <n v="5"/>
    <s v="Mpesa"/>
    <x v="2"/>
    <m/>
    <m/>
    <m/>
  </r>
  <r>
    <d v="2024-08-31T00:00:00"/>
    <d v="1899-12-30T12:30:00"/>
    <s v="soda 300ml glass"/>
    <n v="1"/>
    <n v="40"/>
    <n v="32.5"/>
    <n v="7.5"/>
    <s v="Mpesa"/>
    <x v="2"/>
    <m/>
    <m/>
    <m/>
  </r>
  <r>
    <d v="2024-08-31T00:00:00"/>
    <d v="1899-12-30T12:30:00"/>
    <s v="Kdf"/>
    <n v="1"/>
    <n v="10"/>
    <n v="8.3333333333333339"/>
    <n v="1.6666666666666661"/>
    <s v="Cash"/>
    <x v="2"/>
    <m/>
    <m/>
    <m/>
  </r>
  <r>
    <d v="2024-08-31T00:00:00"/>
    <d v="1899-12-30T20:21:00"/>
    <s v="Festive Bread 400g"/>
    <n v="1"/>
    <n v="65"/>
    <n v="60"/>
    <n v="5"/>
    <s v="Mpesa"/>
    <x v="2"/>
    <m/>
    <m/>
    <m/>
  </r>
  <r>
    <d v="2024-09-01T00:00:00"/>
    <d v="1899-12-30T07:51:00"/>
    <s v="Safari"/>
    <n v="2"/>
    <n v="30"/>
    <n v="17"/>
    <n v="13"/>
    <s v="Mpesa"/>
    <x v="2"/>
    <m/>
    <m/>
    <m/>
  </r>
  <r>
    <d v="2024-09-01T00:00:00"/>
    <d v="1899-12-30T08:20:00"/>
    <s v="Handkerchief"/>
    <n v="1"/>
    <n v="20"/>
    <n v="12"/>
    <n v="8"/>
    <s v="Credit"/>
    <x v="8"/>
    <m/>
    <m/>
    <m/>
  </r>
  <r>
    <d v="2024-09-01T00:00:00"/>
    <d v="1899-12-30T08:20:00"/>
    <s v="Festive Bread 400g"/>
    <n v="1"/>
    <n v="65"/>
    <n v="60"/>
    <n v="5"/>
    <s v="Credit"/>
    <x v="53"/>
    <m/>
    <m/>
    <m/>
  </r>
  <r>
    <d v="2024-09-01T00:00:00"/>
    <d v="1899-12-30T08:28:00"/>
    <s v="Sindano rice"/>
    <n v="0.5"/>
    <n v="75"/>
    <n v="60"/>
    <n v="15"/>
    <s v="Mpesa"/>
    <x v="2"/>
    <m/>
    <m/>
    <m/>
  </r>
  <r>
    <d v="2024-09-01T00:00:00"/>
    <d v="1899-12-30T08:28:00"/>
    <s v="Safari"/>
    <n v="1"/>
    <n v="15"/>
    <n v="8.5"/>
    <n v="6.5"/>
    <s v="Mpesa"/>
    <x v="2"/>
    <m/>
    <m/>
    <m/>
  </r>
  <r>
    <d v="2024-09-01T00:00:00"/>
    <d v="1899-12-30T09:34:00"/>
    <s v="eggs"/>
    <n v="4"/>
    <n v="80"/>
    <n v="57.333333333333336"/>
    <n v="22.666666666666664"/>
    <s v="Mpesa"/>
    <x v="2"/>
    <m/>
    <m/>
    <m/>
  </r>
  <r>
    <d v="2024-09-01T00:00:00"/>
    <d v="1899-12-30T09:34:00"/>
    <s v="Ngumu"/>
    <n v="2"/>
    <n v="20"/>
    <n v="16.666666666666668"/>
    <n v="3.3333333333333321"/>
    <s v="Credit"/>
    <x v="3"/>
    <m/>
    <m/>
    <m/>
  </r>
  <r>
    <d v="2024-09-01T00:00:00"/>
    <d v="1899-12-30T09:41:00"/>
    <s v="Mandazi"/>
    <n v="8"/>
    <n v="40"/>
    <n v="33.333333333333336"/>
    <n v="6.6666666666666643"/>
    <s v="Mpesa"/>
    <x v="2"/>
    <m/>
    <m/>
    <m/>
  </r>
  <r>
    <d v="2024-09-01T00:00:00"/>
    <d v="1899-12-30T09:50:00"/>
    <s v="Festive Bread 400g"/>
    <n v="1"/>
    <n v="65"/>
    <n v="60"/>
    <n v="5"/>
    <s v="Credit"/>
    <x v="31"/>
    <m/>
    <m/>
    <m/>
  </r>
  <r>
    <d v="2024-09-01T00:00:00"/>
    <d v="1899-12-30T09:59:00"/>
    <s v="BB Bread 400g"/>
    <n v="2"/>
    <n v="130"/>
    <n v="120"/>
    <n v="10"/>
    <s v="Credit"/>
    <x v="31"/>
    <m/>
    <m/>
    <m/>
  </r>
  <r>
    <d v="2024-09-01T00:00:00"/>
    <d v="1899-12-30T09:59:00"/>
    <s v="Sugar 1/4 kg"/>
    <n v="2"/>
    <n v="90"/>
    <n v="60"/>
    <n v="30"/>
    <s v="Credit"/>
    <x v="12"/>
    <m/>
    <m/>
    <m/>
  </r>
  <r>
    <d v="2024-09-01T00:00:00"/>
    <d v="1899-12-30T10:01:00"/>
    <s v="Mt kenya milk 500ml"/>
    <n v="1"/>
    <n v="65"/>
    <n v="48.333333333333336"/>
    <n v="16.666666666666664"/>
    <s v="Mpesa"/>
    <x v="2"/>
    <m/>
    <m/>
    <m/>
  </r>
  <r>
    <d v="2024-09-01T00:00:00"/>
    <d v="1899-12-30T10:03:00"/>
    <s v="Menengai Bar 1kg"/>
    <n v="0.5"/>
    <n v="125"/>
    <n v="95"/>
    <n v="30"/>
    <s v="Mpesa"/>
    <x v="2"/>
    <m/>
    <m/>
    <m/>
  </r>
  <r>
    <d v="2024-09-01T00:00:00"/>
    <d v="1899-12-30T10:15:00"/>
    <s v="Downy lavender"/>
    <n v="1"/>
    <n v="20"/>
    <n v="17.333333333333332"/>
    <n v="2.6666666666666679"/>
    <s v="Credit"/>
    <x v="6"/>
    <m/>
    <m/>
    <m/>
  </r>
  <r>
    <d v="2024-09-01T00:00:00"/>
    <d v="1899-12-30T10:30:00"/>
    <s v="Festive Bread 400g"/>
    <n v="1"/>
    <n v="65"/>
    <n v="60"/>
    <n v="5"/>
    <s v="Credit"/>
    <x v="29"/>
    <m/>
    <m/>
    <m/>
  </r>
  <r>
    <d v="2024-09-01T00:00:00"/>
    <d v="1899-12-30T10:45:00"/>
    <s v="Sugar 1/4 kg"/>
    <n v="1"/>
    <n v="45"/>
    <n v="30"/>
    <n v="15"/>
    <s v="Cash"/>
    <x v="2"/>
    <m/>
    <m/>
    <m/>
  </r>
  <r>
    <d v="2024-09-01T00:00:00"/>
    <d v="1899-12-30T10:45:00"/>
    <s v="Maramoja"/>
    <n v="1"/>
    <n v="10"/>
    <n v="7"/>
    <n v="3"/>
    <s v="Cash"/>
    <x v="2"/>
    <m/>
    <m/>
    <m/>
  </r>
  <r>
    <d v="2024-09-01T00:00:00"/>
    <d v="1899-12-30T10:50:00"/>
    <s v="Patco"/>
    <n v="2"/>
    <n v="5"/>
    <n v="2.4"/>
    <n v="2.6"/>
    <s v="Cash"/>
    <x v="2"/>
    <m/>
    <m/>
    <m/>
  </r>
  <r>
    <d v="2024-09-01T00:00:00"/>
    <d v="1899-12-30T11:01:00"/>
    <s v="minutemaid 400ml"/>
    <n v="1"/>
    <n v="85"/>
    <n v="62.5"/>
    <n v="22.5"/>
    <s v="Mpesa"/>
    <x v="2"/>
    <m/>
    <m/>
    <m/>
  </r>
  <r>
    <d v="2024-09-01T00:00:00"/>
    <d v="1899-12-30T11:29:00"/>
    <s v="Safari"/>
    <n v="2"/>
    <n v="30"/>
    <n v="17"/>
    <n v="13"/>
    <s v="Cash"/>
    <x v="2"/>
    <m/>
    <m/>
    <m/>
  </r>
  <r>
    <d v="2024-09-01T00:00:00"/>
    <d v="1899-12-30T11:40:00"/>
    <s v="Tropical"/>
    <n v="1"/>
    <n v="5"/>
    <n v="1.5"/>
    <n v="3.5"/>
    <s v="Cash"/>
    <x v="2"/>
    <m/>
    <m/>
    <m/>
  </r>
  <r>
    <d v="2024-09-01T00:00:00"/>
    <d v="1899-12-30T11:40:00"/>
    <s v="Safari"/>
    <n v="1"/>
    <n v="15"/>
    <n v="8.5"/>
    <n v="6.5"/>
    <s v="Mpesa"/>
    <x v="2"/>
    <m/>
    <m/>
    <m/>
  </r>
  <r>
    <d v="2024-09-01T00:00:00"/>
    <d v="1899-12-30T12:30:00"/>
    <s v="Airtel 50 Credit"/>
    <n v="1"/>
    <n v="50"/>
    <n v="47"/>
    <n v="3"/>
    <s v="Mpesa"/>
    <x v="2"/>
    <m/>
    <m/>
    <m/>
  </r>
  <r>
    <d v="2024-09-01T00:00:00"/>
    <d v="1899-12-30T12:33:00"/>
    <s v="Safari"/>
    <n v="1"/>
    <n v="15"/>
    <n v="8.5"/>
    <n v="6.5"/>
    <s v="Mpesa"/>
    <x v="2"/>
    <m/>
    <m/>
    <m/>
  </r>
  <r>
    <d v="2024-09-01T00:00:00"/>
    <d v="1899-12-30T13:00:00"/>
    <s v="Glucose 10g"/>
    <n v="2"/>
    <n v="10"/>
    <n v="7.5"/>
    <n v="2.5"/>
    <s v="Credit"/>
    <x v="7"/>
    <m/>
    <m/>
    <m/>
  </r>
  <r>
    <d v="2024-09-01T00:00:00"/>
    <d v="1899-12-30T13:03:00"/>
    <s v="T.Heat Potato crisps salted 25g"/>
    <n v="1"/>
    <n v="30"/>
    <n v="22.916666666666668"/>
    <n v="7.0833333333333321"/>
    <s v="Credit"/>
    <x v="11"/>
    <m/>
    <m/>
    <m/>
  </r>
  <r>
    <d v="2024-09-01T00:00:00"/>
    <d v="1899-12-30T13:03:00"/>
    <s v="eggs"/>
    <n v="1"/>
    <n v="20"/>
    <n v="14.333333333333334"/>
    <n v="5.6666666666666661"/>
    <s v="Credit"/>
    <x v="11"/>
    <m/>
    <m/>
    <m/>
  </r>
  <r>
    <d v="2024-09-01T00:00:00"/>
    <d v="1899-12-30T13:10:00"/>
    <s v="kensalt 500g"/>
    <n v="1"/>
    <n v="25"/>
    <n v="14"/>
    <n v="11"/>
    <s v="Cash"/>
    <x v="2"/>
    <m/>
    <m/>
    <m/>
  </r>
  <r>
    <d v="2024-09-01T00:00:00"/>
    <d v="1899-12-30T13:10:00"/>
    <s v="Ringoz Paprika"/>
    <n v="1"/>
    <n v="15"/>
    <n v="8.8000000000000007"/>
    <n v="6.1999999999999993"/>
    <s v="Cash"/>
    <x v="2"/>
    <m/>
    <m/>
    <m/>
  </r>
  <r>
    <d v="2024-09-01T00:00:00"/>
    <d v="1899-12-30T13:40:00"/>
    <s v="Safari"/>
    <n v="2"/>
    <n v="30"/>
    <n v="17"/>
    <n v="13"/>
    <s v="Credit"/>
    <x v="9"/>
    <m/>
    <m/>
    <m/>
  </r>
  <r>
    <d v="2024-09-01T00:00:00"/>
    <d v="1899-12-30T13:40:00"/>
    <s v="soda 500ml glass"/>
    <n v="1"/>
    <n v="55"/>
    <n v="50"/>
    <n v="5"/>
    <s v="Credit"/>
    <x v="9"/>
    <m/>
    <m/>
    <m/>
  </r>
  <r>
    <d v="2024-09-01T00:00:00"/>
    <d v="1899-12-30T13:41:00"/>
    <s v="Indomie chicken"/>
    <n v="1"/>
    <n v="50"/>
    <n v="37.5"/>
    <n v="12.5"/>
    <s v="Mpesa"/>
    <x v="2"/>
    <m/>
    <m/>
    <m/>
  </r>
  <r>
    <d v="2024-09-01T00:00:00"/>
    <d v="1899-12-30T13:41:00"/>
    <s v="eggs"/>
    <n v="2"/>
    <n v="40"/>
    <n v="28.666666666666668"/>
    <n v="11.333333333333332"/>
    <s v="Mpesa"/>
    <x v="2"/>
    <m/>
    <m/>
    <m/>
  </r>
  <r>
    <d v="2024-09-01T00:00:00"/>
    <d v="1899-12-30T09:34:00"/>
    <s v="soda 500ml glass"/>
    <n v="1"/>
    <n v="55"/>
    <n v="50"/>
    <n v="5"/>
    <s v="Cash"/>
    <x v="2"/>
    <m/>
    <m/>
    <m/>
  </r>
  <r>
    <d v="2024-09-01T00:00:00"/>
    <d v="1899-12-30T09:34:00"/>
    <s v="Airtel 50 Credit"/>
    <n v="1"/>
    <n v="50"/>
    <n v="47"/>
    <n v="3"/>
    <s v="Cash"/>
    <x v="2"/>
    <m/>
    <m/>
    <m/>
  </r>
  <r>
    <d v="2024-09-01T00:00:00"/>
    <d v="1899-12-30T09:34:00"/>
    <s v="Tropical"/>
    <n v="1"/>
    <n v="5"/>
    <n v="1.5"/>
    <n v="3.5"/>
    <s v="Cash"/>
    <x v="2"/>
    <m/>
    <m/>
    <m/>
  </r>
  <r>
    <d v="2024-09-01T00:00:00"/>
    <d v="1899-12-30T09:34:00"/>
    <s v="Safari"/>
    <n v="1"/>
    <n v="15"/>
    <n v="8.5"/>
    <n v="6.5"/>
    <s v="Cash"/>
    <x v="2"/>
    <m/>
    <m/>
    <m/>
  </r>
  <r>
    <d v="2024-09-01T00:00:00"/>
    <d v="1899-12-30T09:34:00"/>
    <s v="Tropical"/>
    <n v="3"/>
    <n v="15"/>
    <n v="4.5"/>
    <n v="10.5"/>
    <s v="Cash"/>
    <x v="2"/>
    <m/>
    <m/>
    <m/>
  </r>
  <r>
    <d v="2024-09-01T00:00:00"/>
    <d v="1899-12-30T09:34:00"/>
    <s v="kinangop250g youghurt"/>
    <n v="1"/>
    <n v="60"/>
    <n v="48.333333333333336"/>
    <n v="11.666666666666664"/>
    <s v="Credit"/>
    <x v="3"/>
    <m/>
    <m/>
    <m/>
  </r>
  <r>
    <d v="2024-09-01T00:00:00"/>
    <d v="1899-12-30T09:34:00"/>
    <s v="Queen cake"/>
    <n v="1"/>
    <n v="10"/>
    <n v="8.3333333333333339"/>
    <n v="1.6666666666666661"/>
    <s v="Credit"/>
    <x v="3"/>
    <m/>
    <m/>
    <m/>
  </r>
  <r>
    <d v="2024-09-01T00:00:00"/>
    <d v="1899-12-30T09:34:00"/>
    <s v="Poa Pekee Tissue"/>
    <n v="1"/>
    <n v="30"/>
    <n v="13.333333333333334"/>
    <n v="16.666666666666664"/>
    <s v="Credit"/>
    <x v="23"/>
    <m/>
    <m/>
    <m/>
  </r>
  <r>
    <d v="2024-09-01T00:00:00"/>
    <d v="1899-12-30T09:34:00"/>
    <s v="Icepop"/>
    <n v="3"/>
    <n v="45"/>
    <n v="22.5"/>
    <n v="22.5"/>
    <s v="Mpesa"/>
    <x v="2"/>
    <m/>
    <m/>
    <m/>
  </r>
  <r>
    <d v="2024-09-01T00:00:00"/>
    <d v="1899-12-30T17:18:00"/>
    <s v="Pishori rice"/>
    <n v="0.5"/>
    <n v="110"/>
    <n v="90"/>
    <n v="20"/>
    <s v="Credit"/>
    <x v="9"/>
    <m/>
    <m/>
    <m/>
  </r>
  <r>
    <d v="2024-09-01T00:00:00"/>
    <d v="1899-12-30T17:18:00"/>
    <s v="Kinangop Fresh Milk 500ml"/>
    <n v="1"/>
    <n v="60"/>
    <n v="55"/>
    <n v="5"/>
    <s v="Credit"/>
    <x v="9"/>
    <m/>
    <m/>
    <m/>
  </r>
  <r>
    <d v="2024-09-01T00:00:00"/>
    <d v="1899-12-30T17:18:00"/>
    <s v="Match Box"/>
    <n v="1"/>
    <n v="5"/>
    <n v="2.3611111111111112"/>
    <n v="2.6388888888888888"/>
    <s v="Credit"/>
    <x v="9"/>
    <m/>
    <m/>
    <m/>
  </r>
  <r>
    <d v="2024-09-01T00:00:00"/>
    <d v="1899-12-30T17:18:00"/>
    <s v="Safari"/>
    <n v="3"/>
    <n v="45"/>
    <n v="25.5"/>
    <n v="19.5"/>
    <s v="Credit"/>
    <x v="9"/>
    <m/>
    <m/>
    <m/>
  </r>
  <r>
    <d v="2024-09-01T00:00:00"/>
    <d v="1899-12-30T17:27:00"/>
    <s v="Patco"/>
    <n v="4"/>
    <n v="10"/>
    <n v="4.8"/>
    <n v="5.2"/>
    <s v="Cash"/>
    <x v="2"/>
    <m/>
    <m/>
    <m/>
  </r>
  <r>
    <d v="2024-09-01T00:00:00"/>
    <d v="1899-12-30T17:27:00"/>
    <s v="Bigboss"/>
    <n v="2"/>
    <n v="10"/>
    <n v="7"/>
    <n v="3"/>
    <s v="Cash"/>
    <x v="2"/>
    <m/>
    <m/>
    <m/>
  </r>
  <r>
    <d v="2024-09-01T00:00:00"/>
    <d v="1899-12-30T18:22:00"/>
    <s v="Airtel 50 Credit"/>
    <n v="1"/>
    <n v="50"/>
    <n v="47"/>
    <n v="3"/>
    <s v="Cash"/>
    <x v="2"/>
    <m/>
    <m/>
    <m/>
  </r>
  <r>
    <d v="2024-09-01T00:00:00"/>
    <d v="1899-12-30T18:27:00"/>
    <s v="5ltrs water"/>
    <n v="1"/>
    <n v="120"/>
    <n v="75"/>
    <n v="45"/>
    <s v="Credit"/>
    <x v="10"/>
    <m/>
    <m/>
    <m/>
  </r>
  <r>
    <d v="2024-09-01T00:00:00"/>
    <d v="1899-12-30T18:30:00"/>
    <s v="Safari"/>
    <n v="6"/>
    <n v="90"/>
    <n v="51"/>
    <n v="39"/>
    <s v="Cash"/>
    <x v="2"/>
    <m/>
    <m/>
    <m/>
  </r>
  <r>
    <d v="2024-09-01T00:00:00"/>
    <d v="1899-12-30T18:30:00"/>
    <s v="Tropical"/>
    <n v="2"/>
    <n v="10"/>
    <n v="3"/>
    <n v="7"/>
    <s v="Cash"/>
    <x v="2"/>
    <m/>
    <m/>
    <m/>
  </r>
  <r>
    <d v="2024-09-01T00:00:00"/>
    <d v="1899-12-30T18:33:00"/>
    <s v="candle"/>
    <n v="3"/>
    <n v="45"/>
    <n v="28.125"/>
    <n v="16.875"/>
    <s v="Mpesa"/>
    <x v="2"/>
    <m/>
    <m/>
    <m/>
  </r>
  <r>
    <d v="2024-09-01T00:00:00"/>
    <d v="1899-12-30T18:50:00"/>
    <s v="Onion"/>
    <n v="1"/>
    <n v="10"/>
    <n v="8"/>
    <n v="2"/>
    <s v="Mpesa"/>
    <x v="2"/>
    <s v="Pauline"/>
    <n v="5"/>
    <s v="Mpesa"/>
  </r>
  <r>
    <d v="2024-09-01T00:00:00"/>
    <d v="1899-12-30T19:06:00"/>
    <s v="candle"/>
    <n v="2"/>
    <n v="30"/>
    <n v="18.75"/>
    <n v="11.25"/>
    <s v="Cash"/>
    <x v="2"/>
    <m/>
    <m/>
    <m/>
  </r>
  <r>
    <d v="2024-09-01T00:00:00"/>
    <d v="1899-12-30T19:18:00"/>
    <s v="candle"/>
    <n v="2"/>
    <n v="30"/>
    <n v="18.75"/>
    <n v="11.25"/>
    <s v="Cash"/>
    <x v="2"/>
    <m/>
    <m/>
    <m/>
  </r>
  <r>
    <d v="2024-09-01T00:00:00"/>
    <d v="1899-12-30T19:18:00"/>
    <s v="Onion"/>
    <n v="4"/>
    <n v="40"/>
    <n v="32"/>
    <n v="8"/>
    <s v="Cash"/>
    <x v="2"/>
    <m/>
    <m/>
    <m/>
  </r>
  <r>
    <d v="2024-09-01T00:00:00"/>
    <d v="1899-12-30T19:19:00"/>
    <s v="BB Bread 400g"/>
    <n v="2"/>
    <n v="130"/>
    <n v="120"/>
    <n v="10"/>
    <s v="Mpesa"/>
    <x v="2"/>
    <m/>
    <m/>
    <m/>
  </r>
  <r>
    <d v="2024-09-01T00:00:00"/>
    <d v="1899-12-30T19:19:00"/>
    <s v="Royco cubes"/>
    <n v="2"/>
    <n v="10"/>
    <n v="6"/>
    <n v="4"/>
    <s v="Mpesa"/>
    <x v="2"/>
    <m/>
    <m/>
    <m/>
  </r>
  <r>
    <d v="2024-09-01T00:00:00"/>
    <d v="1899-12-30T19:18:00"/>
    <s v="Kinangop Fresh Milk 500ml"/>
    <n v="1"/>
    <n v="60"/>
    <n v="55"/>
    <n v="5"/>
    <s v="Credit"/>
    <x v="3"/>
    <m/>
    <m/>
    <m/>
  </r>
  <r>
    <d v="2024-09-01T00:00:00"/>
    <d v="1899-12-30T19:18:00"/>
    <s v="BB Bread 400g"/>
    <n v="1"/>
    <n v="65"/>
    <n v="60"/>
    <n v="5"/>
    <s v="Credit"/>
    <x v="3"/>
    <m/>
    <m/>
    <m/>
  </r>
  <r>
    <d v="2024-09-01T00:00:00"/>
    <d v="1899-12-30T19:30:00"/>
    <s v="Pembe 2kg"/>
    <n v="1"/>
    <n v="160"/>
    <n v="123.33333333333333"/>
    <n v="36.666666666666671"/>
    <s v="Mpesa"/>
    <x v="2"/>
    <m/>
    <m/>
    <m/>
  </r>
  <r>
    <d v="2024-09-01T00:00:00"/>
    <d v="1899-12-30T19:30:00"/>
    <s v="Sindano rice"/>
    <n v="1"/>
    <n v="150"/>
    <n v="120"/>
    <n v="30"/>
    <s v="Mpesa"/>
    <x v="2"/>
    <m/>
    <m/>
    <m/>
  </r>
  <r>
    <d v="2024-09-01T00:00:00"/>
    <d v="1899-12-30T19:30:00"/>
    <s v="Onion"/>
    <n v="1"/>
    <n v="10"/>
    <n v="8"/>
    <n v="2"/>
    <s v="Mpesa"/>
    <x v="2"/>
    <m/>
    <m/>
    <m/>
  </r>
  <r>
    <d v="2024-09-01T00:00:00"/>
    <d v="1899-12-30T19:30:00"/>
    <s v="Tomatoes"/>
    <n v="1"/>
    <n v="10"/>
    <n v="5"/>
    <n v="5"/>
    <s v="Mpesa"/>
    <x v="2"/>
    <m/>
    <m/>
    <m/>
  </r>
  <r>
    <d v="2024-09-01T00:00:00"/>
    <d v="1899-12-30T19:30:00"/>
    <s v="Safari"/>
    <n v="1"/>
    <n v="15"/>
    <n v="8.5"/>
    <n v="6.5"/>
    <s v="Mpesa"/>
    <x v="2"/>
    <m/>
    <m/>
    <m/>
  </r>
  <r>
    <d v="2024-09-01T00:00:00"/>
    <d v="1899-12-30T19:30:00"/>
    <s v="Ngumu"/>
    <n v="1"/>
    <n v="10"/>
    <n v="8.3333333333333339"/>
    <n v="1.6666666666666661"/>
    <s v="Mpesa"/>
    <x v="2"/>
    <m/>
    <m/>
    <m/>
  </r>
  <r>
    <d v="2024-09-01T00:00:00"/>
    <d v="1899-12-30T19:40:00"/>
    <s v="soda 350ml plastic"/>
    <n v="1"/>
    <n v="50"/>
    <n v="41.666666666666664"/>
    <n v="8.3333333333333357"/>
    <s v="Cash"/>
    <x v="2"/>
    <m/>
    <m/>
    <m/>
  </r>
  <r>
    <d v="2024-09-01T00:00:00"/>
    <d v="1899-12-30T19:59:00"/>
    <s v="Festive Bread 400g"/>
    <n v="1"/>
    <n v="65"/>
    <n v="60"/>
    <n v="5"/>
    <s v="Mpesa"/>
    <x v="2"/>
    <m/>
    <m/>
    <m/>
  </r>
  <r>
    <d v="2024-09-01T00:00:00"/>
    <d v="1899-12-30T11:22:00"/>
    <s v="Njugu"/>
    <n v="1"/>
    <n v="20"/>
    <n v="10.666666666666666"/>
    <n v="9.3333333333333339"/>
    <s v="Mpesa"/>
    <x v="2"/>
    <m/>
    <m/>
    <m/>
  </r>
  <r>
    <d v="2024-09-01T00:00:00"/>
    <d v="1899-12-30T13:40:00"/>
    <s v="Queen cake"/>
    <n v="6"/>
    <n v="60"/>
    <n v="50"/>
    <n v="10"/>
    <s v="Credit"/>
    <x v="9"/>
    <m/>
    <m/>
    <m/>
  </r>
  <r>
    <d v="2024-09-02T00:00:00"/>
    <d v="1899-12-30T07:30:00"/>
    <s v="Safari"/>
    <n v="1"/>
    <n v="15"/>
    <n v="8.5"/>
    <n v="6.5"/>
    <s v="Mpesa"/>
    <x v="2"/>
    <s v="Fredrick"/>
    <n v="5"/>
    <s v="Mpesa"/>
  </r>
  <r>
    <d v="2024-09-02T00:00:00"/>
    <d v="1899-12-30T08:12:00"/>
    <s v="Mt kenya milk 500ml"/>
    <n v="2"/>
    <n v="130"/>
    <n v="96.666666666666671"/>
    <n v="33.333333333333329"/>
    <s v="Credit"/>
    <x v="7"/>
    <m/>
    <m/>
    <m/>
  </r>
  <r>
    <d v="2024-09-02T00:00:00"/>
    <d v="1899-12-30T08:12:00"/>
    <s v="eggs"/>
    <n v="1"/>
    <n v="20"/>
    <n v="14.333333333333334"/>
    <n v="5.6666666666666661"/>
    <s v="Credit"/>
    <x v="31"/>
    <m/>
    <m/>
    <m/>
  </r>
  <r>
    <d v="2024-09-02T00:00:00"/>
    <d v="1899-12-30T08:12:00"/>
    <s v="Kienyeji  Eggs"/>
    <n v="2"/>
    <n v="60"/>
    <n v="40"/>
    <n v="20"/>
    <s v="Credit"/>
    <x v="31"/>
    <m/>
    <m/>
    <m/>
  </r>
  <r>
    <d v="2024-09-02T00:00:00"/>
    <d v="1899-12-30T08:25:00"/>
    <s v="BB Bread 400g"/>
    <n v="1"/>
    <n v="65"/>
    <n v="60"/>
    <n v="5"/>
    <s v="Mpesa"/>
    <x v="2"/>
    <s v="Msanii"/>
    <n v="1055"/>
    <s v="Mpesa"/>
  </r>
  <r>
    <d v="2024-09-02T00:00:00"/>
    <d v="1899-12-30T08:27:00"/>
    <s v="BB Bread 400g"/>
    <n v="1"/>
    <n v="65"/>
    <n v="60"/>
    <n v="5"/>
    <s v="Mpesa"/>
    <x v="2"/>
    <m/>
    <m/>
    <m/>
  </r>
  <r>
    <d v="2024-09-02T00:00:00"/>
    <d v="1899-12-30T08:27:00"/>
    <s v="Mt kenya milk 500ml"/>
    <n v="1"/>
    <n v="65"/>
    <n v="48.333333333333336"/>
    <n v="16.666666666666664"/>
    <s v="Mpesa"/>
    <x v="2"/>
    <m/>
    <m/>
    <m/>
  </r>
  <r>
    <d v="2024-09-02T00:00:00"/>
    <d v="1899-12-30T08:28:00"/>
    <s v="BB Bread 400g"/>
    <n v="1"/>
    <n v="65"/>
    <n v="60"/>
    <n v="5"/>
    <s v="Credit"/>
    <x v="5"/>
    <m/>
    <m/>
    <m/>
  </r>
  <r>
    <d v="2024-09-02T00:00:00"/>
    <d v="1899-12-30T08:28:00"/>
    <s v="Mt kenya milk 500ml"/>
    <n v="1"/>
    <n v="65"/>
    <n v="48.333333333333336"/>
    <n v="16.666666666666664"/>
    <s v="Credit"/>
    <x v="5"/>
    <m/>
    <m/>
    <m/>
  </r>
  <r>
    <d v="2024-09-02T00:00:00"/>
    <d v="1899-12-30T08:28:00"/>
    <s v="Downy sunrise fresh"/>
    <n v="1"/>
    <n v="20"/>
    <n v="17.333333333333332"/>
    <n v="2.6666666666666679"/>
    <s v="Cash"/>
    <x v="2"/>
    <m/>
    <m/>
    <m/>
  </r>
  <r>
    <d v="2024-09-02T00:00:00"/>
    <d v="1899-12-30T08:34:00"/>
    <s v=" soda 1.25lts"/>
    <n v="1"/>
    <n v="130"/>
    <n v="112.5"/>
    <n v="17.5"/>
    <s v="Cash"/>
    <x v="2"/>
    <s v="Irene"/>
    <n v="270"/>
    <s v="Mpesa"/>
  </r>
  <r>
    <d v="2024-09-02T00:00:00"/>
    <d v="1899-12-30T08:34:00"/>
    <s v="Maramoja"/>
    <n v="1"/>
    <n v="10"/>
    <n v="7"/>
    <n v="3"/>
    <s v="Cash"/>
    <x v="2"/>
    <m/>
    <m/>
    <m/>
  </r>
  <r>
    <d v="2024-09-02T00:00:00"/>
    <d v="1899-12-30T08:34:00"/>
    <s v="Tropical"/>
    <n v="2"/>
    <n v="10"/>
    <n v="3"/>
    <n v="7"/>
    <s v="Cash"/>
    <x v="2"/>
    <m/>
    <m/>
    <m/>
  </r>
  <r>
    <d v="2024-09-02T00:00:00"/>
    <d v="1899-12-30T08:35:00"/>
    <s v="Mt kenya milk 500ml"/>
    <n v="1"/>
    <n v="65"/>
    <n v="48.333333333333336"/>
    <n v="16.666666666666664"/>
    <s v="Credit"/>
    <x v="1"/>
    <m/>
    <m/>
    <m/>
  </r>
  <r>
    <d v="2024-09-02T00:00:00"/>
    <d v="1899-12-30T08:51:00"/>
    <s v="Panadol Extra"/>
    <n v="1"/>
    <n v="20"/>
    <n v="13"/>
    <n v="7"/>
    <s v="Cash"/>
    <x v="2"/>
    <s v="Mum Victor"/>
    <n v="120"/>
    <s v="Mpesa"/>
  </r>
  <r>
    <d v="2024-09-02T00:00:00"/>
    <d v="1899-12-30T08:51:00"/>
    <s v="Safari"/>
    <n v="1"/>
    <n v="15"/>
    <n v="8.5"/>
    <n v="6.5"/>
    <s v="Cash"/>
    <x v="2"/>
    <m/>
    <m/>
    <m/>
  </r>
  <r>
    <d v="2024-09-02T00:00:00"/>
    <d v="1899-12-30T09:30:00"/>
    <s v="Safari"/>
    <n v="1"/>
    <n v="15"/>
    <n v="8.5"/>
    <n v="6.5"/>
    <s v="Mpesa"/>
    <x v="2"/>
    <m/>
    <m/>
    <m/>
  </r>
  <r>
    <d v="2024-09-02T00:00:00"/>
    <d v="1899-12-30T09:40:00"/>
    <s v="Medium Colgate Toothbrush"/>
    <n v="1"/>
    <n v="40"/>
    <n v="25"/>
    <n v="15"/>
    <s v="Mpesa"/>
    <x v="2"/>
    <s v="Zueda"/>
    <n v="65"/>
    <s v="Mpesa"/>
  </r>
  <r>
    <d v="2024-09-02T00:00:00"/>
    <d v="1899-12-30T10:11:00"/>
    <s v="omo 20g"/>
    <n v="2"/>
    <n v="30"/>
    <n v="18.333333333333332"/>
    <n v="11.666666666666668"/>
    <s v="Cash"/>
    <x v="2"/>
    <m/>
    <m/>
    <m/>
  </r>
  <r>
    <d v="2024-09-02T00:00:00"/>
    <d v="1899-12-30T10:51:00"/>
    <s v="Festive 600g"/>
    <n v="1"/>
    <n v="100"/>
    <n v="90"/>
    <n v="10"/>
    <s v="Mpesa"/>
    <x v="2"/>
    <m/>
    <m/>
    <m/>
  </r>
  <r>
    <d v="2024-09-02T00:00:00"/>
    <d v="1899-12-30T10:54:00"/>
    <s v="5ltrs water"/>
    <n v="1"/>
    <n v="120"/>
    <n v="75"/>
    <n v="45"/>
    <s v="Mpesa"/>
    <x v="2"/>
    <m/>
    <m/>
    <m/>
  </r>
  <r>
    <d v="2024-09-02T00:00:00"/>
    <d v="1899-12-30T10:54:00"/>
    <s v="Mt kenya milk 500ml"/>
    <n v="1"/>
    <n v="65"/>
    <n v="48.333333333333336"/>
    <n v="16.666666666666664"/>
    <s v="Cash"/>
    <x v="2"/>
    <m/>
    <m/>
    <m/>
  </r>
  <r>
    <d v="2024-09-02T00:00:00"/>
    <d v="1899-12-30T10:54:00"/>
    <s v="Poa Pekee Tissue"/>
    <n v="1"/>
    <n v="30"/>
    <n v="13.333333333333334"/>
    <n v="16.666666666666664"/>
    <s v="Cash"/>
    <x v="2"/>
    <m/>
    <m/>
    <m/>
  </r>
  <r>
    <d v="2024-09-02T00:00:00"/>
    <d v="1899-12-30T11:11:00"/>
    <s v="Mt Kenya milk 200ml"/>
    <n v="2"/>
    <n v="70"/>
    <n v="48.571428571428569"/>
    <n v="21.428571428571431"/>
    <s v="Cash"/>
    <x v="2"/>
    <s v="Titus"/>
    <n v="700"/>
    <s v="Cash"/>
  </r>
  <r>
    <d v="2024-09-02T00:00:00"/>
    <d v="1899-12-30T11:11:00"/>
    <s v="Ngumu"/>
    <n v="2"/>
    <n v="20"/>
    <n v="16.666666666666668"/>
    <n v="3.3333333333333321"/>
    <s v="Credit"/>
    <x v="19"/>
    <m/>
    <m/>
    <m/>
  </r>
  <r>
    <d v="2024-09-02T00:00:00"/>
    <d v="1899-12-30T11:57:00"/>
    <s v="Queen cake"/>
    <n v="1"/>
    <n v="10"/>
    <n v="8.3333333333333339"/>
    <n v="1.6666666666666661"/>
    <s v="Mpesa"/>
    <x v="2"/>
    <s v="Haron"/>
    <n v="95"/>
    <s v="Mpesa"/>
  </r>
  <r>
    <d v="2024-09-02T00:00:00"/>
    <d v="1899-12-30T12:10:00"/>
    <s v="Maramoja"/>
    <n v="1"/>
    <n v="10"/>
    <n v="7"/>
    <n v="3"/>
    <s v="Mpesa"/>
    <x v="2"/>
    <m/>
    <m/>
    <m/>
  </r>
  <r>
    <d v="2024-09-02T00:00:00"/>
    <d v="1899-12-30T12:10:00"/>
    <s v="Bitez"/>
    <n v="1"/>
    <n v="15"/>
    <n v="8.8000000000000007"/>
    <n v="6.1999999999999993"/>
    <s v="Mpesa"/>
    <x v="2"/>
    <m/>
    <m/>
    <m/>
  </r>
  <r>
    <d v="2024-09-02T00:00:00"/>
    <d v="1899-12-30T12:10:00"/>
    <s v="Tukuza 1kg"/>
    <n v="1"/>
    <n v="90"/>
    <n v="61.25"/>
    <n v="28.75"/>
    <s v="Cash"/>
    <x v="2"/>
    <m/>
    <m/>
    <m/>
  </r>
  <r>
    <d v="2024-09-02T00:00:00"/>
    <d v="1899-12-30T12:10:00"/>
    <s v="eggs"/>
    <n v="2"/>
    <n v="40"/>
    <n v="28.666666666666668"/>
    <n v="11.333333333333332"/>
    <s v="Mpesa"/>
    <x v="2"/>
    <m/>
    <m/>
    <m/>
  </r>
  <r>
    <d v="2024-09-02T00:00:00"/>
    <d v="1899-12-30T12:10:00"/>
    <s v="Onion"/>
    <n v="1"/>
    <n v="10"/>
    <n v="8"/>
    <n v="2"/>
    <s v="Cash"/>
    <x v="2"/>
    <m/>
    <m/>
    <m/>
  </r>
  <r>
    <d v="2024-09-02T00:00:00"/>
    <d v="1899-12-30T12:10:00"/>
    <s v="Tomatoes"/>
    <n v="1"/>
    <n v="10"/>
    <n v="5"/>
    <n v="5"/>
    <s v="Cash"/>
    <x v="2"/>
    <m/>
    <m/>
    <m/>
  </r>
  <r>
    <d v="2024-09-02T00:00:00"/>
    <d v="1899-12-30T12:19:00"/>
    <s v="soda 300ml glass"/>
    <n v="1"/>
    <n v="40"/>
    <n v="32.5"/>
    <n v="7.5"/>
    <s v="Cash"/>
    <x v="2"/>
    <m/>
    <m/>
    <m/>
  </r>
  <r>
    <d v="2024-09-02T00:00:00"/>
    <d v="1899-12-30T12:19:00"/>
    <s v="Ngumu"/>
    <n v="2"/>
    <n v="20"/>
    <n v="16.666666666666668"/>
    <n v="3.3333333333333321"/>
    <s v="Cash"/>
    <x v="2"/>
    <m/>
    <m/>
    <m/>
  </r>
  <r>
    <d v="2024-09-02T00:00:00"/>
    <d v="1899-12-30T12:40:00"/>
    <s v="Tomatoes"/>
    <n v="2"/>
    <n v="20"/>
    <n v="10"/>
    <n v="10"/>
    <s v="Credit"/>
    <x v="2"/>
    <m/>
    <m/>
    <m/>
  </r>
  <r>
    <d v="2024-09-02T00:00:00"/>
    <d v="1899-12-30T12:40:00"/>
    <s v="soda 300ml glass"/>
    <n v="1"/>
    <n v="40"/>
    <n v="32.5"/>
    <n v="7.5"/>
    <s v="Credit"/>
    <x v="7"/>
    <m/>
    <m/>
    <m/>
  </r>
  <r>
    <d v="2024-09-02T00:00:00"/>
    <d v="1899-12-30T12:51:00"/>
    <s v="Safari"/>
    <n v="2"/>
    <n v="30"/>
    <n v="17"/>
    <n v="13"/>
    <s v="Mpesa"/>
    <x v="2"/>
    <m/>
    <m/>
    <m/>
  </r>
  <r>
    <d v="2024-09-02T00:00:00"/>
    <d v="1899-12-30T12:51:00"/>
    <s v="Banana"/>
    <n v="2"/>
    <n v="20"/>
    <n v="16.666666666666668"/>
    <n v="3.3333333333333321"/>
    <s v="Credit"/>
    <x v="7"/>
    <m/>
    <m/>
    <m/>
  </r>
  <r>
    <d v="2024-09-02T00:00:00"/>
    <d v="1899-12-30T13:08:00"/>
    <s v="Banana"/>
    <n v="2"/>
    <n v="20"/>
    <n v="16.666666666666668"/>
    <n v="3.3333333333333321"/>
    <s v="Credit"/>
    <x v="1"/>
    <m/>
    <m/>
    <m/>
  </r>
  <r>
    <d v="2024-09-02T00:00:00"/>
    <d v="1899-12-30T13:08:00"/>
    <s v="Royco cubes"/>
    <n v="2"/>
    <n v="10"/>
    <n v="6"/>
    <n v="4"/>
    <s v="Credit"/>
    <x v="1"/>
    <m/>
    <m/>
    <m/>
  </r>
  <r>
    <d v="2024-09-02T00:00:00"/>
    <d v="1899-12-30T13:17:00"/>
    <s v="Mandazi"/>
    <n v="6"/>
    <n v="30"/>
    <n v="25"/>
    <n v="5"/>
    <s v="Cash"/>
    <x v="2"/>
    <m/>
    <m/>
    <m/>
  </r>
  <r>
    <d v="2024-09-02T00:00:00"/>
    <d v="1899-12-30T13:17:00"/>
    <s v="Ngumu"/>
    <n v="2"/>
    <n v="20"/>
    <n v="16.666666666666668"/>
    <n v="3.3333333333333321"/>
    <s v="Cash"/>
    <x v="2"/>
    <m/>
    <m/>
    <m/>
  </r>
  <r>
    <d v="2024-09-02T00:00:00"/>
    <d v="1899-12-30T14:52:00"/>
    <s v="BB Bread 400g"/>
    <n v="1"/>
    <n v="65"/>
    <n v="60"/>
    <n v="5"/>
    <s v="Cash"/>
    <x v="2"/>
    <m/>
    <m/>
    <m/>
  </r>
  <r>
    <d v="2024-09-02T00:00:00"/>
    <d v="1899-12-30T14:52:00"/>
    <s v="Whitewash "/>
    <n v="1"/>
    <n v="50"/>
    <n v="33.75"/>
    <n v="16.25"/>
    <s v="Cash"/>
    <x v="2"/>
    <m/>
    <m/>
    <m/>
  </r>
  <r>
    <d v="2024-09-02T00:00:00"/>
    <d v="1899-12-30T13:32:00"/>
    <s v="Indomie beef"/>
    <n v="1"/>
    <n v="50"/>
    <n v="38"/>
    <n v="12"/>
    <s v="Mpesa"/>
    <x v="2"/>
    <m/>
    <m/>
    <m/>
  </r>
  <r>
    <d v="2024-09-02T00:00:00"/>
    <d v="1899-12-30T13:32:00"/>
    <s v="Colgate 35g"/>
    <n v="1"/>
    <n v="80"/>
    <n v="62.5"/>
    <n v="17.5"/>
    <s v="Credit"/>
    <x v="33"/>
    <m/>
    <m/>
    <m/>
  </r>
  <r>
    <d v="2024-09-02T00:00:00"/>
    <d v="1899-12-30T13:32:00"/>
    <s v="Medium Colgate Toothbrush"/>
    <n v="2"/>
    <n v="80"/>
    <n v="50"/>
    <n v="30"/>
    <s v="Credit"/>
    <x v="33"/>
    <m/>
    <m/>
    <m/>
  </r>
  <r>
    <d v="2024-09-02T00:00:00"/>
    <d v="1899-12-30T13:32:00"/>
    <s v="Blueband 250g"/>
    <n v="1"/>
    <n v="190"/>
    <n v="140"/>
    <n v="50"/>
    <s v="Credit"/>
    <x v="33"/>
    <m/>
    <m/>
    <m/>
  </r>
  <r>
    <d v="2024-09-02T00:00:00"/>
    <d v="1899-12-30T13:32:00"/>
    <s v="Toothbrush Children"/>
    <n v="1"/>
    <n v="30"/>
    <n v="19.166666666666668"/>
    <n v="10.833333333333332"/>
    <s v="Credit"/>
    <x v="33"/>
    <m/>
    <m/>
    <m/>
  </r>
  <r>
    <d v="2024-09-02T00:00:00"/>
    <d v="1899-12-30T13:32:00"/>
    <s v="Festive Bread 400g"/>
    <n v="1"/>
    <n v="65"/>
    <n v="60"/>
    <n v="5"/>
    <s v="Credit"/>
    <x v="33"/>
    <m/>
    <m/>
    <m/>
  </r>
  <r>
    <d v="2024-09-02T00:00:00"/>
    <d v="1899-12-30T13:32:00"/>
    <s v="Bigdaddy"/>
    <n v="1"/>
    <n v="10"/>
    <n v="6"/>
    <n v="4"/>
    <s v="Cash"/>
    <x v="2"/>
    <m/>
    <m/>
    <m/>
  </r>
  <r>
    <d v="2024-09-02T00:00:00"/>
    <d v="1899-12-30T16:04:00"/>
    <s v="soda 300ml glass"/>
    <n v="1"/>
    <n v="40"/>
    <n v="32.5"/>
    <n v="7.5"/>
    <s v="Mpesa"/>
    <x v="2"/>
    <m/>
    <m/>
    <m/>
  </r>
  <r>
    <d v="2024-09-02T00:00:00"/>
    <d v="1899-12-30T16:04:00"/>
    <s v="Mandazi"/>
    <n v="1"/>
    <n v="5"/>
    <n v="4.166666666666667"/>
    <n v="0.83333333333333304"/>
    <s v="Mpesa"/>
    <x v="2"/>
    <m/>
    <m/>
    <m/>
  </r>
  <r>
    <d v="2024-09-02T00:00:00"/>
    <d v="1899-12-30T17:26:00"/>
    <s v="minutemaid 400ml"/>
    <n v="1"/>
    <n v="85"/>
    <n v="62.5"/>
    <n v="22.5"/>
    <s v="Mpesa"/>
    <x v="2"/>
    <m/>
    <m/>
    <m/>
  </r>
  <r>
    <d v="2024-09-02T00:00:00"/>
    <d v="1899-12-30T17:26:00"/>
    <s v="BB Bread 400g"/>
    <n v="1"/>
    <n v="65"/>
    <n v="60"/>
    <n v="5"/>
    <s v="Mpesa"/>
    <x v="2"/>
    <m/>
    <m/>
    <m/>
  </r>
  <r>
    <d v="2024-09-02T00:00:00"/>
    <d v="1899-12-30T18:00:00"/>
    <s v="kinangop250g youghurt"/>
    <n v="1"/>
    <n v="60"/>
    <n v="48.333333333333336"/>
    <n v="11.666666666666664"/>
    <s v="Credit"/>
    <x v="33"/>
    <m/>
    <m/>
    <m/>
  </r>
  <r>
    <d v="2024-09-02T00:00:00"/>
    <d v="1899-12-30T18:00:00"/>
    <s v="soda 500ml plastic"/>
    <n v="1"/>
    <n v="70"/>
    <n v="60.416666666666664"/>
    <n v="9.5833333333333357"/>
    <s v="Credit"/>
    <x v="33"/>
    <m/>
    <m/>
    <m/>
  </r>
  <r>
    <d v="2024-09-02T00:00:00"/>
    <d v="1899-12-30T18:00:00"/>
    <s v="Cooking Oil Measured"/>
    <n v="0.2"/>
    <n v="56"/>
    <n v="40"/>
    <n v="16"/>
    <s v="Credit"/>
    <x v="2"/>
    <m/>
    <m/>
    <m/>
  </r>
  <r>
    <d v="2024-09-02T00:00:00"/>
    <d v="1899-12-30T18:31:00"/>
    <s v="5ltrs water"/>
    <n v="1"/>
    <n v="120"/>
    <n v="75"/>
    <n v="45"/>
    <s v="Mpesa"/>
    <x v="2"/>
    <m/>
    <m/>
    <m/>
  </r>
  <r>
    <d v="2024-09-02T00:00:00"/>
    <d v="1899-12-30T18:43:00"/>
    <s v="Tomatoes"/>
    <n v="1"/>
    <n v="10"/>
    <n v="5"/>
    <n v="5"/>
    <s v="Cash"/>
    <x v="2"/>
    <m/>
    <m/>
    <m/>
  </r>
  <r>
    <d v="2024-09-02T00:00:00"/>
    <d v="1899-12-30T18:51:00"/>
    <s v="Ginger"/>
    <n v="1"/>
    <n v="20"/>
    <n v="10"/>
    <n v="10"/>
    <s v="Credit"/>
    <x v="1"/>
    <m/>
    <m/>
    <m/>
  </r>
  <r>
    <d v="2024-09-02T00:00:00"/>
    <d v="1899-12-30T18:55:00"/>
    <s v="T.Heat Potato crisps salted 25g"/>
    <n v="2"/>
    <n v="60"/>
    <n v="45.833333333333336"/>
    <n v="14.166666666666664"/>
    <s v="Mpesa"/>
    <x v="2"/>
    <m/>
    <m/>
    <m/>
  </r>
  <r>
    <d v="2024-09-02T00:00:00"/>
    <d v="1899-12-30T19:05:00"/>
    <s v="Cabbage"/>
    <n v="1"/>
    <n v="180"/>
    <n v="120"/>
    <n v="60"/>
    <s v="Credit"/>
    <x v="54"/>
    <m/>
    <m/>
    <m/>
  </r>
  <r>
    <d v="2024-09-02T00:00:00"/>
    <d v="1899-12-30T19:05:00"/>
    <s v="Festive Bread 400g"/>
    <n v="1"/>
    <n v="65"/>
    <n v="60"/>
    <n v="5"/>
    <s v="Credit"/>
    <x v="54"/>
    <m/>
    <m/>
    <m/>
  </r>
  <r>
    <d v="2024-09-02T00:00:00"/>
    <d v="1899-12-30T19:05:00"/>
    <s v="Mt kenya milk 500ml"/>
    <n v="1"/>
    <n v="65"/>
    <n v="48.333333333333336"/>
    <n v="16.666666666666664"/>
    <s v="Credit"/>
    <x v="54"/>
    <m/>
    <m/>
    <m/>
  </r>
  <r>
    <d v="2024-09-02T00:00:00"/>
    <d v="1899-12-30T19:05:00"/>
    <s v="Royco cubes"/>
    <n v="6"/>
    <n v="30"/>
    <n v="18"/>
    <n v="12"/>
    <s v="Credit"/>
    <x v="54"/>
    <m/>
    <m/>
    <m/>
  </r>
  <r>
    <d v="2024-09-02T00:00:00"/>
    <d v="1899-12-30T19:05:00"/>
    <s v="Cooking Oil Measured"/>
    <n v="0.5"/>
    <n v="140"/>
    <n v="100"/>
    <n v="40"/>
    <s v="Credit"/>
    <x v="54"/>
    <m/>
    <m/>
    <m/>
  </r>
  <r>
    <d v="2024-09-02T00:00:00"/>
    <d v="1899-12-30T19:20:00"/>
    <s v="Kdf"/>
    <n v="2"/>
    <n v="20"/>
    <n v="16.666666666666668"/>
    <n v="3.3333333333333321"/>
    <s v="Cash"/>
    <x v="2"/>
    <m/>
    <m/>
    <m/>
  </r>
  <r>
    <d v="2024-09-02T00:00:00"/>
    <d v="1899-12-30T19:20:00"/>
    <s v="Safari"/>
    <n v="1"/>
    <n v="15"/>
    <n v="8.5"/>
    <n v="6.5"/>
    <s v="Cash"/>
    <x v="2"/>
    <m/>
    <m/>
    <m/>
  </r>
  <r>
    <d v="2024-09-02T00:00:00"/>
    <d v="1899-12-30T20:44:00"/>
    <s v="Yellow Beans"/>
    <n v="0.5"/>
    <n v="90"/>
    <n v="62.5"/>
    <n v="27.5"/>
    <s v="Credit"/>
    <x v="8"/>
    <m/>
    <m/>
    <m/>
  </r>
  <r>
    <d v="2024-09-02T00:00:00"/>
    <d v="1899-12-30T19:45:00"/>
    <s v="Safari"/>
    <n v="2"/>
    <n v="30"/>
    <n v="17"/>
    <n v="13"/>
    <s v="Mpesa"/>
    <x v="2"/>
    <m/>
    <m/>
    <m/>
  </r>
  <r>
    <d v="2024-09-02T00:00:00"/>
    <d v="1899-12-30T19:41:00"/>
    <s v="Ginger Bisquit"/>
    <n v="3"/>
    <n v="15"/>
    <n v="13"/>
    <n v="2"/>
    <s v="Mpesa"/>
    <x v="2"/>
    <m/>
    <m/>
    <m/>
  </r>
  <r>
    <d v="2024-09-02T00:00:00"/>
    <d v="1899-12-30T20:14:00"/>
    <s v="Ginger Bisquit"/>
    <n v="4"/>
    <n v="20"/>
    <n v="17.333333333333332"/>
    <n v="2.6666666666666679"/>
    <s v="Mpesa"/>
    <x v="2"/>
    <m/>
    <m/>
    <m/>
  </r>
  <r>
    <d v="2024-09-02T00:00:00"/>
    <d v="1899-12-30T20:11:00"/>
    <s v="Mt kenya milk 500ml"/>
    <n v="1"/>
    <n v="65"/>
    <n v="48.333333333333336"/>
    <n v="16.666666666666664"/>
    <s v="Mpesa"/>
    <x v="2"/>
    <m/>
    <m/>
    <m/>
  </r>
  <r>
    <d v="2024-09-03T00:00:00"/>
    <d v="1899-12-30T08:09:00"/>
    <s v="eggs"/>
    <n v="3"/>
    <n v="60"/>
    <n v="43"/>
    <n v="17"/>
    <s v="Mpesa"/>
    <x v="2"/>
    <s v="Pauline"/>
    <n v="125"/>
    <s v="Mpesa"/>
  </r>
  <r>
    <d v="2024-09-03T00:00:00"/>
    <d v="1899-12-30T08:48:00"/>
    <s v="Safari"/>
    <n v="1"/>
    <n v="15"/>
    <n v="8.5"/>
    <n v="6.5"/>
    <s v="Cash"/>
    <x v="2"/>
    <m/>
    <m/>
    <m/>
  </r>
  <r>
    <d v="2024-09-03T00:00:00"/>
    <d v="1899-12-30T08:49:00"/>
    <s v="BB Bread 400g"/>
    <n v="1"/>
    <n v="65"/>
    <n v="60"/>
    <n v="5"/>
    <s v="Mpesa"/>
    <x v="2"/>
    <m/>
    <m/>
    <m/>
  </r>
  <r>
    <d v="2024-09-03T00:00:00"/>
    <d v="1899-12-30T08:57:00"/>
    <s v="Whitewash "/>
    <n v="1"/>
    <n v="50"/>
    <n v="33.75"/>
    <n v="16.25"/>
    <s v="Credit"/>
    <x v="1"/>
    <m/>
    <m/>
    <m/>
  </r>
  <r>
    <d v="2024-09-03T00:00:00"/>
    <d v="1899-12-30T08:57:00"/>
    <s v="Steel Wool 15g"/>
    <n v="1"/>
    <n v="10"/>
    <n v="5.2333333333333334"/>
    <n v="4.7666666666666666"/>
    <s v="Credit"/>
    <x v="1"/>
    <m/>
    <m/>
    <m/>
  </r>
  <r>
    <d v="2024-09-03T00:00:00"/>
    <d v="1899-12-30T08:57:00"/>
    <s v="ariel 10g"/>
    <n v="1"/>
    <n v="15"/>
    <n v="9.1666666666666661"/>
    <n v="5.8333333333333339"/>
    <s v="Credit"/>
    <x v="1"/>
    <m/>
    <m/>
    <m/>
  </r>
  <r>
    <d v="2024-09-03T00:00:00"/>
    <d v="1899-12-30T10:26:00"/>
    <s v="BB Bread 400g"/>
    <n v="1"/>
    <n v="65"/>
    <n v="60"/>
    <n v="5"/>
    <s v="Credit"/>
    <x v="7"/>
    <m/>
    <m/>
    <m/>
  </r>
  <r>
    <d v="2024-09-03T00:00:00"/>
    <d v="1899-12-30T10:26:00"/>
    <s v="Brookside milk 500ml"/>
    <n v="1"/>
    <n v="70"/>
    <n v="59"/>
    <n v="11"/>
    <s v="Credit"/>
    <x v="7"/>
    <m/>
    <m/>
    <m/>
  </r>
  <r>
    <d v="2024-09-03T00:00:00"/>
    <d v="1899-12-30T10:26:00"/>
    <s v="eggs"/>
    <n v="2"/>
    <n v="40"/>
    <n v="28.666666666666668"/>
    <n v="11.333333333333332"/>
    <s v="Mpesa"/>
    <x v="2"/>
    <m/>
    <m/>
    <m/>
  </r>
  <r>
    <d v="2024-09-03T00:00:00"/>
    <d v="1899-12-30T10:28:00"/>
    <s v="Mt kenya milk 500ml"/>
    <n v="1"/>
    <n v="65"/>
    <n v="48.333333333333336"/>
    <n v="16.666666666666664"/>
    <s v="Mpesa"/>
    <x v="2"/>
    <s v="Erick"/>
    <n v="145"/>
    <s v="Mpesa"/>
  </r>
  <r>
    <d v="2024-09-03T00:00:00"/>
    <d v="1899-12-30T10:28:00"/>
    <s v="Banana"/>
    <n v="3"/>
    <n v="30"/>
    <n v="25"/>
    <n v="5"/>
    <s v="Mpesa"/>
    <x v="2"/>
    <s v="Pauline"/>
    <n v="230"/>
    <s v="Mpesa"/>
  </r>
  <r>
    <d v="2024-09-03T00:00:00"/>
    <d v="1899-12-30T13:29:00"/>
    <s v="Safari"/>
    <n v="1"/>
    <n v="15"/>
    <n v="8.5"/>
    <n v="6.5"/>
    <s v="Cash"/>
    <x v="2"/>
    <m/>
    <m/>
    <m/>
  </r>
  <r>
    <d v="2024-09-03T00:00:00"/>
    <d v="1899-12-30T13:29:00"/>
    <s v="Choc-chip Cookies"/>
    <n v="1"/>
    <n v="35"/>
    <n v="25"/>
    <n v="10"/>
    <s v="Cash"/>
    <x v="2"/>
    <m/>
    <m/>
    <m/>
  </r>
  <r>
    <d v="2024-09-03T00:00:00"/>
    <d v="1899-12-30T15:06:00"/>
    <s v="Festive 800g"/>
    <n v="1"/>
    <n v="130"/>
    <n v="120"/>
    <n v="10"/>
    <s v="Mpesa"/>
    <x v="2"/>
    <s v="Mark"/>
    <n v="100"/>
    <s v="Mpesa"/>
  </r>
  <r>
    <d v="2024-09-03T00:00:00"/>
    <d v="1899-12-30T15:06:00"/>
    <s v="soda 300ml glass"/>
    <n v="1"/>
    <n v="40"/>
    <n v="32.5"/>
    <n v="7.5"/>
    <s v="Credit"/>
    <x v="13"/>
    <m/>
    <m/>
    <m/>
  </r>
  <r>
    <d v="2024-09-03T00:00:00"/>
    <d v="1899-12-30T15:06:00"/>
    <s v="Peanut Cookies"/>
    <n v="1"/>
    <n v="35"/>
    <n v="25"/>
    <n v="10"/>
    <s v="Credit"/>
    <x v="2"/>
    <m/>
    <m/>
    <m/>
  </r>
  <r>
    <d v="2024-09-03T00:00:00"/>
    <d v="1899-12-30T15:33:00"/>
    <s v="Safari"/>
    <n v="6"/>
    <n v="90"/>
    <n v="51"/>
    <n v="39"/>
    <s v="Cash"/>
    <x v="2"/>
    <m/>
    <m/>
    <m/>
  </r>
  <r>
    <d v="2024-09-03T00:00:00"/>
    <d v="1899-12-30T15:33:00"/>
    <s v="Maramoja"/>
    <n v="1"/>
    <n v="10"/>
    <n v="7"/>
    <n v="3"/>
    <s v="Cash"/>
    <x v="2"/>
    <m/>
    <m/>
    <m/>
  </r>
  <r>
    <d v="2024-09-03T00:00:00"/>
    <d v="1899-12-30T17:40:00"/>
    <s v="Festive 600g"/>
    <n v="1"/>
    <n v="100"/>
    <n v="90"/>
    <n v="10"/>
    <s v="Mpesa"/>
    <x v="2"/>
    <m/>
    <m/>
    <m/>
  </r>
  <r>
    <d v="2024-09-03T00:00:00"/>
    <d v="1899-12-30T17:41:00"/>
    <s v="Festive 800g"/>
    <n v="1"/>
    <n v="130"/>
    <n v="120"/>
    <n v="10"/>
    <s v="Credit"/>
    <x v="40"/>
    <s v="Janet"/>
    <n v="130"/>
    <m/>
  </r>
  <r>
    <d v="2024-09-03T00:00:00"/>
    <d v="1899-12-30T17:42:00"/>
    <s v="Safaricom 50 Credit"/>
    <n v="1"/>
    <n v="50"/>
    <n v="47"/>
    <n v="3"/>
    <s v="Cash"/>
    <x v="2"/>
    <m/>
    <m/>
    <m/>
  </r>
  <r>
    <d v="2024-09-03T00:00:00"/>
    <d v="1899-12-30T17:42:00"/>
    <s v="Safaricom 20 Credit"/>
    <n v="1"/>
    <n v="20"/>
    <n v="18"/>
    <n v="2"/>
    <s v="Cash"/>
    <x v="2"/>
    <m/>
    <m/>
    <m/>
  </r>
  <r>
    <d v="2024-09-03T00:00:00"/>
    <d v="1899-12-30T17:42:00"/>
    <s v="Tomatoes"/>
    <n v="1"/>
    <n v="10"/>
    <n v="5"/>
    <n v="5"/>
    <s v="Mpesa"/>
    <x v="2"/>
    <m/>
    <m/>
    <m/>
  </r>
  <r>
    <d v="2024-09-03T00:00:00"/>
    <d v="1899-12-30T17:42:00"/>
    <s v="Onion"/>
    <n v="1"/>
    <n v="10"/>
    <n v="8"/>
    <n v="2"/>
    <s v="Mpesa"/>
    <x v="2"/>
    <m/>
    <m/>
    <m/>
  </r>
  <r>
    <d v="2024-09-03T00:00:00"/>
    <d v="1899-12-30T17:42:00"/>
    <s v="eggs"/>
    <n v="1"/>
    <n v="20"/>
    <n v="14.333333333333334"/>
    <n v="5.6666666666666661"/>
    <s v="Mpesa"/>
    <x v="2"/>
    <m/>
    <m/>
    <m/>
  </r>
  <r>
    <d v="2024-09-03T00:00:00"/>
    <d v="1899-12-30T18:59:00"/>
    <s v="afia 500ml"/>
    <n v="1"/>
    <n v="85"/>
    <n v="70.833333333333329"/>
    <n v="14.166666666666671"/>
    <s v="Mpesa"/>
    <x v="2"/>
    <m/>
    <m/>
    <m/>
  </r>
  <r>
    <d v="2024-09-03T00:00:00"/>
    <d v="1899-12-30T18:59:00"/>
    <s v="Patco"/>
    <n v="6"/>
    <n v="15"/>
    <n v="7.1999999999999993"/>
    <n v="7.8000000000000007"/>
    <s v="Mpesa"/>
    <x v="2"/>
    <m/>
    <m/>
    <m/>
  </r>
  <r>
    <d v="2024-09-03T00:00:00"/>
    <d v="1899-12-30T19:19:00"/>
    <s v="Pembe 2kg"/>
    <n v="1"/>
    <n v="160"/>
    <n v="123.33333333333333"/>
    <n v="36.666666666666671"/>
    <s v="Mpesa"/>
    <x v="2"/>
    <m/>
    <m/>
    <m/>
  </r>
  <r>
    <d v="2024-09-03T00:00:00"/>
    <d v="1899-12-30T19:19:00"/>
    <s v="Mt kenya milk 500ml"/>
    <n v="2"/>
    <n v="130"/>
    <n v="96.666666666666671"/>
    <n v="33.333333333333329"/>
    <s v="Mpesa"/>
    <x v="2"/>
    <m/>
    <m/>
    <m/>
  </r>
  <r>
    <d v="2024-09-03T00:00:00"/>
    <d v="1899-12-30T19:19:00"/>
    <s v="BB Bread 400g"/>
    <n v="1"/>
    <n v="65"/>
    <n v="60"/>
    <n v="5"/>
    <s v="Mpesa"/>
    <x v="2"/>
    <m/>
    <m/>
    <m/>
  </r>
  <r>
    <d v="2024-09-03T00:00:00"/>
    <d v="1899-12-30T19:19:00"/>
    <s v="eggs"/>
    <n v="5"/>
    <n v="100"/>
    <n v="71.666666666666671"/>
    <n v="28.333333333333329"/>
    <s v="Mpesa"/>
    <x v="2"/>
    <m/>
    <m/>
    <m/>
  </r>
  <r>
    <d v="2024-09-03T00:00:00"/>
    <d v="1899-12-30T19:01:00"/>
    <s v="Choc-chip Cookies"/>
    <n v="1"/>
    <n v="35"/>
    <n v="25"/>
    <n v="10"/>
    <s v="Cash"/>
    <x v="2"/>
    <m/>
    <m/>
    <m/>
  </r>
  <r>
    <d v="2024-09-03T00:00:00"/>
    <d v="1899-12-30T19:01:00"/>
    <s v="Bitez"/>
    <n v="1"/>
    <n v="15"/>
    <n v="8.8000000000000007"/>
    <n v="6.1999999999999993"/>
    <s v="Cash"/>
    <x v="2"/>
    <m/>
    <m/>
    <m/>
  </r>
  <r>
    <d v="2024-09-03T00:00:00"/>
    <d v="1899-12-30T19:08:00"/>
    <s v="Royco Beef Mchuzi Mix"/>
    <n v="1"/>
    <n v="10"/>
    <n v="8.3333333333333339"/>
    <n v="1.6666666666666661"/>
    <s v="Cash"/>
    <x v="2"/>
    <m/>
    <m/>
    <m/>
  </r>
  <r>
    <d v="2024-09-03T00:00:00"/>
    <d v="1899-12-30T18:19:00"/>
    <s v="Bigboss"/>
    <n v="3"/>
    <n v="15"/>
    <n v="10.5"/>
    <n v="4.5"/>
    <s v="Cash"/>
    <x v="2"/>
    <m/>
    <m/>
    <m/>
  </r>
  <r>
    <d v="2024-09-03T00:00:00"/>
    <d v="1899-12-30T18:19:00"/>
    <s v="Choc-chip Cookies"/>
    <n v="1"/>
    <n v="35"/>
    <n v="25"/>
    <n v="10"/>
    <s v="Cash"/>
    <x v="2"/>
    <m/>
    <m/>
    <m/>
  </r>
  <r>
    <d v="2024-09-03T00:00:00"/>
    <d v="1899-12-30T18:29:00"/>
    <s v="Safari"/>
    <n v="1"/>
    <n v="15"/>
    <n v="8.5"/>
    <n v="6.5"/>
    <s v="Cash"/>
    <x v="2"/>
    <s v="Lydia"/>
    <n v="480"/>
    <s v="Mpesa"/>
  </r>
  <r>
    <d v="2024-09-03T00:00:00"/>
    <d v="1899-12-30T18:29:00"/>
    <s v="Jamaa soap"/>
    <n v="0.2"/>
    <n v="50"/>
    <n v="36"/>
    <n v="14"/>
    <s v="Cash"/>
    <x v="2"/>
    <m/>
    <m/>
    <m/>
  </r>
  <r>
    <d v="2024-09-03T00:00:00"/>
    <d v="1899-12-30T19:20:00"/>
    <s v="Hanaan Tissue"/>
    <n v="1"/>
    <n v="55"/>
    <n v="43"/>
    <n v="12"/>
    <s v="Credit"/>
    <x v="54"/>
    <m/>
    <m/>
    <m/>
  </r>
  <r>
    <d v="2024-09-03T00:00:00"/>
    <d v="1899-12-30T19:20:00"/>
    <s v="Royco cubes"/>
    <n v="5"/>
    <n v="25"/>
    <n v="15"/>
    <n v="10"/>
    <s v="Credit"/>
    <x v="54"/>
    <m/>
    <m/>
    <m/>
  </r>
  <r>
    <d v="2024-09-03T00:00:00"/>
    <d v="1899-12-30T19:20:00"/>
    <s v="Brookside Lala Natural"/>
    <n v="2"/>
    <n v="200"/>
    <n v="174"/>
    <n v="26"/>
    <s v="Credit"/>
    <x v="54"/>
    <m/>
    <m/>
    <m/>
  </r>
  <r>
    <d v="2024-09-03T00:00:00"/>
    <d v="1899-12-30T19:29:00"/>
    <s v="Sonaplast"/>
    <n v="2"/>
    <n v="20"/>
    <n v="14"/>
    <n v="6"/>
    <s v="Cash"/>
    <x v="2"/>
    <m/>
    <m/>
    <m/>
  </r>
  <r>
    <d v="2024-09-03T00:00:00"/>
    <d v="1899-12-30T19:43:00"/>
    <s v="kinangop250g youghurt"/>
    <n v="2"/>
    <n v="120"/>
    <n v="96.666666666666671"/>
    <n v="23.333333333333329"/>
    <s v="Cash"/>
    <x v="2"/>
    <m/>
    <m/>
    <m/>
  </r>
  <r>
    <d v="2024-09-03T00:00:00"/>
    <d v="1899-12-30T20:02:00"/>
    <s v="Mt kenya milk 500ml"/>
    <n v="1"/>
    <n v="65"/>
    <n v="48.333333333333336"/>
    <n v="16.666666666666664"/>
    <s v="Mpesa"/>
    <x v="2"/>
    <m/>
    <m/>
    <m/>
  </r>
  <r>
    <d v="2024-09-03T00:00:00"/>
    <d v="1899-12-30T20:04:00"/>
    <s v="eggs"/>
    <n v="1"/>
    <n v="20"/>
    <n v="14.333333333333334"/>
    <n v="5.6666666666666661"/>
    <s v="Mpesa"/>
    <x v="2"/>
    <m/>
    <m/>
    <m/>
  </r>
  <r>
    <d v="2024-09-04T00:00:00"/>
    <d v="1899-12-30T08:16:00"/>
    <s v="Ginger Bisquit"/>
    <n v="2"/>
    <n v="10"/>
    <n v="8.6666666666666661"/>
    <n v="1.3333333333333339"/>
    <s v="Cash"/>
    <x v="2"/>
    <m/>
    <m/>
    <m/>
  </r>
  <r>
    <d v="2024-09-04T00:00:00"/>
    <d v="1899-12-30T08:16:00"/>
    <s v="Airtel 50 Credit"/>
    <n v="1"/>
    <n v="50"/>
    <n v="47"/>
    <n v="3"/>
    <s v="Cash"/>
    <x v="2"/>
    <m/>
    <m/>
    <m/>
  </r>
  <r>
    <d v="2024-09-04T00:00:00"/>
    <d v="1899-12-30T08:32:00"/>
    <s v="Match Box"/>
    <n v="1"/>
    <n v="5"/>
    <n v="2.3611111111111112"/>
    <n v="2.6388888888888888"/>
    <s v="Credit"/>
    <x v="51"/>
    <s v="Fredrick"/>
    <n v="20"/>
    <s v="Mpesa"/>
  </r>
  <r>
    <d v="2024-09-04T00:00:00"/>
    <d v="1899-12-30T08:32:00"/>
    <s v="Safari"/>
    <n v="1"/>
    <n v="15"/>
    <n v="8.5"/>
    <n v="6.5"/>
    <s v="Credit"/>
    <x v="51"/>
    <m/>
    <m/>
    <m/>
  </r>
  <r>
    <d v="2024-09-04T00:00:00"/>
    <d v="1899-12-30T08:46:00"/>
    <s v="Tropical"/>
    <n v="1"/>
    <n v="5"/>
    <n v="1.5"/>
    <n v="3.5"/>
    <s v="Cash"/>
    <x v="2"/>
    <m/>
    <m/>
    <m/>
  </r>
  <r>
    <d v="2024-09-04T00:00:00"/>
    <d v="1899-12-30T08:46:00"/>
    <s v="Safari"/>
    <n v="1"/>
    <n v="15"/>
    <n v="8.5"/>
    <n v="6.5"/>
    <s v="Cash"/>
    <x v="2"/>
    <m/>
    <m/>
    <m/>
  </r>
  <r>
    <d v="2024-09-04T00:00:00"/>
    <d v="1899-12-30T08:48:00"/>
    <s v="5ltrs water"/>
    <n v="1"/>
    <n v="120"/>
    <n v="75"/>
    <n v="45"/>
    <s v="Mpesa"/>
    <x v="2"/>
    <m/>
    <m/>
    <m/>
  </r>
  <r>
    <d v="2024-09-04T00:00:00"/>
    <d v="1899-12-30T09:06:00"/>
    <s v="Black Shampoo"/>
    <n v="1"/>
    <n v="50"/>
    <n v="28"/>
    <n v="22"/>
    <s v="Cash"/>
    <x v="2"/>
    <m/>
    <m/>
    <m/>
  </r>
  <r>
    <d v="2024-09-04T00:00:00"/>
    <d v="1899-12-30T09:06:00"/>
    <s v="Airtel 50 Credit"/>
    <n v="1"/>
    <n v="50"/>
    <n v="47"/>
    <n v="3"/>
    <s v="Cash"/>
    <x v="2"/>
    <m/>
    <m/>
    <m/>
  </r>
  <r>
    <d v="2024-09-04T00:00:00"/>
    <d v="1899-12-30T09:44:00"/>
    <s v="Blueband 100g"/>
    <n v="1"/>
    <n v="70"/>
    <n v="58.333333333333336"/>
    <n v="11.666666666666664"/>
    <s v="Cash"/>
    <x v="2"/>
    <m/>
    <m/>
    <m/>
  </r>
  <r>
    <d v="2024-09-04T00:00:00"/>
    <d v="1899-12-30T09:44:00"/>
    <s v="Festive 600g"/>
    <n v="1"/>
    <n v="100"/>
    <n v="90"/>
    <n v="10"/>
    <s v="Cash"/>
    <x v="2"/>
    <s v="Towet"/>
    <n v="30"/>
    <s v="Cash"/>
  </r>
  <r>
    <d v="2024-09-04T00:00:00"/>
    <d v="1899-12-30T09:44:00"/>
    <s v="Ginger Bisquit"/>
    <n v="2"/>
    <n v="10"/>
    <n v="8.6666666666666661"/>
    <n v="1.3333333333333339"/>
    <s v="Cash"/>
    <x v="2"/>
    <m/>
    <m/>
    <m/>
  </r>
  <r>
    <d v="2024-09-04T00:00:00"/>
    <d v="1899-12-30T10:15:00"/>
    <s v="Sugar 1/4 kg"/>
    <n v="1"/>
    <n v="45"/>
    <n v="30"/>
    <n v="15"/>
    <s v="Credit"/>
    <x v="3"/>
    <m/>
    <m/>
    <m/>
  </r>
  <r>
    <d v="2024-09-04T00:00:00"/>
    <d v="1899-12-30T10:15:00"/>
    <s v="Mt kenya milk 500ml"/>
    <n v="1"/>
    <n v="65"/>
    <n v="48.333333333333336"/>
    <n v="16.666666666666664"/>
    <s v="Credit"/>
    <x v="3"/>
    <m/>
    <m/>
    <m/>
  </r>
  <r>
    <d v="2024-09-04T00:00:00"/>
    <d v="1899-12-30T11:59:00"/>
    <s v="Safaricom 50 Credit"/>
    <n v="1"/>
    <n v="50"/>
    <n v="47"/>
    <n v="3"/>
    <s v="Cash"/>
    <x v="2"/>
    <m/>
    <m/>
    <m/>
  </r>
  <r>
    <d v="2024-09-04T00:00:00"/>
    <d v="1899-12-30T13:09:00"/>
    <s v="eggs"/>
    <n v="2"/>
    <n v="40"/>
    <n v="28.666666666666668"/>
    <n v="11.333333333333332"/>
    <s v="Credit"/>
    <x v="31"/>
    <m/>
    <m/>
    <m/>
  </r>
  <r>
    <d v="2024-09-04T00:00:00"/>
    <d v="1899-12-30T13:10:00"/>
    <s v="Mt Kenya milk 200ml"/>
    <n v="1"/>
    <n v="35"/>
    <n v="24.285714285714285"/>
    <n v="10.714285714285715"/>
    <s v="Cash"/>
    <x v="2"/>
    <m/>
    <m/>
    <m/>
  </r>
  <r>
    <d v="2024-09-04T00:00:00"/>
    <d v="1899-12-30T13:15:00"/>
    <s v="Safari"/>
    <n v="1"/>
    <n v="15"/>
    <n v="8.5"/>
    <n v="6.5"/>
    <s v="Mpesa"/>
    <x v="2"/>
    <m/>
    <m/>
    <m/>
  </r>
  <r>
    <d v="2024-09-04T00:00:00"/>
    <d v="1899-12-30T13:24:00"/>
    <s v="Cooking Oil Measured"/>
    <n v="0.5"/>
    <n v="140"/>
    <n v="100"/>
    <n v="40"/>
    <s v="Credit"/>
    <x v="1"/>
    <m/>
    <m/>
    <m/>
  </r>
  <r>
    <d v="2024-09-04T00:00:00"/>
    <d v="1899-12-30T13:37:00"/>
    <s v="Banana"/>
    <n v="2"/>
    <n v="20"/>
    <n v="16.666666666666668"/>
    <n v="3.3333333333333321"/>
    <s v="Cash"/>
    <x v="2"/>
    <m/>
    <m/>
    <m/>
  </r>
  <r>
    <d v="2024-09-04T00:00:00"/>
    <d v="1899-12-30T13:37:00"/>
    <s v="afia 500ml"/>
    <n v="1"/>
    <n v="85"/>
    <n v="70.833333333333329"/>
    <n v="14.166666666666671"/>
    <s v="Credit"/>
    <x v="19"/>
    <m/>
    <m/>
    <m/>
  </r>
  <r>
    <d v="2024-09-04T00:00:00"/>
    <d v="1899-12-30T13:47:00"/>
    <s v="Royco cubes"/>
    <n v="2"/>
    <n v="10"/>
    <n v="6"/>
    <n v="4"/>
    <s v="Credit"/>
    <x v="1"/>
    <m/>
    <m/>
    <m/>
  </r>
  <r>
    <d v="2024-09-04T00:00:00"/>
    <d v="1899-12-30T13:47:00"/>
    <s v="Sugar 1/2 kg"/>
    <n v="1"/>
    <n v="90"/>
    <n v="60"/>
    <n v="30"/>
    <s v="Credit"/>
    <x v="1"/>
    <m/>
    <m/>
    <m/>
  </r>
  <r>
    <d v="2024-09-04T00:00:00"/>
    <d v="1899-12-30T14:39:00"/>
    <s v=" soda 1.25lts"/>
    <n v="1"/>
    <n v="130"/>
    <n v="112.5"/>
    <n v="17.5"/>
    <s v="Mpesa"/>
    <x v="2"/>
    <m/>
    <m/>
    <m/>
  </r>
  <r>
    <d v="2024-09-04T00:00:00"/>
    <d v="1899-12-30T14:39:00"/>
    <s v="T.Heat Potato crisps salted 25g"/>
    <n v="4"/>
    <n v="120"/>
    <n v="91.666666666666671"/>
    <n v="28.333333333333329"/>
    <s v="Mpesa"/>
    <x v="2"/>
    <m/>
    <m/>
    <m/>
  </r>
  <r>
    <d v="2024-09-04T00:00:00"/>
    <d v="1899-12-30T16:46:00"/>
    <s v="Festive 800g"/>
    <n v="1"/>
    <n v="130"/>
    <n v="120"/>
    <n v="10"/>
    <s v="Credit"/>
    <x v="40"/>
    <m/>
    <m/>
    <m/>
  </r>
  <r>
    <d v="2024-09-04T00:00:00"/>
    <d v="1899-12-30T16:41:00"/>
    <s v="Match Box"/>
    <n v="2"/>
    <n v="10"/>
    <n v="4.7222222222222223"/>
    <n v="5.2777777777777777"/>
    <s v="Cash"/>
    <x v="2"/>
    <m/>
    <m/>
    <m/>
  </r>
  <r>
    <d v="2024-09-04T00:00:00"/>
    <d v="1899-12-30T16:41:00"/>
    <s v="Icepop"/>
    <n v="1"/>
    <n v="15"/>
    <n v="7.5"/>
    <n v="7.5"/>
    <s v="Cash"/>
    <x v="2"/>
    <m/>
    <m/>
    <m/>
  </r>
  <r>
    <d v="2024-09-04T00:00:00"/>
    <d v="1899-12-30T16:41:00"/>
    <s v="Indomie chicken"/>
    <n v="1"/>
    <n v="50"/>
    <n v="37.5"/>
    <n v="12.5"/>
    <s v="Cash"/>
    <x v="2"/>
    <m/>
    <m/>
    <m/>
  </r>
  <r>
    <d v="2024-09-04T00:00:00"/>
    <d v="1899-12-30T16:48:00"/>
    <s v="Arimis small"/>
    <n v="1"/>
    <n v="35"/>
    <n v="23.333333333333332"/>
    <n v="11.666666666666668"/>
    <s v="Credit"/>
    <x v="13"/>
    <m/>
    <m/>
    <m/>
  </r>
  <r>
    <d v="2024-09-04T00:00:00"/>
    <d v="1899-12-30T17:48:00"/>
    <s v="omo 20g"/>
    <n v="1"/>
    <n v="15"/>
    <n v="9.1666666666666661"/>
    <n v="5.8333333333333339"/>
    <s v="Mpesa"/>
    <x v="2"/>
    <m/>
    <m/>
    <m/>
  </r>
  <r>
    <d v="2024-09-04T00:00:00"/>
    <d v="1899-12-30T18:08:00"/>
    <s v="Half pound cake"/>
    <n v="1"/>
    <n v="100"/>
    <n v="90"/>
    <n v="10"/>
    <s v="Cash"/>
    <x v="2"/>
    <m/>
    <m/>
    <m/>
  </r>
  <r>
    <d v="2024-09-04T00:00:00"/>
    <d v="1899-12-30T18:13:00"/>
    <s v="Softcare pads"/>
    <n v="1"/>
    <n v="85"/>
    <n v="66"/>
    <n v="19"/>
    <s v="Mpesa"/>
    <x v="2"/>
    <m/>
    <m/>
    <m/>
  </r>
  <r>
    <d v="2024-09-04T00:00:00"/>
    <d v="1899-12-30T18:13:00"/>
    <s v="Medium Colgate Toothbrush"/>
    <n v="1"/>
    <n v="40"/>
    <n v="25"/>
    <n v="15"/>
    <s v="Mpesa"/>
    <x v="2"/>
    <m/>
    <m/>
    <m/>
  </r>
  <r>
    <d v="2024-09-04T00:00:00"/>
    <d v="1899-12-30T18:33:00"/>
    <s v="Brookside milk 500ml"/>
    <n v="1"/>
    <n v="70"/>
    <n v="59"/>
    <n v="11"/>
    <s v="Mpesa"/>
    <x v="2"/>
    <m/>
    <m/>
    <m/>
  </r>
  <r>
    <d v="2024-09-04T00:00:00"/>
    <d v="1899-12-30T18:46:00"/>
    <s v="Nuvita Bisquit"/>
    <n v="1"/>
    <n v="5"/>
    <n v="4.166666666666667"/>
    <n v="0.83333333333333304"/>
    <s v="Cash"/>
    <x v="2"/>
    <m/>
    <m/>
    <m/>
  </r>
  <r>
    <d v="2024-09-04T00:00:00"/>
    <d v="1899-12-30T18:46:00"/>
    <s v="Lemon Bisquit"/>
    <n v="1"/>
    <n v="5"/>
    <n v="4.333333333333333"/>
    <n v="0.66666666666666696"/>
    <s v="Cash"/>
    <x v="2"/>
    <m/>
    <m/>
    <m/>
  </r>
  <r>
    <d v="2024-09-04T00:00:00"/>
    <d v="1899-12-30T18:46:00"/>
    <s v="Ringoz Barbeque"/>
    <n v="1"/>
    <n v="15"/>
    <n v="8.6"/>
    <n v="6.4"/>
    <s v="Cash"/>
    <x v="2"/>
    <m/>
    <m/>
    <m/>
  </r>
  <r>
    <d v="2024-09-04T00:00:00"/>
    <d v="1899-12-30T18:46:00"/>
    <s v="Bitez"/>
    <n v="1"/>
    <n v="15"/>
    <n v="8.8000000000000007"/>
    <n v="6.1999999999999993"/>
    <s v="Cash"/>
    <x v="2"/>
    <m/>
    <m/>
    <m/>
  </r>
  <r>
    <d v="2024-09-04T00:00:00"/>
    <d v="1899-12-30T18:53:00"/>
    <s v="predator"/>
    <n v="1"/>
    <n v="70"/>
    <n v="54.166666666666664"/>
    <n v="15.833333333333336"/>
    <s v="Cash"/>
    <x v="2"/>
    <m/>
    <m/>
    <m/>
  </r>
  <r>
    <d v="2024-09-04T00:00:00"/>
    <d v="1899-12-30T18:53:00"/>
    <s v="Half pound cake"/>
    <n v="1"/>
    <n v="100"/>
    <n v="90"/>
    <n v="10"/>
    <s v="Credit"/>
    <x v="19"/>
    <m/>
    <m/>
    <m/>
  </r>
  <r>
    <d v="2024-09-04T00:00:00"/>
    <d v="1899-12-30T19:03:00"/>
    <s v="Mt Kenya milk 200ml"/>
    <n v="1"/>
    <n v="35"/>
    <n v="24.285714285714285"/>
    <n v="10.714285714285715"/>
    <s v="Cash"/>
    <x v="2"/>
    <m/>
    <m/>
    <m/>
  </r>
  <r>
    <d v="2024-09-04T00:00:00"/>
    <d v="1899-12-30T19:14:00"/>
    <s v="BB Bread 400g"/>
    <n v="1"/>
    <n v="65"/>
    <n v="60"/>
    <n v="5"/>
    <s v="Mpesa"/>
    <x v="2"/>
    <m/>
    <m/>
    <m/>
  </r>
  <r>
    <d v="2024-09-04T00:00:00"/>
    <d v="1899-12-30T19:14:00"/>
    <s v="ariel 10g"/>
    <n v="2"/>
    <n v="30"/>
    <n v="18.333333333333332"/>
    <n v="11.666666666666668"/>
    <s v="Mpesa"/>
    <x v="2"/>
    <m/>
    <m/>
    <m/>
  </r>
  <r>
    <d v="2024-09-04T00:00:00"/>
    <d v="1899-12-30T19:14:00"/>
    <s v="Arimis big"/>
    <n v="1"/>
    <n v="60"/>
    <n v="45.833333333333336"/>
    <n v="14.166666666666664"/>
    <s v="Mpesa"/>
    <x v="2"/>
    <m/>
    <m/>
    <m/>
  </r>
  <r>
    <d v="2024-09-04T00:00:00"/>
    <d v="1899-12-30T19:19:00"/>
    <s v="Pishori rice"/>
    <n v="1"/>
    <n v="220"/>
    <n v="180"/>
    <n v="40"/>
    <s v="Mpesa"/>
    <x v="2"/>
    <m/>
    <m/>
    <m/>
  </r>
  <r>
    <d v="2024-09-04T00:00:00"/>
    <d v="1899-12-30T19:19:00"/>
    <s v="Onion"/>
    <n v="2"/>
    <n v="20"/>
    <n v="16"/>
    <n v="4"/>
    <s v="Mpesa"/>
    <x v="2"/>
    <m/>
    <m/>
    <m/>
  </r>
  <r>
    <d v="2024-09-04T00:00:00"/>
    <d v="1899-12-30T19:19:00"/>
    <s v="Mt kenya milk 500ml"/>
    <n v="2"/>
    <n v="130"/>
    <n v="96.666666666666671"/>
    <n v="33.333333333333329"/>
    <s v="Credit"/>
    <x v="54"/>
    <m/>
    <m/>
    <m/>
  </r>
  <r>
    <d v="2024-09-04T00:00:00"/>
    <d v="1899-12-30T19:20:00"/>
    <s v="Safari"/>
    <n v="1"/>
    <n v="15"/>
    <n v="8.5"/>
    <n v="6.5"/>
    <s v="Mpesa"/>
    <x v="2"/>
    <m/>
    <m/>
    <m/>
  </r>
  <r>
    <d v="2024-09-04T00:00:00"/>
    <d v="1899-12-30T19:24:00"/>
    <s v="mosquito stick"/>
    <n v="1"/>
    <n v="10"/>
    <n v="9"/>
    <n v="1"/>
    <s v="Mpesa"/>
    <x v="2"/>
    <m/>
    <m/>
    <m/>
  </r>
  <r>
    <d v="2024-09-04T00:00:00"/>
    <d v="1899-12-30T19:24:00"/>
    <s v="Safari"/>
    <n v="1"/>
    <n v="15"/>
    <n v="8.5"/>
    <n v="6.5"/>
    <s v="Mpesa"/>
    <x v="2"/>
    <m/>
    <m/>
    <m/>
  </r>
  <r>
    <d v="2024-09-04T00:00:00"/>
    <d v="1899-12-30T19:31:00"/>
    <s v="eggs"/>
    <n v="3"/>
    <n v="60"/>
    <n v="43"/>
    <n v="17"/>
    <s v="Mpesa"/>
    <x v="2"/>
    <m/>
    <m/>
    <m/>
  </r>
  <r>
    <d v="2024-09-04T00:00:00"/>
    <d v="1899-12-30T19:31:00"/>
    <s v="Mt kenya milk 500ml"/>
    <n v="1"/>
    <n v="65"/>
    <n v="48.333333333333336"/>
    <n v="16.666666666666664"/>
    <s v="Mpesa"/>
    <x v="2"/>
    <m/>
    <m/>
    <m/>
  </r>
  <r>
    <d v="2024-09-04T00:00:00"/>
    <d v="1899-12-30T19:37:00"/>
    <s v="Mt Kenya milk 200ml"/>
    <n v="1"/>
    <n v="35"/>
    <n v="24.285714285714285"/>
    <n v="10.714285714285715"/>
    <s v="Cash"/>
    <x v="2"/>
    <m/>
    <m/>
    <m/>
  </r>
  <r>
    <d v="2024-09-04T00:00:00"/>
    <d v="1899-12-30T19:48:00"/>
    <s v="Brookside milk 500ml"/>
    <n v="1"/>
    <n v="70"/>
    <n v="59"/>
    <n v="11"/>
    <s v="Cash"/>
    <x v="2"/>
    <m/>
    <m/>
    <m/>
  </r>
  <r>
    <d v="2024-09-04T00:00:00"/>
    <d v="1899-12-30T20:04:00"/>
    <s v="Cooking Oil Measured"/>
    <n v="0.25"/>
    <n v="70"/>
    <n v="50"/>
    <n v="20"/>
    <s v="Mpesa"/>
    <x v="2"/>
    <m/>
    <m/>
    <m/>
  </r>
  <r>
    <d v="2024-09-04T00:00:00"/>
    <d v="1899-12-30T20:05:00"/>
    <s v="Brookside Lala Natural"/>
    <n v="1"/>
    <n v="100"/>
    <n v="87"/>
    <n v="13"/>
    <s v="Credit"/>
    <x v="26"/>
    <m/>
    <m/>
    <m/>
  </r>
  <r>
    <d v="2024-09-04T00:00:00"/>
    <d v="1899-12-30T20:14:00"/>
    <s v="Brookside milk 500ml"/>
    <n v="1"/>
    <n v="70"/>
    <n v="59"/>
    <n v="11"/>
    <s v="Mpesa"/>
    <x v="2"/>
    <m/>
    <m/>
    <m/>
  </r>
  <r>
    <d v="2024-09-04T00:00:00"/>
    <d v="1899-12-30T20:14:00"/>
    <s v="Sugar 1/2 kg"/>
    <n v="1"/>
    <n v="90"/>
    <n v="60"/>
    <n v="30"/>
    <s v="Mpesa"/>
    <x v="2"/>
    <m/>
    <m/>
    <m/>
  </r>
  <r>
    <d v="2024-09-04T00:00:00"/>
    <d v="1899-12-30T20:14:00"/>
    <s v="Match Box"/>
    <n v="4"/>
    <n v="20"/>
    <n v="9.4444444444444446"/>
    <n v="10.555555555555555"/>
    <s v="Mpesa"/>
    <x v="2"/>
    <m/>
    <m/>
    <m/>
  </r>
  <r>
    <d v="2024-09-04T00:00:00"/>
    <d v="1899-12-30T20:25:00"/>
    <s v="Blueband 250g"/>
    <n v="1"/>
    <n v="190"/>
    <n v="140"/>
    <n v="50"/>
    <s v="Credit"/>
    <x v="12"/>
    <m/>
    <m/>
    <m/>
  </r>
  <r>
    <d v="2024-09-04T00:00:00"/>
    <d v="1899-12-30T20:28:00"/>
    <s v="Family bisquit"/>
    <n v="1"/>
    <n v="35"/>
    <n v="23.333333333333332"/>
    <n v="11.666666666666668"/>
    <s v="Mpesa"/>
    <x v="2"/>
    <m/>
    <m/>
    <m/>
  </r>
  <r>
    <d v="2024-09-04T00:00:00"/>
    <d v="1899-12-30T20:39:00"/>
    <s v="Tomato paste"/>
    <n v="1"/>
    <n v="30"/>
    <n v="12.5"/>
    <n v="17.5"/>
    <s v="Cash"/>
    <x v="2"/>
    <m/>
    <m/>
    <m/>
  </r>
  <r>
    <d v="2024-09-04T00:00:00"/>
    <d v="1899-12-30T20:39:00"/>
    <s v="eggs"/>
    <n v="2"/>
    <n v="40"/>
    <n v="28.666666666666668"/>
    <n v="11.333333333333332"/>
    <s v="Cash"/>
    <x v="2"/>
    <m/>
    <m/>
    <m/>
  </r>
  <r>
    <d v="2024-09-04T00:00:00"/>
    <d v="1899-12-30T20:42:00"/>
    <s v="Pishori rice"/>
    <n v="1"/>
    <n v="220"/>
    <n v="180"/>
    <n v="40"/>
    <s v="Credit"/>
    <x v="3"/>
    <m/>
    <m/>
    <m/>
  </r>
  <r>
    <d v="2024-09-04T00:00:00"/>
    <d v="1899-12-30T20:42:00"/>
    <s v="Banana"/>
    <n v="1"/>
    <n v="10"/>
    <n v="8.3333333333333339"/>
    <n v="1.6666666666666661"/>
    <s v="Credit"/>
    <x v="2"/>
    <m/>
    <m/>
    <m/>
  </r>
  <r>
    <d v="2024-09-04T00:00:00"/>
    <d v="1899-12-30T20:14:00"/>
    <s v="Carrier bag small"/>
    <n v="1"/>
    <n v="10"/>
    <n v="3"/>
    <n v="7"/>
    <s v="Mpesa"/>
    <x v="2"/>
    <m/>
    <m/>
    <m/>
  </r>
  <r>
    <d v="2024-09-05T00:00:00"/>
    <d v="1899-12-30T07:26:00"/>
    <s v="eggs"/>
    <n v="2"/>
    <n v="40"/>
    <n v="28.666666666666668"/>
    <n v="11.333333333333332"/>
    <s v="Credit"/>
    <x v="31"/>
    <m/>
    <m/>
    <m/>
  </r>
  <r>
    <d v="2024-09-05T00:00:00"/>
    <d v="1899-12-30T07:34:00"/>
    <s v="Festive Bread 400g"/>
    <n v="1"/>
    <n v="65"/>
    <n v="60"/>
    <n v="5"/>
    <s v="Cash"/>
    <x v="2"/>
    <m/>
    <m/>
    <m/>
  </r>
  <r>
    <d v="2024-09-05T00:00:00"/>
    <d v="1899-12-30T07:44:00"/>
    <s v="BB Bread 400g"/>
    <n v="1"/>
    <n v="65"/>
    <n v="60"/>
    <n v="5"/>
    <s v="Cash"/>
    <x v="2"/>
    <m/>
    <m/>
    <m/>
  </r>
  <r>
    <d v="2024-09-05T00:00:00"/>
    <d v="1899-12-30T07:57:00"/>
    <s v="Safari"/>
    <n v="1"/>
    <n v="15"/>
    <n v="8.5"/>
    <n v="6.5"/>
    <s v="Mpesa"/>
    <x v="2"/>
    <m/>
    <m/>
    <m/>
  </r>
  <r>
    <d v="2024-09-05T00:00:00"/>
    <d v="1899-12-30T07:57:00"/>
    <s v="Match Box"/>
    <n v="1"/>
    <n v="5"/>
    <n v="2.3611111111111112"/>
    <n v="2.6388888888888888"/>
    <s v="Mpesa"/>
    <x v="2"/>
    <m/>
    <m/>
    <m/>
  </r>
  <r>
    <d v="2024-09-05T00:00:00"/>
    <d v="1899-12-30T08:28:00"/>
    <s v="Mt kenya milk 500ml"/>
    <n v="1"/>
    <n v="65"/>
    <n v="48.333333333333336"/>
    <n v="16.666666666666664"/>
    <s v="Cash"/>
    <x v="2"/>
    <s v="Faith"/>
    <n v="760"/>
    <s v="Mpesa"/>
  </r>
  <r>
    <d v="2024-09-05T00:00:00"/>
    <d v="1899-12-30T08:28:00"/>
    <s v="Festive 600g"/>
    <n v="1"/>
    <n v="100"/>
    <n v="90"/>
    <n v="10"/>
    <s v="Cash"/>
    <x v="2"/>
    <m/>
    <m/>
    <m/>
  </r>
  <r>
    <d v="2024-09-05T00:00:00"/>
    <d v="1899-12-30T08:28:00"/>
    <s v="kabras sugar 1kg"/>
    <n v="1"/>
    <n v="180"/>
    <n v="140"/>
    <n v="40"/>
    <s v="Cash"/>
    <x v="2"/>
    <m/>
    <m/>
    <m/>
  </r>
  <r>
    <d v="2024-09-05T00:00:00"/>
    <d v="1899-12-30T08:33:00"/>
    <s v="kinangop250g youghurt"/>
    <n v="1"/>
    <n v="60"/>
    <n v="48.333333333333336"/>
    <n v="11.666666666666664"/>
    <s v="Mpesa"/>
    <x v="2"/>
    <m/>
    <m/>
    <m/>
  </r>
  <r>
    <d v="2024-09-05T00:00:00"/>
    <d v="1899-12-30T08:33:00"/>
    <s v="BB Bread 400g"/>
    <n v="1"/>
    <n v="65"/>
    <n v="60"/>
    <n v="5"/>
    <s v="Mpesa"/>
    <x v="2"/>
    <m/>
    <m/>
    <m/>
  </r>
  <r>
    <d v="2024-09-05T00:00:00"/>
    <d v="1899-12-30T08:33:00"/>
    <s v="kabras sugar 1kg"/>
    <n v="1"/>
    <n v="180"/>
    <n v="140"/>
    <n v="40"/>
    <s v="Mpesa"/>
    <x v="2"/>
    <m/>
    <m/>
    <m/>
  </r>
  <r>
    <d v="2024-09-05T00:00:00"/>
    <d v="1899-12-30T09:06:00"/>
    <s v="Safaricom 20 Credit"/>
    <n v="1"/>
    <n v="20"/>
    <n v="18"/>
    <n v="2"/>
    <s v="Cash"/>
    <x v="2"/>
    <m/>
    <m/>
    <m/>
  </r>
  <r>
    <d v="2024-09-05T00:00:00"/>
    <d v="1899-12-30T09:06:00"/>
    <s v="Safaricom 20 Credit"/>
    <n v="1"/>
    <n v="20"/>
    <n v="18"/>
    <n v="2"/>
    <s v="Cash"/>
    <x v="2"/>
    <m/>
    <m/>
    <m/>
  </r>
  <r>
    <d v="2024-09-05T00:00:00"/>
    <d v="1899-12-30T10:00:00"/>
    <s v="Banana"/>
    <n v="2"/>
    <n v="20"/>
    <n v="16.666666666666668"/>
    <n v="3.3333333333333321"/>
    <s v="Credit"/>
    <x v="6"/>
    <m/>
    <m/>
    <m/>
  </r>
  <r>
    <d v="2024-09-05T00:00:00"/>
    <d v="1899-12-30T11:21:00"/>
    <s v="Festive Bread 400g"/>
    <n v="1"/>
    <n v="65"/>
    <n v="60"/>
    <n v="5"/>
    <s v="Credit"/>
    <x v="23"/>
    <m/>
    <m/>
    <m/>
  </r>
  <r>
    <d v="2024-09-05T00:00:00"/>
    <d v="1899-12-30T11:25:00"/>
    <s v="Poa Pekee Tissue"/>
    <n v="1"/>
    <n v="30"/>
    <n v="13.333333333333334"/>
    <n v="16.666666666666664"/>
    <s v="Cash"/>
    <x v="2"/>
    <s v="Msanii"/>
    <n v="60"/>
    <s v="Cash"/>
  </r>
  <r>
    <d v="2024-09-05T00:00:00"/>
    <d v="1899-12-30T11:25:00"/>
    <s v="Ginger Bisquit"/>
    <n v="6"/>
    <n v="30"/>
    <n v="26"/>
    <n v="4"/>
    <s v="Credit"/>
    <x v="4"/>
    <m/>
    <m/>
    <m/>
  </r>
  <r>
    <d v="2024-09-05T00:00:00"/>
    <d v="1899-12-30T11:25:00"/>
    <s v="Safaricom 20 Credit"/>
    <n v="1"/>
    <n v="20"/>
    <n v="18"/>
    <n v="2"/>
    <s v="Cash"/>
    <x v="2"/>
    <m/>
    <m/>
    <m/>
  </r>
  <r>
    <d v="2024-09-05T00:00:00"/>
    <d v="1899-12-30T11:25:00"/>
    <s v="Safaricom 10 Credit"/>
    <n v="1"/>
    <n v="10"/>
    <n v="9"/>
    <n v="1"/>
    <s v="Cash"/>
    <x v="2"/>
    <m/>
    <m/>
    <m/>
  </r>
  <r>
    <d v="2024-09-05T00:00:00"/>
    <d v="1899-12-30T09:06:00"/>
    <s v="Softcare pads"/>
    <n v="1"/>
    <n v="85"/>
    <n v="66"/>
    <n v="19"/>
    <s v="Mpesa"/>
    <x v="2"/>
    <m/>
    <m/>
    <m/>
  </r>
  <r>
    <d v="2024-09-05T00:00:00"/>
    <d v="1899-12-30T13:03:00"/>
    <s v="predator"/>
    <n v="1"/>
    <n v="70"/>
    <n v="54.166666666666664"/>
    <n v="15.833333333333336"/>
    <s v="Credit"/>
    <x v="19"/>
    <m/>
    <m/>
    <m/>
  </r>
  <r>
    <d v="2024-09-05T00:00:00"/>
    <d v="1899-12-30T12:59:00"/>
    <s v="soda 300ml glass"/>
    <n v="1"/>
    <n v="40"/>
    <n v="32.5"/>
    <n v="7.5"/>
    <s v="Cash"/>
    <x v="2"/>
    <m/>
    <m/>
    <m/>
  </r>
  <r>
    <d v="2024-09-05T00:00:00"/>
    <d v="1899-12-30T13:00:00"/>
    <s v="kinangop250g youghurt"/>
    <n v="1"/>
    <n v="60"/>
    <n v="48.333333333333336"/>
    <n v="11.666666666666664"/>
    <s v="Cash"/>
    <x v="2"/>
    <m/>
    <m/>
    <m/>
  </r>
  <r>
    <d v="2024-09-05T00:00:00"/>
    <d v="1899-12-30T13:00:00"/>
    <s v="Indomie chicken"/>
    <n v="2"/>
    <n v="100"/>
    <n v="75"/>
    <n v="25"/>
    <s v="Credit"/>
    <x v="3"/>
    <m/>
    <m/>
    <m/>
  </r>
  <r>
    <d v="2024-09-05T00:00:00"/>
    <d v="1899-12-30T13:00:00"/>
    <s v=" soda 1.25lts"/>
    <n v="1"/>
    <n v="130"/>
    <n v="112.5"/>
    <n v="17.5"/>
    <s v="Mpesa"/>
    <x v="2"/>
    <m/>
    <m/>
    <m/>
  </r>
  <r>
    <d v="2024-09-05T00:00:00"/>
    <d v="1899-12-30T13:35:00"/>
    <s v="Super Glue"/>
    <n v="1"/>
    <n v="30"/>
    <n v="23.333333333333332"/>
    <n v="6.6666666666666679"/>
    <s v="Mpesa"/>
    <x v="2"/>
    <m/>
    <m/>
    <m/>
  </r>
  <r>
    <d v="2024-09-05T00:00:00"/>
    <d v="1899-12-30T14:08:00"/>
    <s v="soda 500ml glass"/>
    <n v="1"/>
    <n v="55"/>
    <n v="50"/>
    <n v="5"/>
    <s v="Credit"/>
    <x v="4"/>
    <m/>
    <m/>
    <m/>
  </r>
  <r>
    <d v="2024-09-05T00:00:00"/>
    <d v="1899-12-30T14:09:00"/>
    <s v="300ml water"/>
    <n v="1"/>
    <n v="30"/>
    <n v="12.5"/>
    <n v="17.5"/>
    <s v="Credit"/>
    <x v="2"/>
    <m/>
    <m/>
    <m/>
  </r>
  <r>
    <d v="2024-09-05T00:00:00"/>
    <d v="1899-12-30T14:09:00"/>
    <s v="Airtel 50 Credit"/>
    <n v="1"/>
    <n v="50"/>
    <n v="47"/>
    <n v="3"/>
    <s v="Cash"/>
    <x v="2"/>
    <m/>
    <m/>
    <m/>
  </r>
  <r>
    <d v="2024-09-05T00:00:00"/>
    <d v="1899-12-30T16:22:00"/>
    <s v="Brookside Lala Sweetened"/>
    <n v="1"/>
    <n v="110"/>
    <n v="93"/>
    <n v="17"/>
    <s v="Credit"/>
    <x v="10"/>
    <m/>
    <m/>
    <m/>
  </r>
  <r>
    <d v="2024-09-05T00:00:00"/>
    <d v="1899-12-30T16:23:00"/>
    <s v="Toss 100g"/>
    <n v="1"/>
    <n v="60"/>
    <n v="36.666666666666664"/>
    <n v="23.333333333333336"/>
    <s v="Credit"/>
    <x v="33"/>
    <m/>
    <m/>
    <m/>
  </r>
  <r>
    <d v="2024-09-05T00:00:00"/>
    <d v="1899-12-30T17:15:00"/>
    <s v="eggs"/>
    <n v="2"/>
    <n v="40"/>
    <n v="28.666666666666668"/>
    <n v="11.333333333333332"/>
    <s v="Cash"/>
    <x v="2"/>
    <m/>
    <m/>
    <m/>
  </r>
  <r>
    <d v="2024-09-05T00:00:00"/>
    <d v="1899-12-30T17:15:00"/>
    <s v="kensalt 500g"/>
    <n v="1"/>
    <n v="25"/>
    <n v="14"/>
    <n v="11"/>
    <s v="Cash"/>
    <x v="2"/>
    <m/>
    <m/>
    <m/>
  </r>
  <r>
    <d v="2024-09-05T00:00:00"/>
    <d v="1899-12-30T17:26:00"/>
    <s v="Bigboss"/>
    <n v="1"/>
    <n v="5"/>
    <n v="3.5"/>
    <n v="1.5"/>
    <s v="Cash"/>
    <x v="2"/>
    <m/>
    <m/>
    <m/>
  </r>
  <r>
    <d v="2024-09-05T00:00:00"/>
    <d v="1899-12-30T17:44:00"/>
    <s v="Safari"/>
    <n v="4"/>
    <n v="60"/>
    <n v="34"/>
    <n v="26"/>
    <s v="Mpesa"/>
    <x v="2"/>
    <m/>
    <m/>
    <m/>
  </r>
  <r>
    <d v="2024-09-05T00:00:00"/>
    <d v="1899-12-30T18:50:00"/>
    <s v="T.Heat Potato crisps salted 25g"/>
    <n v="1"/>
    <n v="30"/>
    <n v="22.916666666666668"/>
    <n v="7.0833333333333321"/>
    <s v="Mpesa"/>
    <x v="2"/>
    <m/>
    <m/>
    <m/>
  </r>
  <r>
    <d v="2024-09-05T00:00:00"/>
    <d v="1899-12-30T18:50:00"/>
    <s v="Cooking Oil Measured"/>
    <n v="0.25"/>
    <n v="70"/>
    <n v="50"/>
    <n v="20"/>
    <s v="Mpesa"/>
    <x v="2"/>
    <m/>
    <m/>
    <m/>
  </r>
  <r>
    <d v="2024-09-05T00:00:00"/>
    <d v="1899-12-30T19:16:00"/>
    <s v="Festive 600g"/>
    <n v="1"/>
    <n v="100"/>
    <n v="90"/>
    <n v="10"/>
    <s v="Mpesa"/>
    <x v="2"/>
    <m/>
    <m/>
    <m/>
  </r>
  <r>
    <d v="2024-09-05T00:00:00"/>
    <d v="1899-12-30T19:21:00"/>
    <s v="Ginger Bisquit"/>
    <n v="5"/>
    <n v="25"/>
    <n v="21.666666666666664"/>
    <n v="3.3333333333333357"/>
    <s v="Mpesa"/>
    <x v="2"/>
    <m/>
    <m/>
    <m/>
  </r>
  <r>
    <d v="2024-09-05T00:00:00"/>
    <d v="1899-12-30T19:29:00"/>
    <s v="Cooking Oil Measured"/>
    <n v="0.25"/>
    <n v="70"/>
    <n v="50"/>
    <n v="20"/>
    <s v="Mpesa"/>
    <x v="2"/>
    <m/>
    <m/>
    <m/>
  </r>
  <r>
    <d v="2024-09-05T00:00:00"/>
    <d v="1899-12-30T19:29:00"/>
    <s v="Safaricom 20 Credit"/>
    <n v="1"/>
    <n v="20"/>
    <n v="18"/>
    <n v="2"/>
    <s v="Cash"/>
    <x v="2"/>
    <m/>
    <m/>
    <m/>
  </r>
  <r>
    <d v="2024-09-05T00:00:00"/>
    <d v="1899-12-30T20:01:00"/>
    <s v="Festive 600g"/>
    <n v="1"/>
    <n v="100"/>
    <n v="90"/>
    <n v="10"/>
    <s v="Cash"/>
    <x v="2"/>
    <m/>
    <m/>
    <m/>
  </r>
  <r>
    <d v="2024-09-05T00:00:00"/>
    <d v="1899-12-30T20:10:00"/>
    <s v="BB Bread 400g"/>
    <n v="1"/>
    <n v="65"/>
    <n v="60"/>
    <n v="5"/>
    <s v="Cash"/>
    <x v="2"/>
    <m/>
    <m/>
    <m/>
  </r>
  <r>
    <d v="2024-09-05T00:00:00"/>
    <d v="1899-12-30T20:10:00"/>
    <s v="Panadol Extra"/>
    <n v="2"/>
    <n v="40"/>
    <n v="26"/>
    <n v="14"/>
    <s v="Cash"/>
    <x v="2"/>
    <m/>
    <m/>
    <m/>
  </r>
  <r>
    <d v="2024-09-05T00:00:00"/>
    <d v="1899-12-30T20:13:00"/>
    <s v="Festive Bread 400g"/>
    <n v="1"/>
    <n v="65"/>
    <n v="60"/>
    <n v="5"/>
    <s v="Credit"/>
    <x v="31"/>
    <m/>
    <m/>
    <m/>
  </r>
  <r>
    <d v="2024-09-05T00:00:00"/>
    <d v="1899-12-30T20:21:00"/>
    <s v="Kinangop Fresh Milk 500ml"/>
    <n v="1"/>
    <n v="60"/>
    <n v="55"/>
    <n v="5"/>
    <s v="Cash"/>
    <x v="2"/>
    <m/>
    <m/>
    <m/>
  </r>
  <r>
    <d v="2024-09-05T00:00:00"/>
    <d v="1899-12-30T20:43:00"/>
    <s v="Lemon Bisquit"/>
    <n v="4"/>
    <n v="20"/>
    <n v="17.333333333333332"/>
    <n v="2.6666666666666679"/>
    <s v="Credit"/>
    <x v="55"/>
    <m/>
    <m/>
    <m/>
  </r>
  <r>
    <d v="2024-09-05T00:00:00"/>
    <d v="1899-12-30T09:06:00"/>
    <s v="Jamaa soap"/>
    <n v="0.4"/>
    <n v="100"/>
    <n v="72"/>
    <n v="28"/>
    <s v="Credit"/>
    <x v="4"/>
    <m/>
    <m/>
    <m/>
  </r>
  <r>
    <d v="2024-09-06T00:00:00"/>
    <d v="1899-12-30T07:30:00"/>
    <s v="Maramoja"/>
    <n v="2"/>
    <n v="20"/>
    <n v="14"/>
    <n v="6"/>
    <s v="Credit"/>
    <x v="3"/>
    <m/>
    <m/>
    <m/>
  </r>
  <r>
    <d v="2024-09-06T00:00:00"/>
    <d v="1899-12-30T07:30:00"/>
    <s v="Piriton"/>
    <n v="5"/>
    <n v="5"/>
    <n v="2.5"/>
    <n v="2.5"/>
    <s v="Credit"/>
    <x v="2"/>
    <m/>
    <m/>
    <m/>
  </r>
  <r>
    <d v="2024-09-06T00:00:00"/>
    <d v="1899-12-30T07:58:00"/>
    <s v="Arimis small"/>
    <n v="1"/>
    <n v="35"/>
    <n v="23.333333333333332"/>
    <n v="11.666666666666668"/>
    <s v="Mpesa"/>
    <x v="2"/>
    <m/>
    <m/>
    <m/>
  </r>
  <r>
    <d v="2024-09-06T00:00:00"/>
    <d v="1899-12-30T07:58:00"/>
    <s v="BB Bread 400g"/>
    <n v="1"/>
    <n v="65"/>
    <n v="60"/>
    <n v="5"/>
    <s v="Mpesa"/>
    <x v="2"/>
    <m/>
    <m/>
    <m/>
  </r>
  <r>
    <d v="2024-09-06T00:00:00"/>
    <d v="1899-12-30T08:00:00"/>
    <s v="Festive 800g"/>
    <n v="1"/>
    <n v="130"/>
    <n v="120"/>
    <n v="10"/>
    <s v="Credit"/>
    <x v="56"/>
    <m/>
    <m/>
    <m/>
  </r>
  <r>
    <d v="2024-09-06T00:00:00"/>
    <d v="1899-12-30T08:00:00"/>
    <s v="kinangop250g youghurt"/>
    <n v="1"/>
    <n v="60"/>
    <n v="48.333333333333336"/>
    <n v="11.666666666666664"/>
    <s v="Credit"/>
    <x v="33"/>
    <m/>
    <m/>
    <m/>
  </r>
  <r>
    <d v="2024-09-06T00:00:00"/>
    <d v="1899-12-30T08:00:00"/>
    <s v="BB Bread 400g"/>
    <n v="1"/>
    <n v="65"/>
    <n v="60"/>
    <n v="5"/>
    <s v="Credit"/>
    <x v="6"/>
    <m/>
    <m/>
    <m/>
  </r>
  <r>
    <d v="2024-09-06T00:00:00"/>
    <d v="1899-12-30T08:00:00"/>
    <s v="Safari"/>
    <n v="1"/>
    <n v="15"/>
    <n v="8.5"/>
    <n v="6.5"/>
    <s v="Cash"/>
    <x v="2"/>
    <m/>
    <m/>
    <m/>
  </r>
  <r>
    <d v="2024-09-06T00:00:00"/>
    <d v="1899-12-30T08:00:00"/>
    <s v="Ajab 2kg"/>
    <n v="1"/>
    <n v="220"/>
    <n v="175"/>
    <n v="45"/>
    <s v="Cash"/>
    <x v="2"/>
    <m/>
    <m/>
    <m/>
  </r>
  <r>
    <d v="2024-09-06T00:00:00"/>
    <d v="1899-12-30T12:00:00"/>
    <s v="Downy sunrise fresh"/>
    <n v="2"/>
    <n v="40"/>
    <n v="34.666666666666664"/>
    <n v="5.3333333333333357"/>
    <s v="Mpesa"/>
    <x v="2"/>
    <m/>
    <m/>
    <m/>
  </r>
  <r>
    <d v="2024-09-06T00:00:00"/>
    <d v="1899-12-30T12:19:00"/>
    <s v="Airtel 20 Credit"/>
    <n v="1"/>
    <n v="20"/>
    <n v="18"/>
    <n v="2"/>
    <s v="Mpesa"/>
    <x v="2"/>
    <m/>
    <m/>
    <m/>
  </r>
  <r>
    <d v="2024-09-06T00:00:00"/>
    <d v="1899-12-30T12:19:00"/>
    <s v="Airtel 10 Credit"/>
    <n v="1"/>
    <n v="10"/>
    <n v="9"/>
    <n v="1"/>
    <s v="Mpesa"/>
    <x v="2"/>
    <m/>
    <m/>
    <m/>
  </r>
  <r>
    <d v="2024-09-06T00:00:00"/>
    <d v="1899-12-30T13:59:00"/>
    <s v="soda 500ml glass"/>
    <n v="1"/>
    <n v="55"/>
    <n v="50"/>
    <n v="5"/>
    <s v="Mpesa"/>
    <x v="2"/>
    <m/>
    <m/>
    <m/>
  </r>
  <r>
    <d v="2024-09-06T00:00:00"/>
    <d v="1899-12-30T13:44:00"/>
    <s v="predator"/>
    <n v="1"/>
    <n v="70"/>
    <n v="54.166666666666664"/>
    <n v="15.833333333333336"/>
    <s v="Mpesa"/>
    <x v="2"/>
    <m/>
    <m/>
    <m/>
  </r>
  <r>
    <d v="2024-09-06T00:00:00"/>
    <d v="1899-12-30T13:44:00"/>
    <s v="eggs"/>
    <n v="3"/>
    <n v="60"/>
    <n v="43"/>
    <n v="17"/>
    <s v="Credit"/>
    <x v="19"/>
    <s v="Titus"/>
    <n v="50"/>
    <s v="Cash"/>
  </r>
  <r>
    <d v="2024-09-06T00:00:00"/>
    <d v="1899-12-30T13:34:00"/>
    <s v="omo 75g"/>
    <n v="1"/>
    <n v="35"/>
    <n v="27.5"/>
    <n v="7.5"/>
    <s v="Mpesa"/>
    <x v="2"/>
    <s v="Vivian"/>
    <n v="40"/>
    <s v="Mpesa"/>
  </r>
  <r>
    <d v="2024-09-06T00:00:00"/>
    <d v="1899-12-30T14:04:00"/>
    <s v="Whitewash "/>
    <n v="1"/>
    <n v="50"/>
    <n v="33.75"/>
    <n v="16.25"/>
    <s v="Credit"/>
    <x v="12"/>
    <m/>
    <m/>
    <m/>
  </r>
  <r>
    <d v="2024-09-06T00:00:00"/>
    <d v="1899-12-30T14:19:00"/>
    <s v="Brookside milk 500ml"/>
    <n v="2"/>
    <n v="140"/>
    <n v="118"/>
    <n v="22"/>
    <s v="Cash"/>
    <x v="2"/>
    <m/>
    <m/>
    <m/>
  </r>
  <r>
    <d v="2024-09-06T00:00:00"/>
    <d v="1899-12-30T14:19:00"/>
    <s v="Festive 800g"/>
    <n v="1"/>
    <n v="130"/>
    <n v="120"/>
    <n v="10"/>
    <s v="Cash"/>
    <x v="2"/>
    <m/>
    <m/>
    <m/>
  </r>
  <r>
    <d v="2024-09-06T00:00:00"/>
    <d v="1899-12-30T15:33:00"/>
    <s v="Festive Bread 400g"/>
    <n v="1"/>
    <n v="65"/>
    <n v="60"/>
    <n v="5"/>
    <s v="Credit"/>
    <x v="36"/>
    <s v="new customer"/>
    <n v="25"/>
    <s v="Mpesa"/>
  </r>
  <r>
    <d v="2024-09-06T00:00:00"/>
    <d v="1899-12-30T16:06:00"/>
    <s v="Half pound cake"/>
    <n v="1"/>
    <n v="100"/>
    <n v="90"/>
    <n v="10"/>
    <s v="Mpesa"/>
    <x v="2"/>
    <s v="Haston"/>
    <n v="100"/>
    <s v="Cash"/>
  </r>
  <r>
    <d v="2024-09-06T00:00:00"/>
    <d v="1899-12-30T16:06:00"/>
    <s v="Banana"/>
    <n v="2"/>
    <n v="20"/>
    <n v="16.666666666666668"/>
    <n v="3.3333333333333321"/>
    <s v="Mpesa"/>
    <x v="2"/>
    <s v="new customer"/>
    <n v="40"/>
    <s v="Cash"/>
  </r>
  <r>
    <d v="2024-09-06T00:00:00"/>
    <d v="1899-12-30T16:06:00"/>
    <s v="Mt kenya milk 500ml"/>
    <n v="1"/>
    <n v="65"/>
    <n v="48.333333333333336"/>
    <n v="16.666666666666664"/>
    <s v="Mpesa"/>
    <x v="2"/>
    <m/>
    <m/>
    <m/>
  </r>
  <r>
    <d v="2024-09-06T00:00:00"/>
    <d v="1899-12-30T16:06:00"/>
    <s v="Brookside milk 500ml"/>
    <n v="1"/>
    <n v="70"/>
    <n v="59"/>
    <n v="11"/>
    <s v="Mpesa"/>
    <x v="2"/>
    <m/>
    <m/>
    <m/>
  </r>
  <r>
    <d v="2024-09-06T00:00:00"/>
    <d v="1899-12-30T16:11:00"/>
    <s v="soda 350ml plastic"/>
    <n v="1"/>
    <n v="50"/>
    <n v="41.666666666666664"/>
    <n v="8.3333333333333357"/>
    <s v="Cash"/>
    <x v="2"/>
    <m/>
    <m/>
    <m/>
  </r>
  <r>
    <d v="2024-09-06T00:00:00"/>
    <d v="1899-12-30T16:11:00"/>
    <s v="Steel Wool 15g"/>
    <n v="1"/>
    <n v="10"/>
    <n v="5.2333333333333334"/>
    <n v="4.7666666666666666"/>
    <s v="Cash"/>
    <x v="2"/>
    <m/>
    <m/>
    <m/>
  </r>
  <r>
    <d v="2024-09-06T00:00:00"/>
    <d v="1899-12-30T17:32:00"/>
    <s v="soda 500ml glass"/>
    <n v="1"/>
    <n v="55"/>
    <n v="50"/>
    <n v="5"/>
    <s v="Credit"/>
    <x v="49"/>
    <m/>
    <m/>
    <m/>
  </r>
  <r>
    <d v="2024-09-06T00:00:00"/>
    <d v="1899-12-30T17:34:00"/>
    <s v="Downy lavender"/>
    <n v="1"/>
    <n v="20"/>
    <n v="17.333333333333332"/>
    <n v="2.6666666666666679"/>
    <s v="Credit"/>
    <x v="6"/>
    <m/>
    <m/>
    <m/>
  </r>
  <r>
    <d v="2024-09-06T00:00:00"/>
    <d v="1899-12-30T17:34:00"/>
    <s v="soda 500ml glass"/>
    <n v="2"/>
    <n v="110"/>
    <n v="100"/>
    <n v="10"/>
    <s v="Credit"/>
    <x v="34"/>
    <m/>
    <m/>
    <m/>
  </r>
  <r>
    <d v="2024-09-06T00:00:00"/>
    <d v="1899-12-30T17:34:00"/>
    <s v="Ginger Bisquit"/>
    <n v="6"/>
    <n v="30"/>
    <n v="26"/>
    <n v="4"/>
    <s v="Credit"/>
    <x v="34"/>
    <m/>
    <m/>
    <m/>
  </r>
  <r>
    <d v="2024-09-06T00:00:00"/>
    <d v="1899-12-30T17:56:00"/>
    <s v="Banana"/>
    <n v="2"/>
    <n v="20"/>
    <n v="16.666666666666668"/>
    <n v="3.3333333333333321"/>
    <s v="Mpesa"/>
    <x v="2"/>
    <m/>
    <m/>
    <m/>
  </r>
  <r>
    <d v="2024-09-06T00:00:00"/>
    <d v="1899-12-30T17:56:00"/>
    <s v="Mt Kenya milk 200ml"/>
    <n v="2"/>
    <n v="70"/>
    <n v="48.571428571428569"/>
    <n v="21.428571428571431"/>
    <s v="Mpesa"/>
    <x v="2"/>
    <m/>
    <m/>
    <m/>
  </r>
  <r>
    <d v="2024-09-06T00:00:00"/>
    <d v="1899-12-30T18:17:00"/>
    <s v="Safari"/>
    <n v="4"/>
    <n v="60"/>
    <n v="34"/>
    <n v="26"/>
    <s v="Mpesa"/>
    <x v="2"/>
    <m/>
    <m/>
    <m/>
  </r>
  <r>
    <d v="2024-09-06T00:00:00"/>
    <d v="1899-12-30T18:43:00"/>
    <s v="Bella Tissue"/>
    <n v="1"/>
    <n v="50"/>
    <n v="35"/>
    <n v="15"/>
    <s v="Credit"/>
    <x v="12"/>
    <m/>
    <m/>
    <m/>
  </r>
  <r>
    <d v="2024-09-06T00:00:00"/>
    <d v="1899-12-30T18:43:00"/>
    <s v="Nuvita Bisquit"/>
    <n v="2"/>
    <n v="10"/>
    <n v="8.3333333333333339"/>
    <n v="1.6666666666666661"/>
    <s v="Cash"/>
    <x v="2"/>
    <m/>
    <m/>
    <m/>
  </r>
  <r>
    <d v="2024-09-06T00:00:00"/>
    <d v="1899-12-30T19:18:00"/>
    <s v="soda 500ml glass"/>
    <n v="1"/>
    <n v="55"/>
    <n v="50"/>
    <n v="5"/>
    <s v="Mpesa"/>
    <x v="2"/>
    <m/>
    <m/>
    <m/>
  </r>
  <r>
    <d v="2024-09-06T00:00:00"/>
    <d v="1899-12-30T19:18:00"/>
    <s v="BB Bread 400g"/>
    <n v="1"/>
    <n v="65"/>
    <n v="60"/>
    <n v="5"/>
    <s v="Mpesa"/>
    <x v="2"/>
    <m/>
    <m/>
    <m/>
  </r>
  <r>
    <d v="2024-09-06T00:00:00"/>
    <d v="1899-12-30T19:18:00"/>
    <s v="coo"/>
    <n v="4"/>
    <n v="10"/>
    <n v="4.8"/>
    <n v="5.2"/>
    <s v="Mpesa"/>
    <x v="2"/>
    <m/>
    <m/>
    <m/>
  </r>
  <r>
    <d v="2024-09-06T00:00:00"/>
    <d v="1899-12-30T19:20:00"/>
    <s v="soda 500ml glass"/>
    <n v="1"/>
    <n v="55"/>
    <n v="50"/>
    <n v="5"/>
    <s v="Mpesa"/>
    <x v="2"/>
    <m/>
    <m/>
    <m/>
  </r>
  <r>
    <d v="2024-09-06T00:00:00"/>
    <d v="1899-12-30T19:20:00"/>
    <s v="Festive Bread 400g"/>
    <n v="1"/>
    <n v="65"/>
    <n v="60"/>
    <n v="5"/>
    <s v="Mpesa"/>
    <x v="2"/>
    <m/>
    <m/>
    <m/>
  </r>
  <r>
    <d v="2024-09-06T00:00:00"/>
    <d v="1899-12-30T19:28:00"/>
    <s v="Tomatoes"/>
    <n v="3"/>
    <n v="30"/>
    <n v="15"/>
    <n v="15"/>
    <s v="Cash"/>
    <x v="2"/>
    <m/>
    <m/>
    <m/>
  </r>
  <r>
    <d v="2024-09-06T00:00:00"/>
    <d v="1899-12-30T19:28:00"/>
    <s v="Bigdaddy"/>
    <n v="2"/>
    <n v="20"/>
    <n v="12"/>
    <n v="8"/>
    <s v="Cash"/>
    <x v="2"/>
    <m/>
    <m/>
    <m/>
  </r>
  <r>
    <d v="2024-09-06T00:00:00"/>
    <d v="1899-12-30T19:28:00"/>
    <s v="Bigboss"/>
    <n v="1"/>
    <n v="5"/>
    <n v="3.5"/>
    <n v="1.5"/>
    <s v="Cash"/>
    <x v="2"/>
    <m/>
    <m/>
    <m/>
  </r>
  <r>
    <d v="2024-09-06T00:00:00"/>
    <d v="1899-12-30T19:32:00"/>
    <s v="Safari"/>
    <n v="1"/>
    <n v="15"/>
    <n v="8.5"/>
    <n v="6.5"/>
    <s v="Credit"/>
    <x v="51"/>
    <m/>
    <m/>
    <m/>
  </r>
  <r>
    <d v="2024-09-06T00:00:00"/>
    <d v="1899-12-30T19:32:00"/>
    <s v="5ltrs water"/>
    <n v="1"/>
    <n v="120"/>
    <n v="75"/>
    <n v="45"/>
    <s v="Credit"/>
    <x v="23"/>
    <m/>
    <m/>
    <m/>
  </r>
  <r>
    <d v="2024-09-06T00:00:00"/>
    <d v="1899-12-30T19:32:00"/>
    <s v="Tomatoes"/>
    <n v="1"/>
    <n v="10"/>
    <n v="5"/>
    <n v="5"/>
    <s v="Credit"/>
    <x v="23"/>
    <m/>
    <m/>
    <m/>
  </r>
  <r>
    <d v="2024-09-06T00:00:00"/>
    <d v="1899-12-30T19:32:00"/>
    <s v="Onion"/>
    <n v="1"/>
    <n v="10"/>
    <n v="8"/>
    <n v="2"/>
    <s v="Credit"/>
    <x v="23"/>
    <m/>
    <m/>
    <m/>
  </r>
  <r>
    <d v="2024-09-06T00:00:00"/>
    <d v="1899-12-30T19:32:00"/>
    <s v="Pishori rice"/>
    <n v="0.5"/>
    <n v="110"/>
    <n v="90"/>
    <n v="20"/>
    <s v="Credit"/>
    <x v="23"/>
    <m/>
    <m/>
    <m/>
  </r>
  <r>
    <d v="2024-09-06T00:00:00"/>
    <d v="1899-12-30T19:43:00"/>
    <s v="eggs"/>
    <n v="10"/>
    <n v="200"/>
    <n v="143.33333333333334"/>
    <n v="56.666666666666657"/>
    <s v="Mpesa"/>
    <x v="2"/>
    <s v="Irene"/>
    <n v="470"/>
    <s v="Mpesa"/>
  </r>
  <r>
    <d v="2024-09-06T00:00:00"/>
    <d v="1899-12-30T19:47:00"/>
    <s v="Tomatoes"/>
    <n v="1"/>
    <n v="10"/>
    <n v="5"/>
    <n v="5"/>
    <s v="Mpesa"/>
    <x v="2"/>
    <m/>
    <m/>
    <m/>
  </r>
  <r>
    <d v="2024-09-06T00:00:00"/>
    <d v="1899-12-30T19:47:00"/>
    <s v="Onion"/>
    <n v="1"/>
    <n v="10"/>
    <n v="8"/>
    <n v="2"/>
    <s v="Mpesa"/>
    <x v="2"/>
    <m/>
    <m/>
    <m/>
  </r>
  <r>
    <d v="2024-09-06T00:00:00"/>
    <d v="1899-12-30T20:26:00"/>
    <s v="Ajab 1kg"/>
    <n v="1"/>
    <n v="120"/>
    <n v="87.5"/>
    <n v="32.5"/>
    <s v="Mpesa"/>
    <x v="2"/>
    <m/>
    <m/>
    <m/>
  </r>
  <r>
    <d v="2024-09-06T00:00:00"/>
    <d v="1899-12-30T20:26:00"/>
    <s v="kinangop 500g youghurt"/>
    <n v="1"/>
    <n v="120"/>
    <n v="92.5"/>
    <n v="27.5"/>
    <s v="Mpesa"/>
    <x v="2"/>
    <m/>
    <m/>
    <m/>
  </r>
  <r>
    <d v="2024-09-06T00:00:00"/>
    <d v="1899-12-30T20:26:00"/>
    <s v="Arimis small"/>
    <n v="1"/>
    <n v="35"/>
    <n v="23.333333333333332"/>
    <n v="11.666666666666668"/>
    <s v="Mpesa"/>
    <x v="2"/>
    <m/>
    <m/>
    <m/>
  </r>
  <r>
    <d v="2024-09-06T00:00:00"/>
    <d v="1899-12-30T20:26:00"/>
    <s v="Hair band"/>
    <n v="1"/>
    <n v="20"/>
    <n v="10"/>
    <n v="10"/>
    <s v="Mpesa"/>
    <x v="2"/>
    <m/>
    <m/>
    <m/>
  </r>
  <r>
    <d v="2024-09-07T00:00:00"/>
    <d v="1899-12-30T08:06:00"/>
    <s v="Sugar 1/4 kg"/>
    <n v="1"/>
    <n v="45"/>
    <n v="30"/>
    <n v="15"/>
    <s v="Mpesa"/>
    <x v="2"/>
    <s v="Faith"/>
    <n v="140"/>
    <s v="Mpesa"/>
  </r>
  <r>
    <d v="2024-09-07T00:00:00"/>
    <d v="1899-12-30T08:14:00"/>
    <s v="Festive 600g"/>
    <n v="1"/>
    <n v="100"/>
    <n v="90"/>
    <n v="10"/>
    <s v="Mpesa"/>
    <x v="2"/>
    <m/>
    <m/>
    <m/>
  </r>
  <r>
    <d v="2024-09-07T00:00:00"/>
    <d v="1899-12-30T08:30:00"/>
    <s v="Safari"/>
    <n v="2"/>
    <n v="30"/>
    <n v="17"/>
    <n v="13"/>
    <s v="Mpesa"/>
    <x v="2"/>
    <m/>
    <m/>
    <m/>
  </r>
  <r>
    <d v="2024-09-07T00:00:00"/>
    <d v="1899-12-30T09:00:00"/>
    <s v="Jamaa soap"/>
    <n v="0.2"/>
    <n v="50"/>
    <n v="36"/>
    <n v="14"/>
    <s v="Credit"/>
    <x v="34"/>
    <m/>
    <m/>
    <m/>
  </r>
  <r>
    <d v="2024-09-07T00:00:00"/>
    <d v="1899-12-30T09:00:00"/>
    <s v="omo 20g"/>
    <n v="1"/>
    <n v="15"/>
    <n v="9.1666666666666661"/>
    <n v="5.8333333333333339"/>
    <s v="Credit"/>
    <x v="34"/>
    <m/>
    <m/>
    <m/>
  </r>
  <r>
    <d v="2024-09-07T00:00:00"/>
    <d v="1899-12-30T09:33:00"/>
    <s v="Patco"/>
    <n v="4"/>
    <n v="10"/>
    <n v="4.8"/>
    <n v="5.2"/>
    <s v="Cash"/>
    <x v="2"/>
    <m/>
    <m/>
    <m/>
  </r>
  <r>
    <d v="2024-09-07T00:00:00"/>
    <d v="1899-12-30T09:33:00"/>
    <s v="Jamaa soap"/>
    <n v="0.2"/>
    <n v="50"/>
    <n v="36"/>
    <n v="14"/>
    <s v="Mpesa"/>
    <x v="2"/>
    <s v="Fredy"/>
    <n v="115"/>
    <s v="Cash"/>
  </r>
  <r>
    <d v="2024-09-07T00:00:00"/>
    <d v="1899-12-30T09:33:00"/>
    <s v="Super Glue"/>
    <n v="1"/>
    <n v="30"/>
    <n v="23.333333333333332"/>
    <n v="6.6666666666666679"/>
    <s v="Mpesa"/>
    <x v="2"/>
    <m/>
    <m/>
    <m/>
  </r>
  <r>
    <d v="2024-09-07T00:00:00"/>
    <d v="1899-12-30T09:54:00"/>
    <s v="Menengai Bar 1kg"/>
    <n v="0.2"/>
    <n v="50"/>
    <n v="38"/>
    <n v="12"/>
    <s v="Credit"/>
    <x v="1"/>
    <m/>
    <m/>
    <m/>
  </r>
  <r>
    <d v="2024-09-07T00:00:00"/>
    <d v="1899-12-30T09:54:00"/>
    <s v="ariel 10g"/>
    <n v="1"/>
    <n v="15"/>
    <n v="9.1666666666666661"/>
    <n v="5.8333333333333339"/>
    <s v="Credit"/>
    <x v="1"/>
    <m/>
    <m/>
    <m/>
  </r>
  <r>
    <d v="2024-09-07T00:00:00"/>
    <d v="1899-12-30T09:35:00"/>
    <s v="omo 75g"/>
    <n v="1"/>
    <n v="35"/>
    <n v="27.5"/>
    <n v="7.5"/>
    <s v="Credit"/>
    <x v="3"/>
    <m/>
    <m/>
    <m/>
  </r>
  <r>
    <d v="2024-09-07T00:00:00"/>
    <d v="1899-12-30T10:34:00"/>
    <s v="Festive 800g"/>
    <n v="1"/>
    <n v="130"/>
    <n v="120"/>
    <n v="10"/>
    <s v="Mpesa"/>
    <x v="2"/>
    <m/>
    <m/>
    <m/>
  </r>
  <r>
    <d v="2024-09-07T00:00:00"/>
    <d v="1899-12-30T10:53:00"/>
    <s v="Brookside milk 500ml"/>
    <n v="1"/>
    <n v="70"/>
    <n v="59"/>
    <n v="11"/>
    <s v="Mpesa"/>
    <x v="2"/>
    <m/>
    <m/>
    <m/>
  </r>
  <r>
    <d v="2024-09-07T00:00:00"/>
    <d v="1899-12-30T10:53:00"/>
    <s v="Njugu"/>
    <n v="1"/>
    <n v="20"/>
    <n v="10.666666666666666"/>
    <n v="9.3333333333333339"/>
    <s v="Mpesa"/>
    <x v="2"/>
    <m/>
    <m/>
    <m/>
  </r>
  <r>
    <d v="2024-09-07T00:00:00"/>
    <d v="1899-12-30T11:39:00"/>
    <s v="BB Bread 400g"/>
    <n v="1"/>
    <n v="65"/>
    <n v="60"/>
    <n v="5"/>
    <s v="Mpesa"/>
    <x v="2"/>
    <m/>
    <m/>
    <m/>
  </r>
  <r>
    <d v="2024-09-07T00:00:00"/>
    <d v="1899-12-30T11:39:00"/>
    <s v="Banana"/>
    <n v="1"/>
    <n v="10"/>
    <n v="8.3333333333333339"/>
    <n v="1.6666666666666661"/>
    <s v="Mpesa"/>
    <x v="2"/>
    <m/>
    <m/>
    <m/>
  </r>
  <r>
    <d v="2024-09-07T00:00:00"/>
    <d v="1899-12-30T11:51:00"/>
    <s v="Safari"/>
    <n v="6"/>
    <n v="90"/>
    <n v="51"/>
    <n v="39"/>
    <s v="Mpesa"/>
    <x v="2"/>
    <m/>
    <m/>
    <m/>
  </r>
  <r>
    <d v="2024-09-07T00:00:00"/>
    <d v="1899-12-30T13:00:00"/>
    <s v="omo 20g"/>
    <n v="1"/>
    <n v="15"/>
    <n v="9.1666666666666661"/>
    <n v="5.8333333333333339"/>
    <s v="Credit"/>
    <x v="1"/>
    <m/>
    <m/>
    <m/>
  </r>
  <r>
    <d v="2024-09-07T00:00:00"/>
    <d v="1899-12-30T13:00:00"/>
    <s v="Safari"/>
    <n v="1"/>
    <n v="15"/>
    <n v="8.5"/>
    <n v="6.5"/>
    <s v="Cash"/>
    <x v="2"/>
    <m/>
    <m/>
    <m/>
  </r>
  <r>
    <d v="2024-09-07T00:00:00"/>
    <d v="1899-12-30T13:00:00"/>
    <s v="Banana"/>
    <n v="4"/>
    <n v="40"/>
    <n v="33.333333333333336"/>
    <n v="6.6666666666666643"/>
    <s v="Credit"/>
    <x v="3"/>
    <m/>
    <m/>
    <m/>
  </r>
  <r>
    <d v="2024-09-07T00:00:00"/>
    <d v="1899-12-30T13:14:00"/>
    <s v="soda 500ml glass"/>
    <n v="1"/>
    <n v="55"/>
    <n v="50"/>
    <n v="5"/>
    <s v="Cash"/>
    <x v="2"/>
    <m/>
    <m/>
    <m/>
  </r>
  <r>
    <d v="2024-09-07T00:00:00"/>
    <d v="1899-12-30T13:14:00"/>
    <s v="Safari"/>
    <n v="1"/>
    <n v="15"/>
    <n v="8.5"/>
    <n v="6.5"/>
    <s v="Cash"/>
    <x v="2"/>
    <m/>
    <m/>
    <m/>
  </r>
  <r>
    <d v="2024-09-07T00:00:00"/>
    <d v="1899-12-30T14:01:00"/>
    <s v="soda 500ml plastic"/>
    <n v="1"/>
    <n v="70"/>
    <n v="60.416666666666664"/>
    <n v="9.5833333333333357"/>
    <s v="Mpesa"/>
    <x v="2"/>
    <m/>
    <m/>
    <m/>
  </r>
  <r>
    <d v="2024-09-07T00:00:00"/>
    <d v="1899-12-30T14:06:00"/>
    <s v="Brookside milk 500ml"/>
    <n v="1"/>
    <n v="70"/>
    <n v="59"/>
    <n v="11"/>
    <s v="Mpesa"/>
    <x v="2"/>
    <m/>
    <m/>
    <m/>
  </r>
  <r>
    <d v="2024-09-07T00:00:00"/>
    <d v="1899-12-30T14:06:00"/>
    <s v="Festive Bread 400g"/>
    <n v="1"/>
    <n v="65"/>
    <n v="60"/>
    <n v="5"/>
    <s v="Mpesa"/>
    <x v="2"/>
    <m/>
    <m/>
    <m/>
  </r>
  <r>
    <d v="2024-09-07T00:00:00"/>
    <d v="1899-12-30T14:06:00"/>
    <s v="soda 500ml plastic"/>
    <n v="1"/>
    <n v="70"/>
    <n v="60.416666666666664"/>
    <n v="9.5833333333333357"/>
    <s v="Mpesa"/>
    <x v="2"/>
    <m/>
    <m/>
    <m/>
  </r>
  <r>
    <d v="2024-09-07T00:00:00"/>
    <d v="1899-12-30T14:19:00"/>
    <s v="Cooking Oil Measured"/>
    <n v="0.25"/>
    <n v="70"/>
    <n v="50"/>
    <n v="20"/>
    <s v="Mpesa"/>
    <x v="2"/>
    <m/>
    <m/>
    <m/>
  </r>
  <r>
    <d v="2024-09-07T00:00:00"/>
    <d v="1899-12-30T14:19:00"/>
    <s v="Sugar 1/2 kg"/>
    <n v="1"/>
    <n v="90"/>
    <n v="60"/>
    <n v="30"/>
    <s v="Mpesa"/>
    <x v="2"/>
    <s v="Pauline"/>
    <n v="100"/>
    <s v="Mpesa"/>
  </r>
  <r>
    <d v="2024-09-07T00:00:00"/>
    <d v="1899-12-30T14:20:00"/>
    <s v="Tomatoes"/>
    <n v="10"/>
    <n v="100"/>
    <n v="50"/>
    <n v="50"/>
    <s v="Credit"/>
    <x v="40"/>
    <m/>
    <m/>
    <m/>
  </r>
  <r>
    <d v="2024-09-07T00:00:00"/>
    <d v="1899-12-30T14:20:00"/>
    <s v="Onion"/>
    <n v="10"/>
    <n v="100"/>
    <n v="80"/>
    <n v="20"/>
    <s v="Credit"/>
    <x v="40"/>
    <m/>
    <m/>
    <m/>
  </r>
  <r>
    <d v="2024-09-07T00:00:00"/>
    <d v="1899-12-30T14:20:00"/>
    <s v="Bigboss"/>
    <n v="2"/>
    <n v="10"/>
    <n v="7"/>
    <n v="3"/>
    <s v="Cash"/>
    <x v="2"/>
    <m/>
    <m/>
    <m/>
  </r>
  <r>
    <d v="2024-09-07T00:00:00"/>
    <d v="1899-12-30T14:20:00"/>
    <s v="Patco"/>
    <n v="4"/>
    <n v="10"/>
    <n v="4.8"/>
    <n v="5.2"/>
    <s v="Cash"/>
    <x v="2"/>
    <m/>
    <m/>
    <m/>
  </r>
  <r>
    <d v="2024-09-07T00:00:00"/>
    <d v="1899-12-30T14:20:00"/>
    <s v="soda 500ml plastic"/>
    <n v="2"/>
    <n v="140"/>
    <n v="120.83333333333333"/>
    <n v="19.166666666666671"/>
    <s v="Cash"/>
    <x v="2"/>
    <m/>
    <m/>
    <m/>
  </r>
  <r>
    <d v="2024-09-07T00:00:00"/>
    <d v="1899-12-30T15:44:00"/>
    <s v="Royco cubes"/>
    <n v="10"/>
    <n v="50"/>
    <n v="30"/>
    <n v="20"/>
    <s v="Credit"/>
    <x v="54"/>
    <m/>
    <m/>
    <m/>
  </r>
  <r>
    <d v="2024-09-07T00:00:00"/>
    <d v="1899-12-30T15:44:00"/>
    <s v="Tomatoes"/>
    <n v="5"/>
    <n v="50"/>
    <n v="25"/>
    <n v="25"/>
    <s v="Credit"/>
    <x v="54"/>
    <m/>
    <m/>
    <m/>
  </r>
  <r>
    <d v="2024-09-07T00:00:00"/>
    <d v="1899-12-30T15:44:00"/>
    <s v="Whitewash "/>
    <n v="2"/>
    <n v="100"/>
    <n v="67.5"/>
    <n v="32.5"/>
    <s v="Credit"/>
    <x v="54"/>
    <m/>
    <m/>
    <m/>
  </r>
  <r>
    <d v="2024-09-07T00:00:00"/>
    <d v="1899-12-30T15:44:00"/>
    <s v="Ndengu"/>
    <n v="1"/>
    <n v="160"/>
    <n v="120"/>
    <n v="40"/>
    <s v="Credit"/>
    <x v="54"/>
    <m/>
    <m/>
    <m/>
  </r>
  <r>
    <d v="2024-09-07T00:00:00"/>
    <d v="1899-12-30T15:44:00"/>
    <s v="Onion"/>
    <n v="5"/>
    <n v="50"/>
    <n v="40"/>
    <n v="10"/>
    <s v="Credit"/>
    <x v="54"/>
    <m/>
    <m/>
    <m/>
  </r>
  <r>
    <d v="2024-09-07T00:00:00"/>
    <d v="1899-12-30T15:44:00"/>
    <s v="Festive 600g"/>
    <n v="1"/>
    <n v="100"/>
    <n v="90"/>
    <n v="10"/>
    <s v="Credit"/>
    <x v="54"/>
    <m/>
    <m/>
    <m/>
  </r>
  <r>
    <d v="2024-09-07T00:00:00"/>
    <d v="1899-12-30T15:44:00"/>
    <s v="Mt kenya milk 500ml"/>
    <n v="2"/>
    <n v="130"/>
    <n v="96.666666666666671"/>
    <n v="33.333333333333329"/>
    <s v="Credit"/>
    <x v="54"/>
    <m/>
    <m/>
    <m/>
  </r>
  <r>
    <d v="2024-09-07T00:00:00"/>
    <d v="1899-12-30T15:44:00"/>
    <s v="Colgate 35g"/>
    <n v="1"/>
    <n v="80"/>
    <n v="62.5"/>
    <n v="17.5"/>
    <s v="Credit"/>
    <x v="54"/>
    <m/>
    <m/>
    <m/>
  </r>
  <r>
    <d v="2024-09-07T00:00:00"/>
    <d v="1899-12-30T15:44:00"/>
    <s v="Ajab 2kg"/>
    <n v="1"/>
    <n v="220"/>
    <n v="175"/>
    <n v="45"/>
    <s v="Credit"/>
    <x v="54"/>
    <m/>
    <m/>
    <m/>
  </r>
  <r>
    <d v="2024-09-07T00:00:00"/>
    <d v="1899-12-30T15:44:00"/>
    <s v="Pishori rice"/>
    <n v="1"/>
    <n v="220"/>
    <n v="180"/>
    <n v="40"/>
    <s v="Credit"/>
    <x v="54"/>
    <m/>
    <m/>
    <m/>
  </r>
  <r>
    <d v="2024-09-07T00:00:00"/>
    <d v="1899-12-30T15:44:00"/>
    <s v="Cooking Oil Measured"/>
    <n v="1.5"/>
    <n v="420"/>
    <n v="300"/>
    <n v="120"/>
    <s v="Credit"/>
    <x v="54"/>
    <m/>
    <m/>
    <m/>
  </r>
  <r>
    <d v="2024-09-07T00:00:00"/>
    <d v="1899-12-30T15:44:00"/>
    <s v="eggs"/>
    <n v="5"/>
    <n v="100"/>
    <n v="71.666666666666671"/>
    <n v="28.333333333333329"/>
    <s v="Credit"/>
    <x v="54"/>
    <m/>
    <m/>
    <m/>
  </r>
  <r>
    <d v="2024-09-07T00:00:00"/>
    <d v="1899-12-30T15:48:00"/>
    <s v="Super Glue"/>
    <n v="1"/>
    <n v="30"/>
    <n v="23.333333333333332"/>
    <n v="6.6666666666666679"/>
    <s v="Cash"/>
    <x v="2"/>
    <m/>
    <m/>
    <m/>
  </r>
  <r>
    <d v="2024-09-07T00:00:00"/>
    <d v="1899-12-30T15:48:00"/>
    <s v="Tomatoes"/>
    <n v="1"/>
    <n v="10"/>
    <n v="5"/>
    <n v="5"/>
    <s v="Credit"/>
    <x v="23"/>
    <m/>
    <m/>
    <m/>
  </r>
  <r>
    <d v="2024-09-07T00:00:00"/>
    <d v="1899-12-30T15:48:00"/>
    <s v="Pishori rice"/>
    <n v="0.5"/>
    <n v="110"/>
    <n v="90"/>
    <n v="20"/>
    <s v="Credit"/>
    <x v="23"/>
    <m/>
    <m/>
    <m/>
  </r>
  <r>
    <d v="2024-09-07T00:00:00"/>
    <d v="1899-12-30T15:48:00"/>
    <s v="Blueband 100g"/>
    <n v="1"/>
    <n v="70"/>
    <n v="58.333333333333336"/>
    <n v="11.666666666666664"/>
    <s v="Credit"/>
    <x v="23"/>
    <m/>
    <m/>
    <m/>
  </r>
  <r>
    <d v="2024-09-07T00:00:00"/>
    <d v="1899-12-30T16:53:00"/>
    <s v="Festive Bread 400g"/>
    <n v="1"/>
    <n v="65"/>
    <n v="60"/>
    <n v="5"/>
    <s v="Cash"/>
    <x v="2"/>
    <m/>
    <m/>
    <m/>
  </r>
  <r>
    <d v="2024-09-07T00:00:00"/>
    <d v="1899-12-30T16:53:00"/>
    <s v="Ringoz Barbeque"/>
    <n v="1"/>
    <n v="15"/>
    <n v="8.6"/>
    <n v="6.4"/>
    <s v="Cash"/>
    <x v="2"/>
    <m/>
    <m/>
    <m/>
  </r>
  <r>
    <d v="2024-09-07T00:00:00"/>
    <d v="1899-12-30T17:10:00"/>
    <s v="Tomatoes"/>
    <n v="4"/>
    <n v="40"/>
    <n v="20"/>
    <n v="20"/>
    <s v="Mpesa"/>
    <x v="2"/>
    <s v="Ken"/>
    <n v="65"/>
    <s v="Mpesa"/>
  </r>
  <r>
    <d v="2024-09-07T00:00:00"/>
    <d v="1899-12-30T17:25:00"/>
    <s v="funtime snacks"/>
    <n v="1"/>
    <n v="15"/>
    <n v="9"/>
    <n v="6"/>
    <s v="Cash"/>
    <x v="2"/>
    <m/>
    <m/>
    <m/>
  </r>
  <r>
    <d v="2024-09-07T00:00:00"/>
    <d v="1899-12-30T19:07:00"/>
    <s v="eggs"/>
    <n v="2"/>
    <n v="40"/>
    <n v="28.666666666666668"/>
    <n v="11.333333333333332"/>
    <s v="Mpesa"/>
    <x v="2"/>
    <m/>
    <m/>
    <m/>
  </r>
  <r>
    <d v="2024-09-07T00:00:00"/>
    <d v="1899-12-30T19:07:00"/>
    <s v="minutemaid 400ml"/>
    <n v="1"/>
    <n v="85"/>
    <n v="62.5"/>
    <n v="22.5"/>
    <s v="Cash"/>
    <x v="2"/>
    <m/>
    <m/>
    <m/>
  </r>
  <r>
    <d v="2024-09-07T00:00:00"/>
    <d v="1899-12-30T19:07:00"/>
    <s v="Rasor Blade"/>
    <n v="3"/>
    <n v="15"/>
    <n v="6"/>
    <n v="9"/>
    <s v="Cash"/>
    <x v="2"/>
    <m/>
    <m/>
    <m/>
  </r>
  <r>
    <d v="2024-09-07T00:00:00"/>
    <d v="1899-12-30T20:08:00"/>
    <s v="Ringoz Paprika"/>
    <n v="1"/>
    <n v="15"/>
    <n v="8.8000000000000007"/>
    <n v="6.1999999999999993"/>
    <s v="Cash"/>
    <x v="2"/>
    <m/>
    <m/>
    <m/>
  </r>
  <r>
    <d v="2024-09-07T00:00:00"/>
    <d v="1899-12-30T20:08:00"/>
    <s v="Bigboss"/>
    <n v="1"/>
    <n v="5"/>
    <n v="3.5"/>
    <n v="1.5"/>
    <s v="Cash"/>
    <x v="2"/>
    <m/>
    <m/>
    <m/>
  </r>
  <r>
    <d v="2024-09-07T00:00:00"/>
    <d v="1899-12-30T20:09:00"/>
    <s v="Safari"/>
    <n v="1"/>
    <n v="15"/>
    <n v="8.5"/>
    <n v="6.5"/>
    <s v="Cash"/>
    <x v="2"/>
    <m/>
    <m/>
    <m/>
  </r>
  <r>
    <d v="2024-09-07T00:00:00"/>
    <d v="1899-12-30T20:11:00"/>
    <s v="Royco cubes"/>
    <n v="4"/>
    <n v="20"/>
    <n v="12"/>
    <n v="8"/>
    <s v="Mpesa"/>
    <x v="2"/>
    <m/>
    <m/>
    <m/>
  </r>
  <r>
    <d v="2024-09-07T00:00:00"/>
    <d v="1899-12-30T20:09:00"/>
    <s v="Bigdaddy"/>
    <n v="2"/>
    <n v="20"/>
    <n v="12"/>
    <n v="8"/>
    <s v="Mpesa"/>
    <x v="2"/>
    <m/>
    <m/>
    <m/>
  </r>
  <r>
    <d v="2024-09-08T00:00:00"/>
    <d v="1899-12-30T07:30:00"/>
    <s v="Maramoja"/>
    <n v="1"/>
    <n v="10"/>
    <n v="7"/>
    <n v="3"/>
    <s v="Cash"/>
    <x v="2"/>
    <m/>
    <m/>
    <m/>
  </r>
  <r>
    <d v="2024-09-08T00:00:00"/>
    <d v="1899-12-30T07:41:00"/>
    <s v="eggs"/>
    <n v="5"/>
    <n v="100"/>
    <n v="71.666666666666671"/>
    <n v="28.333333333333329"/>
    <s v="Cash"/>
    <x v="2"/>
    <m/>
    <m/>
    <m/>
  </r>
  <r>
    <d v="2024-09-08T00:00:00"/>
    <d v="1899-12-30T07:41:00"/>
    <s v="eggs"/>
    <n v="4"/>
    <n v="80"/>
    <n v="57.333333333333336"/>
    <n v="22.666666666666664"/>
    <s v="Mpesa"/>
    <x v="2"/>
    <m/>
    <m/>
    <m/>
  </r>
  <r>
    <d v="2024-09-08T00:00:00"/>
    <d v="1899-12-30T08:03:00"/>
    <s v="Tomatoes"/>
    <n v="2"/>
    <n v="20"/>
    <n v="10"/>
    <n v="10"/>
    <s v="Mpesa"/>
    <x v="2"/>
    <m/>
    <m/>
    <m/>
  </r>
  <r>
    <d v="2024-09-08T00:00:00"/>
    <d v="1899-12-30T08:03:00"/>
    <s v="Onion"/>
    <n v="1"/>
    <n v="10"/>
    <n v="8"/>
    <n v="2"/>
    <s v="Mpesa"/>
    <x v="2"/>
    <m/>
    <m/>
    <m/>
  </r>
  <r>
    <d v="2024-09-08T00:00:00"/>
    <d v="1899-12-30T08:03:00"/>
    <s v="Safari"/>
    <n v="3"/>
    <n v="45"/>
    <n v="25.5"/>
    <n v="19.5"/>
    <s v="Mpesa"/>
    <x v="2"/>
    <m/>
    <m/>
    <m/>
  </r>
  <r>
    <d v="2024-09-08T00:00:00"/>
    <d v="1899-12-30T08:03:00"/>
    <s v="Match Box"/>
    <n v="1"/>
    <n v="5"/>
    <n v="2.3611111111111112"/>
    <n v="2.6388888888888888"/>
    <s v="Mpesa"/>
    <x v="2"/>
    <m/>
    <m/>
    <m/>
  </r>
  <r>
    <d v="2024-09-08T00:00:00"/>
    <d v="1899-12-30T08:03:00"/>
    <s v="BB Bread 400g"/>
    <n v="1"/>
    <n v="65"/>
    <n v="60"/>
    <n v="5"/>
    <s v="Mpesa"/>
    <x v="2"/>
    <m/>
    <m/>
    <m/>
  </r>
  <r>
    <d v="2024-09-08T00:00:00"/>
    <d v="1899-12-30T08:03:00"/>
    <s v="Kinangop Fresh Milk 500ml"/>
    <n v="1"/>
    <n v="60"/>
    <n v="55"/>
    <n v="5"/>
    <s v="Mpesa"/>
    <x v="2"/>
    <m/>
    <m/>
    <m/>
  </r>
  <r>
    <d v="2024-09-08T00:00:00"/>
    <d v="1899-12-30T08:12:00"/>
    <s v="Festive Bread 400g"/>
    <n v="1"/>
    <n v="65"/>
    <n v="60"/>
    <n v="5"/>
    <s v="Cash"/>
    <x v="2"/>
    <m/>
    <m/>
    <m/>
  </r>
  <r>
    <d v="2024-09-08T00:00:00"/>
    <d v="1899-12-30T08:15:00"/>
    <s v="Safari"/>
    <n v="2"/>
    <n v="30"/>
    <n v="17"/>
    <n v="13"/>
    <s v="Mpesa"/>
    <x v="2"/>
    <m/>
    <m/>
    <m/>
  </r>
  <r>
    <d v="2024-09-08T00:00:00"/>
    <d v="1899-12-30T10:09:00"/>
    <s v="Banana"/>
    <n v="2"/>
    <n v="20"/>
    <n v="16.666666666666668"/>
    <n v="3.3333333333333321"/>
    <s v="Mpesa"/>
    <x v="2"/>
    <m/>
    <m/>
    <m/>
  </r>
  <r>
    <d v="2024-09-08T00:00:00"/>
    <d v="1899-12-30T10:09:00"/>
    <s v="Kinangop Fresh Milk 500ml"/>
    <n v="1"/>
    <n v="60"/>
    <n v="55"/>
    <n v="5"/>
    <s v="Mpesa"/>
    <x v="2"/>
    <m/>
    <m/>
    <m/>
  </r>
  <r>
    <d v="2024-09-08T00:00:00"/>
    <d v="1899-12-30T10:09:00"/>
    <s v="Festive Bread 400g"/>
    <n v="1"/>
    <n v="65"/>
    <n v="60"/>
    <n v="5"/>
    <s v="Mpesa"/>
    <x v="2"/>
    <m/>
    <m/>
    <m/>
  </r>
  <r>
    <d v="2024-09-08T00:00:00"/>
    <d v="1899-12-30T10:02:00"/>
    <s v="Mt Kenya milk 200ml"/>
    <n v="1"/>
    <n v="35"/>
    <n v="24.285714285714285"/>
    <n v="10.714285714285715"/>
    <s v="Mpesa"/>
    <x v="2"/>
    <m/>
    <m/>
    <m/>
  </r>
  <r>
    <d v="2024-09-08T00:00:00"/>
    <d v="1899-12-30T10:02:00"/>
    <s v="eggs"/>
    <n v="6"/>
    <n v="120"/>
    <n v="86"/>
    <n v="34"/>
    <s v="Credit"/>
    <x v="31"/>
    <m/>
    <m/>
    <m/>
  </r>
  <r>
    <d v="2024-09-08T00:00:00"/>
    <d v="1899-12-30T10:02:00"/>
    <s v="Blueband 100g"/>
    <n v="1"/>
    <n v="70"/>
    <n v="58.333333333333336"/>
    <n v="11.666666666666664"/>
    <s v="Credit"/>
    <x v="31"/>
    <m/>
    <m/>
    <m/>
  </r>
  <r>
    <d v="2024-09-08T00:00:00"/>
    <d v="1899-12-30T10:30:00"/>
    <s v="Airtel 20 Credit"/>
    <n v="1"/>
    <n v="20"/>
    <n v="18"/>
    <n v="2"/>
    <s v="Mpesa"/>
    <x v="2"/>
    <m/>
    <m/>
    <m/>
  </r>
  <r>
    <d v="2024-09-08T00:00:00"/>
    <d v="1899-12-30T11:39:00"/>
    <s v="BB Bread 400g"/>
    <n v="1"/>
    <n v="65"/>
    <n v="60"/>
    <n v="5"/>
    <s v="Mpesa"/>
    <x v="2"/>
    <m/>
    <m/>
    <m/>
  </r>
  <r>
    <d v="2024-09-08T00:00:00"/>
    <d v="1899-12-30T10:49:00"/>
    <s v="ariel 10g"/>
    <n v="1"/>
    <n v="15"/>
    <n v="9.1666666666666661"/>
    <n v="5.8333333333333339"/>
    <s v="Mpesa"/>
    <x v="2"/>
    <m/>
    <m/>
    <m/>
  </r>
  <r>
    <d v="2024-09-08T00:00:00"/>
    <d v="1899-12-30T10:49:00"/>
    <s v="omo 75g"/>
    <n v="1"/>
    <n v="35"/>
    <n v="27.5"/>
    <n v="7.5"/>
    <s v="Mpesa"/>
    <x v="2"/>
    <m/>
    <m/>
    <m/>
  </r>
  <r>
    <d v="2024-09-08T00:00:00"/>
    <d v="1899-12-30T10:49:00"/>
    <s v="Whitewash "/>
    <n v="1"/>
    <n v="50"/>
    <n v="33.75"/>
    <n v="16.25"/>
    <s v="Mpesa"/>
    <x v="2"/>
    <m/>
    <m/>
    <m/>
  </r>
  <r>
    <d v="2024-09-08T00:00:00"/>
    <d v="1899-12-30T11:12:00"/>
    <s v="Safari"/>
    <n v="3"/>
    <n v="45"/>
    <n v="25.5"/>
    <n v="19.5"/>
    <s v="Credit"/>
    <x v="9"/>
    <m/>
    <m/>
    <m/>
  </r>
  <r>
    <d v="2024-09-08T00:00:00"/>
    <d v="1899-12-30T11:13:00"/>
    <s v="Maramoja"/>
    <n v="1"/>
    <n v="10"/>
    <n v="7"/>
    <n v="3"/>
    <s v="Mpesa"/>
    <x v="2"/>
    <m/>
    <m/>
    <m/>
  </r>
  <r>
    <d v="2024-09-08T00:00:00"/>
    <d v="1899-12-30T11:40:00"/>
    <s v="T.Heat Potato crisps salted 25g"/>
    <n v="2"/>
    <n v="60"/>
    <n v="45.833333333333336"/>
    <n v="14.166666666666664"/>
    <s v="Cash"/>
    <x v="2"/>
    <m/>
    <m/>
    <m/>
  </r>
  <r>
    <d v="2024-09-08T00:00:00"/>
    <d v="1899-12-30T11:40:00"/>
    <s v="Tomatoes"/>
    <n v="4"/>
    <n v="40"/>
    <n v="20"/>
    <n v="20"/>
    <s v="Cash"/>
    <x v="2"/>
    <m/>
    <m/>
    <m/>
  </r>
  <r>
    <d v="2024-09-08T00:00:00"/>
    <d v="1899-12-30T11:15:00"/>
    <s v="Cooking Oil Measured"/>
    <n v="0.25"/>
    <n v="70"/>
    <n v="50"/>
    <n v="20"/>
    <s v="Mpesa"/>
    <x v="2"/>
    <m/>
    <m/>
    <m/>
  </r>
  <r>
    <d v="2024-09-08T00:00:00"/>
    <d v="1899-12-30T11:15:00"/>
    <s v="Sugar 1/4 kg"/>
    <n v="2"/>
    <n v="90"/>
    <n v="60"/>
    <n v="30"/>
    <s v="Mpesa"/>
    <x v="2"/>
    <m/>
    <m/>
    <m/>
  </r>
  <r>
    <d v="2024-09-08T00:00:00"/>
    <d v="1899-12-30T12:16:00"/>
    <s v="5ltrs water"/>
    <n v="1"/>
    <n v="120"/>
    <n v="75"/>
    <n v="45"/>
    <s v="Credit"/>
    <x v="4"/>
    <m/>
    <m/>
    <m/>
  </r>
  <r>
    <d v="2024-09-08T00:00:00"/>
    <d v="1899-12-30T12:16:00"/>
    <s v="Hanaan Tissue"/>
    <n v="1"/>
    <n v="55"/>
    <n v="43"/>
    <n v="12"/>
    <s v="Credit"/>
    <x v="4"/>
    <s v="Vivian"/>
    <n v="60"/>
    <s v="Mpesa"/>
  </r>
  <r>
    <d v="2024-09-08T00:00:00"/>
    <d v="1899-12-30T12:16:00"/>
    <s v="Banana"/>
    <n v="1"/>
    <n v="10"/>
    <n v="8.3333333333333339"/>
    <n v="1.6666666666666661"/>
    <s v="Mpesa"/>
    <x v="2"/>
    <m/>
    <m/>
    <m/>
  </r>
  <r>
    <d v="2024-09-08T00:00:00"/>
    <d v="1899-12-30T12:19:00"/>
    <s v="Festive 600g"/>
    <n v="1"/>
    <n v="100"/>
    <n v="90"/>
    <n v="10"/>
    <s v="Mpesa"/>
    <x v="2"/>
    <m/>
    <m/>
    <m/>
  </r>
  <r>
    <d v="2024-09-08T00:00:00"/>
    <d v="1899-12-30T12:23:00"/>
    <s v="Airtel 50 Credit"/>
    <n v="1"/>
    <n v="50"/>
    <n v="47"/>
    <n v="3"/>
    <s v="Cash"/>
    <x v="2"/>
    <m/>
    <m/>
    <m/>
  </r>
  <r>
    <d v="2024-09-08T00:00:00"/>
    <d v="1899-12-30T12:46:00"/>
    <s v="Onion"/>
    <n v="1"/>
    <n v="10"/>
    <n v="8"/>
    <n v="2"/>
    <s v="Mpesa"/>
    <x v="2"/>
    <m/>
    <m/>
    <m/>
  </r>
  <r>
    <d v="2024-09-08T00:00:00"/>
    <d v="1899-12-30T12:46:00"/>
    <s v="Safari"/>
    <n v="2"/>
    <n v="30"/>
    <n v="17"/>
    <n v="13"/>
    <s v="Mpesa"/>
    <x v="2"/>
    <m/>
    <m/>
    <m/>
  </r>
  <r>
    <d v="2024-09-08T00:00:00"/>
    <d v="1899-12-30T12:53:00"/>
    <s v="Maccofee"/>
    <n v="2"/>
    <n v="30"/>
    <n v="18.666666666666668"/>
    <n v="11.333333333333332"/>
    <s v="Mpesa"/>
    <x v="2"/>
    <m/>
    <m/>
    <m/>
  </r>
  <r>
    <d v="2024-09-08T00:00:00"/>
    <d v="1899-12-30T12:57:00"/>
    <s v="Super Glue"/>
    <n v="1"/>
    <n v="30"/>
    <n v="23.333333333333332"/>
    <n v="6.6666666666666679"/>
    <s v="Cash"/>
    <x v="2"/>
    <m/>
    <m/>
    <m/>
  </r>
  <r>
    <d v="2024-09-08T00:00:00"/>
    <d v="1899-12-30T13:45:00"/>
    <s v=" soda 1.25lts"/>
    <n v="1"/>
    <n v="130"/>
    <n v="112.5"/>
    <n v="17.5"/>
    <s v="Credit"/>
    <x v="4"/>
    <m/>
    <m/>
    <m/>
  </r>
  <r>
    <d v="2024-09-08T00:00:00"/>
    <d v="1899-12-30T13:47:00"/>
    <s v=" soda 1.25lts"/>
    <n v="1"/>
    <n v="130"/>
    <n v="112.5"/>
    <n v="17.5"/>
    <s v="Cash"/>
    <x v="2"/>
    <m/>
    <m/>
    <m/>
  </r>
  <r>
    <d v="2024-09-08T00:00:00"/>
    <d v="1899-12-30T13:47:00"/>
    <s v="Bigdaddy"/>
    <n v="2"/>
    <n v="20"/>
    <n v="12"/>
    <n v="8"/>
    <s v="Cash"/>
    <x v="2"/>
    <m/>
    <m/>
    <m/>
  </r>
  <r>
    <d v="2024-09-08T00:00:00"/>
    <d v="1899-12-30T13:47:00"/>
    <s v="Ringoz Barbeque"/>
    <n v="2"/>
    <n v="30"/>
    <n v="17.2"/>
    <n v="12.8"/>
    <s v="Cash"/>
    <x v="2"/>
    <m/>
    <m/>
    <m/>
  </r>
  <r>
    <d v="2024-09-08T00:00:00"/>
    <d v="1899-12-30T13:54:00"/>
    <s v="Banana"/>
    <n v="2"/>
    <n v="20"/>
    <n v="16.666666666666668"/>
    <n v="3.3333333333333321"/>
    <s v="Cash"/>
    <x v="2"/>
    <m/>
    <m/>
    <m/>
  </r>
  <r>
    <d v="2024-09-08T00:00:00"/>
    <d v="1899-12-30T14:24:00"/>
    <s v="Safari"/>
    <n v="1"/>
    <n v="15"/>
    <n v="8.5"/>
    <n v="6.5"/>
    <s v="Mpesa"/>
    <x v="2"/>
    <m/>
    <m/>
    <m/>
  </r>
  <r>
    <d v="2024-09-08T00:00:00"/>
    <d v="1899-12-30T14:41:00"/>
    <s v="Poa Pekee Tissue"/>
    <n v="1"/>
    <n v="30"/>
    <n v="13.333333333333334"/>
    <n v="16.666666666666664"/>
    <s v="Cash"/>
    <x v="2"/>
    <m/>
    <m/>
    <m/>
  </r>
  <r>
    <d v="2024-09-08T00:00:00"/>
    <d v="1899-12-30T14:51:00"/>
    <s v="soda 300ml glass"/>
    <n v="1"/>
    <n v="40"/>
    <n v="32.5"/>
    <n v="7.5"/>
    <s v="Cash"/>
    <x v="2"/>
    <m/>
    <m/>
    <m/>
  </r>
  <r>
    <d v="2024-09-08T00:00:00"/>
    <d v="1899-12-30T14:51:00"/>
    <s v="Cough drops"/>
    <n v="1"/>
    <n v="5"/>
    <n v="4"/>
    <n v="1"/>
    <s v="Cash"/>
    <x v="2"/>
    <m/>
    <m/>
    <m/>
  </r>
  <r>
    <d v="2024-09-08T00:00:00"/>
    <d v="1899-12-30T14:51:00"/>
    <s v="Banana"/>
    <n v="2"/>
    <n v="20"/>
    <n v="16.666666666666668"/>
    <n v="3.3333333333333321"/>
    <s v="Cash"/>
    <x v="2"/>
    <m/>
    <m/>
    <m/>
  </r>
  <r>
    <d v="2024-09-08T00:00:00"/>
    <d v="1899-12-30T15:28:00"/>
    <s v="eggs"/>
    <n v="10"/>
    <n v="200"/>
    <n v="143.33333333333334"/>
    <n v="56.666666666666657"/>
    <s v="Mpesa"/>
    <x v="2"/>
    <m/>
    <m/>
    <m/>
  </r>
  <r>
    <d v="2024-09-08T00:00:00"/>
    <d v="1899-12-30T15:28:00"/>
    <s v="Indomie chicken"/>
    <n v="4"/>
    <n v="200"/>
    <n v="150"/>
    <n v="50"/>
    <s v="Mpesa"/>
    <x v="2"/>
    <m/>
    <m/>
    <m/>
  </r>
  <r>
    <d v="2024-09-08T00:00:00"/>
    <d v="1899-12-30T16:01:00"/>
    <s v=" soda 1.25lts"/>
    <n v="1"/>
    <n v="130"/>
    <n v="112.5"/>
    <n v="17.5"/>
    <s v="Mpesa"/>
    <x v="2"/>
    <m/>
    <m/>
    <m/>
  </r>
  <r>
    <d v="2024-09-08T00:00:00"/>
    <d v="1899-12-30T16:01:00"/>
    <s v="Bigboss"/>
    <n v="3"/>
    <n v="15"/>
    <n v="10.5"/>
    <n v="4.5"/>
    <s v="Mpesa"/>
    <x v="2"/>
    <m/>
    <m/>
    <m/>
  </r>
  <r>
    <d v="2024-09-08T00:00:00"/>
    <d v="1899-12-30T16:01:00"/>
    <s v="minutemaid 400ml"/>
    <n v="1"/>
    <n v="85"/>
    <n v="62.5"/>
    <n v="22.5"/>
    <s v="Mpesa"/>
    <x v="2"/>
    <m/>
    <m/>
    <m/>
  </r>
  <r>
    <d v="2024-09-08T00:00:00"/>
    <d v="1899-12-30T16:01:00"/>
    <s v="Bigdaddy"/>
    <n v="3"/>
    <n v="30"/>
    <n v="18"/>
    <n v="12"/>
    <s v="Cash"/>
    <x v="2"/>
    <m/>
    <m/>
    <m/>
  </r>
  <r>
    <d v="2024-09-08T00:00:00"/>
    <d v="1899-12-30T13:59:00"/>
    <s v="Banana"/>
    <n v="5"/>
    <n v="50"/>
    <n v="41.666666666666671"/>
    <n v="8.3333333333333286"/>
    <s v="Mpesa"/>
    <x v="2"/>
    <m/>
    <m/>
    <m/>
  </r>
  <r>
    <d v="2024-09-08T00:00:00"/>
    <d v="1899-12-30T16:20:00"/>
    <s v="soda 500ml plastic"/>
    <n v="2"/>
    <n v="140"/>
    <n v="120.83333333333333"/>
    <n v="19.166666666666671"/>
    <s v="Credit"/>
    <x v="57"/>
    <m/>
    <m/>
    <m/>
  </r>
  <r>
    <d v="2024-09-08T00:00:00"/>
    <d v="1899-12-30T16:20:00"/>
    <s v="soda 350ml plastic"/>
    <n v="3"/>
    <n v="150"/>
    <n v="125"/>
    <n v="25"/>
    <s v="Credit"/>
    <x v="57"/>
    <m/>
    <m/>
    <m/>
  </r>
  <r>
    <d v="2024-09-08T00:00:00"/>
    <d v="1899-12-30T16:42:00"/>
    <s v="Festive 800g"/>
    <n v="1"/>
    <n v="130"/>
    <n v="120"/>
    <n v="10"/>
    <s v="Mpesa"/>
    <x v="2"/>
    <m/>
    <m/>
    <m/>
  </r>
  <r>
    <d v="2024-09-08T00:00:00"/>
    <d v="1899-12-30T16:42:00"/>
    <s v="Brookside milk 500ml"/>
    <n v="1"/>
    <n v="70"/>
    <n v="59"/>
    <n v="11"/>
    <s v="Mpesa"/>
    <x v="2"/>
    <m/>
    <m/>
    <m/>
  </r>
  <r>
    <d v="2024-09-08T00:00:00"/>
    <d v="1899-12-30T16:42:00"/>
    <s v="eggs"/>
    <n v="10"/>
    <n v="200"/>
    <n v="143.33333333333334"/>
    <n v="56.666666666666657"/>
    <s v="Cash"/>
    <x v="2"/>
    <m/>
    <m/>
    <m/>
  </r>
  <r>
    <d v="2024-09-08T00:00:00"/>
    <d v="1899-12-30T16:42:00"/>
    <s v="afia 500ml"/>
    <n v="1"/>
    <n v="85"/>
    <n v="70.833333333333329"/>
    <n v="14.166666666666671"/>
    <s v="Cash"/>
    <x v="2"/>
    <m/>
    <m/>
    <m/>
  </r>
  <r>
    <d v="2024-09-08T00:00:00"/>
    <d v="1899-12-30T16:50:00"/>
    <s v="soda 300ml glass"/>
    <n v="1"/>
    <n v="40"/>
    <n v="32.5"/>
    <n v="7.5"/>
    <s v="Mpesa"/>
    <x v="2"/>
    <s v="Baba Victor"/>
    <n v="215"/>
    <s v="Mpesa"/>
  </r>
  <r>
    <d v="2024-09-08T00:00:00"/>
    <d v="1899-12-30T18:09:00"/>
    <s v="Banana"/>
    <n v="3"/>
    <n v="30"/>
    <n v="25"/>
    <n v="5"/>
    <s v="Cash"/>
    <x v="2"/>
    <m/>
    <m/>
    <m/>
  </r>
  <r>
    <d v="2024-09-08T00:00:00"/>
    <d v="1899-12-30T19:00:00"/>
    <s v="Bella Tissue"/>
    <n v="4"/>
    <n v="200"/>
    <n v="140"/>
    <n v="60"/>
    <s v="Cash"/>
    <x v="2"/>
    <m/>
    <m/>
    <m/>
  </r>
  <r>
    <d v="2024-09-08T00:00:00"/>
    <d v="1899-12-30T19:28:00"/>
    <s v="Cooking Oil Measured"/>
    <n v="0.25"/>
    <n v="70"/>
    <n v="50"/>
    <n v="20"/>
    <s v="Cash"/>
    <x v="2"/>
    <m/>
    <m/>
    <m/>
  </r>
  <r>
    <d v="2024-09-08T00:00:00"/>
    <d v="1899-12-30T19:28:00"/>
    <s v="Blueband 250g"/>
    <n v="1"/>
    <n v="190"/>
    <n v="140"/>
    <n v="50"/>
    <s v="Credit"/>
    <x v="12"/>
    <m/>
    <m/>
    <m/>
  </r>
  <r>
    <d v="2024-09-08T00:00:00"/>
    <d v="1899-12-30T19:28:00"/>
    <s v="Tomato paste"/>
    <n v="1"/>
    <n v="30"/>
    <n v="12.5"/>
    <n v="17.5"/>
    <s v="Credit"/>
    <x v="12"/>
    <m/>
    <m/>
    <m/>
  </r>
  <r>
    <d v="2024-09-08T00:00:00"/>
    <d v="1899-12-30T20:07:00"/>
    <s v="Onion"/>
    <n v="2"/>
    <n v="20"/>
    <n v="16"/>
    <n v="4"/>
    <s v="Mpesa"/>
    <x v="2"/>
    <s v="Shariffa"/>
    <n v="910"/>
    <s v="Mpesa"/>
  </r>
  <r>
    <d v="2024-09-08T00:00:00"/>
    <d v="1899-12-30T20:50:00"/>
    <s v="300ml water"/>
    <n v="1"/>
    <n v="30"/>
    <n v="12.5"/>
    <n v="17.5"/>
    <s v="Mpesa"/>
    <x v="2"/>
    <m/>
    <m/>
    <m/>
  </r>
  <r>
    <d v="2024-09-08T00:00:00"/>
    <d v="1899-12-30T20:09:00"/>
    <s v="eggs"/>
    <n v="5"/>
    <n v="100"/>
    <n v="71.666666666666671"/>
    <n v="28.333333333333329"/>
    <s v="Mpesa"/>
    <x v="2"/>
    <m/>
    <m/>
    <m/>
  </r>
  <r>
    <d v="2024-09-08T00:00:00"/>
    <d v="1899-12-30T20:10:00"/>
    <s v="Family bisquit"/>
    <n v="1"/>
    <n v="35"/>
    <n v="23.333333333333332"/>
    <n v="11.666666666666668"/>
    <s v="Mpesa"/>
    <x v="2"/>
    <m/>
    <m/>
    <m/>
  </r>
  <r>
    <d v="2024-09-08T00:00:00"/>
    <d v="1899-12-30T20:13:00"/>
    <s v="Safari"/>
    <n v="2"/>
    <n v="30"/>
    <n v="17"/>
    <n v="13"/>
    <s v="Mpesa"/>
    <x v="2"/>
    <s v="Pauline"/>
    <n v="30"/>
    <s v="Cash"/>
  </r>
  <r>
    <d v="2024-09-08T00:00:00"/>
    <d v="1899-12-30T20:07:00"/>
    <s v="Match Box"/>
    <n v="1"/>
    <n v="5"/>
    <n v="2.3611111111111112"/>
    <n v="2.6388888888888888"/>
    <s v="Mpesa"/>
    <x v="2"/>
    <m/>
    <m/>
    <m/>
  </r>
  <r>
    <d v="2024-09-08T00:00:00"/>
    <d v="1899-12-30T19:10:00"/>
    <m/>
    <m/>
    <m/>
    <m/>
    <m/>
    <m/>
    <x v="2"/>
    <m/>
    <m/>
    <m/>
  </r>
  <r>
    <d v="2024-09-08T00:00:00"/>
    <d v="1899-12-30T20:10:00"/>
    <s v="Fresh green"/>
    <n v="1"/>
    <n v="10"/>
    <n v="5"/>
    <n v="5"/>
    <s v="Mpesa"/>
    <x v="2"/>
    <m/>
    <m/>
    <m/>
  </r>
  <r>
    <d v="2024-09-08T00:00:00"/>
    <d v="1899-12-30T20:49:00"/>
    <s v="Fresh Blue"/>
    <n v="1"/>
    <n v="10"/>
    <n v="5"/>
    <n v="5"/>
    <s v="Mpesa"/>
    <x v="2"/>
    <m/>
    <m/>
    <m/>
  </r>
  <r>
    <d v="2024-09-09T00:00:00"/>
    <d v="1899-12-30T07:35:00"/>
    <s v="Safari"/>
    <n v="1"/>
    <n v="15"/>
    <n v="8.5"/>
    <n v="6.5"/>
    <s v="Mpesa"/>
    <x v="2"/>
    <m/>
    <m/>
    <m/>
  </r>
  <r>
    <d v="2024-09-09T00:00:00"/>
    <d v="1899-12-30T07:35:00"/>
    <s v="Sportsman"/>
    <n v="2"/>
    <n v="40"/>
    <n v="26"/>
    <n v="14"/>
    <s v="Mpesa"/>
    <x v="2"/>
    <m/>
    <m/>
    <m/>
  </r>
  <r>
    <d v="2024-09-09T00:00:00"/>
    <d v="1899-12-30T07:35:00"/>
    <s v="Match Box"/>
    <n v="1"/>
    <n v="5"/>
    <n v="2.3611111111111112"/>
    <n v="2.6388888888888888"/>
    <s v="Mpesa"/>
    <x v="2"/>
    <m/>
    <m/>
    <m/>
  </r>
  <r>
    <d v="2024-09-09T00:00:00"/>
    <d v="1899-12-30T08:15:00"/>
    <s v="Mt Kenya milk 200ml"/>
    <n v="1"/>
    <n v="35"/>
    <n v="24.285714285714285"/>
    <n v="10.714285714285715"/>
    <s v="Credit"/>
    <x v="5"/>
    <m/>
    <m/>
    <m/>
  </r>
  <r>
    <d v="2024-09-09T00:00:00"/>
    <d v="1899-12-30T08:15:00"/>
    <s v="Festive Bread 400g"/>
    <n v="1"/>
    <n v="65"/>
    <n v="60"/>
    <n v="5"/>
    <s v="Credit"/>
    <x v="5"/>
    <m/>
    <m/>
    <m/>
  </r>
  <r>
    <d v="2024-09-09T00:00:00"/>
    <d v="1899-12-30T08:17:00"/>
    <s v="Soko Maize meal"/>
    <n v="1"/>
    <n v="160"/>
    <n v="125"/>
    <n v="35"/>
    <s v="Credit"/>
    <x v="39"/>
    <m/>
    <m/>
    <m/>
  </r>
  <r>
    <d v="2024-09-09T00:00:00"/>
    <d v="1899-12-30T08:21:00"/>
    <s v="Festive 600g"/>
    <n v="1"/>
    <n v="100"/>
    <n v="90"/>
    <n v="10"/>
    <s v="Credit"/>
    <x v="8"/>
    <m/>
    <m/>
    <m/>
  </r>
  <r>
    <d v="2024-09-09T00:00:00"/>
    <d v="1899-12-30T08:42:00"/>
    <s v="Airtel 20 Credit"/>
    <n v="1"/>
    <n v="20"/>
    <n v="18"/>
    <n v="2"/>
    <s v="Mpesa"/>
    <x v="2"/>
    <m/>
    <m/>
    <m/>
  </r>
  <r>
    <d v="2024-09-09T00:00:00"/>
    <d v="1899-12-30T08:43:00"/>
    <s v="Pishori rice"/>
    <n v="0.25"/>
    <n v="55"/>
    <n v="45"/>
    <n v="10"/>
    <s v="Mpesa"/>
    <x v="2"/>
    <m/>
    <m/>
    <m/>
  </r>
  <r>
    <d v="2024-09-09T00:00:00"/>
    <d v="1899-12-30T08:45:00"/>
    <s v="Safari"/>
    <n v="1"/>
    <n v="15"/>
    <n v="8.5"/>
    <n v="6.5"/>
    <s v="Cash"/>
    <x v="2"/>
    <m/>
    <m/>
    <m/>
  </r>
  <r>
    <d v="2024-09-09T00:00:00"/>
    <d v="1899-12-30T08:47:00"/>
    <s v="1.5ltrs water"/>
    <n v="1"/>
    <n v="70"/>
    <n v="25"/>
    <n v="45"/>
    <s v="Credit"/>
    <x v="20"/>
    <s v="Jescah"/>
    <n v="10"/>
    <s v="Cash"/>
  </r>
  <r>
    <d v="2024-09-09T00:00:00"/>
    <d v="1899-12-30T10:02:00"/>
    <s v="ariel 10g"/>
    <n v="2"/>
    <n v="30"/>
    <n v="18.333333333333332"/>
    <n v="11.666666666666668"/>
    <s v="Cash"/>
    <x v="2"/>
    <m/>
    <m/>
    <m/>
  </r>
  <r>
    <d v="2024-09-09T00:00:00"/>
    <d v="1899-12-30T10:03:00"/>
    <s v="eggs"/>
    <n v="3"/>
    <n v="60"/>
    <n v="43"/>
    <n v="17"/>
    <s v="Cash"/>
    <x v="2"/>
    <m/>
    <m/>
    <m/>
  </r>
  <r>
    <d v="2024-09-09T00:00:00"/>
    <d v="1899-12-30T10:40:00"/>
    <s v="predator"/>
    <n v="1"/>
    <n v="70"/>
    <n v="54.166666666666664"/>
    <n v="15.833333333333336"/>
    <s v="Cash"/>
    <x v="2"/>
    <s v="Titus"/>
    <n v="800"/>
    <s v="Cash"/>
  </r>
  <r>
    <d v="2024-09-09T00:00:00"/>
    <d v="1899-12-30T12:54:00"/>
    <s v="Ngumu"/>
    <n v="1"/>
    <n v="10"/>
    <n v="8.3333333333333339"/>
    <n v="1.6666666666666661"/>
    <s v="Mpesa"/>
    <x v="2"/>
    <m/>
    <m/>
    <m/>
  </r>
  <r>
    <d v="2024-09-09T00:00:00"/>
    <d v="1899-12-30T12:54:00"/>
    <s v="Airtel 20 Credit"/>
    <n v="1"/>
    <n v="20"/>
    <n v="18"/>
    <n v="2"/>
    <s v="Mpesa"/>
    <x v="2"/>
    <m/>
    <m/>
    <m/>
  </r>
  <r>
    <d v="2024-09-09T00:00:00"/>
    <d v="1899-12-30T12:54:00"/>
    <s v="Safari"/>
    <n v="1"/>
    <n v="15"/>
    <n v="8.5"/>
    <n v="6.5"/>
    <s v="Mpesa"/>
    <x v="2"/>
    <m/>
    <m/>
    <m/>
  </r>
  <r>
    <d v="2024-09-09T00:00:00"/>
    <d v="1899-12-30T13:02:00"/>
    <s v="eggs"/>
    <n v="1"/>
    <n v="20"/>
    <n v="14.333333333333334"/>
    <n v="5.6666666666666661"/>
    <s v="Mpesa"/>
    <x v="2"/>
    <m/>
    <m/>
    <m/>
  </r>
  <r>
    <d v="2024-09-09T00:00:00"/>
    <d v="1899-12-30T13:03:00"/>
    <s v="Kinangop Fresh Milk 500ml"/>
    <n v="2"/>
    <n v="120"/>
    <n v="110"/>
    <n v="10"/>
    <s v="Mpesa"/>
    <x v="2"/>
    <m/>
    <m/>
    <m/>
  </r>
  <r>
    <d v="2024-09-09T00:00:00"/>
    <d v="1899-12-30T13:54:00"/>
    <s v="BB Bread 400g"/>
    <n v="1"/>
    <n v="65"/>
    <n v="60"/>
    <n v="5"/>
    <s v="Mpesa"/>
    <x v="2"/>
    <m/>
    <m/>
    <m/>
  </r>
  <r>
    <d v="2024-09-09T00:00:00"/>
    <d v="1899-12-30T14:02:00"/>
    <s v="soda 500ml glass"/>
    <n v="1"/>
    <n v="55"/>
    <n v="50"/>
    <n v="5"/>
    <s v="Credit"/>
    <x v="34"/>
    <m/>
    <m/>
    <m/>
  </r>
  <r>
    <d v="2024-09-09T00:00:00"/>
    <d v="1899-12-30T14:02:00"/>
    <s v="Ngumu"/>
    <n v="8"/>
    <n v="80"/>
    <n v="66.666666666666671"/>
    <n v="13.333333333333329"/>
    <s v="Credit"/>
    <x v="34"/>
    <m/>
    <m/>
    <m/>
  </r>
  <r>
    <d v="2024-09-09T00:00:00"/>
    <d v="1899-12-30T14:03:00"/>
    <s v="afia 500ml"/>
    <n v="1"/>
    <n v="85"/>
    <n v="70.833333333333329"/>
    <n v="14.166666666666671"/>
    <s v="Credit"/>
    <x v="19"/>
    <m/>
    <m/>
    <m/>
  </r>
  <r>
    <d v="2024-09-09T00:00:00"/>
    <d v="1899-12-30T14:05:00"/>
    <s v="eggs"/>
    <n v="3"/>
    <n v="60"/>
    <n v="43"/>
    <n v="17"/>
    <s v="Mpesa"/>
    <x v="2"/>
    <m/>
    <m/>
    <m/>
  </r>
  <r>
    <d v="2024-09-09T00:00:00"/>
    <d v="1899-12-30T15:09:00"/>
    <s v="Safari"/>
    <n v="3"/>
    <n v="45"/>
    <n v="25.5"/>
    <n v="19.5"/>
    <s v="Mpesa"/>
    <x v="2"/>
    <m/>
    <m/>
    <m/>
  </r>
  <r>
    <d v="2024-09-09T00:00:00"/>
    <d v="1899-12-30T15:40:00"/>
    <s v="kinangop250g youghurt"/>
    <n v="2"/>
    <n v="120"/>
    <n v="96.666666666666671"/>
    <n v="23.333333333333329"/>
    <s v="Cash"/>
    <x v="2"/>
    <m/>
    <m/>
    <m/>
  </r>
  <r>
    <d v="2024-09-09T00:00:00"/>
    <d v="1899-12-30T15:48:00"/>
    <s v="Festive 800g"/>
    <n v="1"/>
    <n v="130"/>
    <n v="120"/>
    <n v="10"/>
    <s v="Mpesa"/>
    <x v="2"/>
    <m/>
    <m/>
    <m/>
  </r>
  <r>
    <d v="2024-09-09T00:00:00"/>
    <d v="1899-12-30T15:48:00"/>
    <s v="Mt kenya milk 500ml"/>
    <n v="2"/>
    <n v="130"/>
    <n v="96.666666666666671"/>
    <n v="33.333333333333329"/>
    <s v="Credit"/>
    <x v="42"/>
    <m/>
    <m/>
    <m/>
  </r>
  <r>
    <d v="2024-09-09T00:00:00"/>
    <d v="1899-12-30T17:09:00"/>
    <s v="Indomie chicken"/>
    <n v="1"/>
    <n v="50"/>
    <n v="37.5"/>
    <n v="12.5"/>
    <s v="Cash"/>
    <x v="2"/>
    <m/>
    <m/>
    <m/>
  </r>
  <r>
    <d v="2024-09-09T00:00:00"/>
    <d v="1899-12-30T17:09:00"/>
    <s v="Icepop"/>
    <n v="1"/>
    <n v="15"/>
    <n v="7.5"/>
    <n v="7.5"/>
    <s v="Cash"/>
    <x v="2"/>
    <m/>
    <m/>
    <m/>
  </r>
  <r>
    <d v="2024-09-09T00:00:00"/>
    <d v="1899-12-30T17:09:00"/>
    <s v="Safaricom 10 Credit"/>
    <n v="1"/>
    <n v="10"/>
    <n v="9"/>
    <n v="1"/>
    <s v="Cash"/>
    <x v="2"/>
    <m/>
    <m/>
    <m/>
  </r>
  <r>
    <d v="2024-09-09T00:00:00"/>
    <d v="1899-12-30T17:39:00"/>
    <s v="Glucose 10g"/>
    <n v="2"/>
    <n v="10"/>
    <n v="7.5"/>
    <n v="2.5"/>
    <s v="Cash"/>
    <x v="2"/>
    <m/>
    <m/>
    <m/>
  </r>
  <r>
    <d v="2024-09-09T00:00:00"/>
    <d v="1899-12-30T17:39:00"/>
    <s v="Bigboss"/>
    <n v="1"/>
    <n v="5"/>
    <n v="3.5"/>
    <n v="1.5"/>
    <s v="Cash"/>
    <x v="2"/>
    <m/>
    <m/>
    <m/>
  </r>
  <r>
    <d v="2024-09-09T00:00:00"/>
    <d v="1899-12-30T17:40:00"/>
    <s v="Safari"/>
    <n v="1"/>
    <n v="15"/>
    <n v="8.5"/>
    <n v="6.5"/>
    <s v="Mpesa"/>
    <x v="2"/>
    <m/>
    <m/>
    <m/>
  </r>
  <r>
    <d v="2024-09-09T00:00:00"/>
    <d v="1899-12-30T18:45:00"/>
    <s v="Kinangop Fresh Milk 500ml"/>
    <n v="1"/>
    <n v="60"/>
    <n v="55"/>
    <n v="5"/>
    <s v="Mpesa"/>
    <x v="2"/>
    <m/>
    <m/>
    <m/>
  </r>
  <r>
    <d v="2024-09-09T00:00:00"/>
    <d v="1899-12-30T18:50:00"/>
    <s v="eggs"/>
    <n v="2"/>
    <n v="40"/>
    <n v="28.666666666666668"/>
    <n v="11.333333333333332"/>
    <s v="Cash"/>
    <x v="2"/>
    <m/>
    <m/>
    <m/>
  </r>
  <r>
    <d v="2024-09-09T00:00:00"/>
    <d v="1899-12-30T18:58:00"/>
    <s v="Safari"/>
    <n v="1"/>
    <n v="15"/>
    <n v="8.5"/>
    <n v="6.5"/>
    <s v="Mpesa"/>
    <x v="2"/>
    <m/>
    <m/>
    <m/>
  </r>
  <r>
    <d v="2024-09-09T00:00:00"/>
    <d v="1899-12-30T19:19:00"/>
    <s v="eggs"/>
    <n v="6"/>
    <n v="120"/>
    <n v="86"/>
    <n v="34"/>
    <s v="Mpesa"/>
    <x v="2"/>
    <m/>
    <m/>
    <m/>
  </r>
  <r>
    <d v="2024-09-09T00:00:00"/>
    <d v="1899-12-30T19:19:00"/>
    <s v="Tomatoes"/>
    <n v="5"/>
    <n v="50"/>
    <n v="25"/>
    <n v="25"/>
    <s v="Mpesa"/>
    <x v="2"/>
    <m/>
    <m/>
    <m/>
  </r>
  <r>
    <d v="2024-09-09T00:00:00"/>
    <d v="1899-12-30T19:19:00"/>
    <s v="Soko Maize meal"/>
    <n v="1"/>
    <n v="160"/>
    <n v="125"/>
    <n v="35"/>
    <s v="Mpesa"/>
    <x v="2"/>
    <m/>
    <m/>
    <m/>
  </r>
  <r>
    <d v="2024-09-09T00:00:00"/>
    <d v="1899-12-30T19:19:00"/>
    <s v="Hanaan Tissue"/>
    <n v="1"/>
    <n v="55"/>
    <n v="43"/>
    <n v="12"/>
    <s v="Mpesa"/>
    <x v="2"/>
    <m/>
    <m/>
    <m/>
  </r>
  <r>
    <d v="2024-09-09T00:00:00"/>
    <d v="1899-12-30T19:19:00"/>
    <s v="Mt kenya milk 500ml"/>
    <n v="1"/>
    <n v="65"/>
    <n v="48.333333333333336"/>
    <n v="16.666666666666664"/>
    <s v="Mpesa"/>
    <x v="2"/>
    <m/>
    <m/>
    <m/>
  </r>
  <r>
    <d v="2024-09-09T00:00:00"/>
    <d v="1899-12-30T19:23:00"/>
    <s v="Mt Kenya milk 200ml"/>
    <n v="1"/>
    <n v="35"/>
    <n v="24.285714285714285"/>
    <n v="10.714285714285715"/>
    <s v="Mpesa"/>
    <x v="2"/>
    <m/>
    <m/>
    <m/>
  </r>
  <r>
    <d v="2024-09-09T00:00:00"/>
    <d v="1899-12-30T19:23:00"/>
    <s v="sossi"/>
    <n v="1"/>
    <n v="50"/>
    <n v="37.5"/>
    <n v="12.5"/>
    <s v="Mpesa"/>
    <x v="2"/>
    <m/>
    <m/>
    <m/>
  </r>
  <r>
    <d v="2024-09-09T00:00:00"/>
    <d v="1899-12-30T19:28:00"/>
    <s v="eggs"/>
    <n v="3"/>
    <n v="60"/>
    <n v="43"/>
    <n v="17"/>
    <s v="Credit"/>
    <x v="23"/>
    <m/>
    <m/>
    <m/>
  </r>
  <r>
    <d v="2024-09-09T00:00:00"/>
    <d v="1899-12-30T19:28:00"/>
    <s v="Tomatoes"/>
    <n v="1"/>
    <n v="10"/>
    <n v="5"/>
    <n v="5"/>
    <s v="Credit"/>
    <x v="23"/>
    <m/>
    <m/>
    <m/>
  </r>
  <r>
    <d v="2024-09-09T00:00:00"/>
    <d v="1899-12-30T19:28:00"/>
    <s v="Pishori rice"/>
    <n v="0.5"/>
    <n v="110"/>
    <n v="90"/>
    <n v="20"/>
    <s v="Credit"/>
    <x v="23"/>
    <m/>
    <m/>
    <m/>
  </r>
  <r>
    <d v="2024-09-09T00:00:00"/>
    <d v="1899-12-30T19:32:00"/>
    <s v="Tukuza 1kg"/>
    <n v="1"/>
    <n v="90"/>
    <n v="61.25"/>
    <n v="28.75"/>
    <s v="Mpesa"/>
    <x v="2"/>
    <m/>
    <m/>
    <m/>
  </r>
  <r>
    <d v="2024-09-09T00:00:00"/>
    <d v="1899-12-30T19:32:00"/>
    <s v="Nescafe 1.5g"/>
    <n v="2"/>
    <n v="30"/>
    <n v="18.333333333333332"/>
    <n v="11.666666666666668"/>
    <s v="Mpesa"/>
    <x v="2"/>
    <m/>
    <m/>
    <m/>
  </r>
  <r>
    <d v="2024-09-09T00:00:00"/>
    <d v="1899-12-30T19:32:00"/>
    <s v="Festive Bread 400g"/>
    <n v="1"/>
    <n v="65"/>
    <n v="60"/>
    <n v="5"/>
    <s v="Mpesa"/>
    <x v="2"/>
    <m/>
    <m/>
    <m/>
  </r>
  <r>
    <d v="2024-09-09T00:00:00"/>
    <d v="1899-12-30T19:38:00"/>
    <s v="kensalt 200g"/>
    <n v="1"/>
    <n v="15"/>
    <n v="5.5"/>
    <n v="9.5"/>
    <s v="Credit"/>
    <x v="23"/>
    <m/>
    <m/>
    <m/>
  </r>
  <r>
    <d v="2024-09-09T00:00:00"/>
    <d v="1899-12-30T19:51:00"/>
    <s v="Piriton"/>
    <n v="10"/>
    <n v="10"/>
    <n v="5"/>
    <n v="5"/>
    <s v="Credit"/>
    <x v="43"/>
    <m/>
    <m/>
    <m/>
  </r>
  <r>
    <d v="2024-09-09T00:00:00"/>
    <d v="1899-12-30T19:51:00"/>
    <s v="Zycet (cetrizine)"/>
    <n v="3"/>
    <n v="45"/>
    <n v="24"/>
    <n v="21"/>
    <s v="Credit"/>
    <x v="2"/>
    <m/>
    <m/>
    <m/>
  </r>
  <r>
    <d v="2024-09-09T00:00:00"/>
    <d v="1899-12-30T20:08:00"/>
    <s v="Sportsman"/>
    <n v="1"/>
    <n v="20"/>
    <n v="13"/>
    <n v="7"/>
    <s v="Mpesa"/>
    <x v="2"/>
    <m/>
    <m/>
    <m/>
  </r>
  <r>
    <d v="2024-09-09T00:00:00"/>
    <d v="1899-12-30T20:17:00"/>
    <s v="Ringoz Barbeque"/>
    <n v="2"/>
    <n v="30"/>
    <n v="17.2"/>
    <n v="12.8"/>
    <s v="Mpesa"/>
    <x v="2"/>
    <m/>
    <m/>
    <m/>
  </r>
  <r>
    <d v="2024-09-09T00:00:00"/>
    <d v="1899-12-30T20:24:00"/>
    <s v="Ngumu"/>
    <n v="1"/>
    <n v="10"/>
    <n v="8.3333333333333339"/>
    <n v="1.6666666666666661"/>
    <s v="Cash"/>
    <x v="2"/>
    <m/>
    <m/>
    <m/>
  </r>
  <r>
    <d v="2024-09-09T00:00:00"/>
    <d v="1899-12-30T20:24:00"/>
    <s v="minutemaid 400ml"/>
    <n v="1"/>
    <n v="85"/>
    <n v="62.5"/>
    <n v="22.5"/>
    <s v="Mpesa"/>
    <x v="2"/>
    <m/>
    <m/>
    <m/>
  </r>
  <r>
    <d v="2024-09-09T00:00:00"/>
    <d v="1899-12-30T20:24:00"/>
    <s v="Banana"/>
    <n v="2"/>
    <n v="20"/>
    <n v="16.666666666666668"/>
    <n v="3.3333333333333321"/>
    <s v="Credit"/>
    <x v="58"/>
    <m/>
    <m/>
    <m/>
  </r>
  <r>
    <d v="2024-09-10T00:00:00"/>
    <d v="1899-12-30T07:10:00"/>
    <s v="Sportsman"/>
    <n v="2"/>
    <n v="40"/>
    <n v="26"/>
    <n v="14"/>
    <s v="Mpesa"/>
    <x v="2"/>
    <m/>
    <m/>
    <m/>
  </r>
  <r>
    <d v="2024-09-10T00:00:00"/>
    <d v="1899-12-30T07:10:00"/>
    <s v="Safari"/>
    <n v="1"/>
    <n v="15"/>
    <n v="8.5"/>
    <n v="6.5"/>
    <s v="Mpesa"/>
    <x v="2"/>
    <m/>
    <m/>
    <m/>
  </r>
  <r>
    <d v="2024-09-10T00:00:00"/>
    <d v="1899-12-30T07:10:00"/>
    <s v="eggs"/>
    <n v="4"/>
    <n v="80"/>
    <n v="57.333333333333336"/>
    <n v="22.666666666666664"/>
    <s v="Credit"/>
    <x v="8"/>
    <m/>
    <m/>
    <m/>
  </r>
  <r>
    <d v="2024-09-10T00:00:00"/>
    <d v="1899-12-30T07:10:00"/>
    <s v="Kdf"/>
    <n v="4"/>
    <n v="40"/>
    <n v="33.333333333333336"/>
    <n v="6.6666666666666643"/>
    <s v="Credit"/>
    <x v="8"/>
    <s v="Ruth"/>
    <n v="200"/>
    <s v="Cash"/>
  </r>
  <r>
    <d v="2024-09-10T00:00:00"/>
    <d v="1899-12-30T07:40:00"/>
    <s v="Mt kenya milk 500ml"/>
    <n v="2"/>
    <n v="130"/>
    <n v="96.666666666666671"/>
    <n v="33.333333333333329"/>
    <s v="Credit"/>
    <x v="39"/>
    <m/>
    <m/>
    <m/>
  </r>
  <r>
    <d v="2024-09-10T00:00:00"/>
    <d v="1899-12-30T09:37:00"/>
    <s v="BB Bread 400g"/>
    <n v="1"/>
    <n v="65"/>
    <n v="60"/>
    <n v="5"/>
    <s v="Credit"/>
    <x v="3"/>
    <m/>
    <m/>
    <m/>
  </r>
  <r>
    <d v="2024-09-10T00:00:00"/>
    <d v="1899-12-30T09:38:00"/>
    <s v="Airtel 50 Credit"/>
    <n v="2"/>
    <n v="100"/>
    <n v="94"/>
    <n v="6"/>
    <s v="Cash"/>
    <x v="2"/>
    <m/>
    <m/>
    <m/>
  </r>
  <r>
    <d v="2024-09-10T00:00:00"/>
    <d v="1899-12-30T09:38:00"/>
    <s v="Family bisquit"/>
    <n v="1"/>
    <n v="35"/>
    <n v="23.333333333333332"/>
    <n v="11.666666666666668"/>
    <s v="Cash"/>
    <x v="2"/>
    <m/>
    <m/>
    <m/>
  </r>
  <r>
    <d v="2024-09-10T00:00:00"/>
    <d v="1899-12-30T10:47:00"/>
    <s v="Sportsman"/>
    <n v="1"/>
    <n v="20"/>
    <n v="13"/>
    <n v="7"/>
    <s v="Mpesa"/>
    <x v="2"/>
    <m/>
    <m/>
    <m/>
  </r>
  <r>
    <d v="2024-09-10T00:00:00"/>
    <d v="1899-12-30T10:47:00"/>
    <s v="Ngumu"/>
    <n v="1"/>
    <n v="10"/>
    <n v="8.3333333333333339"/>
    <n v="1.6666666666666661"/>
    <s v="Mpesa"/>
    <x v="2"/>
    <m/>
    <m/>
    <m/>
  </r>
  <r>
    <d v="2024-09-10T00:00:00"/>
    <d v="1899-12-30T12:01:00"/>
    <s v="5ltrs water"/>
    <n v="1"/>
    <n v="120"/>
    <n v="75"/>
    <n v="45"/>
    <s v="Mpesa"/>
    <x v="2"/>
    <m/>
    <m/>
    <m/>
  </r>
  <r>
    <d v="2024-09-10T00:00:00"/>
    <d v="1899-12-30T12:01:00"/>
    <s v="eggs"/>
    <n v="3"/>
    <n v="60"/>
    <n v="43"/>
    <n v="17"/>
    <s v="Mpesa"/>
    <x v="2"/>
    <m/>
    <m/>
    <m/>
  </r>
  <r>
    <d v="2024-09-10T00:00:00"/>
    <d v="1899-12-30T12:01:00"/>
    <s v="Tomatoes"/>
    <n v="1"/>
    <n v="10"/>
    <n v="5"/>
    <n v="5"/>
    <s v="Mpesa"/>
    <x v="2"/>
    <m/>
    <m/>
    <m/>
  </r>
  <r>
    <d v="2024-09-10T00:00:00"/>
    <d v="1899-12-30T12:31:00"/>
    <s v="Ngumu"/>
    <n v="2"/>
    <n v="20"/>
    <n v="16.666666666666668"/>
    <n v="3.3333333333333321"/>
    <s v="Mpesa"/>
    <x v="2"/>
    <m/>
    <m/>
    <m/>
  </r>
  <r>
    <d v="2024-09-10T00:00:00"/>
    <d v="1899-12-30T13:05:00"/>
    <s v="Brookside Lala Natural"/>
    <n v="2"/>
    <n v="200"/>
    <n v="174"/>
    <n v="26"/>
    <s v="Mpesa"/>
    <x v="2"/>
    <m/>
    <m/>
    <m/>
  </r>
  <r>
    <d v="2024-09-10T00:00:00"/>
    <d v="1899-12-30T13:05:00"/>
    <s v="Royco Beef Mchuzi Mix"/>
    <n v="1"/>
    <n v="10"/>
    <n v="8.3333333333333339"/>
    <n v="1.6666666666666661"/>
    <s v="Mpesa"/>
    <x v="2"/>
    <m/>
    <m/>
    <m/>
  </r>
  <r>
    <d v="2024-09-10T00:00:00"/>
    <d v="1899-12-30T13:05:00"/>
    <s v="Downy lavender"/>
    <n v="2"/>
    <n v="40"/>
    <n v="34.666666666666664"/>
    <n v="5.3333333333333357"/>
    <s v="Mpesa"/>
    <x v="2"/>
    <m/>
    <m/>
    <m/>
  </r>
  <r>
    <d v="2024-09-10T00:00:00"/>
    <d v="1899-12-30T13:05:00"/>
    <s v="Carrier bag small"/>
    <n v="1"/>
    <n v="10"/>
    <n v="3"/>
    <n v="7"/>
    <s v="Mpesa"/>
    <x v="2"/>
    <m/>
    <m/>
    <m/>
  </r>
  <r>
    <d v="2024-09-10T00:00:00"/>
    <d v="1899-12-30T13:16:00"/>
    <s v="Airtel 50 Credit"/>
    <n v="2"/>
    <n v="100"/>
    <n v="94"/>
    <n v="6"/>
    <s v="Cash"/>
    <x v="2"/>
    <m/>
    <m/>
    <m/>
  </r>
  <r>
    <d v="2024-09-10T00:00:00"/>
    <d v="1899-12-30T14:13:00"/>
    <s v="soda 500ml glass"/>
    <n v="1"/>
    <n v="55"/>
    <n v="50"/>
    <n v="5"/>
    <s v="Cash"/>
    <x v="2"/>
    <m/>
    <m/>
    <m/>
  </r>
  <r>
    <d v="2024-09-10T00:00:00"/>
    <d v="1899-12-30T14:13:00"/>
    <s v="Kdf"/>
    <n v="3"/>
    <n v="30"/>
    <n v="25"/>
    <n v="5"/>
    <s v="Cash"/>
    <x v="2"/>
    <m/>
    <m/>
    <m/>
  </r>
  <r>
    <d v="2024-09-10T00:00:00"/>
    <d v="1899-12-30T14:13:00"/>
    <s v="Sportsman"/>
    <n v="1"/>
    <n v="20"/>
    <n v="13"/>
    <n v="7"/>
    <s v="Credit"/>
    <x v="51"/>
    <m/>
    <m/>
    <m/>
  </r>
  <r>
    <d v="2024-09-10T00:00:00"/>
    <d v="1899-12-30T15:09:00"/>
    <s v="minutemaid 400ml"/>
    <n v="1"/>
    <n v="85"/>
    <n v="62.5"/>
    <n v="22.5"/>
    <s v="Credit"/>
    <x v="55"/>
    <m/>
    <m/>
    <m/>
  </r>
  <r>
    <d v="2024-09-10T00:00:00"/>
    <d v="1899-12-30T15:10:00"/>
    <s v="300ml water"/>
    <n v="1"/>
    <n v="30"/>
    <n v="12.5"/>
    <n v="17.5"/>
    <s v="Credit"/>
    <x v="19"/>
    <m/>
    <m/>
    <m/>
  </r>
  <r>
    <d v="2024-09-10T00:00:00"/>
    <d v="1899-12-30T15:10:00"/>
    <s v="5ltrs water"/>
    <n v="1"/>
    <n v="120"/>
    <n v="75"/>
    <n v="45"/>
    <s v="Credit"/>
    <x v="2"/>
    <m/>
    <m/>
    <m/>
  </r>
  <r>
    <d v="2024-09-10T00:00:00"/>
    <d v="1899-12-30T16:18:00"/>
    <s v="Crown Gold Milk 500ml"/>
    <n v="2"/>
    <n v="130"/>
    <n v="108.33333333333333"/>
    <n v="21.666666666666671"/>
    <s v="Mpesa"/>
    <x v="2"/>
    <m/>
    <m/>
    <m/>
  </r>
  <r>
    <d v="2024-09-10T00:00:00"/>
    <d v="1899-12-30T16:19:00"/>
    <s v="Cooking Oil Measured"/>
    <n v="0.25"/>
    <n v="70"/>
    <n v="50"/>
    <n v="20"/>
    <s v="Mpesa"/>
    <x v="2"/>
    <m/>
    <m/>
    <m/>
  </r>
  <r>
    <d v="2024-09-10T00:00:00"/>
    <d v="1899-12-30T16:19:00"/>
    <s v="BB Bread 400g"/>
    <n v="1"/>
    <n v="65"/>
    <n v="60"/>
    <n v="5"/>
    <s v="Mpesa"/>
    <x v="2"/>
    <m/>
    <m/>
    <m/>
  </r>
  <r>
    <d v="2024-09-10T00:00:00"/>
    <d v="1899-12-30T16:19:00"/>
    <s v="Tomato paste"/>
    <n v="1"/>
    <n v="30"/>
    <n v="12.5"/>
    <n v="17.5"/>
    <s v="Mpesa"/>
    <x v="2"/>
    <m/>
    <m/>
    <m/>
  </r>
  <r>
    <d v="2024-09-10T00:00:00"/>
    <d v="1899-12-30T16:27:00"/>
    <s v="Sportsman"/>
    <n v="1"/>
    <n v="20"/>
    <n v="13"/>
    <n v="7"/>
    <s v="Cash"/>
    <x v="2"/>
    <m/>
    <m/>
    <m/>
  </r>
  <r>
    <d v="2024-09-10T00:00:00"/>
    <d v="1899-12-30T17:42:00"/>
    <s v="Sportsman"/>
    <n v="1"/>
    <n v="20"/>
    <n v="13"/>
    <n v="7"/>
    <s v="Cash"/>
    <x v="2"/>
    <m/>
    <m/>
    <m/>
  </r>
  <r>
    <d v="2024-09-10T00:00:00"/>
    <d v="1899-12-30T17:42:00"/>
    <s v="Match Box"/>
    <n v="1"/>
    <n v="5"/>
    <n v="2.3611111111111112"/>
    <n v="2.6388888888888888"/>
    <s v="Mpesa"/>
    <x v="2"/>
    <m/>
    <m/>
    <m/>
  </r>
  <r>
    <d v="2024-09-10T00:00:00"/>
    <d v="1899-12-30T17:43:00"/>
    <s v="Kdf"/>
    <n v="2"/>
    <n v="20"/>
    <n v="16.666666666666668"/>
    <n v="3.3333333333333321"/>
    <s v="Credit"/>
    <x v="6"/>
    <m/>
    <m/>
    <m/>
  </r>
  <r>
    <d v="2024-09-10T00:00:00"/>
    <d v="1899-12-30T17:43:00"/>
    <s v="Chapa Mandashi"/>
    <n v="1"/>
    <n v="40"/>
    <n v="26.666666666666668"/>
    <n v="13.333333333333332"/>
    <s v="Cash"/>
    <x v="2"/>
    <m/>
    <m/>
    <m/>
  </r>
  <r>
    <d v="2024-09-10T00:00:00"/>
    <d v="1899-12-30T17:50:00"/>
    <s v="Tomatoes"/>
    <n v="1"/>
    <n v="10"/>
    <n v="5"/>
    <n v="5"/>
    <s v="Cash"/>
    <x v="2"/>
    <m/>
    <m/>
    <m/>
  </r>
  <r>
    <d v="2024-09-10T00:00:00"/>
    <d v="1899-12-30T17:51:00"/>
    <s v="Ngumu"/>
    <n v="1"/>
    <n v="10"/>
    <n v="8.3333333333333339"/>
    <n v="1.6666666666666661"/>
    <s v="Cash"/>
    <x v="2"/>
    <m/>
    <m/>
    <m/>
  </r>
  <r>
    <d v="2024-09-10T00:00:00"/>
    <d v="1899-12-30T17:52:00"/>
    <s v="Kdf"/>
    <n v="1"/>
    <n v="10"/>
    <n v="8.3333333333333339"/>
    <n v="1.6666666666666661"/>
    <s v="Credit"/>
    <x v="6"/>
    <m/>
    <m/>
    <m/>
  </r>
  <r>
    <d v="2024-09-10T00:00:00"/>
    <d v="1899-12-30T18:00:00"/>
    <s v="Ngumu"/>
    <n v="1"/>
    <n v="10"/>
    <n v="8.3333333333333339"/>
    <n v="1.6666666666666661"/>
    <s v="Credit"/>
    <x v="6"/>
    <m/>
    <m/>
    <m/>
  </r>
  <r>
    <d v="2024-09-10T00:00:00"/>
    <d v="1899-12-30T18:30:00"/>
    <s v="Pembe 2kg"/>
    <n v="1"/>
    <n v="160"/>
    <n v="123.33333333333333"/>
    <n v="36.666666666666671"/>
    <s v="Cash"/>
    <x v="2"/>
    <m/>
    <m/>
    <m/>
  </r>
  <r>
    <d v="2024-09-10T00:00:00"/>
    <d v="1899-12-30T18:30:00"/>
    <s v="Mt kenya milk 500ml"/>
    <n v="1"/>
    <n v="65"/>
    <n v="48.333333333333336"/>
    <n v="16.666666666666664"/>
    <s v="Cash"/>
    <x v="2"/>
    <m/>
    <m/>
    <m/>
  </r>
  <r>
    <d v="2024-09-10T00:00:00"/>
    <d v="1899-12-30T18:30:00"/>
    <s v="Festive Bread 400g"/>
    <n v="1"/>
    <n v="65"/>
    <n v="60"/>
    <n v="5"/>
    <s v="Cash"/>
    <x v="2"/>
    <m/>
    <m/>
    <m/>
  </r>
  <r>
    <d v="2024-09-10T00:00:00"/>
    <d v="1899-12-30T18:30:00"/>
    <s v="Sportsman"/>
    <n v="2"/>
    <n v="40"/>
    <n v="26"/>
    <n v="14"/>
    <s v="Cash"/>
    <x v="2"/>
    <s v="Fredy"/>
    <n v="5"/>
    <s v="Cash"/>
  </r>
  <r>
    <d v="2024-09-10T00:00:00"/>
    <d v="1899-12-30T18:32:00"/>
    <s v="Ngumu"/>
    <n v="2"/>
    <n v="20"/>
    <n v="16.666666666666668"/>
    <n v="3.3333333333333321"/>
    <s v="Cash"/>
    <x v="2"/>
    <m/>
    <m/>
    <m/>
  </r>
  <r>
    <d v="2024-09-10T00:00:00"/>
    <d v="1899-12-30T18:35:00"/>
    <s v="BB Bread 400g"/>
    <n v="2"/>
    <n v="130"/>
    <n v="120"/>
    <n v="10"/>
    <s v="Mpesa"/>
    <x v="2"/>
    <m/>
    <m/>
    <m/>
  </r>
  <r>
    <d v="2024-09-10T00:00:00"/>
    <d v="1899-12-30T18:39:00"/>
    <s v="Tomatoes"/>
    <n v="5"/>
    <n v="50"/>
    <n v="25"/>
    <n v="25"/>
    <s v="Mpesa"/>
    <x v="2"/>
    <m/>
    <m/>
    <m/>
  </r>
  <r>
    <d v="2024-09-10T00:00:00"/>
    <d v="1899-12-30T18:56:00"/>
    <s v="Bigdaddy"/>
    <n v="1"/>
    <n v="10"/>
    <n v="6"/>
    <n v="4"/>
    <s v="Cash"/>
    <x v="2"/>
    <m/>
    <m/>
    <m/>
  </r>
  <r>
    <d v="2024-09-10T00:00:00"/>
    <d v="1899-12-30T18:56:00"/>
    <s v="BB Bread 400g"/>
    <n v="1"/>
    <n v="65"/>
    <n v="60"/>
    <n v="5"/>
    <s v="Credit"/>
    <x v="43"/>
    <m/>
    <m/>
    <m/>
  </r>
  <r>
    <d v="2024-09-10T00:00:00"/>
    <d v="1899-12-30T19:04:00"/>
    <s v="Toothbrush Children"/>
    <n v="2"/>
    <n v="60"/>
    <n v="38.333333333333336"/>
    <n v="21.666666666666664"/>
    <s v="Mpesa"/>
    <x v="2"/>
    <m/>
    <m/>
    <m/>
  </r>
  <r>
    <d v="2024-09-10T00:00:00"/>
    <d v="1899-12-30T19:04:00"/>
    <s v="Medium Colgate Toothbrush"/>
    <n v="1"/>
    <n v="40"/>
    <n v="25"/>
    <n v="15"/>
    <s v="Mpesa"/>
    <x v="2"/>
    <m/>
    <m/>
    <m/>
  </r>
  <r>
    <d v="2024-09-10T00:00:00"/>
    <d v="1899-12-30T19:13:00"/>
    <s v="Royco cubes"/>
    <n v="8"/>
    <n v="40"/>
    <n v="24"/>
    <n v="16"/>
    <s v="Credit"/>
    <x v="54"/>
    <m/>
    <m/>
    <m/>
  </r>
  <r>
    <d v="2024-09-10T00:00:00"/>
    <d v="1899-12-30T19:13:00"/>
    <s v="Mt kenya milk 500ml"/>
    <n v="1"/>
    <n v="65"/>
    <n v="48.333333333333336"/>
    <n v="16.666666666666664"/>
    <s v="Credit"/>
    <x v="54"/>
    <m/>
    <m/>
    <m/>
  </r>
  <r>
    <d v="2024-09-10T00:00:00"/>
    <d v="1899-12-30T19:13:00"/>
    <s v="Tomatoes"/>
    <n v="5"/>
    <n v="50"/>
    <n v="25"/>
    <n v="25"/>
    <s v="Credit"/>
    <x v="54"/>
    <m/>
    <m/>
    <m/>
  </r>
  <r>
    <d v="2024-09-10T00:00:00"/>
    <d v="1899-12-30T19:20:00"/>
    <s v="Sindano rice"/>
    <n v="1"/>
    <n v="150"/>
    <n v="120"/>
    <n v="30"/>
    <s v="Mpesa"/>
    <x v="2"/>
    <m/>
    <m/>
    <m/>
  </r>
  <r>
    <d v="2024-09-10T00:00:00"/>
    <d v="1899-12-30T19:20:00"/>
    <s v="BB Bread 400g"/>
    <n v="1"/>
    <n v="65"/>
    <n v="60"/>
    <n v="5"/>
    <s v="Mpesa"/>
    <x v="2"/>
    <m/>
    <m/>
    <m/>
  </r>
  <r>
    <d v="2024-09-10T00:00:00"/>
    <d v="1899-12-30T19:20:00"/>
    <s v="Ginger Bisquit"/>
    <n v="4"/>
    <n v="20"/>
    <n v="17.333333333333332"/>
    <n v="2.6666666666666679"/>
    <s v="Mpesa"/>
    <x v="2"/>
    <m/>
    <m/>
    <m/>
  </r>
  <r>
    <d v="2024-09-10T00:00:00"/>
    <d v="1899-12-30T19:47:00"/>
    <s v="Sportsman"/>
    <n v="2"/>
    <n v="40"/>
    <n v="26"/>
    <n v="14"/>
    <s v="Mpesa"/>
    <x v="2"/>
    <m/>
    <m/>
    <m/>
  </r>
  <r>
    <d v="2024-09-10T00:00:00"/>
    <d v="1899-12-30T19:50:00"/>
    <s v="Maramoja"/>
    <n v="1"/>
    <n v="10"/>
    <n v="7"/>
    <n v="3"/>
    <s v="Mpesa"/>
    <x v="2"/>
    <m/>
    <m/>
    <m/>
  </r>
  <r>
    <d v="2024-09-10T00:00:00"/>
    <d v="1899-12-30T19:50:00"/>
    <s v="Ngumu"/>
    <n v="1"/>
    <n v="10"/>
    <n v="8.3333333333333339"/>
    <n v="1.6666666666666661"/>
    <s v="Mpesa"/>
    <x v="2"/>
    <m/>
    <m/>
    <m/>
  </r>
  <r>
    <d v="2024-09-10T00:00:00"/>
    <d v="1899-12-30T19:51:00"/>
    <s v="Arimis big"/>
    <n v="1"/>
    <n v="60"/>
    <n v="45.833333333333336"/>
    <n v="14.166666666666664"/>
    <s v="Cash"/>
    <x v="2"/>
    <m/>
    <m/>
    <m/>
  </r>
  <r>
    <d v="2024-09-10T00:00:00"/>
    <d v="1899-12-30T20:02:00"/>
    <s v="Sportsman"/>
    <n v="2"/>
    <n v="40"/>
    <n v="26"/>
    <n v="14"/>
    <s v="Cash"/>
    <x v="2"/>
    <m/>
    <m/>
    <m/>
  </r>
  <r>
    <d v="2024-09-10T00:00:00"/>
    <d v="1899-12-30T20:02:00"/>
    <s v="Menengai Bar 1kg"/>
    <n v="0.2"/>
    <n v="50"/>
    <n v="38"/>
    <n v="12"/>
    <s v="Cash"/>
    <x v="2"/>
    <m/>
    <m/>
    <m/>
  </r>
  <r>
    <d v="2024-09-10T00:00:00"/>
    <d v="1899-12-30T20:32:00"/>
    <s v="Nuvita Bisquit"/>
    <n v="4"/>
    <n v="20"/>
    <n v="16.666666666666668"/>
    <n v="3.3333333333333321"/>
    <s v="Mpesa"/>
    <x v="2"/>
    <m/>
    <m/>
    <m/>
  </r>
  <r>
    <d v="2024-09-10T00:00:00"/>
    <d v="1899-12-30T20:32:00"/>
    <s v="Super Glue"/>
    <n v="1"/>
    <n v="30"/>
    <n v="23.333333333333332"/>
    <n v="6.6666666666666679"/>
    <s v="Mpesa"/>
    <x v="2"/>
    <s v="Fredy"/>
    <n v="170"/>
    <s v="Mpesa"/>
  </r>
  <r>
    <d v="2024-09-11T00:00:00"/>
    <d v="1899-12-30T07:20:00"/>
    <s v="Sportsman"/>
    <n v="1"/>
    <n v="20"/>
    <n v="13"/>
    <n v="7"/>
    <s v="Cash"/>
    <x v="2"/>
    <m/>
    <m/>
    <m/>
  </r>
  <r>
    <d v="2024-09-11T00:00:00"/>
    <d v="1899-12-30T08:24:00"/>
    <s v="Sportsman"/>
    <n v="1"/>
    <n v="20"/>
    <n v="13"/>
    <n v="7"/>
    <s v="Cash"/>
    <x v="2"/>
    <m/>
    <m/>
    <m/>
  </r>
  <r>
    <d v="2024-09-11T00:00:00"/>
    <d v="1899-12-30T08:24:00"/>
    <s v="Airtel 20 Credit"/>
    <n v="1"/>
    <n v="20"/>
    <n v="18"/>
    <n v="2"/>
    <s v="Cash"/>
    <x v="2"/>
    <m/>
    <m/>
    <m/>
  </r>
  <r>
    <d v="2024-09-11T00:00:00"/>
    <d v="1899-12-30T08:24:00"/>
    <s v="Match Box"/>
    <n v="1"/>
    <n v="5"/>
    <n v="2.3611111111111112"/>
    <n v="2.6388888888888888"/>
    <s v="Cash"/>
    <x v="2"/>
    <m/>
    <m/>
    <m/>
  </r>
  <r>
    <d v="2024-09-11T00:00:00"/>
    <d v="1899-12-30T08:29:00"/>
    <s v="Sportsman"/>
    <n v="2"/>
    <n v="40"/>
    <n v="26"/>
    <n v="14"/>
    <s v="Mpesa"/>
    <x v="2"/>
    <m/>
    <m/>
    <m/>
  </r>
  <r>
    <d v="2024-09-11T00:00:00"/>
    <d v="1899-12-30T09:46:00"/>
    <s v="BB Bread 400g"/>
    <n v="1"/>
    <n v="65"/>
    <n v="60"/>
    <n v="5"/>
    <s v="Mpesa"/>
    <x v="2"/>
    <m/>
    <m/>
    <m/>
  </r>
  <r>
    <d v="2024-09-11T00:00:00"/>
    <d v="1899-12-30T09:47:00"/>
    <s v="Sportsman"/>
    <n v="1"/>
    <n v="20"/>
    <n v="13"/>
    <n v="7"/>
    <s v="Cash"/>
    <x v="2"/>
    <m/>
    <m/>
    <m/>
  </r>
  <r>
    <d v="2024-09-11T00:00:00"/>
    <d v="1899-12-30T10:05:00"/>
    <s v="Airtel 50 Credit"/>
    <n v="1"/>
    <n v="50"/>
    <n v="47"/>
    <n v="3"/>
    <s v="Cash"/>
    <x v="2"/>
    <m/>
    <m/>
    <m/>
  </r>
  <r>
    <d v="2024-09-11T00:00:00"/>
    <d v="1899-12-30T10:08:00"/>
    <s v="minutemaid 400ml"/>
    <n v="1"/>
    <n v="85"/>
    <n v="62.5"/>
    <n v="22.5"/>
    <s v="Mpesa"/>
    <x v="2"/>
    <m/>
    <m/>
    <m/>
  </r>
  <r>
    <d v="2024-09-11T00:00:00"/>
    <d v="1899-12-30T11:43:00"/>
    <s v="Sugar 1/2 kg"/>
    <n v="1"/>
    <n v="90"/>
    <n v="60"/>
    <n v="30"/>
    <s v="Mpesa"/>
    <x v="2"/>
    <m/>
    <m/>
    <m/>
  </r>
  <r>
    <d v="2024-09-11T00:00:00"/>
    <d v="1899-12-30T11:43:00"/>
    <s v="eggs"/>
    <n v="2"/>
    <n v="40"/>
    <n v="28.666666666666668"/>
    <n v="11.333333333333332"/>
    <s v="Credit"/>
    <x v="19"/>
    <m/>
    <m/>
    <m/>
  </r>
  <r>
    <d v="2024-09-11T00:00:00"/>
    <d v="1899-12-30T11:43:00"/>
    <s v="Tomatoes"/>
    <n v="2"/>
    <n v="20"/>
    <n v="10"/>
    <n v="10"/>
    <s v="Credit"/>
    <x v="19"/>
    <m/>
    <m/>
    <m/>
  </r>
  <r>
    <d v="2024-09-11T00:00:00"/>
    <d v="1899-12-30T13:55:00"/>
    <s v="Sportsman"/>
    <n v="1"/>
    <n v="20"/>
    <n v="13"/>
    <n v="7"/>
    <s v="Mpesa"/>
    <x v="2"/>
    <m/>
    <m/>
    <m/>
  </r>
  <r>
    <d v="2024-09-11T00:00:00"/>
    <d v="1899-12-30T14:47:00"/>
    <s v="1ltr Brookside Lala Sweetened"/>
    <n v="1"/>
    <n v="190"/>
    <n v="173"/>
    <n v="17"/>
    <s v="Mpesa"/>
    <x v="2"/>
    <m/>
    <m/>
    <m/>
  </r>
  <r>
    <d v="2024-09-11T00:00:00"/>
    <d v="1899-12-30T16:00:00"/>
    <s v="Sportsman"/>
    <n v="1"/>
    <n v="20"/>
    <n v="13"/>
    <n v="7"/>
    <s v="Mpesa"/>
    <x v="2"/>
    <m/>
    <m/>
    <m/>
  </r>
  <r>
    <d v="2024-09-11T00:00:00"/>
    <d v="1899-12-30T16:07:00"/>
    <s v="Nuvita Bisquit"/>
    <n v="5"/>
    <n v="25"/>
    <n v="20.833333333333336"/>
    <n v="4.1666666666666643"/>
    <s v="Mpesa"/>
    <x v="2"/>
    <m/>
    <m/>
    <m/>
  </r>
  <r>
    <d v="2024-09-11T00:00:00"/>
    <d v="1899-12-30T16:55:00"/>
    <s v="BB Bread 400g"/>
    <n v="2"/>
    <n v="130"/>
    <n v="120"/>
    <n v="10"/>
    <s v="Mpesa"/>
    <x v="2"/>
    <m/>
    <m/>
    <m/>
  </r>
  <r>
    <d v="2024-09-11T00:00:00"/>
    <d v="1899-12-30T16:59:00"/>
    <s v="Indomie chicken"/>
    <n v="2"/>
    <n v="100"/>
    <n v="75"/>
    <n v="25"/>
    <s v="Mpesa"/>
    <x v="2"/>
    <m/>
    <m/>
    <m/>
  </r>
  <r>
    <d v="2024-09-11T00:00:00"/>
    <d v="1899-12-30T18:13:00"/>
    <s v="soda 300ml glass"/>
    <n v="1"/>
    <n v="40"/>
    <n v="32.5"/>
    <n v="7.5"/>
    <s v="Credit"/>
    <x v="4"/>
    <m/>
    <m/>
    <m/>
  </r>
  <r>
    <d v="2024-09-11T00:00:00"/>
    <d v="1899-12-30T18:13:00"/>
    <s v="Ginger Bisquit"/>
    <n v="4"/>
    <n v="20"/>
    <n v="17.333333333333332"/>
    <n v="2.6666666666666679"/>
    <s v="Credit"/>
    <x v="4"/>
    <m/>
    <m/>
    <m/>
  </r>
  <r>
    <d v="2024-09-11T00:00:00"/>
    <d v="1899-12-30T18:27:00"/>
    <s v="eggs"/>
    <n v="4"/>
    <n v="80"/>
    <n v="57.333333333333336"/>
    <n v="22.666666666666664"/>
    <s v="Cash"/>
    <x v="2"/>
    <m/>
    <m/>
    <m/>
  </r>
  <r>
    <d v="2024-09-11T00:00:00"/>
    <d v="1899-12-30T18:38:00"/>
    <s v="Rubber"/>
    <n v="1"/>
    <n v="10"/>
    <n v="5.6"/>
    <n v="4.4000000000000004"/>
    <s v="Cash"/>
    <x v="2"/>
    <m/>
    <m/>
    <m/>
  </r>
  <r>
    <d v="2024-09-11T00:00:00"/>
    <d v="1899-12-30T18:38:00"/>
    <s v="pens blue"/>
    <n v="1"/>
    <n v="10"/>
    <n v="5"/>
    <n v="5"/>
    <s v="Cash"/>
    <x v="2"/>
    <m/>
    <m/>
    <m/>
  </r>
  <r>
    <d v="2024-09-11T00:00:00"/>
    <d v="1899-12-30T18:38:00"/>
    <s v="Pencil"/>
    <n v="2"/>
    <n v="20"/>
    <n v="15"/>
    <n v="5"/>
    <s v="Cash"/>
    <x v="2"/>
    <m/>
    <m/>
    <m/>
  </r>
  <r>
    <d v="2024-09-11T00:00:00"/>
    <d v="1899-12-30T18:40:00"/>
    <s v="Sportsman"/>
    <n v="1"/>
    <n v="20"/>
    <n v="13"/>
    <n v="7"/>
    <s v="Mpesa"/>
    <x v="2"/>
    <m/>
    <m/>
    <m/>
  </r>
  <r>
    <d v="2024-09-11T00:00:00"/>
    <d v="1899-12-30T18:40:00"/>
    <s v="Kdf"/>
    <n v="2"/>
    <n v="20"/>
    <n v="16.666666666666668"/>
    <n v="3.3333333333333321"/>
    <s v="Cash"/>
    <x v="2"/>
    <m/>
    <m/>
    <m/>
  </r>
  <r>
    <d v="2024-09-11T00:00:00"/>
    <d v="1899-12-30T18:57:00"/>
    <s v="Ngumu"/>
    <n v="3"/>
    <n v="30"/>
    <n v="25"/>
    <n v="5"/>
    <s v="Mpesa"/>
    <x v="2"/>
    <m/>
    <m/>
    <m/>
  </r>
  <r>
    <d v="2024-09-11T00:00:00"/>
    <d v="1899-12-30T19:03:00"/>
    <s v="soda 500ml plastic"/>
    <n v="1"/>
    <n v="70"/>
    <n v="60.416666666666664"/>
    <n v="9.5833333333333357"/>
    <s v="Mpesa"/>
    <x v="2"/>
    <m/>
    <m/>
    <m/>
  </r>
  <r>
    <d v="2024-09-11T00:00:00"/>
    <d v="1899-12-30T19:03:00"/>
    <s v="Kdf"/>
    <n v="2"/>
    <n v="20"/>
    <n v="16.666666666666668"/>
    <n v="3.3333333333333321"/>
    <s v="Mpesa"/>
    <x v="2"/>
    <m/>
    <m/>
    <m/>
  </r>
  <r>
    <d v="2024-09-11T00:00:00"/>
    <d v="1899-12-30T19:03:00"/>
    <s v="Poa Pekee Tissue"/>
    <n v="2"/>
    <n v="60"/>
    <n v="26.666666666666668"/>
    <n v="33.333333333333329"/>
    <s v="Mpesa"/>
    <x v="2"/>
    <m/>
    <m/>
    <m/>
  </r>
  <r>
    <d v="2024-09-11T00:00:00"/>
    <d v="1899-12-30T19:03:00"/>
    <s v="Cooking Oil Measured"/>
    <n v="0.36"/>
    <n v="100.8"/>
    <n v="72"/>
    <n v="28.799999999999997"/>
    <s v="Mpesa"/>
    <x v="2"/>
    <m/>
    <m/>
    <m/>
  </r>
  <r>
    <d v="2024-09-11T00:00:00"/>
    <d v="1899-12-30T19:06:00"/>
    <s v="eggs"/>
    <n v="3"/>
    <n v="60"/>
    <n v="43"/>
    <n v="17"/>
    <s v="Cash"/>
    <x v="2"/>
    <m/>
    <m/>
    <m/>
  </r>
  <r>
    <d v="2024-09-11T00:00:00"/>
    <d v="1899-12-30T19:15:00"/>
    <s v="Pencil"/>
    <n v="3"/>
    <n v="30"/>
    <n v="22.5"/>
    <n v="7.5"/>
    <s v="Mpesa"/>
    <x v="2"/>
    <m/>
    <m/>
    <m/>
  </r>
  <r>
    <d v="2024-09-11T00:00:00"/>
    <d v="1899-12-30T19:15:00"/>
    <s v="Rubber"/>
    <n v="2"/>
    <n v="20"/>
    <n v="11.2"/>
    <n v="8.8000000000000007"/>
    <s v="Mpesa"/>
    <x v="2"/>
    <m/>
    <m/>
    <m/>
  </r>
  <r>
    <d v="2024-09-11T00:00:00"/>
    <d v="1899-12-30T19:15:00"/>
    <s v="Poa Pekee Tissue"/>
    <n v="1"/>
    <n v="30"/>
    <n v="13.333333333333334"/>
    <n v="16.666666666666664"/>
    <s v="Mpesa"/>
    <x v="2"/>
    <m/>
    <m/>
    <m/>
  </r>
  <r>
    <d v="2024-09-11T00:00:00"/>
    <d v="1899-12-30T19:15:00"/>
    <s v="Kdf"/>
    <n v="6"/>
    <n v="60"/>
    <n v="50"/>
    <n v="10"/>
    <s v="Mpesa"/>
    <x v="2"/>
    <m/>
    <m/>
    <m/>
  </r>
  <r>
    <d v="2024-09-11T00:00:00"/>
    <d v="1899-12-30T19:19:00"/>
    <s v="Safaricom 20 Credit"/>
    <n v="1"/>
    <n v="20"/>
    <n v="18"/>
    <n v="2"/>
    <s v="Mpesa"/>
    <x v="2"/>
    <s v="Fredrick"/>
    <n v="10"/>
    <s v="Mpesa"/>
  </r>
  <r>
    <d v="2024-09-11T00:00:00"/>
    <d v="1899-12-30T19:35:00"/>
    <s v="eggs"/>
    <n v="6"/>
    <n v="120"/>
    <n v="86"/>
    <n v="34"/>
    <s v="Mpesa"/>
    <x v="2"/>
    <m/>
    <m/>
    <m/>
  </r>
  <r>
    <d v="2024-09-11T00:00:00"/>
    <d v="1899-12-30T19:35:00"/>
    <s v="BB Bread 400g"/>
    <n v="1"/>
    <n v="65"/>
    <n v="60"/>
    <n v="5"/>
    <s v="Mpesa"/>
    <x v="2"/>
    <m/>
    <m/>
    <m/>
  </r>
  <r>
    <d v="2024-09-11T00:00:00"/>
    <d v="1899-12-30T19:35:00"/>
    <s v="Mt kenya milk 500ml"/>
    <n v="1"/>
    <n v="65"/>
    <n v="48.333333333333336"/>
    <n v="16.666666666666664"/>
    <s v="Mpesa"/>
    <x v="2"/>
    <m/>
    <m/>
    <m/>
  </r>
  <r>
    <d v="2024-09-11T00:00:00"/>
    <d v="1899-12-30T19:32:00"/>
    <s v="predator"/>
    <n v="1"/>
    <n v="70"/>
    <n v="54.166666666666664"/>
    <n v="15.833333333333336"/>
    <s v="Mpesa"/>
    <x v="2"/>
    <m/>
    <m/>
    <m/>
  </r>
  <r>
    <d v="2024-09-11T00:00:00"/>
    <d v="1899-12-30T19:38:00"/>
    <s v="eggs"/>
    <n v="5"/>
    <n v="100"/>
    <n v="71.666666666666671"/>
    <n v="28.333333333333329"/>
    <s v="Credit"/>
    <x v="8"/>
    <m/>
    <m/>
    <m/>
  </r>
  <r>
    <d v="2024-09-11T00:00:00"/>
    <d v="1899-12-30T19:38:00"/>
    <s v="Mt kenya milk 500ml"/>
    <n v="1"/>
    <n v="65"/>
    <n v="48.333333333333336"/>
    <n v="16.666666666666664"/>
    <s v="Credit"/>
    <x v="8"/>
    <m/>
    <m/>
    <m/>
  </r>
  <r>
    <d v="2024-09-11T00:00:00"/>
    <d v="1899-12-30T19:38:00"/>
    <s v="Ginger Bisquit"/>
    <n v="4"/>
    <n v="20"/>
    <n v="17.333333333333332"/>
    <n v="2.6666666666666679"/>
    <s v="Mpesa"/>
    <x v="2"/>
    <m/>
    <m/>
    <m/>
  </r>
  <r>
    <d v="2024-09-11T00:00:00"/>
    <d v="1899-12-30T19:38:00"/>
    <s v="Tangawizi Tea 50g"/>
    <n v="1"/>
    <n v="35"/>
    <n v="29.166666666666668"/>
    <n v="5.8333333333333321"/>
    <s v="Credit"/>
    <x v="34"/>
    <s v="Fredy"/>
    <n v="70"/>
    <s v="Mpesa"/>
  </r>
  <r>
    <d v="2024-09-11T00:00:00"/>
    <d v="1899-12-30T19:56:00"/>
    <s v="Kdf"/>
    <n v="2"/>
    <n v="20"/>
    <n v="16.666666666666668"/>
    <n v="3.3333333333333321"/>
    <s v="Credit"/>
    <x v="3"/>
    <m/>
    <m/>
    <m/>
  </r>
  <r>
    <d v="2024-09-11T00:00:00"/>
    <d v="1899-12-30T20:28:00"/>
    <s v="Nuvita Bisquit"/>
    <n v="4"/>
    <n v="20"/>
    <n v="16.666666666666668"/>
    <n v="3.3333333333333321"/>
    <s v="Mpesa"/>
    <x v="2"/>
    <m/>
    <m/>
    <m/>
  </r>
  <r>
    <d v="2024-09-12T00:00:00"/>
    <d v="1899-12-30T07:37:00"/>
    <s v="Bella Tissue"/>
    <n v="2"/>
    <n v="100"/>
    <n v="70"/>
    <n v="30"/>
    <s v="Mpesa"/>
    <x v="2"/>
    <m/>
    <m/>
    <m/>
  </r>
  <r>
    <d v="2024-09-12T00:00:00"/>
    <d v="1899-12-30T07:37:00"/>
    <s v="Downy lavender"/>
    <n v="2"/>
    <n v="40"/>
    <n v="34.666666666666664"/>
    <n v="5.3333333333333357"/>
    <s v="Mpesa"/>
    <x v="2"/>
    <m/>
    <m/>
    <m/>
  </r>
  <r>
    <d v="2024-09-12T00:00:00"/>
    <d v="1899-12-30T07:37:00"/>
    <s v="BB Bread 400g"/>
    <n v="1"/>
    <n v="65"/>
    <n v="60"/>
    <n v="5"/>
    <s v="Mpesa"/>
    <x v="2"/>
    <m/>
    <m/>
    <m/>
  </r>
  <r>
    <d v="2024-09-12T00:00:00"/>
    <d v="1899-12-30T07:37:00"/>
    <s v="Mt kenya milk 500ml"/>
    <n v="1"/>
    <n v="65"/>
    <n v="48.333333333333336"/>
    <n v="16.666666666666664"/>
    <s v="Mpesa"/>
    <x v="2"/>
    <m/>
    <m/>
    <m/>
  </r>
  <r>
    <d v="2024-09-12T00:00:00"/>
    <d v="1899-12-30T07:38:00"/>
    <s v="Kinangop Fresh Milk 500ml"/>
    <n v="1"/>
    <n v="60"/>
    <n v="55"/>
    <n v="5"/>
    <s v="Cash"/>
    <x v="2"/>
    <m/>
    <m/>
    <m/>
  </r>
  <r>
    <d v="2024-09-12T00:00:00"/>
    <d v="1899-12-30T07:43:00"/>
    <s v="Ngumu"/>
    <n v="1"/>
    <n v="10"/>
    <n v="8.3333333333333339"/>
    <n v="1.6666666666666661"/>
    <s v="Cash"/>
    <x v="2"/>
    <m/>
    <m/>
    <m/>
  </r>
  <r>
    <d v="2024-09-12T00:00:00"/>
    <d v="1899-12-30T07:43:00"/>
    <s v="Kdf"/>
    <n v="1"/>
    <n v="10"/>
    <n v="8.3333333333333339"/>
    <n v="1.6666666666666661"/>
    <s v="Cash"/>
    <x v="2"/>
    <m/>
    <m/>
    <m/>
  </r>
  <r>
    <d v="2024-09-12T00:00:00"/>
    <d v="1899-12-30T07:44:00"/>
    <s v="BB Bread 400g"/>
    <n v="1"/>
    <n v="65"/>
    <n v="60"/>
    <n v="5"/>
    <s v="Credit"/>
    <x v="8"/>
    <m/>
    <m/>
    <m/>
  </r>
  <r>
    <d v="2024-09-12T00:00:00"/>
    <d v="1899-12-30T09:01:00"/>
    <s v="Sportsman"/>
    <n v="1"/>
    <n v="20"/>
    <n v="13"/>
    <n v="7"/>
    <s v="Mpesa"/>
    <x v="2"/>
    <m/>
    <m/>
    <m/>
  </r>
  <r>
    <d v="2024-09-12T00:00:00"/>
    <d v="1899-12-30T09:02:00"/>
    <s v="Kinangop Fresh Milk 500ml"/>
    <n v="1"/>
    <n v="60"/>
    <n v="55"/>
    <n v="5"/>
    <s v="Credit"/>
    <x v="6"/>
    <m/>
    <m/>
    <m/>
  </r>
  <r>
    <d v="2024-09-12T00:00:00"/>
    <d v="1899-12-30T09:02:00"/>
    <s v="BB Bread 400g"/>
    <n v="1"/>
    <n v="65"/>
    <n v="60"/>
    <n v="5"/>
    <s v="Credit"/>
    <x v="6"/>
    <m/>
    <m/>
    <m/>
  </r>
  <r>
    <d v="2024-09-12T00:00:00"/>
    <d v="1899-12-30T09:02:00"/>
    <s v="Airtel 20 Credit"/>
    <n v="1"/>
    <n v="20"/>
    <n v="18"/>
    <n v="2"/>
    <s v="Mpesa"/>
    <x v="2"/>
    <m/>
    <m/>
    <m/>
  </r>
  <r>
    <d v="2024-09-12T00:00:00"/>
    <d v="1899-12-30T09:27:00"/>
    <s v="omo 75g"/>
    <n v="2"/>
    <n v="70"/>
    <n v="55"/>
    <n v="15"/>
    <s v="Mpesa"/>
    <x v="2"/>
    <m/>
    <m/>
    <m/>
  </r>
  <r>
    <d v="2024-09-12T00:00:00"/>
    <d v="1899-12-30T09:27:00"/>
    <s v="Bigdaddy"/>
    <n v="1"/>
    <n v="10"/>
    <n v="6"/>
    <n v="4"/>
    <s v="Mpesa"/>
    <x v="2"/>
    <m/>
    <m/>
    <m/>
  </r>
  <r>
    <d v="2024-09-12T00:00:00"/>
    <d v="1899-12-30T10:10:00"/>
    <m/>
    <m/>
    <m/>
    <m/>
    <m/>
    <m/>
    <x v="2"/>
    <s v="Irene"/>
    <n v="80"/>
    <s v="Mpesa"/>
  </r>
  <r>
    <d v="2024-09-12T00:00:00"/>
    <d v="1899-12-30T11:18:00"/>
    <s v=" soda 1.25lts"/>
    <n v="1"/>
    <n v="130"/>
    <n v="112.5"/>
    <n v="17.5"/>
    <s v="Mpesa"/>
    <x v="2"/>
    <m/>
    <m/>
    <m/>
  </r>
  <r>
    <d v="2024-09-12T00:00:00"/>
    <d v="1899-12-30T11:38:00"/>
    <s v="Airtel 50 Credit"/>
    <n v="3"/>
    <n v="150"/>
    <n v="141"/>
    <n v="9"/>
    <s v="Cash"/>
    <x v="2"/>
    <m/>
    <m/>
    <m/>
  </r>
  <r>
    <d v="2024-09-12T00:00:00"/>
    <d v="1899-12-30T11:38:00"/>
    <s v="soda 350ml plastic"/>
    <n v="1"/>
    <n v="50"/>
    <n v="41.666666666666664"/>
    <n v="8.3333333333333357"/>
    <s v="Cash"/>
    <x v="2"/>
    <m/>
    <m/>
    <m/>
  </r>
  <r>
    <d v="2024-09-12T00:00:00"/>
    <d v="1899-12-30T11:45:00"/>
    <s v="Sportsman"/>
    <n v="1"/>
    <n v="20"/>
    <n v="13"/>
    <n v="7"/>
    <s v="Cash"/>
    <x v="2"/>
    <m/>
    <m/>
    <m/>
  </r>
  <r>
    <d v="2024-09-12T00:00:00"/>
    <d v="1899-12-30T12:47:00"/>
    <s v="eggs"/>
    <n v="8"/>
    <n v="160"/>
    <n v="114.66666666666667"/>
    <n v="45.333333333333329"/>
    <s v="Credit"/>
    <x v="12"/>
    <s v="Pauline"/>
    <n v="120"/>
    <s v="Mpesa"/>
  </r>
  <r>
    <d v="2024-09-12T00:00:00"/>
    <d v="1899-12-30T12:49:00"/>
    <s v="Masking Tape"/>
    <n v="1"/>
    <n v="30"/>
    <n v="20.833333333333332"/>
    <n v="9.1666666666666679"/>
    <s v="Mpesa"/>
    <x v="2"/>
    <m/>
    <m/>
    <m/>
  </r>
  <r>
    <d v="2024-09-12T00:00:00"/>
    <d v="1899-12-30T13:56:00"/>
    <s v="Bella Tissue"/>
    <n v="1"/>
    <n v="50"/>
    <n v="35"/>
    <n v="15"/>
    <s v="Cash"/>
    <x v="2"/>
    <m/>
    <m/>
    <m/>
  </r>
  <r>
    <d v="2024-09-12T00:00:00"/>
    <d v="1899-12-30T13:56:00"/>
    <s v="Sunny girl pad"/>
    <n v="1"/>
    <n v="70"/>
    <n v="56.666666666666664"/>
    <n v="13.333333333333336"/>
    <s v="Credit"/>
    <x v="3"/>
    <m/>
    <m/>
    <m/>
  </r>
  <r>
    <d v="2024-09-12T00:00:00"/>
    <d v="1899-12-30T14:00:00"/>
    <s v="Cutex"/>
    <n v="1"/>
    <n v="60"/>
    <n v="45"/>
    <n v="15"/>
    <s v="Cash"/>
    <x v="2"/>
    <m/>
    <m/>
    <m/>
  </r>
  <r>
    <d v="2024-09-12T00:00:00"/>
    <d v="1899-12-30T14:01:00"/>
    <s v="300ml water"/>
    <n v="1"/>
    <n v="30"/>
    <n v="12.5"/>
    <n v="17.5"/>
    <s v="Credit"/>
    <x v="1"/>
    <m/>
    <m/>
    <m/>
  </r>
  <r>
    <d v="2024-09-12T00:00:00"/>
    <d v="1899-12-30T16:37:00"/>
    <s v="Icepop"/>
    <n v="1"/>
    <n v="15"/>
    <n v="7.5"/>
    <n v="7.5"/>
    <s v="Cash"/>
    <x v="2"/>
    <m/>
    <m/>
    <m/>
  </r>
  <r>
    <d v="2024-09-12T00:00:00"/>
    <d v="1899-12-30T16:37:00"/>
    <s v="Nuvita Bisquit"/>
    <n v="2"/>
    <n v="10"/>
    <n v="8.3333333333333339"/>
    <n v="1.6666666666666661"/>
    <s v="Cash"/>
    <x v="2"/>
    <m/>
    <m/>
    <m/>
  </r>
  <r>
    <d v="2024-09-12T00:00:00"/>
    <d v="1899-12-30T16:37:00"/>
    <s v="minutemaid 400ml"/>
    <n v="1"/>
    <n v="85"/>
    <n v="62.5"/>
    <n v="22.5"/>
    <s v="Cash"/>
    <x v="2"/>
    <m/>
    <m/>
    <m/>
  </r>
  <r>
    <d v="2024-09-12T00:00:00"/>
    <d v="1899-12-30T16:37:00"/>
    <s v="soda 500ml glass"/>
    <n v="1"/>
    <n v="55"/>
    <n v="50"/>
    <n v="5"/>
    <s v="Cash"/>
    <x v="2"/>
    <m/>
    <m/>
    <m/>
  </r>
  <r>
    <d v="2024-09-12T00:00:00"/>
    <d v="1899-12-30T16:37:00"/>
    <s v="Airtel 50 Credit"/>
    <n v="1"/>
    <n v="50"/>
    <n v="47"/>
    <n v="3"/>
    <s v="Cash"/>
    <x v="2"/>
    <m/>
    <m/>
    <m/>
  </r>
  <r>
    <d v="2024-09-12T00:00:00"/>
    <d v="1899-12-30T16:56:00"/>
    <s v="afia 500ml"/>
    <n v="1"/>
    <n v="85"/>
    <n v="70.833333333333329"/>
    <n v="14.166666666666671"/>
    <s v="Credit"/>
    <x v="19"/>
    <m/>
    <m/>
    <m/>
  </r>
  <r>
    <d v="2024-09-12T00:00:00"/>
    <d v="1899-12-30T16:56:00"/>
    <s v="Ginger Bisquit"/>
    <n v="4"/>
    <n v="20"/>
    <n v="17.333333333333332"/>
    <n v="2.6666666666666679"/>
    <s v="Credit"/>
    <x v="19"/>
    <m/>
    <m/>
    <m/>
  </r>
  <r>
    <d v="2024-09-12T00:00:00"/>
    <d v="1899-12-30T17:50:00"/>
    <s v="eggs"/>
    <n v="2"/>
    <n v="40"/>
    <n v="28.666666666666668"/>
    <n v="11.333333333333332"/>
    <s v="Credit"/>
    <x v="3"/>
    <m/>
    <m/>
    <m/>
  </r>
  <r>
    <d v="2024-09-12T00:00:00"/>
    <d v="1899-12-30T17:50:00"/>
    <s v="Nescafe 1.5g"/>
    <n v="1"/>
    <n v="15"/>
    <n v="9.1666666666666661"/>
    <n v="5.8333333333333339"/>
    <s v="Credit"/>
    <x v="3"/>
    <m/>
    <m/>
    <m/>
  </r>
  <r>
    <d v="2024-09-12T00:00:00"/>
    <d v="1899-12-30T17:54:00"/>
    <s v="predator"/>
    <n v="1"/>
    <n v="70"/>
    <n v="54.166666666666664"/>
    <n v="15.833333333333336"/>
    <s v="Cash"/>
    <x v="2"/>
    <m/>
    <m/>
    <m/>
  </r>
  <r>
    <d v="2024-09-12T00:00:00"/>
    <d v="1899-12-30T18:22:00"/>
    <s v="Yellow Beans"/>
    <n v="1"/>
    <n v="180"/>
    <n v="125"/>
    <n v="55"/>
    <s v="Credit"/>
    <x v="8"/>
    <m/>
    <m/>
    <m/>
  </r>
  <r>
    <d v="2024-09-12T00:00:00"/>
    <d v="1899-12-30T18:31:00"/>
    <s v="Kdf"/>
    <n v="2"/>
    <n v="20"/>
    <n v="16.666666666666668"/>
    <n v="3.3333333333333321"/>
    <s v="Mpesa"/>
    <x v="2"/>
    <m/>
    <m/>
    <m/>
  </r>
  <r>
    <d v="2024-09-12T00:00:00"/>
    <d v="1899-12-30T18:31:00"/>
    <s v="Banana"/>
    <n v="1"/>
    <n v="10"/>
    <n v="8.3333333333333339"/>
    <n v="1.6666666666666661"/>
    <s v="Cash"/>
    <x v="2"/>
    <m/>
    <m/>
    <m/>
  </r>
  <r>
    <d v="2024-09-12T00:00:00"/>
    <d v="1899-12-30T18:37:00"/>
    <s v="Indomie chicken"/>
    <n v="1"/>
    <n v="50"/>
    <n v="37.5"/>
    <n v="12.5"/>
    <s v="Mpesa"/>
    <x v="2"/>
    <m/>
    <m/>
    <m/>
  </r>
  <r>
    <d v="2024-09-12T00:00:00"/>
    <d v="1899-12-30T18:37:00"/>
    <s v="Bitez"/>
    <n v="3"/>
    <n v="45"/>
    <n v="26.400000000000002"/>
    <n v="18.599999999999998"/>
    <s v="Mpesa"/>
    <x v="2"/>
    <m/>
    <m/>
    <m/>
  </r>
  <r>
    <d v="2024-09-12T00:00:00"/>
    <d v="1899-12-30T18:37:00"/>
    <s v="Bigboss"/>
    <n v="1"/>
    <n v="5"/>
    <n v="3.5"/>
    <n v="1.5"/>
    <s v="Mpesa"/>
    <x v="2"/>
    <m/>
    <m/>
    <m/>
  </r>
  <r>
    <d v="2024-09-12T00:00:00"/>
    <d v="1899-12-30T18:46:00"/>
    <s v="eggs"/>
    <n v="2"/>
    <n v="40"/>
    <n v="28.666666666666668"/>
    <n v="11.333333333333332"/>
    <s v="Mpesa"/>
    <x v="2"/>
    <m/>
    <m/>
    <m/>
  </r>
  <r>
    <d v="2024-09-12T00:00:00"/>
    <d v="1899-12-30T18:47:00"/>
    <s v="Cooking Oil Measured"/>
    <n v="0.25"/>
    <n v="70"/>
    <n v="50"/>
    <n v="20"/>
    <s v="Mpesa"/>
    <x v="2"/>
    <m/>
    <m/>
    <m/>
  </r>
  <r>
    <d v="2024-09-12T00:00:00"/>
    <d v="1899-12-30T18:47:00"/>
    <s v="Royco Chicken mchuzi mix"/>
    <n v="1"/>
    <n v="10"/>
    <n v="9"/>
    <n v="1"/>
    <s v="Mpesa"/>
    <x v="2"/>
    <m/>
    <m/>
    <m/>
  </r>
  <r>
    <d v="2024-09-12T00:00:00"/>
    <d v="1899-12-30T19:01:00"/>
    <s v="Cooking Oil Measured"/>
    <n v="0.25"/>
    <n v="70"/>
    <n v="50"/>
    <n v="20"/>
    <s v="Mpesa"/>
    <x v="2"/>
    <m/>
    <m/>
    <m/>
  </r>
  <r>
    <d v="2024-09-12T00:00:00"/>
    <d v="1899-12-30T19:01:00"/>
    <s v="Safari"/>
    <n v="1"/>
    <n v="15"/>
    <n v="8.5"/>
    <n v="6.5"/>
    <s v="Mpesa"/>
    <x v="2"/>
    <m/>
    <m/>
    <m/>
  </r>
  <r>
    <d v="2024-09-12T00:00:00"/>
    <d v="1899-12-30T19:01:00"/>
    <s v="Airtel 20 Credit"/>
    <n v="1"/>
    <n v="20"/>
    <n v="18"/>
    <n v="2"/>
    <s v="Mpesa"/>
    <x v="2"/>
    <m/>
    <m/>
    <m/>
  </r>
  <r>
    <d v="2024-09-12T00:00:00"/>
    <d v="1899-12-30T19:51:00"/>
    <s v="Kamande"/>
    <n v="0.5"/>
    <n v="175"/>
    <n v="150"/>
    <n v="25"/>
    <s v="Credit"/>
    <x v="54"/>
    <m/>
    <m/>
    <m/>
  </r>
  <r>
    <d v="2024-09-12T00:00:00"/>
    <d v="1899-12-30T19:51:00"/>
    <s v="Pishori rice"/>
    <n v="1"/>
    <n v="220"/>
    <n v="180"/>
    <n v="40"/>
    <s v="Credit"/>
    <x v="54"/>
    <m/>
    <m/>
    <m/>
  </r>
  <r>
    <d v="2024-09-12T00:00:00"/>
    <d v="1899-12-30T19:51:00"/>
    <s v="Mt kenya milk 500ml"/>
    <n v="1"/>
    <n v="65"/>
    <n v="48.333333333333336"/>
    <n v="16.666666666666664"/>
    <s v="Credit"/>
    <x v="54"/>
    <m/>
    <m/>
    <m/>
  </r>
  <r>
    <d v="2024-09-12T00:00:00"/>
    <d v="1899-12-30T19:51:00"/>
    <s v="Royco cubes"/>
    <n v="10"/>
    <n v="50"/>
    <n v="30"/>
    <n v="20"/>
    <s v="Credit"/>
    <x v="54"/>
    <m/>
    <m/>
    <m/>
  </r>
  <r>
    <d v="2024-09-12T00:00:00"/>
    <d v="1899-12-30T19:51:00"/>
    <s v="Onion"/>
    <n v="5"/>
    <n v="50"/>
    <n v="40"/>
    <n v="10"/>
    <s v="Credit"/>
    <x v="54"/>
    <m/>
    <m/>
    <m/>
  </r>
  <r>
    <d v="2024-09-12T00:00:00"/>
    <d v="1899-12-30T19:51:00"/>
    <s v="Tomatoes"/>
    <n v="5"/>
    <n v="50"/>
    <n v="25"/>
    <n v="25"/>
    <s v="Credit"/>
    <x v="54"/>
    <m/>
    <m/>
    <m/>
  </r>
  <r>
    <d v="2024-09-12T00:00:00"/>
    <d v="1899-12-30T19:52:00"/>
    <s v="kensalt 200g"/>
    <n v="1"/>
    <n v="15"/>
    <n v="5.5"/>
    <n v="9.5"/>
    <s v="Cash"/>
    <x v="2"/>
    <m/>
    <m/>
    <m/>
  </r>
  <r>
    <d v="2024-09-12T00:00:00"/>
    <d v="1899-12-30T20:31:00"/>
    <s v="Pencil"/>
    <n v="1"/>
    <n v="10"/>
    <n v="7.5"/>
    <n v="2.5"/>
    <s v="Mpesa"/>
    <x v="2"/>
    <m/>
    <m/>
    <m/>
  </r>
  <r>
    <d v="2024-09-12T00:00:00"/>
    <d v="1899-12-30T20:31:00"/>
    <s v="Safari"/>
    <n v="2"/>
    <n v="30"/>
    <n v="17"/>
    <n v="13"/>
    <s v="Mpesa"/>
    <x v="2"/>
    <m/>
    <m/>
    <m/>
  </r>
  <r>
    <d v="2024-09-12T00:00:00"/>
    <d v="1899-12-30T20:13:00"/>
    <s v="mosquito stick"/>
    <n v="1"/>
    <n v="10"/>
    <n v="9"/>
    <n v="1"/>
    <s v="Mpesa"/>
    <x v="2"/>
    <m/>
    <m/>
    <m/>
  </r>
  <r>
    <d v="2024-09-12T00:00:00"/>
    <d v="1899-12-30T20:17:00"/>
    <s v="Sharpener"/>
    <n v="1"/>
    <n v="15"/>
    <n v="5"/>
    <n v="10"/>
    <s v="Credit"/>
    <x v="58"/>
    <m/>
    <m/>
    <m/>
  </r>
  <r>
    <d v="2024-09-12T00:00:00"/>
    <d v="1899-12-30T20:30:00"/>
    <m/>
    <m/>
    <m/>
    <m/>
    <m/>
    <m/>
    <x v="2"/>
    <s v="Janet"/>
    <n v="200"/>
    <s v="Cash"/>
  </r>
  <r>
    <d v="2024-09-12T00:00:00"/>
    <d v="1899-12-30T20:42:00"/>
    <s v="Canned cookies"/>
    <n v="1"/>
    <n v="60"/>
    <n v="50"/>
    <n v="10"/>
    <s v="Mpesa"/>
    <x v="2"/>
    <m/>
    <m/>
    <m/>
  </r>
  <r>
    <d v="2024-09-13T00:00:00"/>
    <d v="1899-12-30T07:20:00"/>
    <s v="Safaricom 50 Credit"/>
    <n v="1"/>
    <n v="50"/>
    <n v="47"/>
    <n v="3"/>
    <s v="Cash"/>
    <x v="2"/>
    <m/>
    <m/>
    <m/>
  </r>
  <r>
    <d v="2024-09-13T00:00:00"/>
    <d v="1899-12-30T07:20:00"/>
    <s v="Airtel 50 Credit"/>
    <n v="1"/>
    <n v="50"/>
    <n v="47"/>
    <n v="3"/>
    <s v="Cash"/>
    <x v="2"/>
    <m/>
    <m/>
    <m/>
  </r>
  <r>
    <d v="2024-09-13T00:00:00"/>
    <d v="1899-12-30T07:45:00"/>
    <s v="Mt kenya milk 500ml"/>
    <n v="1"/>
    <n v="65"/>
    <n v="48.333333333333336"/>
    <n v="16.666666666666664"/>
    <s v="Mpesa"/>
    <x v="2"/>
    <m/>
    <m/>
    <m/>
  </r>
  <r>
    <d v="2024-09-13T00:00:00"/>
    <d v="1899-12-30T07:45:00"/>
    <s v="Festive Bread 400g"/>
    <n v="1"/>
    <n v="65"/>
    <n v="60"/>
    <n v="5"/>
    <s v="Mpesa"/>
    <x v="2"/>
    <m/>
    <m/>
    <m/>
  </r>
  <r>
    <d v="2024-09-13T00:00:00"/>
    <d v="1899-12-30T07:47:00"/>
    <s v="Safari"/>
    <n v="1"/>
    <n v="15"/>
    <n v="8.5"/>
    <n v="6.5"/>
    <s v="Mpesa"/>
    <x v="2"/>
    <m/>
    <m/>
    <m/>
  </r>
  <r>
    <d v="2024-09-13T00:00:00"/>
    <d v="1899-12-30T08:50:00"/>
    <s v="Festive Bread 400g"/>
    <n v="1"/>
    <n v="65"/>
    <n v="60"/>
    <n v="5"/>
    <s v="Mpesa"/>
    <x v="2"/>
    <m/>
    <m/>
    <m/>
  </r>
  <r>
    <d v="2024-09-13T00:00:00"/>
    <d v="1899-12-30T10:01:00"/>
    <s v="Banana"/>
    <n v="1"/>
    <n v="10"/>
    <n v="8.3333333333333339"/>
    <n v="1.6666666666666661"/>
    <s v="Mpesa"/>
    <x v="2"/>
    <m/>
    <m/>
    <m/>
  </r>
  <r>
    <d v="2024-09-13T00:00:00"/>
    <d v="1899-12-30T10:01:00"/>
    <s v="Safari"/>
    <n v="1"/>
    <n v="15"/>
    <n v="8.5"/>
    <n v="6.5"/>
    <s v="Mpesa"/>
    <x v="2"/>
    <m/>
    <m/>
    <m/>
  </r>
  <r>
    <d v="2024-09-13T00:00:00"/>
    <d v="1899-12-30T10:33:00"/>
    <s v="Banana"/>
    <n v="3"/>
    <n v="30"/>
    <n v="25"/>
    <n v="5"/>
    <s v="Mpesa"/>
    <x v="2"/>
    <m/>
    <m/>
    <m/>
  </r>
  <r>
    <d v="2024-09-13T00:00:00"/>
    <d v="1899-12-30T10:33:00"/>
    <s v="Safari"/>
    <n v="1"/>
    <n v="15"/>
    <n v="8.5"/>
    <n v="6.5"/>
    <s v="Cash"/>
    <x v="2"/>
    <m/>
    <m/>
    <m/>
  </r>
  <r>
    <d v="2024-09-13T00:00:00"/>
    <d v="1899-12-30T10:33:00"/>
    <s v="Ngumu"/>
    <n v="1"/>
    <n v="10"/>
    <n v="8.3333333333333339"/>
    <n v="1.6666666666666661"/>
    <s v="Cash"/>
    <x v="2"/>
    <m/>
    <m/>
    <m/>
  </r>
  <r>
    <d v="2024-09-13T00:00:00"/>
    <d v="1899-12-30T10:38:00"/>
    <s v=" soda 1.25lts"/>
    <n v="1"/>
    <n v="130"/>
    <n v="112.5"/>
    <n v="17.5"/>
    <s v="Mpesa"/>
    <x v="2"/>
    <m/>
    <m/>
    <m/>
  </r>
  <r>
    <d v="2024-09-13T00:00:00"/>
    <d v="1899-12-30T10:38:00"/>
    <s v="Kdf"/>
    <n v="2"/>
    <n v="20"/>
    <n v="16.666666666666668"/>
    <n v="3.3333333333333321"/>
    <s v="Mpesa"/>
    <x v="2"/>
    <m/>
    <m/>
    <m/>
  </r>
  <r>
    <d v="2024-09-13T00:00:00"/>
    <d v="1899-12-30T10:40:00"/>
    <s v="BB Bread 400g"/>
    <n v="1"/>
    <n v="65"/>
    <n v="60"/>
    <n v="5"/>
    <s v="Cash"/>
    <x v="2"/>
    <m/>
    <m/>
    <m/>
  </r>
  <r>
    <d v="2024-09-13T00:00:00"/>
    <d v="1899-12-30T10:40:00"/>
    <s v="Bigboss"/>
    <n v="4"/>
    <n v="20"/>
    <n v="14"/>
    <n v="6"/>
    <s v="Cash"/>
    <x v="2"/>
    <m/>
    <m/>
    <m/>
  </r>
  <r>
    <d v="2024-09-13T00:00:00"/>
    <d v="1899-12-30T10:40:00"/>
    <s v="Banana"/>
    <n v="2"/>
    <n v="20"/>
    <n v="16.666666666666668"/>
    <n v="3.3333333333333321"/>
    <s v="Cash"/>
    <x v="2"/>
    <m/>
    <m/>
    <m/>
  </r>
  <r>
    <d v="2024-09-13T00:00:00"/>
    <d v="1899-12-30T10:40:00"/>
    <s v="Safari"/>
    <n v="1"/>
    <n v="15"/>
    <n v="8.5"/>
    <n v="6.5"/>
    <s v="Cash"/>
    <x v="2"/>
    <m/>
    <m/>
    <m/>
  </r>
  <r>
    <d v="2024-09-13T00:00:00"/>
    <d v="1899-12-30T10:40:00"/>
    <s v="Bigboss"/>
    <n v="1"/>
    <n v="5"/>
    <n v="3.5"/>
    <n v="1.5"/>
    <s v="Cash"/>
    <x v="2"/>
    <m/>
    <m/>
    <m/>
  </r>
  <r>
    <d v="2024-09-13T00:00:00"/>
    <d v="1899-12-30T10:40:00"/>
    <s v="Safari"/>
    <n v="1"/>
    <n v="15"/>
    <n v="8.5"/>
    <n v="6.5"/>
    <s v="Cash"/>
    <x v="2"/>
    <m/>
    <m/>
    <m/>
  </r>
  <r>
    <d v="2024-09-13T00:00:00"/>
    <d v="1899-12-30T10:40:00"/>
    <s v="Indomie chicken"/>
    <n v="1"/>
    <n v="50"/>
    <n v="37.5"/>
    <n v="12.5"/>
    <s v="Cash"/>
    <x v="2"/>
    <m/>
    <m/>
    <m/>
  </r>
  <r>
    <d v="2024-09-13T00:00:00"/>
    <d v="1899-12-30T13:02:00"/>
    <s v="Royco cubes"/>
    <n v="1"/>
    <n v="5"/>
    <n v="3"/>
    <n v="2"/>
    <s v="Cash"/>
    <x v="2"/>
    <m/>
    <m/>
    <m/>
  </r>
  <r>
    <d v="2024-09-13T00:00:00"/>
    <d v="1899-12-30T13:02:00"/>
    <s v="Pembe 2kg"/>
    <n v="1"/>
    <n v="160"/>
    <n v="123.33333333333333"/>
    <n v="36.666666666666671"/>
    <s v="Cash"/>
    <x v="2"/>
    <m/>
    <m/>
    <m/>
  </r>
  <r>
    <d v="2024-09-13T00:00:00"/>
    <d v="1899-12-30T13:02:00"/>
    <s v="Tropical"/>
    <n v="2"/>
    <n v="10"/>
    <n v="3"/>
    <n v="7"/>
    <s v="Cash"/>
    <x v="2"/>
    <m/>
    <m/>
    <m/>
  </r>
  <r>
    <d v="2024-09-13T00:00:00"/>
    <d v="1899-12-30T13:02:00"/>
    <s v="Maramoja"/>
    <n v="2"/>
    <n v="20"/>
    <n v="14"/>
    <n v="6"/>
    <s v="Cash"/>
    <x v="2"/>
    <m/>
    <m/>
    <m/>
  </r>
  <r>
    <d v="2024-09-13T00:00:00"/>
    <d v="1899-12-30T13:21:00"/>
    <s v="omo 20g"/>
    <n v="1"/>
    <n v="15"/>
    <n v="9.1666666666666661"/>
    <n v="5.8333333333333339"/>
    <s v="Cash"/>
    <x v="2"/>
    <m/>
    <m/>
    <m/>
  </r>
  <r>
    <d v="2024-09-13T00:00:00"/>
    <d v="1899-12-30T13:21:00"/>
    <s v="Mt Kenya milk 200ml"/>
    <n v="1"/>
    <n v="35"/>
    <n v="24.285714285714285"/>
    <n v="10.714285714285715"/>
    <s v="Cash"/>
    <x v="2"/>
    <m/>
    <m/>
    <m/>
  </r>
  <r>
    <d v="2024-09-13T00:00:00"/>
    <d v="1899-12-30T13:21:00"/>
    <s v="Airtel 50 Credit"/>
    <n v="1"/>
    <n v="50"/>
    <n v="47"/>
    <n v="3"/>
    <s v="Cash"/>
    <x v="2"/>
    <m/>
    <m/>
    <m/>
  </r>
  <r>
    <d v="2024-09-13T00:00:00"/>
    <d v="1899-12-30T13:22:00"/>
    <s v="predator"/>
    <n v="1"/>
    <n v="70"/>
    <n v="54.166666666666664"/>
    <n v="15.833333333333336"/>
    <s v="Credit"/>
    <x v="19"/>
    <m/>
    <m/>
    <m/>
  </r>
  <r>
    <d v="2024-09-13T00:00:00"/>
    <d v="1899-12-30T14:22:00"/>
    <s v="Bella Tissue"/>
    <n v="2"/>
    <n v="100"/>
    <n v="70"/>
    <n v="30"/>
    <s v="Mpesa"/>
    <x v="2"/>
    <m/>
    <m/>
    <m/>
  </r>
  <r>
    <d v="2024-09-13T00:00:00"/>
    <d v="1899-12-30T14:22:00"/>
    <s v="soda 300ml glass"/>
    <n v="1"/>
    <n v="40"/>
    <n v="32.5"/>
    <n v="7.5"/>
    <s v="Cash"/>
    <x v="2"/>
    <m/>
    <m/>
    <m/>
  </r>
  <r>
    <d v="2024-09-13T00:00:00"/>
    <d v="1899-12-30T14:22:00"/>
    <s v="Ngumu"/>
    <n v="3"/>
    <n v="30"/>
    <n v="25"/>
    <n v="5"/>
    <s v="Cash"/>
    <x v="2"/>
    <m/>
    <m/>
    <m/>
  </r>
  <r>
    <d v="2024-09-13T00:00:00"/>
    <d v="1899-12-30T15:11:00"/>
    <s v="Safari"/>
    <n v="1"/>
    <n v="15"/>
    <n v="8.5"/>
    <n v="6.5"/>
    <s v="Mpesa"/>
    <x v="2"/>
    <m/>
    <m/>
    <m/>
  </r>
  <r>
    <d v="2024-09-13T00:00:00"/>
    <d v="1899-12-30T15:41:00"/>
    <s v="Festive 800g"/>
    <n v="1"/>
    <n v="130"/>
    <n v="120"/>
    <n v="10"/>
    <s v="Cash"/>
    <x v="2"/>
    <m/>
    <m/>
    <m/>
  </r>
  <r>
    <d v="2024-09-13T00:00:00"/>
    <d v="1899-12-30T15:41:00"/>
    <s v="Sunny girl pad"/>
    <n v="1"/>
    <n v="70"/>
    <n v="56.666666666666664"/>
    <n v="13.333333333333336"/>
    <s v="Mpesa"/>
    <x v="2"/>
    <m/>
    <m/>
    <m/>
  </r>
  <r>
    <d v="2024-09-13T00:00:00"/>
    <d v="1899-12-30T15:43:00"/>
    <s v="Goodday Cookies"/>
    <n v="3"/>
    <n v="45"/>
    <n v="28"/>
    <n v="17"/>
    <s v="Cash"/>
    <x v="2"/>
    <m/>
    <m/>
    <m/>
  </r>
  <r>
    <d v="2024-09-13T00:00:00"/>
    <d v="1899-12-30T15:43:00"/>
    <s v="Nuvita Bisquit"/>
    <n v="1"/>
    <n v="5"/>
    <n v="4.166666666666667"/>
    <n v="0.83333333333333304"/>
    <s v="Cash"/>
    <x v="2"/>
    <m/>
    <m/>
    <m/>
  </r>
  <r>
    <d v="2024-09-13T00:00:00"/>
    <d v="1899-12-30T15:54:00"/>
    <s v="Airtel 10 Credit"/>
    <n v="1"/>
    <n v="10"/>
    <n v="9"/>
    <n v="1"/>
    <s v="Cash"/>
    <x v="2"/>
    <m/>
    <m/>
    <m/>
  </r>
  <r>
    <d v="2024-09-13T00:00:00"/>
    <d v="1899-12-30T16:29:00"/>
    <s v="Festive Bread 400g"/>
    <n v="1"/>
    <n v="65"/>
    <n v="60"/>
    <n v="5"/>
    <s v="Mpesa"/>
    <x v="2"/>
    <m/>
    <m/>
    <m/>
  </r>
  <r>
    <d v="2024-09-13T00:00:00"/>
    <d v="1899-12-30T16:29:00"/>
    <s v="Pishori rice"/>
    <n v="1"/>
    <n v="220"/>
    <n v="180"/>
    <n v="40"/>
    <s v="Mpesa"/>
    <x v="2"/>
    <m/>
    <m/>
    <m/>
  </r>
  <r>
    <d v="2024-09-13T00:00:00"/>
    <d v="1899-12-30T16:29:00"/>
    <s v="eggs"/>
    <n v="2"/>
    <n v="40"/>
    <n v="28.666666666666668"/>
    <n v="11.333333333333332"/>
    <s v="Mpesa"/>
    <x v="2"/>
    <m/>
    <m/>
    <m/>
  </r>
  <r>
    <d v="2024-09-13T00:00:00"/>
    <d v="1899-12-30T16:29:00"/>
    <s v="Kdf"/>
    <n v="2"/>
    <n v="20"/>
    <n v="16.666666666666668"/>
    <n v="3.3333333333333321"/>
    <s v="Mpesa"/>
    <x v="2"/>
    <m/>
    <m/>
    <m/>
  </r>
  <r>
    <d v="2024-09-13T00:00:00"/>
    <d v="1899-12-30T16:29:00"/>
    <s v="Festive 600g"/>
    <n v="1"/>
    <n v="100"/>
    <n v="90"/>
    <n v="10"/>
    <s v="Mpesa"/>
    <x v="2"/>
    <m/>
    <m/>
    <m/>
  </r>
  <r>
    <d v="2024-09-13T00:00:00"/>
    <d v="1899-12-30T16:30:00"/>
    <s v="eggs"/>
    <n v="2"/>
    <n v="40"/>
    <n v="28.666666666666668"/>
    <n v="11.333333333333332"/>
    <s v="Credit"/>
    <x v="19"/>
    <m/>
    <m/>
    <m/>
  </r>
  <r>
    <d v="2024-09-13T00:00:00"/>
    <d v="1899-12-30T16:30:00"/>
    <s v="Tomatoes"/>
    <n v="1"/>
    <n v="10"/>
    <n v="5"/>
    <n v="5"/>
    <s v="Credit"/>
    <x v="2"/>
    <m/>
    <m/>
    <m/>
  </r>
  <r>
    <d v="2024-09-13T00:00:00"/>
    <d v="1899-12-30T16:31:00"/>
    <s v="Indomie chicken"/>
    <n v="1"/>
    <n v="50"/>
    <n v="37.5"/>
    <n v="12.5"/>
    <s v="Cash"/>
    <x v="2"/>
    <m/>
    <m/>
    <m/>
  </r>
  <r>
    <d v="2024-09-13T00:00:00"/>
    <d v="1899-12-30T16:31:00"/>
    <s v="Icepop"/>
    <n v="1"/>
    <n v="15"/>
    <n v="7.5"/>
    <n v="7.5"/>
    <s v="Cash"/>
    <x v="2"/>
    <m/>
    <m/>
    <m/>
  </r>
  <r>
    <d v="2024-09-13T00:00:00"/>
    <d v="1899-12-30T16:31:00"/>
    <s v="action"/>
    <n v="3"/>
    <n v="30"/>
    <n v="18"/>
    <n v="12"/>
    <s v="Mpesa"/>
    <x v="2"/>
    <s v="Fredy"/>
    <n v="35"/>
    <s v="Mpesa"/>
  </r>
  <r>
    <d v="2024-09-13T00:00:00"/>
    <d v="1899-12-30T16:25:00"/>
    <m/>
    <m/>
    <m/>
    <m/>
    <m/>
    <m/>
    <x v="2"/>
    <s v="Lucy "/>
    <n v="1200"/>
    <s v="Mpesa"/>
  </r>
  <r>
    <d v="2024-09-13T00:00:00"/>
    <d v="1899-12-30T09:14:00"/>
    <m/>
    <m/>
    <m/>
    <m/>
    <m/>
    <m/>
    <x v="2"/>
    <s v="Lydia"/>
    <n v="2000"/>
    <s v="Mpesa"/>
  </r>
  <r>
    <d v="2024-09-13T00:00:00"/>
    <d v="1899-12-30T17:03:00"/>
    <s v="5ltrs water"/>
    <n v="1"/>
    <n v="120"/>
    <n v="75"/>
    <n v="45"/>
    <s v="Mpesa"/>
    <x v="2"/>
    <m/>
    <m/>
    <m/>
  </r>
  <r>
    <d v="2024-09-13T00:00:00"/>
    <d v="1899-12-30T17:38:00"/>
    <s v="Airtel 20 Credit"/>
    <n v="1"/>
    <n v="20"/>
    <n v="18"/>
    <n v="2"/>
    <s v="Mpesa"/>
    <x v="2"/>
    <m/>
    <m/>
    <m/>
  </r>
  <r>
    <d v="2024-09-13T00:00:00"/>
    <d v="1899-12-30T17:38:00"/>
    <s v="Safari"/>
    <n v="1"/>
    <n v="15"/>
    <n v="8.5"/>
    <n v="6.5"/>
    <s v="Mpesa"/>
    <x v="2"/>
    <m/>
    <m/>
    <m/>
  </r>
  <r>
    <d v="2024-09-13T00:00:00"/>
    <d v="1899-12-30T17:38:00"/>
    <s v="Arimis small"/>
    <n v="1"/>
    <n v="35"/>
    <n v="23.333333333333332"/>
    <n v="11.666666666666668"/>
    <s v="Mpesa"/>
    <x v="2"/>
    <m/>
    <m/>
    <m/>
  </r>
  <r>
    <d v="2024-09-13T00:00:00"/>
    <d v="1899-12-30T17:36:00"/>
    <s v="Tropical heat crisps 50g"/>
    <n v="1"/>
    <n v="70"/>
    <n v="50"/>
    <n v="20"/>
    <s v="Cash"/>
    <x v="2"/>
    <m/>
    <m/>
    <m/>
  </r>
  <r>
    <d v="2024-09-13T00:00:00"/>
    <d v="1899-12-30T17:36:00"/>
    <s v="soda 350ml plastic"/>
    <n v="1"/>
    <n v="50"/>
    <n v="41.666666666666664"/>
    <n v="8.3333333333333357"/>
    <s v="Cash"/>
    <x v="2"/>
    <m/>
    <m/>
    <m/>
  </r>
  <r>
    <d v="2024-09-13T00:00:00"/>
    <d v="1899-12-30T17:47:00"/>
    <s v="Icepop"/>
    <n v="1"/>
    <n v="15"/>
    <n v="7.5"/>
    <n v="7.5"/>
    <s v="Mpesa"/>
    <x v="2"/>
    <m/>
    <m/>
    <m/>
  </r>
  <r>
    <d v="2024-09-13T00:00:00"/>
    <d v="1899-12-30T18:02:00"/>
    <s v="Mt kenya milk 500ml"/>
    <n v="2"/>
    <n v="130"/>
    <n v="96.666666666666671"/>
    <n v="33.333333333333329"/>
    <s v="Cash"/>
    <x v="2"/>
    <m/>
    <m/>
    <m/>
  </r>
  <r>
    <d v="2024-09-13T00:00:00"/>
    <d v="1899-12-30T18:04:00"/>
    <s v="Ngumu"/>
    <n v="2"/>
    <n v="20"/>
    <n v="16.666666666666668"/>
    <n v="3.3333333333333321"/>
    <s v="Cash"/>
    <x v="2"/>
    <m/>
    <m/>
    <m/>
  </r>
  <r>
    <d v="2024-09-13T00:00:00"/>
    <d v="1899-12-30T18:04:00"/>
    <s v="Brookside milk 500ml"/>
    <n v="3"/>
    <n v="210"/>
    <n v="177"/>
    <n v="33"/>
    <s v="Cash"/>
    <x v="2"/>
    <m/>
    <m/>
    <m/>
  </r>
  <r>
    <d v="2024-09-13T00:00:00"/>
    <d v="1899-12-30T18:04:00"/>
    <s v="Tropical"/>
    <n v="6"/>
    <n v="30"/>
    <n v="9"/>
    <n v="21"/>
    <s v="Cash"/>
    <x v="2"/>
    <m/>
    <m/>
    <m/>
  </r>
  <r>
    <d v="2024-09-13T00:00:00"/>
    <d v="1899-12-30T18:04:00"/>
    <s v="Lollipop"/>
    <n v="1"/>
    <n v="5"/>
    <n v="2.4"/>
    <n v="2.6"/>
    <s v="Cash"/>
    <x v="2"/>
    <m/>
    <m/>
    <m/>
  </r>
  <r>
    <d v="2024-09-13T00:00:00"/>
    <d v="1899-12-30T19:03:00"/>
    <s v="ariel 10g"/>
    <n v="1"/>
    <n v="15"/>
    <n v="9.1666666666666661"/>
    <n v="5.8333333333333339"/>
    <s v="Mpesa"/>
    <x v="2"/>
    <m/>
    <m/>
    <m/>
  </r>
  <r>
    <d v="2024-09-13T00:00:00"/>
    <d v="1899-12-30T19:03:00"/>
    <s v="Tropical"/>
    <n v="1"/>
    <n v="5"/>
    <n v="1.5"/>
    <n v="3.5"/>
    <s v="Mpesa"/>
    <x v="2"/>
    <m/>
    <m/>
    <m/>
  </r>
  <r>
    <d v="2024-09-13T00:00:00"/>
    <d v="1899-12-30T19:04:00"/>
    <s v="Safari"/>
    <n v="2"/>
    <n v="30"/>
    <n v="17"/>
    <n v="13"/>
    <s v="Cash"/>
    <x v="2"/>
    <m/>
    <m/>
    <m/>
  </r>
  <r>
    <d v="2024-09-13T00:00:00"/>
    <d v="1899-12-30T19:04:00"/>
    <s v="Ginger Bisquit"/>
    <n v="2"/>
    <n v="10"/>
    <n v="8.6666666666666661"/>
    <n v="1.3333333333333339"/>
    <s v="Cash"/>
    <x v="2"/>
    <m/>
    <m/>
    <m/>
  </r>
  <r>
    <d v="2024-09-13T00:00:00"/>
    <d v="1899-12-30T19:08:00"/>
    <s v="Safari"/>
    <n v="2"/>
    <n v="30"/>
    <n v="17"/>
    <n v="13"/>
    <s v="Mpesa"/>
    <x v="2"/>
    <m/>
    <m/>
    <m/>
  </r>
  <r>
    <d v="2024-09-13T00:00:00"/>
    <d v="1899-12-30T19:08:00"/>
    <s v="eggs"/>
    <n v="10"/>
    <n v="200"/>
    <n v="143.33333333333334"/>
    <n v="56.666666666666657"/>
    <s v="Mpesa"/>
    <x v="2"/>
    <m/>
    <m/>
    <m/>
  </r>
  <r>
    <d v="2024-09-13T00:00:00"/>
    <d v="1899-12-30T19:08:00"/>
    <s v="Mt Kenya milk 200ml"/>
    <n v="1"/>
    <n v="35"/>
    <n v="24.285714285714285"/>
    <n v="10.714285714285715"/>
    <s v="Credit"/>
    <x v="12"/>
    <m/>
    <m/>
    <m/>
  </r>
  <r>
    <d v="2024-09-13T00:00:00"/>
    <d v="1899-12-30T19:37:00"/>
    <s v="Bella Tissue"/>
    <n v="1"/>
    <n v="50"/>
    <n v="35"/>
    <n v="15"/>
    <s v="Mpesa"/>
    <x v="2"/>
    <m/>
    <m/>
    <m/>
  </r>
  <r>
    <d v="2024-09-13T00:00:00"/>
    <d v="1899-12-30T19:37:00"/>
    <s v="kensalt 500g"/>
    <n v="1"/>
    <n v="25"/>
    <n v="14"/>
    <n v="11"/>
    <s v="Mpesa"/>
    <x v="2"/>
    <m/>
    <m/>
    <m/>
  </r>
  <r>
    <d v="2024-09-13T00:00:00"/>
    <d v="1899-12-30T19:37:00"/>
    <s v="Lemon Bisquit"/>
    <n v="1"/>
    <n v="5"/>
    <n v="4.333333333333333"/>
    <n v="0.66666666666666696"/>
    <s v="Mpesa"/>
    <x v="2"/>
    <m/>
    <m/>
    <m/>
  </r>
  <r>
    <d v="2024-09-13T00:00:00"/>
    <d v="1899-12-30T19:37:00"/>
    <s v="Banana"/>
    <n v="2"/>
    <n v="20"/>
    <n v="16.666666666666668"/>
    <n v="3.3333333333333321"/>
    <s v="Mpesa"/>
    <x v="2"/>
    <m/>
    <m/>
    <m/>
  </r>
  <r>
    <d v="2024-09-13T00:00:00"/>
    <d v="1899-12-30T19:37:00"/>
    <s v="Brookside milk 500ml"/>
    <n v="1"/>
    <n v="70"/>
    <n v="59"/>
    <n v="11"/>
    <s v="Mpesa"/>
    <x v="2"/>
    <s v="Ken"/>
    <n v="1450"/>
    <s v="Mpesa"/>
  </r>
  <r>
    <d v="2024-09-13T00:00:00"/>
    <d v="1899-12-30T20:25:00"/>
    <s v="Downy sunrise fresh"/>
    <n v="1"/>
    <n v="20"/>
    <n v="17.333333333333332"/>
    <n v="2.6666666666666679"/>
    <s v="Mpesa"/>
    <x v="2"/>
    <s v="Faith"/>
    <n v="500"/>
    <s v="Mpesa"/>
  </r>
  <r>
    <d v="2024-09-13T00:00:00"/>
    <d v="1899-12-30T20:25:00"/>
    <s v="omo 75g"/>
    <n v="1"/>
    <n v="35"/>
    <n v="27.5"/>
    <n v="7.5"/>
    <s v="Mpesa"/>
    <x v="2"/>
    <m/>
    <m/>
    <m/>
  </r>
  <r>
    <d v="2024-09-13T00:00:00"/>
    <d v="1899-12-30T20:25:00"/>
    <s v=" soda 1.25lts"/>
    <n v="1"/>
    <n v="130"/>
    <n v="112.5"/>
    <n v="17.5"/>
    <s v="Mpesa"/>
    <x v="2"/>
    <m/>
    <m/>
    <m/>
  </r>
  <r>
    <d v="2024-09-13T00:00:00"/>
    <d v="1899-12-30T20:25:00"/>
    <s v="Carrier bag small"/>
    <n v="1"/>
    <n v="10"/>
    <n v="3"/>
    <n v="7"/>
    <s v="Mpesa"/>
    <x v="2"/>
    <m/>
    <m/>
    <m/>
  </r>
  <r>
    <d v="2024-09-14T00:00:00"/>
    <d v="1899-12-30T07:39:00"/>
    <s v="Festive 600g"/>
    <n v="1"/>
    <n v="100"/>
    <n v="90"/>
    <n v="10"/>
    <s v="Cash"/>
    <x v="2"/>
    <m/>
    <m/>
    <m/>
  </r>
  <r>
    <d v="2024-09-14T00:00:00"/>
    <d v="1899-12-30T07:39:00"/>
    <s v="Safari"/>
    <n v="1"/>
    <n v="15"/>
    <n v="8.5"/>
    <n v="6.5"/>
    <s v="Mpesa"/>
    <x v="2"/>
    <m/>
    <m/>
    <m/>
  </r>
  <r>
    <d v="2024-09-14T00:00:00"/>
    <d v="1899-12-30T07:40:00"/>
    <s v="Arimis small"/>
    <n v="1"/>
    <n v="35"/>
    <n v="23.333333333333332"/>
    <n v="11.666666666666668"/>
    <s v="Credit"/>
    <x v="3"/>
    <m/>
    <m/>
    <m/>
  </r>
  <r>
    <d v="2024-09-14T00:00:00"/>
    <d v="1899-12-30T07:40:00"/>
    <s v="Kinangop Fresh Milk 500ml"/>
    <n v="1"/>
    <n v="60"/>
    <n v="55"/>
    <n v="5"/>
    <s v="Credit"/>
    <x v="2"/>
    <m/>
    <m/>
    <m/>
  </r>
  <r>
    <d v="2024-09-14T00:00:00"/>
    <d v="1899-12-30T08:52:00"/>
    <s v="BB Bread 400g"/>
    <n v="1"/>
    <n v="65"/>
    <n v="60"/>
    <n v="5"/>
    <s v="Mpesa"/>
    <x v="2"/>
    <m/>
    <m/>
    <m/>
  </r>
  <r>
    <d v="2024-09-14T00:00:00"/>
    <d v="1899-12-30T08:54:00"/>
    <s v="Ajab 2kg"/>
    <n v="2"/>
    <n v="440"/>
    <n v="350"/>
    <n v="90"/>
    <s v="Mpesa"/>
    <x v="2"/>
    <m/>
    <m/>
    <m/>
  </r>
  <r>
    <d v="2024-09-14T00:00:00"/>
    <d v="1899-12-30T09:27:00"/>
    <s v="Festive Bread 400g"/>
    <n v="1"/>
    <n v="65"/>
    <n v="60"/>
    <n v="5"/>
    <s v="Cash"/>
    <x v="2"/>
    <m/>
    <m/>
    <m/>
  </r>
  <r>
    <d v="2024-09-14T00:00:00"/>
    <d v="1899-12-30T09:27:00"/>
    <s v="Bigboss"/>
    <n v="1"/>
    <n v="5"/>
    <n v="3.5"/>
    <n v="1.5"/>
    <s v="Cash"/>
    <x v="2"/>
    <m/>
    <m/>
    <m/>
  </r>
  <r>
    <d v="2024-09-14T00:00:00"/>
    <d v="1899-12-30T09:59:00"/>
    <s v="BB Bread 400g"/>
    <n v="1"/>
    <n v="65"/>
    <n v="60"/>
    <n v="5"/>
    <s v="Credit"/>
    <x v="12"/>
    <m/>
    <m/>
    <m/>
  </r>
  <r>
    <d v="2024-09-14T00:00:00"/>
    <d v="1899-12-30T09:59:00"/>
    <s v="Kdf"/>
    <n v="1"/>
    <n v="10"/>
    <n v="8.3333333333333339"/>
    <n v="1.6666666666666661"/>
    <s v="Mpesa"/>
    <x v="2"/>
    <m/>
    <m/>
    <m/>
  </r>
  <r>
    <d v="2024-09-14T00:00:00"/>
    <d v="1899-12-30T10:20:00"/>
    <s v="Rope"/>
    <n v="1"/>
    <n v="50"/>
    <n v="37.5"/>
    <n v="12.5"/>
    <s v="Credit"/>
    <x v="3"/>
    <m/>
    <m/>
    <m/>
  </r>
  <r>
    <d v="2024-09-14T00:00:00"/>
    <d v="1899-12-30T10:21:00"/>
    <s v="Festive 800g"/>
    <n v="1"/>
    <n v="130"/>
    <n v="120"/>
    <n v="10"/>
    <s v="Mpesa"/>
    <x v="2"/>
    <m/>
    <m/>
    <m/>
  </r>
  <r>
    <d v="2024-09-14T00:00:00"/>
    <d v="1899-12-30T10:39:00"/>
    <s v="soda 500ml glass"/>
    <n v="1"/>
    <n v="55"/>
    <n v="50"/>
    <n v="5"/>
    <s v="Cash"/>
    <x v="2"/>
    <s v="Faith"/>
    <n v="50"/>
    <s v="Mpesa"/>
  </r>
  <r>
    <d v="2024-09-14T00:00:00"/>
    <d v="1899-12-30T10:59:00"/>
    <s v="Brookside milk 500ml"/>
    <n v="1"/>
    <n v="70"/>
    <n v="59"/>
    <n v="11"/>
    <s v="Mpesa"/>
    <x v="2"/>
    <m/>
    <m/>
    <m/>
  </r>
  <r>
    <d v="2024-09-14T00:00:00"/>
    <d v="1899-12-30T12:30:00"/>
    <s v="Black Tape"/>
    <n v="1"/>
    <n v="50"/>
    <n v="28"/>
    <n v="22"/>
    <s v="Cash"/>
    <x v="2"/>
    <m/>
    <m/>
    <m/>
  </r>
  <r>
    <d v="2024-09-14T00:00:00"/>
    <d v="1899-12-30T12:30:00"/>
    <s v="Safari"/>
    <n v="2"/>
    <n v="30"/>
    <n v="17"/>
    <n v="13"/>
    <s v="Mpesa"/>
    <x v="2"/>
    <m/>
    <m/>
    <m/>
  </r>
  <r>
    <d v="2024-09-14T00:00:00"/>
    <d v="1899-12-30T12:30:00"/>
    <s v="ariel 10g"/>
    <n v="1"/>
    <n v="15"/>
    <n v="9.1666666666666661"/>
    <n v="5.8333333333333339"/>
    <s v="Mpesa"/>
    <x v="2"/>
    <m/>
    <m/>
    <m/>
  </r>
  <r>
    <d v="2024-09-14T00:00:00"/>
    <d v="1899-12-30T12:34:00"/>
    <s v="soda 350ml plastic"/>
    <n v="1"/>
    <n v="50"/>
    <n v="41.666666666666664"/>
    <n v="8.3333333333333357"/>
    <s v="Credit"/>
    <x v="19"/>
    <m/>
    <m/>
    <m/>
  </r>
  <r>
    <d v="2024-09-14T00:00:00"/>
    <d v="1899-12-30T12:34:00"/>
    <s v="Kdf"/>
    <n v="2"/>
    <n v="20"/>
    <n v="16.666666666666668"/>
    <n v="3.3333333333333321"/>
    <s v="Credit"/>
    <x v="19"/>
    <m/>
    <m/>
    <m/>
  </r>
  <r>
    <d v="2024-09-14T00:00:00"/>
    <d v="1899-12-30T12:38:00"/>
    <s v="Indomie chicken"/>
    <n v="3"/>
    <n v="150"/>
    <n v="112.5"/>
    <n v="37.5"/>
    <s v="Mpesa"/>
    <x v="2"/>
    <m/>
    <m/>
    <m/>
  </r>
  <r>
    <d v="2024-09-14T00:00:00"/>
    <d v="1899-12-30T13:21:00"/>
    <s v="Match Box"/>
    <n v="2"/>
    <n v="10"/>
    <n v="4.7222222222222223"/>
    <n v="5.2777777777777777"/>
    <s v="Mpesa"/>
    <x v="2"/>
    <m/>
    <m/>
    <m/>
  </r>
  <r>
    <d v="2024-09-14T00:00:00"/>
    <d v="1899-12-30T13:21:00"/>
    <s v="Tukuza 1kg"/>
    <n v="1"/>
    <n v="90"/>
    <n v="61.25"/>
    <n v="28.75"/>
    <s v="Mpesa"/>
    <x v="2"/>
    <s v="Pauline"/>
    <n v="280"/>
    <s v="Mpesa"/>
  </r>
  <r>
    <d v="2024-09-14T00:00:00"/>
    <d v="1899-12-30T14:16:00"/>
    <s v="Indomie chicken"/>
    <n v="4"/>
    <n v="200"/>
    <n v="150"/>
    <n v="50"/>
    <s v="Credit"/>
    <x v="12"/>
    <m/>
    <m/>
    <m/>
  </r>
  <r>
    <d v="2024-09-14T00:00:00"/>
    <d v="1899-12-30T14:16:00"/>
    <s v="eggs"/>
    <n v="4"/>
    <n v="80"/>
    <n v="57.333333333333336"/>
    <n v="22.666666666666664"/>
    <s v="Credit"/>
    <x v="12"/>
    <m/>
    <m/>
    <m/>
  </r>
  <r>
    <d v="2024-09-14T00:00:00"/>
    <d v="1899-12-30T14:51:00"/>
    <s v="soda 2lts"/>
    <n v="1"/>
    <n v="200"/>
    <n v="176.66666666666666"/>
    <n v="23.333333333333343"/>
    <s v="Mpesa"/>
    <x v="2"/>
    <m/>
    <m/>
    <m/>
  </r>
  <r>
    <d v="2024-09-14T00:00:00"/>
    <d v="1899-12-30T15:10:00"/>
    <s v="Banana"/>
    <n v="4"/>
    <n v="40"/>
    <n v="33.333333333333336"/>
    <n v="6.6666666666666643"/>
    <s v="Cash"/>
    <x v="2"/>
    <m/>
    <m/>
    <m/>
  </r>
  <r>
    <d v="2024-09-14T00:00:00"/>
    <d v="1899-12-30T15:15:00"/>
    <s v="Banana"/>
    <n v="2"/>
    <n v="20"/>
    <n v="16.666666666666668"/>
    <n v="3.3333333333333321"/>
    <s v="Credit"/>
    <x v="59"/>
    <m/>
    <m/>
    <m/>
  </r>
  <r>
    <d v="2024-09-14T00:00:00"/>
    <d v="1899-12-30T16:08:00"/>
    <s v="Safari"/>
    <n v="1"/>
    <n v="15"/>
    <n v="8.5"/>
    <n v="6.5"/>
    <s v="Mpesa"/>
    <x v="2"/>
    <m/>
    <m/>
    <m/>
  </r>
  <r>
    <d v="2024-09-14T00:00:00"/>
    <d v="1899-12-30T16:27:00"/>
    <s v="Pilau Masala"/>
    <n v="1"/>
    <n v="35"/>
    <n v="23.333333333333332"/>
    <n v="11.666666666666668"/>
    <s v="Mpesa"/>
    <x v="2"/>
    <m/>
    <m/>
    <m/>
  </r>
  <r>
    <d v="2024-09-14T00:00:00"/>
    <d v="1899-12-30T16:28:00"/>
    <s v="Mt Kenya milk 200ml"/>
    <n v="1"/>
    <n v="35"/>
    <n v="24.285714285714285"/>
    <n v="10.714285714285715"/>
    <s v="Cash"/>
    <x v="2"/>
    <m/>
    <m/>
    <m/>
  </r>
  <r>
    <d v="2024-09-14T00:00:00"/>
    <d v="1899-12-30T16:28:00"/>
    <s v="Ngumu"/>
    <n v="2"/>
    <n v="20"/>
    <n v="16.666666666666668"/>
    <n v="3.3333333333333321"/>
    <s v="Cash"/>
    <x v="2"/>
    <m/>
    <m/>
    <m/>
  </r>
  <r>
    <d v="2024-09-14T00:00:00"/>
    <d v="1899-12-30T16:28:00"/>
    <s v="Ginger Bisquit"/>
    <n v="1"/>
    <n v="5"/>
    <n v="4.333333333333333"/>
    <n v="0.66666666666666696"/>
    <s v="Cash"/>
    <x v="2"/>
    <m/>
    <m/>
    <m/>
  </r>
  <r>
    <d v="2024-09-14T00:00:00"/>
    <d v="1899-12-30T18:29:00"/>
    <s v="Kinangop Fresh Milk 500ml"/>
    <n v="1"/>
    <n v="60"/>
    <n v="55"/>
    <n v="5"/>
    <s v="Cash"/>
    <x v="2"/>
    <m/>
    <m/>
    <m/>
  </r>
  <r>
    <d v="2024-09-14T00:00:00"/>
    <d v="1899-12-30T19:06:00"/>
    <s v="Safari"/>
    <n v="2"/>
    <n v="30"/>
    <n v="17"/>
    <n v="13"/>
    <s v="Mpesa"/>
    <x v="2"/>
    <m/>
    <m/>
    <m/>
  </r>
  <r>
    <d v="2024-09-14T00:00:00"/>
    <d v="1899-12-30T19:06:00"/>
    <s v="Airtel 20 Credit"/>
    <n v="1"/>
    <n v="20"/>
    <n v="18"/>
    <n v="2"/>
    <s v="Mpesa"/>
    <x v="2"/>
    <m/>
    <m/>
    <m/>
  </r>
  <r>
    <d v="2024-09-14T00:00:00"/>
    <d v="1899-12-30T19:06:00"/>
    <s v="eggs"/>
    <n v="6"/>
    <n v="120"/>
    <n v="86"/>
    <n v="34"/>
    <s v="Mpesa"/>
    <x v="2"/>
    <m/>
    <m/>
    <m/>
  </r>
  <r>
    <d v="2024-09-14T00:00:00"/>
    <d v="1899-12-30T19:31:00"/>
    <s v="predator"/>
    <n v="1"/>
    <n v="70"/>
    <n v="54.166666666666664"/>
    <n v="15.833333333333336"/>
    <s v="Mpesa"/>
    <x v="2"/>
    <m/>
    <m/>
    <m/>
  </r>
  <r>
    <d v="2024-09-14T00:00:00"/>
    <d v="1899-12-30T19:31:00"/>
    <s v="Arimis big"/>
    <n v="1"/>
    <n v="60"/>
    <n v="45.833333333333336"/>
    <n v="14.166666666666664"/>
    <s v="Mpesa"/>
    <x v="2"/>
    <m/>
    <m/>
    <m/>
  </r>
  <r>
    <d v="2024-09-14T00:00:00"/>
    <d v="1899-12-30T19:31:00"/>
    <s v="Cooking Oil Measured"/>
    <n v="0.25"/>
    <n v="70"/>
    <n v="50"/>
    <n v="20"/>
    <s v="Mpesa"/>
    <x v="2"/>
    <m/>
    <m/>
    <m/>
  </r>
  <r>
    <d v="2024-09-14T00:00:00"/>
    <d v="1899-12-30T19:31:00"/>
    <s v="Ginger Bisquit"/>
    <n v="2"/>
    <n v="10"/>
    <n v="8.6666666666666661"/>
    <n v="1.3333333333333339"/>
    <s v="Cash"/>
    <x v="2"/>
    <m/>
    <m/>
    <m/>
  </r>
  <r>
    <d v="2024-09-14T00:00:00"/>
    <d v="1899-12-30T19:32:00"/>
    <s v="Tomatoes"/>
    <n v="3"/>
    <n v="30"/>
    <n v="15"/>
    <n v="15"/>
    <s v="Credit"/>
    <x v="58"/>
    <m/>
    <m/>
    <m/>
  </r>
  <r>
    <d v="2024-09-14T00:00:00"/>
    <d v="1899-12-30T19:47:00"/>
    <s v="Kinangop Fresh Milk 500ml"/>
    <n v="2"/>
    <n v="120"/>
    <n v="110"/>
    <n v="10"/>
    <s v="Cash"/>
    <x v="2"/>
    <m/>
    <m/>
    <m/>
  </r>
  <r>
    <d v="2024-09-14T00:00:00"/>
    <d v="1899-12-30T19:53:00"/>
    <s v="Safari"/>
    <n v="2"/>
    <n v="30"/>
    <n v="17"/>
    <n v="13"/>
    <s v="Mpesa"/>
    <x v="2"/>
    <m/>
    <m/>
    <m/>
  </r>
  <r>
    <d v="2024-09-14T00:00:00"/>
    <d v="1899-12-30T20:24:00"/>
    <s v="Mt Kenya milk 200ml"/>
    <n v="1"/>
    <n v="35"/>
    <n v="24.285714285714285"/>
    <n v="10.714285714285715"/>
    <s v="Cash"/>
    <x v="2"/>
    <m/>
    <m/>
    <m/>
  </r>
  <r>
    <d v="2024-09-14T00:00:00"/>
    <d v="1899-12-30T20:24:00"/>
    <s v="Fahari Tea 15g"/>
    <n v="1"/>
    <n v="15"/>
    <n v="9.1666666666666661"/>
    <n v="5.8333333333333339"/>
    <s v="Cash"/>
    <x v="2"/>
    <m/>
    <m/>
    <m/>
  </r>
  <r>
    <d v="2024-09-14T00:00:00"/>
    <d v="1899-12-30T20:30:00"/>
    <s v="Ringoz Paprika"/>
    <n v="3"/>
    <n v="45"/>
    <n v="26.400000000000002"/>
    <n v="18.599999999999998"/>
    <s v="Cash"/>
    <x v="2"/>
    <m/>
    <m/>
    <m/>
  </r>
  <r>
    <d v="2024-09-14T00:00:00"/>
    <d v="1899-12-30T20:30:00"/>
    <s v="Bigdaddy"/>
    <n v="1"/>
    <n v="10"/>
    <n v="6"/>
    <n v="4"/>
    <s v="Cash"/>
    <x v="2"/>
    <m/>
    <m/>
    <m/>
  </r>
  <r>
    <d v="2024-09-14T00:00:00"/>
    <d v="1899-12-30T20:30:00"/>
    <s v="Carrier bag small"/>
    <n v="1"/>
    <n v="10"/>
    <n v="3"/>
    <n v="7"/>
    <s v="Cash"/>
    <x v="2"/>
    <m/>
    <m/>
    <m/>
  </r>
  <r>
    <d v="2024-09-14T00:00:00"/>
    <d v="1899-12-30T20:30:00"/>
    <s v="Arimis small"/>
    <n v="1"/>
    <n v="35"/>
    <n v="23.333333333333332"/>
    <n v="11.666666666666668"/>
    <s v="Cash"/>
    <x v="2"/>
    <m/>
    <m/>
    <m/>
  </r>
  <r>
    <d v="2024-09-14T00:00:00"/>
    <d v="1899-12-30T20:36:00"/>
    <s v="mosquito stick"/>
    <n v="1"/>
    <n v="10"/>
    <n v="9"/>
    <n v="1"/>
    <s v="Cash"/>
    <x v="2"/>
    <m/>
    <m/>
    <m/>
  </r>
  <r>
    <d v="2024-09-14T00:00:00"/>
    <d v="1899-12-30T20:36:00"/>
    <s v="Safari"/>
    <n v="2"/>
    <n v="30"/>
    <n v="17"/>
    <n v="13"/>
    <s v="Mpesa"/>
    <x v="2"/>
    <m/>
    <m/>
    <m/>
  </r>
  <r>
    <d v="2024-09-14T00:00:00"/>
    <d v="1899-12-30T20:36:00"/>
    <s v="Rasor Blade"/>
    <n v="1"/>
    <n v="5"/>
    <n v="2"/>
    <n v="3"/>
    <s v="Mpesa"/>
    <x v="2"/>
    <m/>
    <m/>
    <m/>
  </r>
  <r>
    <d v="2024-09-14T00:00:00"/>
    <d v="1899-12-30T20:00:00"/>
    <s v="Pishori rice"/>
    <n v="1"/>
    <n v="220"/>
    <n v="180"/>
    <n v="40"/>
    <s v="Credit"/>
    <x v="8"/>
    <m/>
    <m/>
    <m/>
  </r>
  <r>
    <d v="2024-09-15T00:00:00"/>
    <d v="1899-12-30T07:30:00"/>
    <s v="Bigdaddy"/>
    <n v="1"/>
    <n v="10"/>
    <n v="6"/>
    <n v="4"/>
    <s v="Cash"/>
    <x v="2"/>
    <m/>
    <m/>
    <m/>
  </r>
  <r>
    <d v="2024-09-15T00:00:00"/>
    <d v="1899-12-30T07:45:00"/>
    <s v="Blueband 250g"/>
    <n v="1"/>
    <n v="190"/>
    <n v="140"/>
    <n v="50"/>
    <s v="Credit"/>
    <x v="5"/>
    <m/>
    <m/>
    <m/>
  </r>
  <r>
    <d v="2024-09-15T00:00:00"/>
    <d v="1899-12-30T07:45:00"/>
    <s v="Bella Tissue"/>
    <n v="1"/>
    <n v="50"/>
    <n v="35"/>
    <n v="15"/>
    <s v="Credit"/>
    <x v="2"/>
    <m/>
    <m/>
    <m/>
  </r>
  <r>
    <d v="2024-09-15T00:00:00"/>
    <d v="1899-12-30T07:51:00"/>
    <s v="Softcare pads"/>
    <n v="1"/>
    <n v="85"/>
    <n v="66"/>
    <n v="19"/>
    <s v="Credit"/>
    <x v="39"/>
    <s v="Fanis"/>
    <n v="340"/>
    <s v="Mpesa"/>
  </r>
  <r>
    <d v="2024-09-15T00:00:00"/>
    <d v="1899-12-30T08:08:00"/>
    <s v="Safari"/>
    <n v="2"/>
    <n v="30"/>
    <n v="17"/>
    <n v="13"/>
    <s v="Mpesa"/>
    <x v="2"/>
    <m/>
    <m/>
    <m/>
  </r>
  <r>
    <d v="2024-09-15T00:00:00"/>
    <d v="1899-12-30T08:56:00"/>
    <s v="Banana"/>
    <n v="4"/>
    <n v="40"/>
    <n v="33.333333333333336"/>
    <n v="6.6666666666666643"/>
    <s v="Credit"/>
    <x v="58"/>
    <m/>
    <m/>
    <m/>
  </r>
  <r>
    <d v="2024-09-15T00:00:00"/>
    <d v="1899-12-30T08:56:00"/>
    <s v="BB Bread 400g"/>
    <n v="1"/>
    <n v="65"/>
    <n v="60"/>
    <n v="5"/>
    <s v="Credit"/>
    <x v="2"/>
    <m/>
    <m/>
    <m/>
  </r>
  <r>
    <d v="2024-09-15T00:00:00"/>
    <d v="1899-12-30T08:57:00"/>
    <s v="BB Bread 400g"/>
    <n v="2"/>
    <n v="130"/>
    <n v="120"/>
    <n v="10"/>
    <s v="Mpesa"/>
    <x v="2"/>
    <m/>
    <m/>
    <m/>
  </r>
  <r>
    <d v="2024-09-15T00:00:00"/>
    <d v="1899-12-30T09:51:00"/>
    <s v="Safari"/>
    <n v="2"/>
    <n v="30"/>
    <n v="17"/>
    <n v="13"/>
    <s v="Mpesa"/>
    <x v="2"/>
    <m/>
    <m/>
    <m/>
  </r>
  <r>
    <d v="2024-09-15T00:00:00"/>
    <d v="1899-12-30T10:47:00"/>
    <s v="Bigdaddy"/>
    <n v="1"/>
    <n v="10"/>
    <n v="6"/>
    <n v="4"/>
    <s v="Cash"/>
    <x v="2"/>
    <m/>
    <m/>
    <m/>
  </r>
  <r>
    <d v="2024-09-15T00:00:00"/>
    <d v="1899-12-30T11:27:00"/>
    <s v="Royco Chicken mchuzi mix"/>
    <n v="5"/>
    <n v="50"/>
    <n v="45"/>
    <n v="5"/>
    <s v="Cash"/>
    <x v="2"/>
    <m/>
    <m/>
    <m/>
  </r>
  <r>
    <d v="2024-09-15T00:00:00"/>
    <d v="1899-12-30T13:32:00"/>
    <s v="eggs"/>
    <n v="30"/>
    <n v="600"/>
    <n v="430"/>
    <n v="170"/>
    <s v="Mpesa"/>
    <x v="2"/>
    <m/>
    <m/>
    <m/>
  </r>
  <r>
    <d v="2024-09-15T00:00:00"/>
    <d v="1899-12-30T13:32:00"/>
    <s v="Sunlight 400g"/>
    <n v="1"/>
    <n v="200"/>
    <n v="145"/>
    <n v="55"/>
    <s v="Mpesa"/>
    <x v="2"/>
    <m/>
    <m/>
    <m/>
  </r>
  <r>
    <d v="2024-09-15T00:00:00"/>
    <d v="1899-12-30T13:32:00"/>
    <s v="Hanaan Tissue"/>
    <n v="2"/>
    <n v="110"/>
    <n v="86"/>
    <n v="24"/>
    <s v="Mpesa"/>
    <x v="2"/>
    <m/>
    <m/>
    <m/>
  </r>
  <r>
    <d v="2024-09-15T00:00:00"/>
    <d v="1899-12-30T13:34:00"/>
    <s v="Tomatoes"/>
    <n v="5"/>
    <n v="50"/>
    <n v="25"/>
    <n v="25"/>
    <s v="Mpesa"/>
    <x v="2"/>
    <m/>
    <m/>
    <m/>
  </r>
  <r>
    <d v="2024-09-15T00:00:00"/>
    <d v="1899-12-30T13:34:00"/>
    <s v="Onion"/>
    <n v="5"/>
    <n v="50"/>
    <n v="40"/>
    <n v="10"/>
    <s v="Mpesa"/>
    <x v="2"/>
    <m/>
    <m/>
    <m/>
  </r>
  <r>
    <d v="2024-09-15T00:00:00"/>
    <d v="1899-12-30T13:40:00"/>
    <s v="Freshfry"/>
    <n v="1"/>
    <n v="350"/>
    <n v="290"/>
    <n v="60"/>
    <s v="Credit"/>
    <x v="4"/>
    <m/>
    <m/>
    <m/>
  </r>
  <r>
    <d v="2024-09-15T00:00:00"/>
    <d v="1899-12-30T13:43:00"/>
    <s v="5ltrs water"/>
    <n v="1"/>
    <n v="120"/>
    <n v="75"/>
    <n v="45"/>
    <s v="Credit"/>
    <x v="2"/>
    <m/>
    <m/>
    <m/>
  </r>
  <r>
    <d v="2024-09-15T00:00:00"/>
    <d v="1899-12-30T13:48:00"/>
    <s v="Tomatoes"/>
    <n v="1"/>
    <n v="10"/>
    <n v="5"/>
    <n v="5"/>
    <s v="Credit"/>
    <x v="60"/>
    <m/>
    <m/>
    <m/>
  </r>
  <r>
    <d v="2024-09-15T00:00:00"/>
    <d v="1899-12-30T13:48:00"/>
    <s v="Royco cubes"/>
    <n v="2"/>
    <n v="10"/>
    <n v="6"/>
    <n v="4"/>
    <s v="Mpesa"/>
    <x v="2"/>
    <m/>
    <m/>
    <m/>
  </r>
  <r>
    <d v="2024-09-15T00:00:00"/>
    <d v="1899-12-30T13:48:00"/>
    <s v="eggs"/>
    <n v="8"/>
    <n v="160"/>
    <n v="114.66666666666667"/>
    <n v="45.333333333333329"/>
    <s v="Mpesa"/>
    <x v="2"/>
    <m/>
    <m/>
    <m/>
  </r>
  <r>
    <d v="2024-09-15T00:00:00"/>
    <d v="1899-12-30T13:48:00"/>
    <s v="Sunny girl pad"/>
    <n v="1"/>
    <n v="70"/>
    <n v="56.666666666666664"/>
    <n v="13.333333333333336"/>
    <s v="Mpesa"/>
    <x v="2"/>
    <m/>
    <m/>
    <m/>
  </r>
  <r>
    <d v="2024-09-15T00:00:00"/>
    <d v="1899-12-30T13:48:00"/>
    <s v="Lemon Bisquit"/>
    <n v="1"/>
    <n v="5"/>
    <n v="4.333333333333333"/>
    <n v="0.66666666666666696"/>
    <s v="Mpesa"/>
    <x v="2"/>
    <m/>
    <m/>
    <m/>
  </r>
  <r>
    <d v="2024-09-15T00:00:00"/>
    <d v="1899-12-30T14:07:00"/>
    <s v="Tomatoes"/>
    <n v="8"/>
    <n v="80"/>
    <n v="40"/>
    <n v="40"/>
    <s v="Credit"/>
    <x v="4"/>
    <m/>
    <m/>
    <m/>
  </r>
  <r>
    <d v="2024-09-15T00:00:00"/>
    <d v="1899-12-30T14:07:00"/>
    <s v="Ginger Bisquit"/>
    <n v="3"/>
    <n v="15"/>
    <n v="13"/>
    <n v="2"/>
    <s v="Credit"/>
    <x v="2"/>
    <m/>
    <m/>
    <m/>
  </r>
  <r>
    <d v="2024-09-15T00:00:00"/>
    <d v="1899-12-30T14:17:00"/>
    <s v="1.5ltrs water"/>
    <n v="2"/>
    <n v="140"/>
    <n v="50"/>
    <n v="90"/>
    <s v="Cash"/>
    <x v="2"/>
    <m/>
    <m/>
    <m/>
  </r>
  <r>
    <d v="2024-09-15T00:00:00"/>
    <d v="1899-12-30T14:17:00"/>
    <s v="Tomato sauce"/>
    <n v="1"/>
    <n v="70"/>
    <n v="50"/>
    <n v="20"/>
    <s v="Cash"/>
    <x v="2"/>
    <m/>
    <m/>
    <m/>
  </r>
  <r>
    <d v="2024-09-15T00:00:00"/>
    <d v="1899-12-30T14:17:00"/>
    <s v="Icepop"/>
    <n v="1"/>
    <n v="15"/>
    <n v="7.5"/>
    <n v="7.5"/>
    <s v="Cash"/>
    <x v="2"/>
    <m/>
    <m/>
    <m/>
  </r>
  <r>
    <d v="2024-09-15T00:00:00"/>
    <d v="1899-12-30T14:55:00"/>
    <s v="Onion"/>
    <n v="8"/>
    <n v="80"/>
    <n v="64"/>
    <n v="16"/>
    <s v="Credit"/>
    <x v="4"/>
    <m/>
    <m/>
    <m/>
  </r>
  <r>
    <d v="2024-09-15T00:00:00"/>
    <d v="1899-12-30T14:55:00"/>
    <s v="Panadol Extra"/>
    <n v="1"/>
    <n v="20"/>
    <n v="13"/>
    <n v="7"/>
    <s v="Credit"/>
    <x v="2"/>
    <m/>
    <m/>
    <m/>
  </r>
  <r>
    <d v="2024-09-15T00:00:00"/>
    <d v="1899-12-30T15:15:00"/>
    <s v="Bigboss"/>
    <n v="3"/>
    <n v="15"/>
    <n v="10.5"/>
    <n v="4.5"/>
    <s v="Credit"/>
    <x v="61"/>
    <m/>
    <m/>
    <m/>
  </r>
  <r>
    <d v="2024-09-15T00:00:00"/>
    <d v="1899-12-30T15:15:00"/>
    <s v="Lollipop"/>
    <n v="1"/>
    <n v="5"/>
    <n v="2.4"/>
    <n v="2.6"/>
    <s v="Credit"/>
    <x v="2"/>
    <m/>
    <m/>
    <m/>
  </r>
  <r>
    <d v="2024-09-15T00:00:00"/>
    <d v="1899-12-30T15:42:00"/>
    <s v="Safari"/>
    <n v="1"/>
    <n v="15"/>
    <n v="8.5"/>
    <n v="6.5"/>
    <s v="Mpesa"/>
    <x v="2"/>
    <m/>
    <m/>
    <m/>
  </r>
  <r>
    <d v="2024-09-15T00:00:00"/>
    <d v="1899-12-30T15:52:00"/>
    <s v="5ltrs water"/>
    <n v="1"/>
    <n v="120"/>
    <n v="75"/>
    <n v="45"/>
    <s v="Credit"/>
    <x v="4"/>
    <m/>
    <m/>
    <m/>
  </r>
  <r>
    <d v="2024-09-15T00:00:00"/>
    <d v="1899-12-30T16:11:00"/>
    <s v="Lighter"/>
    <n v="1"/>
    <n v="30"/>
    <n v="15"/>
    <n v="15"/>
    <s v="Cash"/>
    <x v="2"/>
    <m/>
    <m/>
    <m/>
  </r>
  <r>
    <d v="2024-09-15T00:00:00"/>
    <d v="1899-12-30T16:11:00"/>
    <s v="Bigdaddy"/>
    <n v="3"/>
    <n v="30"/>
    <n v="18"/>
    <n v="12"/>
    <s v="Cash"/>
    <x v="2"/>
    <m/>
    <m/>
    <m/>
  </r>
  <r>
    <d v="2024-09-15T00:00:00"/>
    <d v="1899-12-30T16:17:00"/>
    <s v="Patco"/>
    <n v="2"/>
    <n v="5"/>
    <n v="2.4"/>
    <n v="2.6"/>
    <s v="Cash"/>
    <x v="2"/>
    <m/>
    <m/>
    <m/>
  </r>
  <r>
    <d v="2024-09-15T00:00:00"/>
    <d v="1899-12-30T16:17:00"/>
    <s v="coo"/>
    <n v="2"/>
    <n v="5"/>
    <n v="2.4"/>
    <n v="2.6"/>
    <s v="Cash"/>
    <x v="2"/>
    <m/>
    <m/>
    <m/>
  </r>
  <r>
    <d v="2024-09-15T00:00:00"/>
    <d v="1899-12-30T16:17:00"/>
    <s v="Gomba"/>
    <n v="2"/>
    <n v="5"/>
    <n v="3.6"/>
    <n v="1.4"/>
    <s v="Cash"/>
    <x v="2"/>
    <m/>
    <m/>
    <m/>
  </r>
  <r>
    <d v="2024-09-15T00:00:00"/>
    <d v="1899-12-30T16:17:00"/>
    <s v="Fresh Blue"/>
    <n v="1"/>
    <n v="10"/>
    <n v="5"/>
    <n v="5"/>
    <s v="Cash"/>
    <x v="2"/>
    <m/>
    <m/>
    <m/>
  </r>
  <r>
    <d v="2024-09-15T00:00:00"/>
    <d v="1899-12-30T16:17:00"/>
    <s v="Fresh green"/>
    <n v="1"/>
    <n v="10"/>
    <n v="5"/>
    <n v="5"/>
    <s v="Cash"/>
    <x v="2"/>
    <m/>
    <m/>
    <m/>
  </r>
  <r>
    <d v="2024-09-15T00:00:00"/>
    <d v="1899-12-30T16:17:00"/>
    <s v="Bigdaddy"/>
    <n v="1"/>
    <n v="10"/>
    <n v="6"/>
    <n v="4"/>
    <s v="Cash"/>
    <x v="2"/>
    <m/>
    <m/>
    <m/>
  </r>
  <r>
    <d v="2024-09-15T00:00:00"/>
    <d v="1899-12-30T16:17:00"/>
    <s v="Gumballs"/>
    <n v="5"/>
    <n v="5"/>
    <n v="3.5"/>
    <n v="1.5"/>
    <s v="Cash"/>
    <x v="2"/>
    <m/>
    <m/>
    <m/>
  </r>
  <r>
    <d v="2024-09-15T00:00:00"/>
    <d v="1899-12-30T16:18:00"/>
    <s v="soda 350ml plastic"/>
    <n v="2"/>
    <n v="100"/>
    <n v="83.333333333333329"/>
    <n v="16.666666666666671"/>
    <s v="Credit"/>
    <x v="58"/>
    <m/>
    <m/>
    <m/>
  </r>
  <r>
    <d v="2024-09-15T00:00:00"/>
    <d v="1899-12-30T17:21:00"/>
    <s v="Icepop"/>
    <n v="2"/>
    <n v="30"/>
    <n v="15"/>
    <n v="15"/>
    <s v="Cash"/>
    <x v="2"/>
    <m/>
    <m/>
    <m/>
  </r>
  <r>
    <d v="2024-09-15T00:00:00"/>
    <d v="1899-12-30T17:21:00"/>
    <s v="Maramoja"/>
    <n v="1"/>
    <n v="10"/>
    <n v="7"/>
    <n v="3"/>
    <s v="Cash"/>
    <x v="2"/>
    <m/>
    <m/>
    <m/>
  </r>
  <r>
    <d v="2024-09-15T00:00:00"/>
    <d v="1899-12-30T17:21:00"/>
    <s v="Safaricom 50 Credit"/>
    <n v="2"/>
    <n v="100"/>
    <n v="94"/>
    <n v="6"/>
    <s v="Cash"/>
    <x v="2"/>
    <m/>
    <m/>
    <m/>
  </r>
  <r>
    <d v="2024-09-15T00:00:00"/>
    <d v="1899-12-30T17:21:00"/>
    <s v="nylon papers"/>
    <n v="1"/>
    <n v="100"/>
    <n v="70"/>
    <n v="30"/>
    <s v="Credit"/>
    <x v="60"/>
    <m/>
    <m/>
    <m/>
  </r>
  <r>
    <d v="2024-09-15T00:00:00"/>
    <d v="1899-12-30T17:51:00"/>
    <s v="BB Bread 400g"/>
    <n v="1"/>
    <n v="65"/>
    <n v="60"/>
    <n v="5"/>
    <s v="Mpesa"/>
    <x v="2"/>
    <m/>
    <m/>
    <m/>
  </r>
  <r>
    <d v="2024-09-15T00:00:00"/>
    <d v="1899-12-30T17:51:00"/>
    <s v="Tomatoes"/>
    <n v="4"/>
    <n v="40"/>
    <n v="20"/>
    <n v="20"/>
    <s v="Mpesa"/>
    <x v="2"/>
    <m/>
    <m/>
    <m/>
  </r>
  <r>
    <d v="2024-09-15T00:00:00"/>
    <d v="1899-12-30T18:16:00"/>
    <s v="candle"/>
    <n v="3"/>
    <n v="45"/>
    <n v="28.125"/>
    <n v="16.875"/>
    <s v="Cash"/>
    <x v="2"/>
    <m/>
    <m/>
    <m/>
  </r>
  <r>
    <d v="2024-09-15T00:00:00"/>
    <d v="1899-12-30T18:20:00"/>
    <s v="Bigboss"/>
    <n v="1"/>
    <n v="5"/>
    <n v="3.5"/>
    <n v="1.5"/>
    <s v="Mpesa"/>
    <x v="2"/>
    <m/>
    <m/>
    <m/>
  </r>
  <r>
    <d v="2024-09-15T00:00:00"/>
    <d v="1899-12-30T18:37:00"/>
    <s v="candle"/>
    <n v="2"/>
    <n v="30"/>
    <n v="18.75"/>
    <n v="11.25"/>
    <s v="Cash"/>
    <x v="2"/>
    <m/>
    <m/>
    <m/>
  </r>
  <r>
    <d v="2024-09-15T00:00:00"/>
    <d v="1899-12-30T18:37:00"/>
    <s v="Bigboss"/>
    <n v="1"/>
    <n v="5"/>
    <n v="3.5"/>
    <n v="1.5"/>
    <s v="Cash"/>
    <x v="2"/>
    <m/>
    <m/>
    <m/>
  </r>
  <r>
    <d v="2024-09-15T00:00:00"/>
    <d v="1899-12-30T18:38:00"/>
    <s v="candle"/>
    <n v="2"/>
    <n v="30"/>
    <n v="18.75"/>
    <n v="11.25"/>
    <s v="Cash"/>
    <x v="2"/>
    <m/>
    <m/>
    <m/>
  </r>
  <r>
    <d v="2024-09-15T00:00:00"/>
    <d v="1899-12-30T18:52:00"/>
    <s v="Safaricom 20 Credit"/>
    <n v="1"/>
    <n v="20"/>
    <n v="18"/>
    <n v="2"/>
    <s v="Cash"/>
    <x v="2"/>
    <m/>
    <m/>
    <m/>
  </r>
  <r>
    <d v="2024-09-15T00:00:00"/>
    <d v="1899-12-30T18:56:00"/>
    <s v="Cooking Oil Measured"/>
    <n v="1"/>
    <n v="280"/>
    <n v="200"/>
    <n v="80"/>
    <s v="Credit"/>
    <x v="37"/>
    <s v="Janet kabiti"/>
    <n v="355"/>
    <s v="Mpesa"/>
  </r>
  <r>
    <d v="2024-09-15T00:00:00"/>
    <d v="1899-12-30T18:56:00"/>
    <s v="Royco Chicken mchuzi mix"/>
    <n v="1"/>
    <n v="10"/>
    <n v="9"/>
    <n v="1"/>
    <s v="Credit"/>
    <x v="2"/>
    <m/>
    <m/>
    <m/>
  </r>
  <r>
    <d v="2024-09-15T00:00:00"/>
    <d v="1899-12-30T18:56:00"/>
    <s v="Mt kenya milk 500ml"/>
    <n v="1"/>
    <n v="65"/>
    <n v="48.333333333333336"/>
    <n v="16.666666666666664"/>
    <s v="Credit"/>
    <x v="2"/>
    <m/>
    <m/>
    <m/>
  </r>
  <r>
    <d v="2024-09-15T00:00:00"/>
    <d v="1899-12-30T19:10:00"/>
    <s v="Brookside milk 500ml"/>
    <n v="1"/>
    <n v="70"/>
    <n v="59"/>
    <n v="11"/>
    <s v="Cash"/>
    <x v="2"/>
    <m/>
    <m/>
    <m/>
  </r>
  <r>
    <d v="2024-09-15T00:00:00"/>
    <d v="1899-12-30T19:10:00"/>
    <s v="Tropical heat crisps 50g"/>
    <n v="1"/>
    <n v="70"/>
    <n v="50"/>
    <n v="20"/>
    <s v="Credit"/>
    <x v="62"/>
    <m/>
    <m/>
    <m/>
  </r>
  <r>
    <d v="2024-09-15T00:00:00"/>
    <d v="1899-12-30T19:25:00"/>
    <s v="Tomatoes"/>
    <n v="4"/>
    <n v="40"/>
    <n v="20"/>
    <n v="20"/>
    <s v="Credit"/>
    <x v="58"/>
    <m/>
    <m/>
    <m/>
  </r>
  <r>
    <d v="2024-09-15T00:00:00"/>
    <d v="1899-12-30T19:25:00"/>
    <s v="Kinangop Fresh Milk 500ml"/>
    <n v="2"/>
    <n v="120"/>
    <n v="110"/>
    <n v="10"/>
    <s v="Credit"/>
    <x v="2"/>
    <m/>
    <m/>
    <m/>
  </r>
  <r>
    <d v="2024-09-15T00:00:00"/>
    <d v="1899-12-30T19:47:00"/>
    <s v="Nescafe 1.5g"/>
    <n v="1"/>
    <n v="15"/>
    <n v="9.1666666666666661"/>
    <n v="5.8333333333333339"/>
    <s v="Cash"/>
    <x v="2"/>
    <m/>
    <m/>
    <m/>
  </r>
  <r>
    <d v="2024-09-15T00:00:00"/>
    <d v="1899-12-30T19:47:00"/>
    <s v="Ginger Bisquit"/>
    <n v="1"/>
    <n v="5"/>
    <n v="4.333333333333333"/>
    <n v="0.66666666666666696"/>
    <s v="Cash"/>
    <x v="2"/>
    <m/>
    <m/>
    <m/>
  </r>
  <r>
    <d v="2024-09-15T00:00:00"/>
    <d v="1899-12-30T20:05:00"/>
    <s v="omo 20g"/>
    <n v="3"/>
    <n v="45"/>
    <n v="27.5"/>
    <n v="17.5"/>
    <s v="Mpesa"/>
    <x v="2"/>
    <m/>
    <m/>
    <m/>
  </r>
  <r>
    <d v="2024-09-15T00:00:00"/>
    <d v="1899-12-30T20:37:00"/>
    <s v="Royco cubes"/>
    <n v="1"/>
    <n v="5"/>
    <n v="3"/>
    <n v="2"/>
    <s v="Credit"/>
    <x v="3"/>
    <m/>
    <m/>
    <m/>
  </r>
  <r>
    <d v="2024-09-15T00:00:00"/>
    <d v="1899-12-30T20:42:00"/>
    <s v="1ltr Brookside Lala Sweetened"/>
    <n v="1"/>
    <n v="190"/>
    <n v="173"/>
    <n v="17"/>
    <s v="Credit"/>
    <x v="2"/>
    <m/>
    <m/>
    <m/>
  </r>
  <r>
    <d v="2024-09-15T00:00:00"/>
    <d v="1899-12-30T20:42:00"/>
    <s v="Brookside milk 500ml"/>
    <n v="1"/>
    <n v="70"/>
    <n v="59"/>
    <n v="11"/>
    <s v="Credit"/>
    <x v="2"/>
    <m/>
    <m/>
    <m/>
  </r>
  <r>
    <d v="2024-09-15T00:00:00"/>
    <d v="1899-12-30T19:09:00"/>
    <m/>
    <m/>
    <m/>
    <m/>
    <m/>
    <m/>
    <x v="2"/>
    <s v="Shariffa"/>
    <n v="1850"/>
    <s v="Mpesa"/>
  </r>
  <r>
    <d v="2024-09-16T00:00:00"/>
    <d v="1899-12-30T07:35:00"/>
    <s v="Banana"/>
    <n v="2"/>
    <n v="20"/>
    <n v="16.666666666666668"/>
    <n v="3.3333333333333321"/>
    <s v="Cash"/>
    <x v="2"/>
    <m/>
    <m/>
    <m/>
  </r>
  <r>
    <d v="2024-09-16T00:00:00"/>
    <d v="1899-12-30T07:41:00"/>
    <s v="Crown Gold Milk 500ml"/>
    <n v="2"/>
    <n v="130"/>
    <n v="108.33333333333333"/>
    <n v="21.666666666666671"/>
    <s v="Mpesa"/>
    <x v="2"/>
    <m/>
    <m/>
    <m/>
  </r>
  <r>
    <d v="2024-09-16T00:00:00"/>
    <d v="1899-12-30T07:42:00"/>
    <s v="Safari"/>
    <n v="4"/>
    <n v="60"/>
    <n v="34"/>
    <n v="26"/>
    <s v="Mpesa"/>
    <x v="2"/>
    <m/>
    <m/>
    <m/>
  </r>
  <r>
    <d v="2024-09-16T00:00:00"/>
    <d v="1899-12-30T07:50:00"/>
    <s v="Safari"/>
    <n v="1"/>
    <n v="15"/>
    <n v="8.5"/>
    <n v="6.5"/>
    <s v="Cash"/>
    <x v="2"/>
    <m/>
    <m/>
    <m/>
  </r>
  <r>
    <d v="2024-09-16T00:00:00"/>
    <d v="1899-12-30T08:23:00"/>
    <s v="Kinangop Fresh Milk 500ml"/>
    <n v="1"/>
    <n v="60"/>
    <n v="55"/>
    <n v="5"/>
    <s v="Cash"/>
    <x v="2"/>
    <m/>
    <m/>
    <m/>
  </r>
  <r>
    <d v="2024-09-16T00:00:00"/>
    <d v="1899-12-30T10:08:00"/>
    <s v="Hanaan Tissue"/>
    <n v="1"/>
    <n v="55"/>
    <n v="43"/>
    <n v="12"/>
    <s v="Mpesa"/>
    <x v="2"/>
    <m/>
    <m/>
    <m/>
  </r>
  <r>
    <d v="2024-09-16T00:00:00"/>
    <d v="1899-12-30T09:58:00"/>
    <s v="Match Box"/>
    <n v="1"/>
    <n v="5"/>
    <n v="2.3611111111111112"/>
    <n v="2.6388888888888888"/>
    <s v="Mpesa"/>
    <x v="2"/>
    <m/>
    <m/>
    <m/>
  </r>
  <r>
    <d v="2024-09-16T00:00:00"/>
    <d v="1899-12-30T10:28:00"/>
    <s v="BB Bread 400g"/>
    <n v="1"/>
    <n v="65"/>
    <n v="60"/>
    <n v="5"/>
    <s v="Mpesa"/>
    <x v="2"/>
    <m/>
    <m/>
    <m/>
  </r>
  <r>
    <d v="2024-09-16T00:00:00"/>
    <d v="1899-12-30T10:43:00"/>
    <s v="BB Bread 400g"/>
    <n v="1"/>
    <n v="65"/>
    <n v="60"/>
    <n v="5"/>
    <s v="Mpesa"/>
    <x v="2"/>
    <m/>
    <m/>
    <m/>
  </r>
  <r>
    <d v="2024-09-16T00:00:00"/>
    <d v="1899-12-30T13:47:00"/>
    <s v="soda 300ml glass"/>
    <n v="3"/>
    <n v="120"/>
    <n v="97.5"/>
    <n v="22.5"/>
    <s v="Mpesa"/>
    <x v="2"/>
    <m/>
    <m/>
    <m/>
  </r>
  <r>
    <d v="2024-09-16T00:00:00"/>
    <d v="1899-12-30T13:47:00"/>
    <s v="Nuvita Bisquit"/>
    <n v="1"/>
    <n v="5"/>
    <n v="4.166666666666667"/>
    <n v="0.83333333333333304"/>
    <s v="Mpesa"/>
    <x v="2"/>
    <m/>
    <m/>
    <m/>
  </r>
  <r>
    <d v="2024-09-16T00:00:00"/>
    <d v="1899-12-30T14:03:00"/>
    <s v="eggs"/>
    <n v="2"/>
    <n v="40"/>
    <n v="28.666666666666668"/>
    <n v="11.333333333333332"/>
    <s v="Mpesa"/>
    <x v="2"/>
    <m/>
    <m/>
    <m/>
  </r>
  <r>
    <d v="2024-09-16T00:00:00"/>
    <d v="1899-12-30T14:03:00"/>
    <s v="Safari"/>
    <n v="1"/>
    <n v="15"/>
    <n v="8.5"/>
    <n v="6.5"/>
    <s v="Mpesa"/>
    <x v="2"/>
    <m/>
    <m/>
    <m/>
  </r>
  <r>
    <d v="2024-09-16T00:00:00"/>
    <d v="1899-12-30T16:07:00"/>
    <s v="soda 500ml glass"/>
    <n v="1"/>
    <n v="55"/>
    <n v="50"/>
    <n v="5"/>
    <s v="Cash"/>
    <x v="2"/>
    <m/>
    <m/>
    <m/>
  </r>
  <r>
    <d v="2024-09-16T00:00:00"/>
    <d v="1899-12-30T16:07:00"/>
    <s v="Banana"/>
    <n v="2"/>
    <n v="20"/>
    <n v="16.666666666666668"/>
    <n v="3.3333333333333321"/>
    <s v="Cash"/>
    <x v="2"/>
    <m/>
    <m/>
    <m/>
  </r>
  <r>
    <d v="2024-09-16T00:00:00"/>
    <d v="1899-12-30T16:33:00"/>
    <s v="Mt Kenya milk 200ml"/>
    <n v="1"/>
    <n v="35"/>
    <n v="24.285714285714285"/>
    <n v="10.714285714285715"/>
    <s v="Cash"/>
    <x v="2"/>
    <m/>
    <m/>
    <m/>
  </r>
  <r>
    <d v="2024-09-16T00:00:00"/>
    <d v="1899-12-30T16:33:00"/>
    <s v="Goodday Cookies"/>
    <n v="1"/>
    <n v="15"/>
    <n v="9.3333333333333339"/>
    <n v="5.6666666666666661"/>
    <s v="Cash"/>
    <x v="2"/>
    <m/>
    <m/>
    <m/>
  </r>
  <r>
    <d v="2024-09-16T00:00:00"/>
    <d v="1899-12-30T16:50:00"/>
    <s v="Half pound cake"/>
    <n v="1"/>
    <n v="100"/>
    <n v="90"/>
    <n v="10"/>
    <s v="Cash"/>
    <x v="2"/>
    <m/>
    <m/>
    <m/>
  </r>
  <r>
    <d v="2024-09-16T00:00:00"/>
    <d v="1899-12-30T17:56:00"/>
    <s v="BB Bread 400g"/>
    <n v="1"/>
    <n v="65"/>
    <n v="60"/>
    <n v="5"/>
    <s v="Mpesa"/>
    <x v="2"/>
    <m/>
    <m/>
    <m/>
  </r>
  <r>
    <d v="2024-09-16T00:00:00"/>
    <d v="1899-12-30T17:56:00"/>
    <s v="Lemon Bisquit"/>
    <n v="1"/>
    <n v="5"/>
    <n v="4.333333333333333"/>
    <n v="0.66666666666666696"/>
    <s v="Mpesa"/>
    <x v="2"/>
    <m/>
    <m/>
    <m/>
  </r>
  <r>
    <d v="2024-09-16T00:00:00"/>
    <d v="1899-12-30T17:56:00"/>
    <s v="Sugar 1/2 kg"/>
    <n v="1"/>
    <n v="90"/>
    <n v="60"/>
    <n v="30"/>
    <s v="Credit"/>
    <x v="21"/>
    <m/>
    <m/>
    <m/>
  </r>
  <r>
    <d v="2024-09-16T00:00:00"/>
    <d v="1899-12-30T17:56:00"/>
    <s v="Tukuza 1kg"/>
    <n v="1"/>
    <n v="90"/>
    <n v="61.25"/>
    <n v="28.75"/>
    <s v="Credit"/>
    <x v="2"/>
    <m/>
    <m/>
    <m/>
  </r>
  <r>
    <d v="2024-09-16T00:00:00"/>
    <d v="1899-12-30T17:56:00"/>
    <s v="Indomie chicken"/>
    <n v="2"/>
    <n v="100"/>
    <n v="75"/>
    <n v="25"/>
    <s v="Credit"/>
    <x v="2"/>
    <m/>
    <m/>
    <m/>
  </r>
  <r>
    <d v="2024-09-16T00:00:00"/>
    <d v="1899-12-30T17:56:00"/>
    <s v="Brookside milk 500ml"/>
    <n v="2"/>
    <n v="140"/>
    <n v="118"/>
    <n v="22"/>
    <s v="Credit"/>
    <x v="2"/>
    <m/>
    <m/>
    <m/>
  </r>
  <r>
    <d v="2024-09-16T00:00:00"/>
    <d v="1899-12-30T17:56:00"/>
    <s v="Festive Bread 400g"/>
    <n v="1"/>
    <n v="65"/>
    <n v="60"/>
    <n v="5"/>
    <s v="Credit"/>
    <x v="2"/>
    <m/>
    <m/>
    <m/>
  </r>
  <r>
    <d v="2024-09-16T00:00:00"/>
    <d v="1899-12-30T17:56:00"/>
    <s v="Hanaan Tissue"/>
    <n v="2"/>
    <n v="110"/>
    <n v="86"/>
    <n v="24"/>
    <s v="Credit"/>
    <x v="2"/>
    <m/>
    <m/>
    <m/>
  </r>
  <r>
    <d v="2024-09-16T00:00:00"/>
    <d v="1899-12-30T17:56:00"/>
    <s v="Geisha big"/>
    <n v="1"/>
    <n v="120"/>
    <n v="95"/>
    <n v="25"/>
    <s v="Credit"/>
    <x v="2"/>
    <m/>
    <m/>
    <m/>
  </r>
  <r>
    <d v="2024-09-16T00:00:00"/>
    <d v="1899-12-30T17:56:00"/>
    <s v="soda 500ml glass"/>
    <n v="5"/>
    <n v="275"/>
    <n v="250"/>
    <n v="25"/>
    <s v="Credit"/>
    <x v="2"/>
    <m/>
    <m/>
    <m/>
  </r>
  <r>
    <d v="2024-09-16T00:00:00"/>
    <d v="1899-12-30T18:07:00"/>
    <s v="eggs"/>
    <n v="2"/>
    <n v="40"/>
    <n v="28.666666666666668"/>
    <n v="11.333333333333332"/>
    <s v="Mpesa"/>
    <x v="2"/>
    <m/>
    <m/>
    <m/>
  </r>
  <r>
    <d v="2024-09-16T00:00:00"/>
    <d v="1899-12-30T18:22:00"/>
    <s v="Pencil"/>
    <n v="1"/>
    <n v="10"/>
    <n v="7.5"/>
    <n v="2.5"/>
    <s v="Credit"/>
    <x v="58"/>
    <m/>
    <m/>
    <m/>
  </r>
  <r>
    <d v="2024-09-16T00:00:00"/>
    <d v="1899-12-30T18:52:00"/>
    <s v="Safari"/>
    <n v="1"/>
    <n v="15"/>
    <n v="8.5"/>
    <n v="6.5"/>
    <s v="Mpesa"/>
    <x v="2"/>
    <m/>
    <m/>
    <m/>
  </r>
  <r>
    <d v="2024-09-16T00:00:00"/>
    <d v="1899-12-30T18:52:00"/>
    <s v="Cooking Oil Measured"/>
    <n v="0.25"/>
    <n v="70"/>
    <n v="50"/>
    <n v="20"/>
    <s v="Mpesa"/>
    <x v="2"/>
    <m/>
    <m/>
    <m/>
  </r>
  <r>
    <d v="2024-09-16T00:00:00"/>
    <d v="1899-12-30T09:58:00"/>
    <s v="Safari"/>
    <n v="2"/>
    <n v="30"/>
    <n v="17"/>
    <n v="13"/>
    <s v="Mpesa"/>
    <x v="2"/>
    <m/>
    <m/>
    <m/>
  </r>
  <r>
    <d v="2024-09-16T00:00:00"/>
    <d v="1899-12-30T19:22:00"/>
    <s v="Safari"/>
    <n v="3"/>
    <n v="45"/>
    <n v="25.5"/>
    <n v="19.5"/>
    <s v="Mpesa"/>
    <x v="2"/>
    <m/>
    <m/>
    <m/>
  </r>
  <r>
    <d v="2024-09-16T00:00:00"/>
    <d v="1899-12-30T19:22:00"/>
    <s v="Match Box"/>
    <n v="1"/>
    <n v="5"/>
    <n v="2.3611111111111112"/>
    <n v="2.6388888888888888"/>
    <s v="Mpesa"/>
    <x v="2"/>
    <m/>
    <m/>
    <m/>
  </r>
  <r>
    <d v="2024-09-16T00:00:00"/>
    <d v="1899-12-30T19:23:00"/>
    <s v="Festive 800g"/>
    <n v="1"/>
    <n v="130"/>
    <n v="120"/>
    <n v="10"/>
    <s v="Cash"/>
    <x v="2"/>
    <m/>
    <m/>
    <m/>
  </r>
  <r>
    <d v="2024-09-16T00:00:00"/>
    <d v="1899-12-30T19:23:00"/>
    <s v="BB Bread 400g"/>
    <n v="1"/>
    <n v="65"/>
    <n v="60"/>
    <n v="5"/>
    <s v="Credit"/>
    <x v="43"/>
    <m/>
    <m/>
    <m/>
  </r>
  <r>
    <d v="2024-09-16T00:00:00"/>
    <d v="1899-12-30T19:33:00"/>
    <s v="Festive Bread 400g"/>
    <n v="1"/>
    <n v="65"/>
    <n v="60"/>
    <n v="5"/>
    <s v="Mpesa"/>
    <x v="2"/>
    <m/>
    <m/>
    <m/>
  </r>
  <r>
    <d v="2024-09-16T00:00:00"/>
    <d v="1899-12-30T19:32:00"/>
    <s v="Safari"/>
    <n v="1"/>
    <n v="15"/>
    <n v="8.5"/>
    <n v="6.5"/>
    <s v="Mpesa"/>
    <x v="2"/>
    <m/>
    <m/>
    <m/>
  </r>
  <r>
    <d v="2024-09-16T00:00:00"/>
    <d v="1899-12-30T19:38:00"/>
    <s v="afia 500ml"/>
    <n v="1"/>
    <n v="85"/>
    <n v="70.833333333333329"/>
    <n v="14.166666666666671"/>
    <s v="Mpesa"/>
    <x v="2"/>
    <m/>
    <m/>
    <m/>
  </r>
  <r>
    <d v="2024-09-16T00:00:00"/>
    <d v="1899-12-30T19:39:00"/>
    <s v="Festive Bread 400g"/>
    <n v="1"/>
    <n v="65"/>
    <n v="60"/>
    <n v="5"/>
    <s v="Mpesa"/>
    <x v="2"/>
    <m/>
    <m/>
    <m/>
  </r>
  <r>
    <d v="2024-09-16T00:00:00"/>
    <d v="1899-12-30T19:49:00"/>
    <s v="Airtel 10 Credit"/>
    <n v="1"/>
    <n v="10"/>
    <n v="9"/>
    <n v="1"/>
    <s v="Mpesa"/>
    <x v="2"/>
    <m/>
    <m/>
    <m/>
  </r>
  <r>
    <d v="2024-09-16T00:00:00"/>
    <d v="1899-12-30T20:00:00"/>
    <s v="Mt Kenya milk 200ml"/>
    <n v="4"/>
    <n v="140"/>
    <n v="97.142857142857139"/>
    <n v="42.857142857142861"/>
    <s v="Mpesa"/>
    <x v="2"/>
    <m/>
    <m/>
    <m/>
  </r>
  <r>
    <d v="2024-09-16T00:00:00"/>
    <d v="1899-12-30T20:00:00"/>
    <s v="eggs"/>
    <n v="2"/>
    <n v="40"/>
    <n v="28.666666666666668"/>
    <n v="11.333333333333332"/>
    <s v="Mpesa"/>
    <x v="2"/>
    <m/>
    <m/>
    <m/>
  </r>
  <r>
    <d v="2024-09-17T00:00:00"/>
    <d v="1899-12-30T07:14:00"/>
    <s v="Menengai Bar 1kg"/>
    <n v="0.2"/>
    <n v="50"/>
    <n v="38"/>
    <n v="12"/>
    <s v="Mpesa"/>
    <x v="2"/>
    <m/>
    <m/>
    <m/>
  </r>
  <r>
    <d v="2024-09-17T00:00:00"/>
    <d v="1899-12-30T07:14:00"/>
    <s v="Banana"/>
    <n v="6"/>
    <n v="60"/>
    <n v="50"/>
    <n v="10"/>
    <s v="Mpesa"/>
    <x v="2"/>
    <m/>
    <m/>
    <m/>
  </r>
  <r>
    <d v="2024-09-17T00:00:00"/>
    <d v="1899-12-30T07:28:00"/>
    <s v="Safari"/>
    <n v="1"/>
    <n v="15"/>
    <n v="8.5"/>
    <n v="6.5"/>
    <s v="Mpesa"/>
    <x v="2"/>
    <m/>
    <m/>
    <m/>
  </r>
  <r>
    <d v="2024-09-17T00:00:00"/>
    <d v="1899-12-30T08:44:00"/>
    <s v="Match Box"/>
    <n v="2"/>
    <n v="10"/>
    <n v="4.7222222222222223"/>
    <n v="5.2777777777777777"/>
    <s v="Mpesa"/>
    <x v="2"/>
    <m/>
    <m/>
    <m/>
  </r>
  <r>
    <d v="2024-09-17T00:00:00"/>
    <d v="1899-12-30T08:44:00"/>
    <s v="Gomba"/>
    <n v="2"/>
    <n v="5"/>
    <n v="3.6"/>
    <n v="1.4"/>
    <s v="Mpesa"/>
    <x v="2"/>
    <m/>
    <m/>
    <m/>
  </r>
  <r>
    <d v="2024-09-17T00:00:00"/>
    <d v="1899-12-30T08:45:00"/>
    <s v="Soko Maize meal"/>
    <n v="1"/>
    <n v="160"/>
    <n v="125"/>
    <n v="35"/>
    <s v="Credit"/>
    <x v="39"/>
    <m/>
    <m/>
    <m/>
  </r>
  <r>
    <d v="2024-09-17T00:00:00"/>
    <d v="1899-12-30T08:45:00"/>
    <s v="Safari"/>
    <n v="1"/>
    <n v="15"/>
    <n v="8.5"/>
    <n v="6.5"/>
    <s v="Cash"/>
    <x v="2"/>
    <m/>
    <m/>
    <m/>
  </r>
  <r>
    <d v="2024-09-17T00:00:00"/>
    <d v="1899-12-30T08:45:00"/>
    <s v="BB Bread 400g"/>
    <n v="1"/>
    <n v="65"/>
    <n v="60"/>
    <n v="5"/>
    <s v="Cash"/>
    <x v="2"/>
    <m/>
    <m/>
    <m/>
  </r>
  <r>
    <d v="2024-09-17T00:00:00"/>
    <d v="1899-12-30T09:41:00"/>
    <s v="Safaricom 20 Credit"/>
    <n v="1"/>
    <n v="20"/>
    <n v="18"/>
    <n v="2"/>
    <s v="Cash"/>
    <x v="2"/>
    <m/>
    <m/>
    <m/>
  </r>
  <r>
    <d v="2024-09-17T00:00:00"/>
    <d v="1899-12-30T09:41:00"/>
    <s v="Airtel 20 Credit"/>
    <n v="1"/>
    <n v="20"/>
    <n v="18"/>
    <n v="2"/>
    <s v="Cash"/>
    <x v="2"/>
    <m/>
    <m/>
    <m/>
  </r>
  <r>
    <d v="2024-09-17T00:00:00"/>
    <d v="1899-12-30T09:44:00"/>
    <s v="Ginger Bisquit"/>
    <n v="6"/>
    <n v="30"/>
    <n v="26"/>
    <n v="4"/>
    <s v="Cash"/>
    <x v="2"/>
    <m/>
    <m/>
    <m/>
  </r>
  <r>
    <d v="2024-09-17T00:00:00"/>
    <d v="1899-12-30T10:19:00"/>
    <s v="Indomie chicken"/>
    <n v="2"/>
    <n v="100"/>
    <n v="75"/>
    <n v="25"/>
    <s v="Cash"/>
    <x v="2"/>
    <m/>
    <m/>
    <m/>
  </r>
  <r>
    <d v="2024-09-17T00:00:00"/>
    <d v="1899-12-30T11:12:00"/>
    <s v="Safari"/>
    <n v="1"/>
    <n v="15"/>
    <n v="8.5"/>
    <n v="6.5"/>
    <s v="Mpesa"/>
    <x v="2"/>
    <m/>
    <m/>
    <m/>
  </r>
  <r>
    <d v="2024-09-17T00:00:00"/>
    <d v="1899-12-30T11:41:00"/>
    <s v="Maramoja"/>
    <n v="1"/>
    <n v="10"/>
    <n v="7"/>
    <n v="3"/>
    <s v="Mpesa"/>
    <x v="2"/>
    <m/>
    <m/>
    <m/>
  </r>
  <r>
    <d v="2024-09-17T00:00:00"/>
    <d v="1899-12-30T12:04:00"/>
    <s v="mosquito stick"/>
    <n v="3"/>
    <n v="30"/>
    <n v="27"/>
    <n v="3"/>
    <s v="Mpesa"/>
    <x v="2"/>
    <m/>
    <m/>
    <m/>
  </r>
  <r>
    <d v="2024-09-17T00:00:00"/>
    <d v="1899-12-30T13:05:00"/>
    <s v="eggs"/>
    <n v="3"/>
    <n v="60"/>
    <n v="43"/>
    <n v="17"/>
    <s v="Mpesa"/>
    <x v="2"/>
    <m/>
    <m/>
    <m/>
  </r>
  <r>
    <d v="2024-09-17T00:00:00"/>
    <d v="1899-12-30T13:05:00"/>
    <s v="BB Bread 400g"/>
    <n v="1"/>
    <n v="65"/>
    <n v="60"/>
    <n v="5"/>
    <s v="Mpesa"/>
    <x v="2"/>
    <m/>
    <m/>
    <m/>
  </r>
  <r>
    <d v="2024-09-17T00:00:00"/>
    <d v="1899-12-30T13:14:00"/>
    <s v="omo 75g"/>
    <n v="1"/>
    <n v="35"/>
    <n v="27.5"/>
    <n v="7.5"/>
    <s v="Mpesa"/>
    <x v="2"/>
    <m/>
    <m/>
    <m/>
  </r>
  <r>
    <d v="2024-09-17T00:00:00"/>
    <d v="1899-12-30T13:14:00"/>
    <m/>
    <m/>
    <m/>
    <m/>
    <m/>
    <m/>
    <x v="2"/>
    <s v="Pauline"/>
    <n v="390"/>
    <s v="Mpesa"/>
  </r>
  <r>
    <d v="2024-09-17T00:00:00"/>
    <d v="1899-12-30T13:14:00"/>
    <s v="Safaricom 10 Credit"/>
    <n v="1"/>
    <n v="10"/>
    <n v="9"/>
    <n v="1"/>
    <s v="Cash"/>
    <x v="2"/>
    <m/>
    <m/>
    <m/>
  </r>
  <r>
    <d v="2024-09-17T00:00:00"/>
    <d v="1899-12-30T13:32:00"/>
    <s v="soda 300ml glass"/>
    <n v="1"/>
    <n v="40"/>
    <n v="32.5"/>
    <n v="7.5"/>
    <s v="Mpesa"/>
    <x v="2"/>
    <m/>
    <m/>
    <m/>
  </r>
  <r>
    <d v="2024-09-17T00:00:00"/>
    <d v="1899-12-30T13:32:00"/>
    <s v="Kinangop Fresh Milk 500ml"/>
    <n v="1"/>
    <n v="60"/>
    <n v="55"/>
    <n v="5"/>
    <s v="Mpesa"/>
    <x v="2"/>
    <m/>
    <m/>
    <m/>
  </r>
  <r>
    <d v="2024-09-17T00:00:00"/>
    <d v="1899-12-30T13:52:00"/>
    <s v="Kinangop Fresh Milk 500ml"/>
    <n v="2"/>
    <n v="120"/>
    <n v="110"/>
    <n v="10"/>
    <s v="Cash"/>
    <x v="2"/>
    <m/>
    <m/>
    <m/>
  </r>
  <r>
    <d v="2024-09-17T00:00:00"/>
    <d v="1899-12-30T13:52:00"/>
    <s v="BB Bread 400g"/>
    <n v="1"/>
    <n v="65"/>
    <n v="60"/>
    <n v="5"/>
    <s v="Cash"/>
    <x v="2"/>
    <m/>
    <m/>
    <m/>
  </r>
  <r>
    <d v="2024-09-17T00:00:00"/>
    <d v="1899-12-30T13:52:00"/>
    <s v="Airtel 20 Credit"/>
    <n v="1"/>
    <n v="20"/>
    <n v="18"/>
    <n v="2"/>
    <s v="Cash"/>
    <x v="2"/>
    <m/>
    <m/>
    <m/>
  </r>
  <r>
    <d v="2024-09-17T00:00:00"/>
    <d v="1899-12-30T14:18:00"/>
    <s v="Indomie beef"/>
    <n v="1"/>
    <n v="50"/>
    <n v="38"/>
    <n v="12"/>
    <s v="Mpesa"/>
    <x v="2"/>
    <m/>
    <m/>
    <m/>
  </r>
  <r>
    <d v="2024-09-17T00:00:00"/>
    <d v="1899-12-30T14:18:00"/>
    <s v="Banana"/>
    <n v="1"/>
    <n v="10"/>
    <n v="8.3333333333333339"/>
    <n v="1.6666666666666661"/>
    <s v="Mpesa"/>
    <x v="2"/>
    <m/>
    <m/>
    <m/>
  </r>
  <r>
    <d v="2024-09-17T00:00:00"/>
    <d v="1899-12-30T14:37:00"/>
    <s v="smash juice"/>
    <n v="1"/>
    <n v="20"/>
    <n v="15"/>
    <n v="5"/>
    <s v="Mpesa"/>
    <x v="2"/>
    <m/>
    <m/>
    <m/>
  </r>
  <r>
    <d v="2024-09-17T00:00:00"/>
    <d v="1899-12-30T14:37:00"/>
    <s v="Banana"/>
    <n v="1"/>
    <n v="10"/>
    <n v="8.3333333333333339"/>
    <n v="1.6666666666666661"/>
    <s v="Mpesa"/>
    <x v="2"/>
    <m/>
    <m/>
    <m/>
  </r>
  <r>
    <d v="2024-09-17T00:00:00"/>
    <d v="1899-12-30T14:37:00"/>
    <s v="Icepop"/>
    <n v="1"/>
    <n v="15"/>
    <n v="7.5"/>
    <n v="7.5"/>
    <s v="Mpesa"/>
    <x v="2"/>
    <m/>
    <m/>
    <m/>
  </r>
  <r>
    <d v="2024-09-17T00:00:00"/>
    <d v="1899-12-30T14:44:00"/>
    <s v="Safari"/>
    <n v="1"/>
    <n v="15"/>
    <n v="8.5"/>
    <n v="6.5"/>
    <s v="Mpesa"/>
    <x v="2"/>
    <m/>
    <m/>
    <m/>
  </r>
  <r>
    <d v="2024-09-17T00:00:00"/>
    <d v="1899-12-30T14:44:00"/>
    <s v="Banana"/>
    <n v="1"/>
    <n v="10"/>
    <n v="8.3333333333333339"/>
    <n v="1.6666666666666661"/>
    <s v="Mpesa"/>
    <x v="2"/>
    <m/>
    <m/>
    <m/>
  </r>
  <r>
    <d v="2024-09-17T00:00:00"/>
    <d v="1899-12-30T14:44:00"/>
    <s v="Glucose 10g"/>
    <n v="1"/>
    <n v="5"/>
    <n v="3.75"/>
    <n v="1.25"/>
    <s v="Mpesa"/>
    <x v="2"/>
    <s v="Mark"/>
    <n v="185"/>
    <s v="Mpesa"/>
  </r>
  <r>
    <d v="2024-09-17T00:00:00"/>
    <d v="1899-12-30T15:06:00"/>
    <s v="Nuvita Bisquit"/>
    <n v="2"/>
    <n v="10"/>
    <n v="8.3333333333333339"/>
    <n v="1.6666666666666661"/>
    <s v="Cash"/>
    <x v="2"/>
    <m/>
    <m/>
    <m/>
  </r>
  <r>
    <d v="2024-09-17T00:00:00"/>
    <d v="1899-12-30T15:29:00"/>
    <s v="Cooking Oil Measured"/>
    <n v="0.25"/>
    <n v="70"/>
    <n v="50"/>
    <n v="20"/>
    <s v="Mpesa"/>
    <x v="2"/>
    <m/>
    <m/>
    <m/>
  </r>
  <r>
    <d v="2024-09-17T00:00:00"/>
    <d v="1899-12-30T16:06:00"/>
    <s v="Ndengu"/>
    <n v="0.5"/>
    <n v="80"/>
    <n v="60"/>
    <n v="20"/>
    <s v="Mpesa"/>
    <x v="2"/>
    <m/>
    <m/>
    <m/>
  </r>
  <r>
    <d v="2024-09-17T00:00:00"/>
    <d v="1899-12-30T16:12:00"/>
    <s v="Safari"/>
    <n v="1"/>
    <n v="15"/>
    <n v="8.5"/>
    <n v="6.5"/>
    <s v="Mpesa"/>
    <x v="2"/>
    <m/>
    <m/>
    <m/>
  </r>
  <r>
    <d v="2024-09-17T00:00:00"/>
    <d v="1899-12-30T16:12:00"/>
    <s v="Icepop"/>
    <n v="1"/>
    <n v="15"/>
    <n v="7.5"/>
    <n v="7.5"/>
    <s v="Cash"/>
    <x v="2"/>
    <m/>
    <m/>
    <m/>
  </r>
  <r>
    <d v="2024-09-17T00:00:00"/>
    <d v="1899-12-30T16:12:00"/>
    <s v="Nuvita Bisquit"/>
    <n v="1"/>
    <n v="5"/>
    <n v="4.166666666666667"/>
    <n v="0.83333333333333304"/>
    <s v="Cash"/>
    <x v="2"/>
    <m/>
    <m/>
    <m/>
  </r>
  <r>
    <d v="2024-09-17T00:00:00"/>
    <d v="1899-12-30T17:21:00"/>
    <s v="Mt Kenya milk 200ml"/>
    <n v="1"/>
    <n v="35"/>
    <n v="24.285714285714285"/>
    <n v="10.714285714285715"/>
    <s v="Cash"/>
    <x v="2"/>
    <m/>
    <m/>
    <m/>
  </r>
  <r>
    <d v="2024-09-17T00:00:00"/>
    <d v="1899-12-30T17:31:00"/>
    <s v="Sharpener"/>
    <n v="1"/>
    <n v="15"/>
    <n v="5"/>
    <n v="10"/>
    <s v="Cash"/>
    <x v="2"/>
    <m/>
    <m/>
    <m/>
  </r>
  <r>
    <d v="2024-09-17T00:00:00"/>
    <d v="1899-12-30T17:31:00"/>
    <s v="Bella Tissue"/>
    <n v="1"/>
    <n v="50"/>
    <n v="35"/>
    <n v="15"/>
    <s v="Mpesa"/>
    <x v="2"/>
    <m/>
    <m/>
    <m/>
  </r>
  <r>
    <d v="2024-09-17T00:00:00"/>
    <d v="1899-12-30T19:00:00"/>
    <s v="Mt kenya milk 500ml"/>
    <n v="2"/>
    <n v="130"/>
    <n v="96.666666666666671"/>
    <n v="33.333333333333329"/>
    <s v="Credit"/>
    <x v="54"/>
    <m/>
    <m/>
    <m/>
  </r>
  <r>
    <d v="2024-09-17T00:00:00"/>
    <d v="1899-12-30T19:00:00"/>
    <s v="Cooking Oil Measured"/>
    <n v="0.5"/>
    <n v="140"/>
    <n v="100"/>
    <n v="40"/>
    <s v="Credit"/>
    <x v="54"/>
    <m/>
    <m/>
    <m/>
  </r>
  <r>
    <d v="2024-09-17T00:00:00"/>
    <d v="1899-12-30T19:00:00"/>
    <s v="Whitewash "/>
    <n v="1"/>
    <n v="50"/>
    <n v="33.75"/>
    <n v="16.25"/>
    <s v="Credit"/>
    <x v="54"/>
    <m/>
    <m/>
    <m/>
  </r>
  <r>
    <d v="2024-09-17T00:00:00"/>
    <d v="1899-12-30T19:00:00"/>
    <s v="Tomatoes"/>
    <n v="5"/>
    <n v="50"/>
    <n v="25"/>
    <n v="25"/>
    <s v="Credit"/>
    <x v="54"/>
    <m/>
    <m/>
    <m/>
  </r>
  <r>
    <d v="2024-09-17T00:00:00"/>
    <d v="1899-12-30T19:00:00"/>
    <s v="Onion"/>
    <n v="5"/>
    <n v="50"/>
    <n v="40"/>
    <n v="10"/>
    <s v="Cash"/>
    <x v="2"/>
    <m/>
    <m/>
    <m/>
  </r>
  <r>
    <d v="2024-09-17T00:00:00"/>
    <d v="1899-12-30T19:02:00"/>
    <s v="Safari"/>
    <n v="5"/>
    <n v="75"/>
    <n v="42.5"/>
    <n v="32.5"/>
    <s v="Mpesa"/>
    <x v="2"/>
    <m/>
    <m/>
    <m/>
  </r>
  <r>
    <d v="2024-09-17T00:00:00"/>
    <d v="1899-12-30T19:11:00"/>
    <s v="Safari"/>
    <n v="1"/>
    <n v="15"/>
    <n v="8.5"/>
    <n v="6.5"/>
    <s v="Mpesa"/>
    <x v="2"/>
    <m/>
    <m/>
    <m/>
  </r>
  <r>
    <d v="2024-09-17T00:00:00"/>
    <d v="1899-12-30T19:11:00"/>
    <s v="mosquito stick"/>
    <n v="3"/>
    <n v="30"/>
    <n v="27"/>
    <n v="3"/>
    <s v="Mpesa"/>
    <x v="2"/>
    <m/>
    <m/>
    <m/>
  </r>
  <r>
    <d v="2024-09-17T00:00:00"/>
    <d v="1899-12-30T19:24:00"/>
    <s v="Glycerine"/>
    <n v="1"/>
    <n v="50"/>
    <n v="41.666666666666664"/>
    <n v="8.3333333333333357"/>
    <s v="Mpesa"/>
    <x v="2"/>
    <m/>
    <m/>
    <m/>
  </r>
  <r>
    <d v="2024-09-17T00:00:00"/>
    <d v="1899-12-30T19:08:00"/>
    <s v="Banana"/>
    <n v="1"/>
    <n v="10"/>
    <n v="8.3333333333333339"/>
    <n v="1.6666666666666661"/>
    <s v="Mpesa"/>
    <x v="2"/>
    <s v="Lemox"/>
    <n v="400"/>
    <s v="Mpesa"/>
  </r>
  <r>
    <d v="2024-09-17T00:00:00"/>
    <d v="1899-12-30T20:17:00"/>
    <s v="Safari"/>
    <n v="1"/>
    <n v="15"/>
    <n v="8.5"/>
    <n v="6.5"/>
    <s v="Mpesa"/>
    <x v="2"/>
    <s v="Vivian"/>
    <n v="50"/>
    <s v="Cash"/>
  </r>
  <r>
    <d v="2024-09-17T00:00:00"/>
    <d v="1899-12-30T07:00:00"/>
    <s v="Tomatoes"/>
    <n v="5"/>
    <n v="50"/>
    <n v="25"/>
    <n v="25"/>
    <s v="Cash"/>
    <x v="2"/>
    <m/>
    <m/>
    <m/>
  </r>
  <r>
    <d v="2024-09-18T00:00:00"/>
    <d v="1899-12-30T08:30:00"/>
    <s v="Banana"/>
    <n v="1"/>
    <n v="10"/>
    <n v="8.3333333333333339"/>
    <n v="1.6666666666666661"/>
    <s v="Cash"/>
    <x v="2"/>
    <m/>
    <m/>
    <m/>
  </r>
  <r>
    <d v="2024-09-18T00:00:00"/>
    <d v="1899-12-30T08:30:00"/>
    <s v="Ringoz Paprika"/>
    <n v="1"/>
    <n v="15"/>
    <n v="8.8000000000000007"/>
    <n v="6.1999999999999993"/>
    <s v="Cash"/>
    <x v="2"/>
    <m/>
    <m/>
    <m/>
  </r>
  <r>
    <d v="2024-09-18T00:00:00"/>
    <d v="1899-12-30T08:30:00"/>
    <s v="Baloon"/>
    <n v="1"/>
    <n v="10"/>
    <n v="6"/>
    <n v="4"/>
    <s v="Cash"/>
    <x v="2"/>
    <m/>
    <m/>
    <m/>
  </r>
  <r>
    <d v="2024-09-18T00:00:00"/>
    <d v="1899-12-30T08:44:00"/>
    <s v="Festive Bread 400g"/>
    <n v="1"/>
    <n v="65"/>
    <n v="60"/>
    <n v="5"/>
    <s v="Cash"/>
    <x v="2"/>
    <m/>
    <m/>
    <m/>
  </r>
  <r>
    <d v="2024-09-18T00:00:00"/>
    <d v="1899-12-30T08:45:00"/>
    <s v="Mt kenya milk 500ml"/>
    <n v="1"/>
    <n v="65"/>
    <n v="48.333333333333336"/>
    <n v="16.666666666666664"/>
    <s v="Mpesa"/>
    <x v="2"/>
    <m/>
    <m/>
    <m/>
  </r>
  <r>
    <d v="2024-09-18T00:00:00"/>
    <d v="1899-12-30T08:51:00"/>
    <s v="action"/>
    <n v="1"/>
    <n v="10"/>
    <n v="6"/>
    <n v="4"/>
    <s v="Mpesa"/>
    <x v="2"/>
    <m/>
    <m/>
    <m/>
  </r>
  <r>
    <d v="2024-09-18T00:00:00"/>
    <d v="1899-12-30T10:30:00"/>
    <s v="Kinangop Fresh Milk 500ml"/>
    <n v="1"/>
    <n v="60"/>
    <n v="55"/>
    <n v="5"/>
    <s v="Mpesa"/>
    <x v="2"/>
    <m/>
    <m/>
    <m/>
  </r>
  <r>
    <d v="2024-09-18T00:00:00"/>
    <d v="1899-12-30T10:30:00"/>
    <s v="Safari"/>
    <n v="1"/>
    <n v="15"/>
    <n v="8.5"/>
    <n v="6.5"/>
    <s v="Cash"/>
    <x v="2"/>
    <m/>
    <m/>
    <m/>
  </r>
  <r>
    <d v="2024-09-18T00:00:00"/>
    <d v="1899-12-30T11:09:00"/>
    <s v="Cooking Oil Measured"/>
    <n v="0.25"/>
    <n v="70"/>
    <n v="50"/>
    <n v="20"/>
    <s v="Mpesa"/>
    <x v="2"/>
    <m/>
    <m/>
    <m/>
  </r>
  <r>
    <d v="2024-09-18T00:00:00"/>
    <d v="1899-12-30T11:09:00"/>
    <s v="Airtel 20 Credit"/>
    <n v="2"/>
    <n v="40"/>
    <n v="36"/>
    <n v="4"/>
    <s v="Cash"/>
    <x v="2"/>
    <m/>
    <m/>
    <m/>
  </r>
  <r>
    <d v="2024-09-18T00:00:00"/>
    <d v="1899-12-30T11:00:00"/>
    <s v="Bella Tissue"/>
    <n v="1"/>
    <n v="50"/>
    <n v="35"/>
    <n v="15"/>
    <s v="Mpesa"/>
    <x v="2"/>
    <m/>
    <m/>
    <m/>
  </r>
  <r>
    <d v="2024-09-18T00:00:00"/>
    <d v="1899-12-30T11:07:00"/>
    <s v="eggs"/>
    <n v="2"/>
    <n v="40"/>
    <n v="28.666666666666668"/>
    <n v="11.333333333333332"/>
    <s v="Mpesa"/>
    <x v="2"/>
    <m/>
    <m/>
    <m/>
  </r>
  <r>
    <d v="2024-09-18T00:00:00"/>
    <d v="1899-12-30T11:44:00"/>
    <s v="Sindano rice"/>
    <n v="0.25"/>
    <n v="37.5"/>
    <n v="30"/>
    <n v="7.5"/>
    <s v="Mpesa"/>
    <x v="2"/>
    <m/>
    <m/>
    <m/>
  </r>
  <r>
    <d v="2024-09-18T00:00:00"/>
    <d v="1899-12-30T12:01:00"/>
    <s v="soda 500ml plastic"/>
    <n v="1"/>
    <n v="70"/>
    <n v="60.416666666666664"/>
    <n v="9.5833333333333357"/>
    <s v="Mpesa"/>
    <x v="2"/>
    <m/>
    <m/>
    <m/>
  </r>
  <r>
    <d v="2024-09-18T00:00:00"/>
    <d v="1899-12-30T12:06:00"/>
    <s v="Tomatoes"/>
    <n v="3"/>
    <n v="30"/>
    <n v="15"/>
    <n v="15"/>
    <s v="Mpesa"/>
    <x v="2"/>
    <m/>
    <m/>
    <m/>
  </r>
  <r>
    <d v="2024-09-18T00:00:00"/>
    <d v="1899-12-30T12:06:00"/>
    <s v="Onion"/>
    <n v="3"/>
    <n v="30"/>
    <n v="24"/>
    <n v="6"/>
    <s v="Mpesa"/>
    <x v="2"/>
    <m/>
    <m/>
    <m/>
  </r>
  <r>
    <d v="2024-09-18T00:00:00"/>
    <d v="1899-12-30T13:17:00"/>
    <s v="Kdf"/>
    <n v="3"/>
    <n v="30"/>
    <n v="25"/>
    <n v="5"/>
    <s v="Mpesa"/>
    <x v="2"/>
    <m/>
    <m/>
    <m/>
  </r>
  <r>
    <d v="2024-09-18T00:00:00"/>
    <d v="1899-12-30T13:17:00"/>
    <s v="Banana"/>
    <n v="1"/>
    <n v="10"/>
    <n v="8.3333333333333339"/>
    <n v="1.6666666666666661"/>
    <s v="Mpesa"/>
    <x v="2"/>
    <m/>
    <m/>
    <m/>
  </r>
  <r>
    <d v="2024-09-18T00:00:00"/>
    <d v="1899-12-30T13:17:00"/>
    <s v="Lollipop"/>
    <n v="1"/>
    <n v="5"/>
    <n v="2.4"/>
    <n v="2.6"/>
    <s v="Mpesa"/>
    <x v="2"/>
    <m/>
    <m/>
    <m/>
  </r>
  <r>
    <d v="2024-09-18T00:00:00"/>
    <d v="1899-12-30T13:19:00"/>
    <s v="predator"/>
    <n v="1"/>
    <n v="70"/>
    <n v="54.166666666666664"/>
    <n v="15.833333333333336"/>
    <s v="Credit"/>
    <x v="19"/>
    <m/>
    <m/>
    <m/>
  </r>
  <r>
    <d v="2024-09-18T00:00:00"/>
    <d v="1899-12-30T13:51:00"/>
    <s v="Kinangop Fresh Milk 500ml"/>
    <n v="2"/>
    <n v="120"/>
    <n v="110"/>
    <n v="10"/>
    <s v="Cash"/>
    <x v="2"/>
    <m/>
    <m/>
    <m/>
  </r>
  <r>
    <d v="2024-09-18T00:00:00"/>
    <d v="1899-12-30T13:51:00"/>
    <s v="Kdf"/>
    <n v="5"/>
    <n v="50"/>
    <n v="41.666666666666671"/>
    <n v="8.3333333333333286"/>
    <s v="Cash"/>
    <x v="2"/>
    <m/>
    <m/>
    <m/>
  </r>
  <r>
    <d v="2024-09-18T00:00:00"/>
    <d v="1899-12-30T13:53:00"/>
    <s v="eggs"/>
    <n v="2"/>
    <n v="40"/>
    <n v="28.666666666666668"/>
    <n v="11.333333333333332"/>
    <s v="Mpesa"/>
    <x v="2"/>
    <m/>
    <m/>
    <m/>
  </r>
  <r>
    <d v="2024-09-18T00:00:00"/>
    <d v="1899-12-30T13:53:00"/>
    <s v="Safari"/>
    <n v="2"/>
    <n v="30"/>
    <n v="17"/>
    <n v="13"/>
    <s v="Mpesa"/>
    <x v="2"/>
    <m/>
    <m/>
    <m/>
  </r>
  <r>
    <d v="2024-09-18T00:00:00"/>
    <d v="1899-12-30T13:53:00"/>
    <s v="Tomatoes"/>
    <n v="1"/>
    <n v="10"/>
    <n v="5"/>
    <n v="5"/>
    <s v="Mpesa"/>
    <x v="2"/>
    <m/>
    <m/>
    <m/>
  </r>
  <r>
    <d v="2024-09-18T00:00:00"/>
    <d v="1899-12-30T14:10:00"/>
    <s v="Safari"/>
    <n v="1"/>
    <n v="15"/>
    <n v="8.5"/>
    <n v="6.5"/>
    <s v="Mpesa"/>
    <x v="2"/>
    <m/>
    <m/>
    <m/>
  </r>
  <r>
    <d v="2024-09-18T00:00:00"/>
    <d v="1899-12-30T14:10:00"/>
    <s v="Mt kenya milk 500ml"/>
    <n v="1"/>
    <n v="65"/>
    <n v="48.333333333333336"/>
    <n v="16.666666666666664"/>
    <s v="Mpesa"/>
    <x v="2"/>
    <m/>
    <m/>
    <m/>
  </r>
  <r>
    <d v="2024-09-18T00:00:00"/>
    <d v="1899-12-30T14:10:00"/>
    <s v="Kdf"/>
    <n v="2"/>
    <n v="20"/>
    <n v="16.666666666666668"/>
    <n v="3.3333333333333321"/>
    <s v="Mpesa"/>
    <x v="2"/>
    <m/>
    <m/>
    <m/>
  </r>
  <r>
    <d v="2024-09-18T00:00:00"/>
    <d v="1899-12-30T15:09:00"/>
    <s v="Indomie beef"/>
    <n v="1"/>
    <n v="50"/>
    <n v="38"/>
    <n v="12"/>
    <s v="Cash"/>
    <x v="2"/>
    <m/>
    <m/>
    <m/>
  </r>
  <r>
    <d v="2024-09-18T00:00:00"/>
    <d v="1899-12-30T15:09:00"/>
    <s v="Match Box"/>
    <n v="1"/>
    <n v="5"/>
    <n v="2.3611111111111112"/>
    <n v="2.6388888888888888"/>
    <s v="Cash"/>
    <x v="2"/>
    <m/>
    <m/>
    <m/>
  </r>
  <r>
    <d v="2024-09-18T00:00:00"/>
    <d v="1899-12-30T15:40:00"/>
    <s v="Nuvita Bisquit"/>
    <n v="2"/>
    <n v="10"/>
    <n v="8.3333333333333339"/>
    <n v="1.6666666666666661"/>
    <s v="Mpesa"/>
    <x v="2"/>
    <m/>
    <m/>
    <m/>
  </r>
  <r>
    <d v="2024-09-18T00:00:00"/>
    <d v="1899-12-30T16:22:00"/>
    <s v="Family bisquit"/>
    <n v="1"/>
    <n v="35"/>
    <n v="23.333333333333332"/>
    <n v="11.666666666666668"/>
    <s v="Cash"/>
    <x v="2"/>
    <m/>
    <m/>
    <m/>
  </r>
  <r>
    <d v="2024-09-18T00:00:00"/>
    <d v="1899-12-30T16:22:00"/>
    <s v="Ngumu"/>
    <n v="1"/>
    <n v="10"/>
    <n v="8.3333333333333339"/>
    <n v="1.6666666666666661"/>
    <s v="Cash"/>
    <x v="2"/>
    <m/>
    <m/>
    <m/>
  </r>
  <r>
    <d v="2024-09-18T00:00:00"/>
    <d v="1899-12-30T16:25:00"/>
    <s v="Indomie beef"/>
    <n v="1"/>
    <n v="50"/>
    <n v="38"/>
    <n v="12"/>
    <s v="Cash"/>
    <x v="2"/>
    <m/>
    <m/>
    <m/>
  </r>
  <r>
    <d v="2024-09-18T00:00:00"/>
    <d v="1899-12-30T16:46:00"/>
    <s v="omo 20g"/>
    <n v="2"/>
    <n v="30"/>
    <n v="18.333333333333332"/>
    <n v="11.666666666666668"/>
    <s v="Mpesa"/>
    <x v="2"/>
    <m/>
    <m/>
    <m/>
  </r>
  <r>
    <d v="2024-09-18T00:00:00"/>
    <d v="1899-12-30T16:46:00"/>
    <s v="Mt Kenya milk 200ml"/>
    <n v="1"/>
    <n v="35"/>
    <n v="24.285714285714285"/>
    <n v="10.714285714285715"/>
    <s v="Mpesa"/>
    <x v="2"/>
    <m/>
    <m/>
    <m/>
  </r>
  <r>
    <d v="2024-09-18T00:00:00"/>
    <d v="1899-12-30T12:16:00"/>
    <s v="soda 300ml glass"/>
    <n v="1"/>
    <n v="40"/>
    <n v="32.5"/>
    <n v="7.5"/>
    <s v="Credit"/>
    <x v="23"/>
    <m/>
    <m/>
    <m/>
  </r>
  <r>
    <d v="2024-09-18T00:00:00"/>
    <d v="1899-12-30T17:28:00"/>
    <s v="Bigdaddy"/>
    <n v="4"/>
    <n v="40"/>
    <n v="24"/>
    <n v="16"/>
    <s v="Cash"/>
    <x v="2"/>
    <m/>
    <m/>
    <m/>
  </r>
  <r>
    <d v="2024-09-18T00:00:00"/>
    <d v="1899-12-30T18:50:00"/>
    <s v="Mt kenya milk 500ml"/>
    <n v="1"/>
    <n v="65"/>
    <n v="48.333333333333336"/>
    <n v="16.666666666666664"/>
    <s v="Mpesa"/>
    <x v="2"/>
    <m/>
    <m/>
    <m/>
  </r>
  <r>
    <d v="2024-09-18T00:00:00"/>
    <d v="1899-12-30T18:50:00"/>
    <s v="kabras sugar 1kg"/>
    <n v="1"/>
    <n v="180"/>
    <n v="140"/>
    <n v="40"/>
    <s v="Cash"/>
    <x v="2"/>
    <m/>
    <m/>
    <m/>
  </r>
  <r>
    <d v="2024-09-18T00:00:00"/>
    <d v="1899-12-30T19:03:00"/>
    <s v="Masking Tape"/>
    <n v="2"/>
    <n v="60"/>
    <n v="41.666666666666664"/>
    <n v="18.333333333333336"/>
    <s v="Mpesa"/>
    <x v="2"/>
    <m/>
    <m/>
    <m/>
  </r>
  <r>
    <d v="2024-09-18T00:00:00"/>
    <d v="1899-12-30T19:07:00"/>
    <s v="Safari"/>
    <n v="1"/>
    <n v="15"/>
    <n v="8.5"/>
    <n v="6.5"/>
    <s v="Cash"/>
    <x v="2"/>
    <m/>
    <m/>
    <m/>
  </r>
  <r>
    <d v="2024-09-18T00:00:00"/>
    <d v="1899-12-30T19:41:00"/>
    <s v="Cooking Oil Measured"/>
    <n v="0.25"/>
    <n v="70"/>
    <n v="50"/>
    <n v="20"/>
    <s v="Mpesa"/>
    <x v="2"/>
    <m/>
    <m/>
    <m/>
  </r>
  <r>
    <d v="2024-09-18T00:00:00"/>
    <d v="1899-12-30T19:45:00"/>
    <s v="Kdf"/>
    <n v="3"/>
    <n v="30"/>
    <n v="25"/>
    <n v="5"/>
    <s v="Mpesa"/>
    <x v="2"/>
    <m/>
    <m/>
    <m/>
  </r>
  <r>
    <d v="2024-09-18T00:00:00"/>
    <d v="1899-12-30T19:45:00"/>
    <s v="Safari"/>
    <n v="1"/>
    <n v="15"/>
    <n v="8.5"/>
    <n v="6.5"/>
    <s v="Mpesa"/>
    <x v="2"/>
    <s v="Ruth "/>
    <n v="2075"/>
    <s v="Mpesa"/>
  </r>
  <r>
    <d v="2024-09-18T00:00:00"/>
    <d v="1899-12-30T19:54:00"/>
    <s v="Tomatoes"/>
    <n v="2"/>
    <n v="20"/>
    <n v="10"/>
    <n v="10"/>
    <s v="Mpesa"/>
    <x v="2"/>
    <m/>
    <m/>
    <m/>
  </r>
  <r>
    <d v="2024-09-18T00:00:00"/>
    <d v="1899-12-30T20:09:00"/>
    <s v="Pembe 2kg"/>
    <n v="1"/>
    <n v="160"/>
    <n v="123.33333333333333"/>
    <n v="36.666666666666671"/>
    <s v="Cash"/>
    <x v="2"/>
    <m/>
    <m/>
    <m/>
  </r>
  <r>
    <d v="2024-09-18T00:00:00"/>
    <d v="1899-12-30T20:09:00"/>
    <s v="Downy sunrise fresh"/>
    <n v="2"/>
    <n v="40"/>
    <n v="34.666666666666664"/>
    <n v="5.3333333333333357"/>
    <s v="Cash"/>
    <x v="2"/>
    <m/>
    <m/>
    <m/>
  </r>
  <r>
    <d v="2024-09-18T00:00:00"/>
    <d v="1899-12-30T20:09:00"/>
    <s v="Royco cubes"/>
    <n v="4"/>
    <n v="20"/>
    <n v="12"/>
    <n v="8"/>
    <s v="Cash"/>
    <x v="2"/>
    <m/>
    <m/>
    <m/>
  </r>
  <r>
    <d v="2024-09-18T00:00:00"/>
    <d v="1899-12-30T20:09:00"/>
    <s v="Sugar 1/4 kg"/>
    <n v="1"/>
    <n v="45"/>
    <n v="30"/>
    <n v="15"/>
    <s v="Cash"/>
    <x v="2"/>
    <m/>
    <m/>
    <m/>
  </r>
  <r>
    <d v="2024-09-18T00:00:00"/>
    <d v="1899-12-30T20:09:00"/>
    <s v="Cooking Oil Measured"/>
    <n v="0.25"/>
    <n v="70"/>
    <n v="50"/>
    <n v="20"/>
    <s v="Cash"/>
    <x v="2"/>
    <m/>
    <m/>
    <m/>
  </r>
  <r>
    <d v="2024-09-19T00:00:00"/>
    <d v="1899-12-30T07:45:00"/>
    <s v="Ngumu"/>
    <n v="1"/>
    <n v="10"/>
    <n v="8.3333333333333339"/>
    <n v="1.6666666666666661"/>
    <s v="Cash"/>
    <x v="2"/>
    <m/>
    <m/>
    <m/>
  </r>
  <r>
    <d v="2024-09-19T00:00:00"/>
    <d v="1899-12-30T07:50:00"/>
    <s v="1.5ltrs water"/>
    <n v="2"/>
    <n v="140"/>
    <n v="50"/>
    <n v="90"/>
    <s v="Cash"/>
    <x v="2"/>
    <m/>
    <m/>
    <m/>
  </r>
  <r>
    <d v="2024-09-19T00:00:00"/>
    <d v="1899-12-30T08:04:00"/>
    <s v="Mt Kenya milk 200ml"/>
    <n v="1"/>
    <n v="35"/>
    <n v="24.285714285714285"/>
    <n v="10.714285714285715"/>
    <s v="Cash"/>
    <x v="2"/>
    <m/>
    <m/>
    <m/>
  </r>
  <r>
    <d v="2024-09-19T00:00:00"/>
    <d v="1899-12-30T08:17:00"/>
    <s v="Maramoja"/>
    <n v="1"/>
    <n v="10"/>
    <n v="7"/>
    <n v="3"/>
    <s v="Mpesa"/>
    <x v="2"/>
    <m/>
    <m/>
    <m/>
  </r>
  <r>
    <d v="2024-09-19T00:00:00"/>
    <d v="1899-12-30T08:37:00"/>
    <s v="Safari"/>
    <n v="2"/>
    <n v="30"/>
    <n v="17"/>
    <n v="13"/>
    <s v="Cash"/>
    <x v="2"/>
    <m/>
    <m/>
    <m/>
  </r>
  <r>
    <d v="2024-09-19T00:00:00"/>
    <d v="1899-12-30T11:00:00"/>
    <s v="Royco cubes"/>
    <n v="1"/>
    <n v="5"/>
    <n v="3"/>
    <n v="2"/>
    <s v="Credit"/>
    <x v="8"/>
    <m/>
    <m/>
    <m/>
  </r>
  <r>
    <d v="2024-09-19T00:00:00"/>
    <d v="1899-12-30T11:00:00"/>
    <s v="Mt Kenya milk 200ml"/>
    <n v="1"/>
    <n v="35"/>
    <n v="24.285714285714285"/>
    <n v="10.714285714285715"/>
    <s v="Credit"/>
    <x v="8"/>
    <m/>
    <m/>
    <m/>
  </r>
  <r>
    <d v="2024-09-19T00:00:00"/>
    <d v="1899-12-30T11:00:00"/>
    <s v="Festive Bread 400g"/>
    <n v="1"/>
    <n v="65"/>
    <n v="60"/>
    <n v="5"/>
    <s v="Credit"/>
    <x v="2"/>
    <m/>
    <m/>
    <m/>
  </r>
  <r>
    <d v="2024-09-19T00:00:00"/>
    <d v="1899-12-30T11:24:00"/>
    <s v="Downy lavender"/>
    <n v="1"/>
    <n v="20"/>
    <n v="17.333333333333332"/>
    <n v="2.6666666666666679"/>
    <s v="Mpesa"/>
    <x v="2"/>
    <m/>
    <m/>
    <m/>
  </r>
  <r>
    <d v="2024-09-19T00:00:00"/>
    <d v="1899-12-30T11:24:00"/>
    <s v="ariel 75g"/>
    <n v="1"/>
    <n v="35"/>
    <n v="27.5"/>
    <n v="7.5"/>
    <s v="Mpesa"/>
    <x v="2"/>
    <m/>
    <m/>
    <m/>
  </r>
  <r>
    <d v="2024-09-19T00:00:00"/>
    <d v="1899-12-30T11:24:00"/>
    <s v="Ngumu"/>
    <n v="3"/>
    <n v="30"/>
    <n v="25"/>
    <n v="5"/>
    <s v="Mpesa"/>
    <x v="2"/>
    <m/>
    <m/>
    <m/>
  </r>
  <r>
    <d v="2024-09-19T00:00:00"/>
    <d v="1899-12-30T11:29:00"/>
    <s v="Lighter"/>
    <n v="1"/>
    <n v="30"/>
    <n v="15"/>
    <n v="15"/>
    <s v="Mpesa"/>
    <x v="2"/>
    <m/>
    <m/>
    <m/>
  </r>
  <r>
    <d v="2024-09-19T00:00:00"/>
    <d v="1899-12-30T11:42:00"/>
    <s v="Kinangop Fresh Milk 500ml"/>
    <n v="1"/>
    <n v="60"/>
    <n v="55"/>
    <n v="5"/>
    <s v="Cash"/>
    <x v="2"/>
    <m/>
    <m/>
    <m/>
  </r>
  <r>
    <d v="2024-09-19T00:00:00"/>
    <d v="1899-12-30T11:43:00"/>
    <s v="Tomatoes"/>
    <n v="2"/>
    <n v="20"/>
    <n v="10"/>
    <n v="10"/>
    <s v="Cash"/>
    <x v="2"/>
    <s v="Jescah"/>
    <n v="280"/>
    <s v="Cash"/>
  </r>
  <r>
    <d v="2024-09-19T00:00:00"/>
    <d v="1899-12-30T11:43:00"/>
    <s v="Maramoja"/>
    <n v="2"/>
    <n v="20"/>
    <n v="14"/>
    <n v="6"/>
    <s v="Cash"/>
    <x v="2"/>
    <m/>
    <m/>
    <m/>
  </r>
  <r>
    <d v="2024-09-19T00:00:00"/>
    <d v="1899-12-30T11:43:00"/>
    <s v="Airtel 20 Credit"/>
    <n v="1"/>
    <n v="20"/>
    <n v="18"/>
    <n v="2"/>
    <s v="Cash"/>
    <x v="2"/>
    <m/>
    <m/>
    <m/>
  </r>
  <r>
    <d v="2024-09-19T00:00:00"/>
    <d v="1899-12-30T11:35:00"/>
    <s v="eggs"/>
    <n v="10"/>
    <n v="200"/>
    <n v="143.33333333333334"/>
    <n v="56.666666666666657"/>
    <s v="Mpesa"/>
    <x v="2"/>
    <m/>
    <m/>
    <m/>
  </r>
  <r>
    <d v="2024-09-19T00:00:00"/>
    <d v="1899-12-30T11:35:00"/>
    <s v="predator"/>
    <n v="1"/>
    <n v="70"/>
    <n v="54.166666666666664"/>
    <n v="15.833333333333336"/>
    <s v="Mpesa"/>
    <x v="2"/>
    <m/>
    <m/>
    <m/>
  </r>
  <r>
    <d v="2024-09-19T00:00:00"/>
    <d v="1899-12-30T11:35:00"/>
    <s v="soda 350ml plastic"/>
    <n v="1"/>
    <n v="50"/>
    <n v="41.666666666666664"/>
    <n v="8.3333333333333357"/>
    <s v="Mpesa"/>
    <x v="2"/>
    <m/>
    <m/>
    <m/>
  </r>
  <r>
    <d v="2024-09-19T00:00:00"/>
    <d v="1899-12-30T11:35:00"/>
    <s v="Bigdaddy"/>
    <n v="1"/>
    <n v="10"/>
    <n v="6"/>
    <n v="4"/>
    <s v="Mpesa"/>
    <x v="2"/>
    <m/>
    <m/>
    <m/>
  </r>
  <r>
    <d v="2024-09-19T00:00:00"/>
    <d v="1899-12-30T12:30:00"/>
    <s v=" soda 1.25lts"/>
    <n v="1"/>
    <n v="130"/>
    <n v="112.5"/>
    <n v="17.5"/>
    <s v="Cash"/>
    <x v="2"/>
    <m/>
    <m/>
    <m/>
  </r>
  <r>
    <d v="2024-09-19T00:00:00"/>
    <d v="1899-12-30T12:30:00"/>
    <s v="Coconut Cakes"/>
    <n v="3"/>
    <n v="30"/>
    <n v="25"/>
    <n v="5"/>
    <s v="Cash"/>
    <x v="2"/>
    <m/>
    <m/>
    <m/>
  </r>
  <r>
    <d v="2024-09-19T00:00:00"/>
    <d v="1899-12-30T13:00:00"/>
    <s v="Tomatoes"/>
    <n v="1"/>
    <n v="10"/>
    <n v="5"/>
    <n v="5"/>
    <s v="Credit"/>
    <x v="23"/>
    <m/>
    <m/>
    <m/>
  </r>
  <r>
    <d v="2024-09-19T00:00:00"/>
    <d v="1899-12-30T13:30:00"/>
    <s v="minutemaid 400ml"/>
    <n v="1"/>
    <n v="85"/>
    <n v="62.5"/>
    <n v="22.5"/>
    <s v="Credit"/>
    <x v="19"/>
    <s v="Titus"/>
    <n v="30"/>
    <s v="Cash"/>
  </r>
  <r>
    <d v="2024-09-19T00:00:00"/>
    <d v="1899-12-30T13:31:00"/>
    <s v="soda 500ml glass"/>
    <n v="1"/>
    <n v="55"/>
    <n v="50"/>
    <n v="5"/>
    <s v="Cash"/>
    <x v="2"/>
    <m/>
    <m/>
    <m/>
  </r>
  <r>
    <d v="2024-09-19T00:00:00"/>
    <d v="1899-12-30T13:31:00"/>
    <s v="Kdf"/>
    <n v="2"/>
    <n v="20"/>
    <n v="16.666666666666668"/>
    <n v="3.3333333333333321"/>
    <s v="Cash"/>
    <x v="2"/>
    <m/>
    <m/>
    <m/>
  </r>
  <r>
    <d v="2024-09-19T00:00:00"/>
    <d v="1899-12-30T13:31:00"/>
    <s v="Festive 800g"/>
    <n v="1"/>
    <n v="130"/>
    <n v="120"/>
    <n v="10"/>
    <s v="Cash"/>
    <x v="2"/>
    <m/>
    <m/>
    <m/>
  </r>
  <r>
    <d v="2024-09-19T00:00:00"/>
    <d v="1899-12-30T13:34:00"/>
    <s v="Safari"/>
    <n v="6"/>
    <n v="90"/>
    <n v="51"/>
    <n v="39"/>
    <s v="Cash"/>
    <x v="2"/>
    <m/>
    <m/>
    <m/>
  </r>
  <r>
    <d v="2024-09-19T00:00:00"/>
    <d v="1899-12-30T13:34:00"/>
    <s v="Tropical"/>
    <n v="2"/>
    <n v="10"/>
    <n v="3"/>
    <n v="7"/>
    <s v="Cash"/>
    <x v="2"/>
    <m/>
    <m/>
    <m/>
  </r>
  <r>
    <d v="2024-09-19T00:00:00"/>
    <d v="1899-12-30T13:36:00"/>
    <s v="Indomie beef"/>
    <n v="2"/>
    <n v="100"/>
    <n v="76"/>
    <n v="24"/>
    <s v="Credit"/>
    <x v="3"/>
    <m/>
    <m/>
    <m/>
  </r>
  <r>
    <d v="2024-09-19T00:00:00"/>
    <d v="1899-12-30T13:46:00"/>
    <s v="Mt kenya milk 500ml"/>
    <n v="1"/>
    <n v="65"/>
    <n v="48.333333333333336"/>
    <n v="16.666666666666664"/>
    <s v="Cash"/>
    <x v="2"/>
    <m/>
    <m/>
    <m/>
  </r>
  <r>
    <d v="2024-09-19T00:00:00"/>
    <d v="1899-12-30T14:34:00"/>
    <s v="Kdf"/>
    <n v="1"/>
    <n v="10"/>
    <n v="8.3333333333333339"/>
    <n v="1.6666666666666661"/>
    <s v="Cash"/>
    <x v="2"/>
    <m/>
    <m/>
    <m/>
  </r>
  <r>
    <d v="2024-09-19T00:00:00"/>
    <d v="1899-12-30T14:20:00"/>
    <s v="Safari"/>
    <n v="1"/>
    <n v="15"/>
    <n v="8.5"/>
    <n v="6.5"/>
    <s v="Mpesa"/>
    <x v="2"/>
    <m/>
    <m/>
    <m/>
  </r>
  <r>
    <d v="2024-09-19T00:00:00"/>
    <d v="1899-12-30T15:35:00"/>
    <s v="soda 500ml plastic"/>
    <n v="1"/>
    <n v="70"/>
    <n v="60.416666666666664"/>
    <n v="9.5833333333333357"/>
    <s v="Cash"/>
    <x v="2"/>
    <m/>
    <m/>
    <m/>
  </r>
  <r>
    <d v="2024-09-19T00:00:00"/>
    <d v="1899-12-30T15:35:00"/>
    <s v="Coconut Cakes"/>
    <n v="2"/>
    <n v="20"/>
    <n v="16.666666666666668"/>
    <n v="3.3333333333333321"/>
    <s v="Mpesa"/>
    <x v="2"/>
    <m/>
    <m/>
    <m/>
  </r>
  <r>
    <d v="2024-09-19T00:00:00"/>
    <d v="1899-12-30T15:35:00"/>
    <s v="Indomie beef"/>
    <n v="1"/>
    <n v="50"/>
    <n v="38"/>
    <n v="12"/>
    <s v="Mpesa"/>
    <x v="2"/>
    <m/>
    <m/>
    <m/>
  </r>
  <r>
    <d v="2024-09-19T00:00:00"/>
    <d v="1899-12-30T15:35:00"/>
    <s v="eggs"/>
    <n v="1"/>
    <n v="20"/>
    <n v="14.333333333333334"/>
    <n v="5.6666666666666661"/>
    <s v="Mpesa"/>
    <x v="2"/>
    <m/>
    <m/>
    <m/>
  </r>
  <r>
    <d v="2024-09-19T00:00:00"/>
    <d v="1899-12-30T16:27:00"/>
    <s v="Safaricom 50 Credit"/>
    <n v="1"/>
    <n v="50"/>
    <n v="47"/>
    <n v="3"/>
    <s v="Cash"/>
    <x v="2"/>
    <m/>
    <m/>
    <m/>
  </r>
  <r>
    <d v="2024-09-19T00:00:00"/>
    <d v="1899-12-30T17:33:00"/>
    <s v="Tamu  Tamu Green"/>
    <n v="1"/>
    <n v="15"/>
    <n v="8.6"/>
    <n v="6.4"/>
    <s v="Cash"/>
    <x v="2"/>
    <m/>
    <m/>
    <m/>
  </r>
  <r>
    <d v="2024-09-19T00:00:00"/>
    <d v="1899-12-30T17:46:00"/>
    <s v="Banana"/>
    <n v="4"/>
    <n v="40"/>
    <n v="33.333333333333336"/>
    <n v="6.6666666666666643"/>
    <s v="Cash"/>
    <x v="2"/>
    <m/>
    <m/>
    <m/>
  </r>
  <r>
    <d v="2024-09-19T00:00:00"/>
    <d v="1899-12-30T17:46:00"/>
    <s v="omo 20g"/>
    <n v="1"/>
    <n v="15"/>
    <n v="9.1666666666666661"/>
    <n v="5.8333333333333339"/>
    <s v="Cash"/>
    <x v="2"/>
    <m/>
    <m/>
    <m/>
  </r>
  <r>
    <d v="2024-09-19T00:00:00"/>
    <d v="1899-12-30T17:46:00"/>
    <s v="Kdf"/>
    <n v="1"/>
    <n v="10"/>
    <n v="8.3333333333333339"/>
    <n v="1.6666666666666661"/>
    <s v="Cash"/>
    <x v="2"/>
    <m/>
    <m/>
    <m/>
  </r>
  <r>
    <d v="2024-09-19T00:00:00"/>
    <d v="1899-12-30T17:54:00"/>
    <s v="Banana"/>
    <n v="2"/>
    <n v="20"/>
    <n v="16.666666666666668"/>
    <n v="3.3333333333333321"/>
    <s v="Mpesa"/>
    <x v="2"/>
    <m/>
    <m/>
    <m/>
  </r>
  <r>
    <d v="2024-09-19T00:00:00"/>
    <d v="1899-12-30T17:54:00"/>
    <s v="BB Bread 400g"/>
    <n v="1"/>
    <n v="65"/>
    <n v="60"/>
    <n v="5"/>
    <s v="Mpesa"/>
    <x v="2"/>
    <m/>
    <m/>
    <m/>
  </r>
  <r>
    <d v="2024-09-19T00:00:00"/>
    <d v="1899-12-30T18:27:00"/>
    <s v="Mt kenya milk 500ml"/>
    <n v="2"/>
    <n v="130"/>
    <n v="96.666666666666671"/>
    <n v="33.333333333333329"/>
    <s v="Cash"/>
    <x v="2"/>
    <m/>
    <m/>
    <m/>
  </r>
  <r>
    <d v="2024-09-19T00:00:00"/>
    <d v="1899-12-30T18:27:00"/>
    <s v="Tomatoes"/>
    <n v="5"/>
    <n v="50"/>
    <n v="25"/>
    <n v="25"/>
    <s v="Cash"/>
    <x v="2"/>
    <m/>
    <m/>
    <m/>
  </r>
  <r>
    <d v="2024-09-19T00:00:00"/>
    <d v="1899-12-30T18:27:00"/>
    <s v="BB Bread 400g"/>
    <n v="1"/>
    <n v="65"/>
    <n v="60"/>
    <n v="5"/>
    <s v="Credit"/>
    <x v="54"/>
    <m/>
    <m/>
    <m/>
  </r>
  <r>
    <d v="2024-09-19T00:00:00"/>
    <d v="1899-12-30T18:29:00"/>
    <s v="Safari"/>
    <n v="4"/>
    <n v="60"/>
    <n v="34"/>
    <n v="26"/>
    <s v="Cash"/>
    <x v="2"/>
    <m/>
    <m/>
    <m/>
  </r>
  <r>
    <d v="2024-09-19T00:00:00"/>
    <d v="1899-12-30T18:53:00"/>
    <s v="Cooking Oil Measured"/>
    <n v="0.25"/>
    <n v="70"/>
    <n v="50"/>
    <n v="20"/>
    <s v="Mpesa"/>
    <x v="2"/>
    <m/>
    <m/>
    <m/>
  </r>
  <r>
    <d v="2024-09-19T00:00:00"/>
    <d v="1899-12-30T18:53:00"/>
    <s v="Royco cubes"/>
    <n v="4"/>
    <n v="20"/>
    <n v="12"/>
    <n v="8"/>
    <s v="Mpesa"/>
    <x v="2"/>
    <m/>
    <m/>
    <m/>
  </r>
  <r>
    <d v="2024-09-19T00:00:00"/>
    <d v="1899-12-30T19:19:00"/>
    <s v="Cooking Oil Measured"/>
    <n v="0.25"/>
    <n v="70"/>
    <n v="50"/>
    <n v="20"/>
    <s v="Cash"/>
    <x v="2"/>
    <m/>
    <m/>
    <m/>
  </r>
  <r>
    <d v="2024-09-19T00:00:00"/>
    <d v="1899-12-30T19:33:00"/>
    <s v="Safari"/>
    <n v="3"/>
    <n v="45"/>
    <n v="25.5"/>
    <n v="19.5"/>
    <s v="Mpesa"/>
    <x v="2"/>
    <m/>
    <m/>
    <m/>
  </r>
  <r>
    <d v="2024-09-19T00:00:00"/>
    <d v="1899-12-30T19:35:00"/>
    <s v="Banana"/>
    <n v="2"/>
    <n v="20"/>
    <n v="16.666666666666668"/>
    <n v="3.3333333333333321"/>
    <s v="Mpesa"/>
    <x v="2"/>
    <m/>
    <m/>
    <m/>
  </r>
  <r>
    <d v="2024-09-19T00:00:00"/>
    <d v="1899-12-30T19:38:00"/>
    <s v="BB Bread 400g"/>
    <n v="1"/>
    <n v="65"/>
    <n v="60"/>
    <n v="5"/>
    <s v="Cash"/>
    <x v="2"/>
    <m/>
    <m/>
    <m/>
  </r>
  <r>
    <d v="2024-09-19T00:00:00"/>
    <d v="1899-12-30T19:42:00"/>
    <s v="Kinangop Fresh Milk 500ml"/>
    <n v="4"/>
    <n v="240"/>
    <n v="220"/>
    <n v="20"/>
    <s v="Mpesa"/>
    <x v="2"/>
    <m/>
    <m/>
    <m/>
  </r>
  <r>
    <d v="2024-09-19T00:00:00"/>
    <d v="1899-12-30T19:42:00"/>
    <s v="Banana"/>
    <n v="1"/>
    <n v="10"/>
    <n v="8.3333333333333339"/>
    <n v="1.6666666666666661"/>
    <s v="Mpesa"/>
    <x v="2"/>
    <m/>
    <m/>
    <m/>
  </r>
  <r>
    <d v="2024-09-19T00:00:00"/>
    <d v="1899-12-30T19:44:00"/>
    <s v="Tomatoes"/>
    <n v="2"/>
    <n v="20"/>
    <n v="10"/>
    <n v="10"/>
    <s v="Credit"/>
    <x v="3"/>
    <m/>
    <m/>
    <m/>
  </r>
  <r>
    <d v="2024-09-19T00:00:00"/>
    <d v="1899-12-30T19:56:00"/>
    <s v="predator"/>
    <n v="1"/>
    <n v="70"/>
    <n v="54.166666666666664"/>
    <n v="15.833333333333336"/>
    <s v="Cash"/>
    <x v="2"/>
    <m/>
    <m/>
    <m/>
  </r>
  <r>
    <d v="2024-09-19T00:00:00"/>
    <d v="1899-12-30T20:09:00"/>
    <s v="AVC Led bulb"/>
    <n v="1"/>
    <n v="100"/>
    <n v="69"/>
    <n v="31"/>
    <s v="Mpesa"/>
    <x v="2"/>
    <m/>
    <m/>
    <m/>
  </r>
  <r>
    <d v="2024-09-19T00:00:00"/>
    <d v="1899-12-30T19:38:00"/>
    <s v="Ginger Bisquit"/>
    <n v="4"/>
    <n v="20"/>
    <n v="17.333333333333332"/>
    <n v="2.6666666666666679"/>
    <s v="Mpesa"/>
    <x v="2"/>
    <m/>
    <m/>
    <m/>
  </r>
  <r>
    <d v="2024-09-20T00:00:00"/>
    <d v="1899-12-30T07:00:00"/>
    <s v="Festive 600g"/>
    <n v="1"/>
    <n v="100"/>
    <n v="90"/>
    <n v="10"/>
    <s v="Cash"/>
    <x v="2"/>
    <m/>
    <m/>
    <m/>
  </r>
  <r>
    <d v="2024-09-20T00:00:00"/>
    <d v="1899-12-30T07:15:00"/>
    <s v="Mt kenya milk 500ml"/>
    <n v="2"/>
    <n v="130"/>
    <n v="96.666666666666671"/>
    <n v="33.333333333333329"/>
    <s v="Mpesa"/>
    <x v="2"/>
    <m/>
    <m/>
    <m/>
  </r>
  <r>
    <d v="2024-09-20T00:00:00"/>
    <d v="1899-12-30T07:15:00"/>
    <s v="Safari"/>
    <n v="1"/>
    <n v="15"/>
    <n v="8.5"/>
    <n v="6.5"/>
    <s v="Mpesa"/>
    <x v="2"/>
    <m/>
    <m/>
    <m/>
  </r>
  <r>
    <d v="2024-09-20T00:00:00"/>
    <d v="1899-12-30T08:06:00"/>
    <s v="Ngumu"/>
    <n v="1"/>
    <n v="10"/>
    <n v="8.3333333333333339"/>
    <n v="1.6666666666666661"/>
    <s v="Cash"/>
    <x v="2"/>
    <m/>
    <m/>
    <m/>
  </r>
  <r>
    <d v="2024-09-20T00:00:00"/>
    <d v="1899-12-30T08:06:00"/>
    <s v="Airtel 10 Credit"/>
    <n v="1"/>
    <n v="10"/>
    <n v="9"/>
    <n v="1"/>
    <s v="Cash"/>
    <x v="2"/>
    <m/>
    <m/>
    <m/>
  </r>
  <r>
    <d v="2024-09-20T00:00:00"/>
    <d v="1899-12-30T08:55:00"/>
    <s v="Kinangop Fresh Milk 500ml"/>
    <n v="1"/>
    <n v="60"/>
    <n v="55"/>
    <n v="5"/>
    <s v="Credit"/>
    <x v="21"/>
    <m/>
    <m/>
    <m/>
  </r>
  <r>
    <d v="2024-09-20T00:00:00"/>
    <d v="1899-12-30T08:55:00"/>
    <s v="Sugar 1/2 kg"/>
    <n v="1"/>
    <n v="90"/>
    <n v="60"/>
    <n v="30"/>
    <s v="Credit"/>
    <x v="21"/>
    <m/>
    <m/>
    <m/>
  </r>
  <r>
    <d v="2024-09-20T00:00:00"/>
    <d v="1899-12-30T08:55:00"/>
    <s v="Softcare pads"/>
    <n v="1"/>
    <n v="85"/>
    <n v="66"/>
    <n v="19"/>
    <s v="Credit"/>
    <x v="21"/>
    <m/>
    <m/>
    <m/>
  </r>
  <r>
    <d v="2024-09-20T00:00:00"/>
    <d v="1899-12-30T08:55:00"/>
    <s v="Pampers"/>
    <n v="5"/>
    <n v="100"/>
    <n v="62"/>
    <n v="38"/>
    <s v="Credit"/>
    <x v="21"/>
    <m/>
    <m/>
    <m/>
  </r>
  <r>
    <d v="2024-09-20T00:00:00"/>
    <d v="1899-12-30T08:56:00"/>
    <s v="Safari"/>
    <n v="1"/>
    <n v="15"/>
    <n v="8.5"/>
    <n v="6.5"/>
    <s v="Cash"/>
    <x v="2"/>
    <m/>
    <m/>
    <m/>
  </r>
  <r>
    <d v="2024-09-20T00:00:00"/>
    <d v="1899-12-30T09:00:00"/>
    <s v="Nuvita Bisquit"/>
    <n v="2"/>
    <n v="10"/>
    <n v="8.3333333333333339"/>
    <n v="1.6666666666666661"/>
    <s v="Cash"/>
    <x v="2"/>
    <m/>
    <m/>
    <m/>
  </r>
  <r>
    <d v="2024-09-20T00:00:00"/>
    <d v="1899-12-30T09:03:00"/>
    <s v="Sportsman"/>
    <n v="1"/>
    <n v="20"/>
    <n v="13"/>
    <n v="7"/>
    <s v="Cash"/>
    <x v="2"/>
    <m/>
    <m/>
    <m/>
  </r>
  <r>
    <d v="2024-09-20T00:00:00"/>
    <d v="1899-12-30T09:06:00"/>
    <s v="Airtel 10 Credit"/>
    <n v="1"/>
    <n v="10"/>
    <n v="9"/>
    <n v="1"/>
    <s v="Cash"/>
    <x v="2"/>
    <m/>
    <m/>
    <m/>
  </r>
  <r>
    <d v="2024-09-20T00:00:00"/>
    <d v="1899-12-30T09:30:00"/>
    <s v="Ringoz Barbeque"/>
    <n v="1"/>
    <n v="15"/>
    <n v="8.6"/>
    <n v="6.4"/>
    <s v="Cash"/>
    <x v="2"/>
    <s v="Florence"/>
    <n v="335"/>
    <s v="Mpesa"/>
  </r>
  <r>
    <d v="2024-09-20T00:00:00"/>
    <d v="1899-12-30T09:30:00"/>
    <s v="Baloon"/>
    <n v="1"/>
    <n v="10"/>
    <n v="6"/>
    <n v="4"/>
    <s v="Cash"/>
    <x v="2"/>
    <m/>
    <m/>
    <m/>
  </r>
  <r>
    <d v="2024-09-20T00:00:00"/>
    <d v="1899-12-30T09:30:00"/>
    <s v="Safari"/>
    <n v="6"/>
    <n v="90"/>
    <n v="51"/>
    <n v="39"/>
    <s v="Cash"/>
    <x v="2"/>
    <m/>
    <m/>
    <m/>
  </r>
  <r>
    <d v="2024-09-20T00:00:00"/>
    <d v="1899-12-30T09:30:00"/>
    <s v="Maramoja"/>
    <n v="1"/>
    <n v="10"/>
    <n v="7"/>
    <n v="3"/>
    <s v="Cash"/>
    <x v="2"/>
    <m/>
    <m/>
    <m/>
  </r>
  <r>
    <d v="2024-09-20T00:00:00"/>
    <d v="1899-12-30T09:30:00"/>
    <s v="Masking Tape"/>
    <n v="1"/>
    <n v="30"/>
    <n v="20.833333333333332"/>
    <n v="9.1666666666666679"/>
    <s v="Cash"/>
    <x v="2"/>
    <m/>
    <m/>
    <m/>
  </r>
  <r>
    <d v="2024-09-20T00:00:00"/>
    <d v="1899-12-30T10:29:00"/>
    <s v="Handkerchief"/>
    <n v="1"/>
    <n v="20"/>
    <n v="12"/>
    <n v="8"/>
    <s v="Credit"/>
    <x v="58"/>
    <m/>
    <m/>
    <m/>
  </r>
  <r>
    <d v="2024-09-20T00:00:00"/>
    <d v="1899-12-30T10:29:00"/>
    <s v="Family bisquit"/>
    <n v="1"/>
    <n v="35"/>
    <n v="23.333333333333332"/>
    <n v="11.666666666666668"/>
    <s v="Credit"/>
    <x v="58"/>
    <m/>
    <m/>
    <m/>
  </r>
  <r>
    <d v="2024-09-20T00:00:00"/>
    <d v="1899-12-30T10:29:00"/>
    <s v="Tropical"/>
    <n v="1"/>
    <n v="5"/>
    <n v="1.5"/>
    <n v="3.5"/>
    <s v="Credit"/>
    <x v="58"/>
    <m/>
    <m/>
    <m/>
  </r>
  <r>
    <d v="2024-09-20T00:00:00"/>
    <d v="1899-12-30T10:29:00"/>
    <s v="Fresh green"/>
    <n v="1"/>
    <n v="10"/>
    <n v="5"/>
    <n v="5"/>
    <s v="Credit"/>
    <x v="58"/>
    <m/>
    <m/>
    <m/>
  </r>
  <r>
    <d v="2024-09-20T00:00:00"/>
    <d v="1899-12-30T10:55:00"/>
    <s v="eggs"/>
    <n v="10"/>
    <n v="200"/>
    <n v="143.33333333333334"/>
    <n v="56.666666666666657"/>
    <s v="Mpesa"/>
    <x v="2"/>
    <m/>
    <m/>
    <m/>
  </r>
  <r>
    <d v="2024-09-20T00:00:00"/>
    <d v="1899-12-30T11:11:00"/>
    <s v="predator"/>
    <n v="1"/>
    <n v="70"/>
    <n v="54.166666666666664"/>
    <n v="15.833333333333336"/>
    <s v="Mpesa"/>
    <x v="2"/>
    <m/>
    <m/>
    <m/>
  </r>
  <r>
    <d v="2024-09-20T00:00:00"/>
    <d v="1899-12-30T11:11:00"/>
    <s v="5ltrs water"/>
    <n v="1"/>
    <n v="120"/>
    <n v="75"/>
    <n v="45"/>
    <s v="Credit"/>
    <x v="19"/>
    <m/>
    <m/>
    <m/>
  </r>
  <r>
    <d v="2024-09-20T00:00:00"/>
    <d v="1899-12-30T12:45:00"/>
    <s v="Kdf"/>
    <n v="1"/>
    <n v="10"/>
    <n v="8.3333333333333339"/>
    <n v="1.6666666666666661"/>
    <s v="Mpesa"/>
    <x v="2"/>
    <m/>
    <m/>
    <m/>
  </r>
  <r>
    <d v="2024-09-20T00:00:00"/>
    <d v="1899-12-30T13:45:00"/>
    <s v="BB Bread 400g"/>
    <n v="1"/>
    <n v="65"/>
    <n v="60"/>
    <n v="5"/>
    <s v="Cash"/>
    <x v="3"/>
    <s v="Faith"/>
    <n v="50"/>
    <s v="Cash"/>
  </r>
  <r>
    <d v="2024-09-20T00:00:00"/>
    <d v="1899-12-30T13:45:00"/>
    <s v="Mt kenya milk 500ml"/>
    <n v="1"/>
    <n v="65"/>
    <n v="48.333333333333336"/>
    <n v="16.666666666666664"/>
    <s v="Credit"/>
    <x v="3"/>
    <m/>
    <m/>
    <m/>
  </r>
  <r>
    <d v="2024-09-20T00:00:00"/>
    <d v="1899-12-30T14:17:00"/>
    <s v="Mt Kenya milk 200ml"/>
    <n v="1"/>
    <n v="35"/>
    <n v="24.285714285714285"/>
    <n v="10.714285714285715"/>
    <s v="Cash"/>
    <x v="2"/>
    <m/>
    <m/>
    <m/>
  </r>
  <r>
    <d v="2024-09-20T00:00:00"/>
    <d v="1899-12-30T14:17:00"/>
    <s v="Kdf"/>
    <n v="1"/>
    <n v="10"/>
    <n v="8.3333333333333339"/>
    <n v="1.6666666666666661"/>
    <s v="Cash"/>
    <x v="2"/>
    <m/>
    <m/>
    <m/>
  </r>
  <r>
    <d v="2024-09-20T00:00:00"/>
    <d v="1899-12-30T14:40:00"/>
    <s v="soda 300ml glass"/>
    <n v="1"/>
    <n v="40"/>
    <n v="32.5"/>
    <n v="7.5"/>
    <s v="Cash"/>
    <x v="2"/>
    <m/>
    <m/>
    <m/>
  </r>
  <r>
    <d v="2024-09-20T00:00:00"/>
    <d v="1899-12-30T14:40:00"/>
    <s v="Mt Kenya milk 200ml"/>
    <n v="1"/>
    <n v="35"/>
    <n v="24.285714285714285"/>
    <n v="10.714285714285715"/>
    <s v="Cash"/>
    <x v="2"/>
    <m/>
    <m/>
    <m/>
  </r>
  <r>
    <d v="2024-09-20T00:00:00"/>
    <d v="1899-12-30T14:41:00"/>
    <s v="Ginger Bisquit"/>
    <n v="3"/>
    <n v="15"/>
    <n v="13"/>
    <n v="2"/>
    <s v="Cash"/>
    <x v="2"/>
    <m/>
    <m/>
    <m/>
  </r>
  <r>
    <d v="2024-09-20T00:00:00"/>
    <d v="1899-12-30T14:41:00"/>
    <s v="Indomie chicken"/>
    <n v="1"/>
    <n v="50"/>
    <n v="37.5"/>
    <n v="12.5"/>
    <s v="Cash"/>
    <x v="2"/>
    <m/>
    <m/>
    <m/>
  </r>
  <r>
    <d v="2024-09-20T00:00:00"/>
    <d v="1899-12-30T14:42:00"/>
    <s v="Maramoja"/>
    <n v="2"/>
    <n v="20"/>
    <n v="14"/>
    <n v="6"/>
    <s v="Cash"/>
    <x v="2"/>
    <m/>
    <m/>
    <m/>
  </r>
  <r>
    <d v="2024-09-20T00:00:00"/>
    <d v="1899-12-30T14:42:00"/>
    <s v="Lemon Bisquit"/>
    <n v="2"/>
    <n v="10"/>
    <n v="8.6666666666666661"/>
    <n v="1.3333333333333339"/>
    <s v="Credit"/>
    <x v="23"/>
    <m/>
    <m/>
    <m/>
  </r>
  <r>
    <d v="2024-09-20T00:00:00"/>
    <d v="1899-12-30T15:15:00"/>
    <s v="minutemaid 400ml"/>
    <n v="1"/>
    <n v="85"/>
    <n v="62.5"/>
    <n v="22.5"/>
    <s v="Mpesa"/>
    <x v="2"/>
    <m/>
    <m/>
    <m/>
  </r>
  <r>
    <d v="2024-09-20T00:00:00"/>
    <d v="1899-12-30T15:15:00"/>
    <s v="Icepop"/>
    <n v="1"/>
    <n v="15"/>
    <n v="7.5"/>
    <n v="7.5"/>
    <s v="Mpesa"/>
    <x v="2"/>
    <m/>
    <m/>
    <m/>
  </r>
  <r>
    <d v="2024-09-20T00:00:00"/>
    <d v="1899-12-30T15:15:00"/>
    <s v="coo"/>
    <n v="2"/>
    <n v="5"/>
    <n v="2.4"/>
    <n v="2.6"/>
    <s v="Mpesa"/>
    <x v="2"/>
    <m/>
    <m/>
    <m/>
  </r>
  <r>
    <d v="2024-09-20T00:00:00"/>
    <d v="1899-12-30T15:53:00"/>
    <s v="Family bisquit"/>
    <n v="1"/>
    <n v="35"/>
    <n v="23.333333333333332"/>
    <n v="11.666666666666668"/>
    <s v="Cash"/>
    <x v="2"/>
    <m/>
    <m/>
    <m/>
  </r>
  <r>
    <d v="2024-09-20T00:00:00"/>
    <d v="1899-12-30T15:58:00"/>
    <s v="Bella Tissue"/>
    <n v="1"/>
    <n v="50"/>
    <n v="35"/>
    <n v="15"/>
    <s v="Mpesa"/>
    <x v="2"/>
    <m/>
    <m/>
    <m/>
  </r>
  <r>
    <d v="2024-09-20T00:00:00"/>
    <d v="1899-12-30T15:58:00"/>
    <s v="eggs"/>
    <n v="2"/>
    <n v="40"/>
    <n v="28.666666666666668"/>
    <n v="11.333333333333332"/>
    <s v="Mpesa"/>
    <x v="2"/>
    <m/>
    <m/>
    <m/>
  </r>
  <r>
    <d v="2024-09-20T00:00:00"/>
    <d v="1899-12-30T16:00:00"/>
    <s v="soda 500ml glass"/>
    <n v="1"/>
    <n v="55"/>
    <n v="50"/>
    <n v="5"/>
    <s v="Credit"/>
    <x v="34"/>
    <m/>
    <m/>
    <m/>
  </r>
  <r>
    <d v="2024-09-20T00:00:00"/>
    <d v="1899-12-30T17:03:00"/>
    <s v="Safaricom 50 Credit"/>
    <n v="2"/>
    <n v="100"/>
    <n v="94"/>
    <n v="6"/>
    <s v="Cash"/>
    <x v="2"/>
    <m/>
    <m/>
    <m/>
  </r>
  <r>
    <d v="2024-09-20T00:00:00"/>
    <d v="1899-12-30T17:03:00"/>
    <s v="Airtel 50 Credit"/>
    <n v="1"/>
    <n v="50"/>
    <n v="47"/>
    <n v="3"/>
    <s v="Cash"/>
    <x v="2"/>
    <m/>
    <m/>
    <m/>
  </r>
  <r>
    <d v="2024-09-20T00:00:00"/>
    <d v="1899-12-30T17:04:00"/>
    <s v="Safari"/>
    <n v="1"/>
    <n v="15"/>
    <n v="8.5"/>
    <n v="6.5"/>
    <s v="Credit"/>
    <x v="51"/>
    <m/>
    <m/>
    <m/>
  </r>
  <r>
    <d v="2024-09-20T00:00:00"/>
    <d v="1899-12-30T17:32:00"/>
    <s v="Sunny girl pad"/>
    <n v="1"/>
    <n v="70"/>
    <n v="56.666666666666664"/>
    <n v="13.333333333333336"/>
    <s v="Credit"/>
    <x v="2"/>
    <m/>
    <m/>
    <m/>
  </r>
  <r>
    <d v="2024-09-20T00:00:00"/>
    <d v="1899-12-30T17:32:00"/>
    <s v="Panadol Extra"/>
    <n v="1"/>
    <n v="20"/>
    <n v="13"/>
    <n v="7"/>
    <s v="Credit"/>
    <x v="2"/>
    <m/>
    <m/>
    <m/>
  </r>
  <r>
    <d v="2024-09-20T00:00:00"/>
    <d v="1899-12-30T17:32:00"/>
    <s v="coo"/>
    <n v="2"/>
    <n v="5"/>
    <n v="2.4"/>
    <n v="2.6"/>
    <s v="Credit"/>
    <x v="2"/>
    <m/>
    <m/>
    <m/>
  </r>
  <r>
    <d v="2024-09-20T00:00:00"/>
    <d v="1899-12-30T17:56:00"/>
    <s v="Fresh Blue"/>
    <n v="1"/>
    <n v="10"/>
    <n v="5"/>
    <n v="5"/>
    <s v="Cash"/>
    <x v="2"/>
    <m/>
    <m/>
    <m/>
  </r>
  <r>
    <d v="2024-09-20T00:00:00"/>
    <d v="1899-12-30T17:56:00"/>
    <s v="Bigdaddy"/>
    <n v="4"/>
    <n v="40"/>
    <n v="24"/>
    <n v="16"/>
    <s v="Cash"/>
    <x v="2"/>
    <m/>
    <m/>
    <m/>
  </r>
  <r>
    <d v="2024-09-20T00:00:00"/>
    <d v="1899-12-30T18:17:00"/>
    <s v="predator"/>
    <n v="1"/>
    <n v="70"/>
    <n v="54.166666666666664"/>
    <n v="15.833333333333336"/>
    <s v="Cash"/>
    <x v="19"/>
    <m/>
    <m/>
    <m/>
  </r>
  <r>
    <d v="2024-09-20T00:00:00"/>
    <d v="1899-12-30T18:17:00"/>
    <s v="Pembe 2kg"/>
    <n v="1"/>
    <n v="160"/>
    <n v="123.33333333333333"/>
    <n v="36.666666666666671"/>
    <s v="Credit"/>
    <x v="19"/>
    <s v="Titus"/>
    <n v="50"/>
    <s v="Cash"/>
  </r>
  <r>
    <d v="2024-09-20T00:00:00"/>
    <d v="1899-12-30T18:24:00"/>
    <s v="Safari"/>
    <n v="1"/>
    <n v="15"/>
    <n v="8.5"/>
    <n v="6.5"/>
    <s v="Credit"/>
    <x v="51"/>
    <m/>
    <m/>
    <m/>
  </r>
  <r>
    <d v="2024-09-20T00:00:00"/>
    <d v="1899-12-30T18:54:00"/>
    <s v="Onion"/>
    <n v="3"/>
    <n v="30"/>
    <n v="24"/>
    <n v="6"/>
    <s v="Credit"/>
    <x v="58"/>
    <m/>
    <m/>
    <m/>
  </r>
  <r>
    <d v="2024-09-20T00:00:00"/>
    <d v="1899-12-30T19:03:00"/>
    <s v="predator"/>
    <n v="1"/>
    <n v="70"/>
    <n v="54.166666666666664"/>
    <n v="15.833333333333336"/>
    <s v="Mpesa"/>
    <x v="2"/>
    <m/>
    <m/>
    <m/>
  </r>
  <r>
    <d v="2024-09-20T00:00:00"/>
    <d v="1899-12-30T19:03:00"/>
    <s v="soda 500ml glass"/>
    <n v="1"/>
    <n v="55"/>
    <n v="50"/>
    <n v="5"/>
    <s v="Mpesa"/>
    <x v="2"/>
    <m/>
    <m/>
    <m/>
  </r>
  <r>
    <d v="2024-09-20T00:00:00"/>
    <d v="1899-12-30T19:03:00"/>
    <s v="Sunny girl pad"/>
    <n v="1"/>
    <n v="70"/>
    <n v="56.666666666666664"/>
    <n v="13.333333333333336"/>
    <s v="Mpesa"/>
    <x v="2"/>
    <m/>
    <m/>
    <m/>
  </r>
  <r>
    <d v="2024-09-20T00:00:00"/>
    <d v="1899-12-30T19:03:00"/>
    <s v="Downy sunrise fresh"/>
    <n v="1"/>
    <n v="20"/>
    <n v="17.333333333333332"/>
    <n v="2.6666666666666679"/>
    <s v="Mpesa"/>
    <x v="2"/>
    <m/>
    <m/>
    <m/>
  </r>
  <r>
    <d v="2024-09-20T00:00:00"/>
    <d v="1899-12-30T19:03:00"/>
    <s v="Maccofee"/>
    <n v="1"/>
    <n v="15"/>
    <n v="9.3333333333333339"/>
    <n v="5.6666666666666661"/>
    <s v="Mpesa"/>
    <x v="2"/>
    <m/>
    <m/>
    <m/>
  </r>
  <r>
    <d v="2024-09-20T00:00:00"/>
    <d v="1899-12-30T19:03:00"/>
    <s v="Poa Pekee Tissue"/>
    <n v="1"/>
    <n v="30"/>
    <n v="13.333333333333334"/>
    <n v="16.666666666666664"/>
    <s v="Mpesa"/>
    <x v="2"/>
    <m/>
    <m/>
    <m/>
  </r>
  <r>
    <d v="2024-09-20T00:00:00"/>
    <d v="1899-12-30T19:15:00"/>
    <s v="Tukuza 1kg"/>
    <n v="1"/>
    <n v="90"/>
    <n v="61.25"/>
    <n v="28.75"/>
    <s v="Cash"/>
    <x v="2"/>
    <m/>
    <m/>
    <m/>
  </r>
  <r>
    <d v="2024-09-20T00:00:00"/>
    <d v="1899-12-30T19:15:00"/>
    <s v="Tomatoes"/>
    <n v="2"/>
    <n v="20"/>
    <n v="10"/>
    <n v="10"/>
    <s v="Cash"/>
    <x v="2"/>
    <m/>
    <m/>
    <m/>
  </r>
  <r>
    <d v="2024-09-20T00:00:00"/>
    <d v="1899-12-30T19:15:00"/>
    <s v="Onion"/>
    <n v="1"/>
    <n v="10"/>
    <n v="8"/>
    <n v="2"/>
    <s v="Cash"/>
    <x v="2"/>
    <m/>
    <m/>
    <m/>
  </r>
  <r>
    <d v="2024-09-20T00:00:00"/>
    <d v="1899-12-30T19:15:00"/>
    <s v="Safari"/>
    <n v="2"/>
    <n v="30"/>
    <n v="17"/>
    <n v="13"/>
    <s v="Cash"/>
    <x v="2"/>
    <m/>
    <m/>
    <m/>
  </r>
  <r>
    <d v="2024-09-20T00:00:00"/>
    <d v="1899-12-30T19:24:00"/>
    <s v="Whitewash "/>
    <n v="1"/>
    <n v="50"/>
    <n v="33.75"/>
    <n v="16.25"/>
    <s v="Mpesa"/>
    <x v="2"/>
    <m/>
    <m/>
    <m/>
  </r>
  <r>
    <d v="2024-09-20T00:00:00"/>
    <d v="1899-12-30T19:24:00"/>
    <s v="eggs"/>
    <n v="5"/>
    <n v="100"/>
    <n v="71.666666666666671"/>
    <n v="28.333333333333329"/>
    <s v="Mpesa"/>
    <x v="2"/>
    <m/>
    <m/>
    <m/>
  </r>
  <r>
    <d v="2024-09-20T00:00:00"/>
    <d v="1899-12-30T19:24:00"/>
    <s v="Tomatoes"/>
    <n v="2"/>
    <n v="20"/>
    <n v="10"/>
    <n v="10"/>
    <s v="Mpesa"/>
    <x v="2"/>
    <m/>
    <m/>
    <m/>
  </r>
  <r>
    <d v="2024-09-20T00:00:00"/>
    <d v="1899-12-30T19:24:00"/>
    <s v="Banana"/>
    <n v="2"/>
    <n v="20"/>
    <n v="16.666666666666668"/>
    <n v="3.3333333333333321"/>
    <s v="Mpesa"/>
    <x v="2"/>
    <m/>
    <m/>
    <m/>
  </r>
  <r>
    <d v="2024-09-20T00:00:00"/>
    <d v="1899-12-30T19:24:00"/>
    <s v="Crown Gold Milk 500ml"/>
    <n v="1"/>
    <n v="65"/>
    <n v="54.166666666666664"/>
    <n v="10.833333333333336"/>
    <s v="Mpesa"/>
    <x v="2"/>
    <m/>
    <m/>
    <m/>
  </r>
  <r>
    <d v="2024-09-20T00:00:00"/>
    <d v="1899-12-30T19:30:00"/>
    <s v="Sportsman"/>
    <n v="4"/>
    <n v="80"/>
    <n v="52"/>
    <n v="28"/>
    <s v="Mpesa"/>
    <x v="2"/>
    <m/>
    <m/>
    <m/>
  </r>
  <r>
    <d v="2024-09-20T00:00:00"/>
    <d v="1899-12-30T19:30:00"/>
    <s v="Safari"/>
    <n v="1"/>
    <n v="15"/>
    <n v="8.5"/>
    <n v="6.5"/>
    <s v="Mpesa"/>
    <x v="2"/>
    <m/>
    <m/>
    <m/>
  </r>
  <r>
    <d v="2024-09-20T00:00:00"/>
    <d v="1899-12-30T20:13:00"/>
    <s v="Festive 600g"/>
    <n v="1"/>
    <n v="100"/>
    <n v="90"/>
    <n v="10"/>
    <s v="Mpesa"/>
    <x v="2"/>
    <m/>
    <m/>
    <m/>
  </r>
  <r>
    <d v="2024-09-20T00:00:00"/>
    <d v="1899-12-30T20:13:00"/>
    <s v="Bella Tissue"/>
    <n v="1"/>
    <n v="50"/>
    <n v="35"/>
    <n v="15"/>
    <s v="Mpesa"/>
    <x v="2"/>
    <m/>
    <m/>
    <m/>
  </r>
  <r>
    <d v="2024-09-20T00:00:00"/>
    <d v="1899-12-30T20:13:00"/>
    <s v="Maramoja"/>
    <n v="1"/>
    <n v="10"/>
    <n v="7"/>
    <n v="3"/>
    <s v="Mpesa"/>
    <x v="2"/>
    <m/>
    <m/>
    <m/>
  </r>
  <r>
    <d v="2024-09-20T00:00:00"/>
    <d v="1899-12-30T20:13:00"/>
    <s v="1.5ltrs water"/>
    <n v="1"/>
    <n v="70"/>
    <n v="25"/>
    <n v="45"/>
    <s v="Mpesa"/>
    <x v="2"/>
    <m/>
    <m/>
    <m/>
  </r>
  <r>
    <d v="2024-09-20T00:00:00"/>
    <d v="1899-12-30T20:35:00"/>
    <s v="eggs"/>
    <n v="5"/>
    <n v="100"/>
    <n v="71.666666666666671"/>
    <n v="28.333333333333329"/>
    <s v="Cash"/>
    <x v="2"/>
    <m/>
    <m/>
    <m/>
  </r>
  <r>
    <d v="2024-09-20T00:00:00"/>
    <d v="1899-12-30T20:35:00"/>
    <s v="BB Bread 400g"/>
    <n v="1"/>
    <n v="65"/>
    <n v="60"/>
    <n v="5"/>
    <s v="Cash"/>
    <x v="2"/>
    <m/>
    <m/>
    <m/>
  </r>
  <r>
    <d v="2024-09-20T00:00:00"/>
    <d v="1899-12-30T20:35:00"/>
    <s v="Mt kenya milk 500ml"/>
    <n v="2"/>
    <n v="130"/>
    <n v="96.666666666666671"/>
    <n v="33.333333333333329"/>
    <s v="Cash"/>
    <x v="2"/>
    <m/>
    <m/>
    <m/>
  </r>
  <r>
    <d v="2024-09-20T00:00:00"/>
    <d v="1899-12-30T20:35:00"/>
    <s v="Sportsman"/>
    <n v="1"/>
    <n v="20"/>
    <n v="13"/>
    <n v="7"/>
    <s v="Cash"/>
    <x v="2"/>
    <s v="Lydia"/>
    <n v="705"/>
    <s v="Cash"/>
  </r>
  <r>
    <d v="2024-09-21T00:00:00"/>
    <d v="1899-12-30T07:31:00"/>
    <s v="BB Bread 400g"/>
    <n v="1"/>
    <n v="65"/>
    <n v="60"/>
    <n v="5"/>
    <s v="Cash"/>
    <x v="2"/>
    <m/>
    <m/>
    <m/>
  </r>
  <r>
    <d v="2024-09-21T00:00:00"/>
    <d v="1899-12-30T07:31:00"/>
    <s v="Mt kenya milk 500ml"/>
    <n v="1"/>
    <n v="65"/>
    <n v="48.333333333333336"/>
    <n v="16.666666666666664"/>
    <s v="Cash"/>
    <x v="2"/>
    <m/>
    <m/>
    <m/>
  </r>
  <r>
    <d v="2024-09-21T00:00:00"/>
    <d v="1899-12-30T07:31:00"/>
    <s v="omo 20g"/>
    <n v="1"/>
    <n v="15"/>
    <n v="9.1666666666666661"/>
    <n v="5.8333333333333339"/>
    <s v="Cash"/>
    <x v="2"/>
    <m/>
    <m/>
    <m/>
  </r>
  <r>
    <d v="2024-09-21T00:00:00"/>
    <d v="1899-12-30T07:38:00"/>
    <s v="Mt kenya milk 500ml"/>
    <n v="1"/>
    <n v="65"/>
    <n v="48.333333333333336"/>
    <n v="16.666666666666664"/>
    <s v="Mpesa"/>
    <x v="2"/>
    <s v="Fanis"/>
    <n v="160"/>
    <s v="Mpesa"/>
  </r>
  <r>
    <d v="2024-09-21T00:00:00"/>
    <d v="1899-12-30T07:38:00"/>
    <s v="BB Bread 400g"/>
    <n v="1"/>
    <n v="65"/>
    <n v="60"/>
    <n v="5"/>
    <s v="Credit"/>
    <x v="58"/>
    <m/>
    <m/>
    <m/>
  </r>
  <r>
    <d v="2024-09-21T00:00:00"/>
    <d v="1899-12-30T07:54:00"/>
    <s v="Sportsman"/>
    <n v="1"/>
    <n v="20"/>
    <n v="13"/>
    <n v="7"/>
    <s v="Credit"/>
    <x v="51"/>
    <m/>
    <m/>
    <m/>
  </r>
  <r>
    <d v="2024-09-21T00:00:00"/>
    <d v="1899-12-30T08:01:00"/>
    <s v="Kioo+comb"/>
    <n v="1"/>
    <n v="50"/>
    <n v="40"/>
    <n v="10"/>
    <s v="Mpesa"/>
    <x v="2"/>
    <m/>
    <m/>
    <m/>
  </r>
  <r>
    <d v="2024-09-21T00:00:00"/>
    <d v="1899-12-30T08:01:00"/>
    <s v="Sportsman"/>
    <n v="1"/>
    <n v="20"/>
    <n v="13"/>
    <n v="7"/>
    <s v="Cash"/>
    <x v="2"/>
    <m/>
    <m/>
    <m/>
  </r>
  <r>
    <d v="2024-09-21T00:00:00"/>
    <d v="1899-12-30T09:09:00"/>
    <s v="omo 20g"/>
    <n v="1"/>
    <n v="15"/>
    <n v="9.1666666666666661"/>
    <n v="5.8333333333333339"/>
    <s v="Cash"/>
    <x v="2"/>
    <m/>
    <m/>
    <m/>
  </r>
  <r>
    <d v="2024-09-21T00:00:00"/>
    <d v="1899-12-30T09:09:00"/>
    <s v="omo 75g"/>
    <n v="1"/>
    <n v="35"/>
    <n v="27.5"/>
    <n v="7.5"/>
    <s v="Cash"/>
    <x v="2"/>
    <m/>
    <m/>
    <m/>
  </r>
  <r>
    <d v="2024-09-21T00:00:00"/>
    <d v="1899-12-30T09:09:00"/>
    <s v="Sportsman"/>
    <n v="1"/>
    <n v="20"/>
    <n v="13"/>
    <n v="7"/>
    <s v="Cash"/>
    <x v="2"/>
    <m/>
    <m/>
    <m/>
  </r>
  <r>
    <d v="2024-09-21T00:00:00"/>
    <d v="1899-12-30T09:09:00"/>
    <s v="Nuvita Bisquit"/>
    <n v="2"/>
    <n v="10"/>
    <n v="8.3333333333333339"/>
    <n v="1.6666666666666661"/>
    <s v="Cash"/>
    <x v="2"/>
    <m/>
    <m/>
    <m/>
  </r>
  <r>
    <d v="2024-09-21T00:00:00"/>
    <d v="1899-12-30T09:10:00"/>
    <s v="Sportsman"/>
    <n v="2"/>
    <n v="40"/>
    <n v="26"/>
    <n v="14"/>
    <s v="Cash"/>
    <x v="2"/>
    <m/>
    <m/>
    <m/>
  </r>
  <r>
    <d v="2024-09-21T00:00:00"/>
    <d v="1899-12-30T09:10:00"/>
    <s v="omo 20g"/>
    <n v="1"/>
    <n v="15"/>
    <n v="9.1666666666666661"/>
    <n v="5.8333333333333339"/>
    <s v="Credit"/>
    <x v="9"/>
    <m/>
    <m/>
    <m/>
  </r>
  <r>
    <d v="2024-09-21T00:00:00"/>
    <d v="1899-12-30T09:10:00"/>
    <s v="Brookside milk 500ml"/>
    <n v="1"/>
    <n v="70"/>
    <n v="59"/>
    <n v="11"/>
    <s v="Credit"/>
    <x v="2"/>
    <m/>
    <m/>
    <m/>
  </r>
  <r>
    <d v="2024-09-21T00:00:00"/>
    <d v="1899-12-30T09:24:00"/>
    <s v="BB Bread 400g"/>
    <n v="1"/>
    <n v="65"/>
    <n v="60"/>
    <n v="5"/>
    <s v="Mpesa"/>
    <x v="2"/>
    <m/>
    <m/>
    <m/>
  </r>
  <r>
    <d v="2024-09-21T00:00:00"/>
    <d v="1899-12-30T09:24:00"/>
    <s v="BB Bread 400g"/>
    <n v="1"/>
    <n v="65"/>
    <n v="60"/>
    <n v="5"/>
    <s v="Mpesa"/>
    <x v="2"/>
    <m/>
    <m/>
    <m/>
  </r>
  <r>
    <d v="2024-09-21T00:00:00"/>
    <d v="1899-12-30T09:25:00"/>
    <s v="Airtel 20 Credit"/>
    <n v="1"/>
    <n v="20"/>
    <n v="18"/>
    <n v="2"/>
    <s v="Cash"/>
    <x v="2"/>
    <m/>
    <m/>
    <m/>
  </r>
  <r>
    <d v="2024-09-21T00:00:00"/>
    <d v="1899-12-30T09:25:00"/>
    <s v="Drinking Chocolate 20g"/>
    <n v="1"/>
    <n v="20"/>
    <n v="10.416666666666666"/>
    <n v="9.5833333333333339"/>
    <s v="Mpesa"/>
    <x v="2"/>
    <m/>
    <m/>
    <m/>
  </r>
  <r>
    <d v="2024-09-21T00:00:00"/>
    <d v="1899-12-30T09:25:00"/>
    <s v="Airtel 50 Credit"/>
    <n v="1"/>
    <n v="50"/>
    <n v="47"/>
    <n v="3"/>
    <s v="Mpesa"/>
    <x v="2"/>
    <m/>
    <m/>
    <m/>
  </r>
  <r>
    <d v="2024-09-21T00:00:00"/>
    <d v="1899-12-30T10:12:00"/>
    <s v="Coconut Cakes"/>
    <n v="6"/>
    <n v="60"/>
    <n v="50"/>
    <n v="10"/>
    <s v="Mpesa"/>
    <x v="2"/>
    <m/>
    <m/>
    <m/>
  </r>
  <r>
    <d v="2024-09-21T00:00:00"/>
    <d v="1899-12-30T10:13:00"/>
    <s v="funtime snacks"/>
    <n v="1"/>
    <n v="15"/>
    <n v="9"/>
    <n v="6"/>
    <s v="Cash"/>
    <x v="2"/>
    <m/>
    <m/>
    <m/>
  </r>
  <r>
    <d v="2024-09-21T00:00:00"/>
    <d v="1899-12-30T10:13:00"/>
    <s v="Fresh green"/>
    <n v="1"/>
    <n v="10"/>
    <n v="5"/>
    <n v="5"/>
    <s v="Cash"/>
    <x v="2"/>
    <m/>
    <m/>
    <m/>
  </r>
  <r>
    <d v="2024-09-21T00:00:00"/>
    <d v="1899-12-30T10:13:00"/>
    <s v="Ngumu"/>
    <n v="1"/>
    <n v="10"/>
    <n v="8.3333333333333339"/>
    <n v="1.6666666666666661"/>
    <s v="Cash"/>
    <x v="2"/>
    <m/>
    <m/>
    <m/>
  </r>
  <r>
    <d v="2024-09-21T00:00:00"/>
    <d v="1899-12-30T11:27:00"/>
    <s v="Sportsman"/>
    <n v="3"/>
    <n v="60"/>
    <n v="39"/>
    <n v="21"/>
    <s v="Mpesa"/>
    <x v="2"/>
    <m/>
    <m/>
    <m/>
  </r>
  <r>
    <d v="2024-09-21T00:00:00"/>
    <d v="1899-12-30T12:00:00"/>
    <s v="300ml water"/>
    <n v="3"/>
    <n v="90"/>
    <n v="37.5"/>
    <n v="52.5"/>
    <s v="Credit"/>
    <x v="4"/>
    <m/>
    <m/>
    <m/>
  </r>
  <r>
    <d v="2024-09-21T00:00:00"/>
    <d v="1899-12-30T12:52:00"/>
    <s v="predator"/>
    <n v="1"/>
    <n v="70"/>
    <n v="54.166666666666664"/>
    <n v="15.833333333333336"/>
    <s v="Mpesa"/>
    <x v="2"/>
    <m/>
    <m/>
    <m/>
  </r>
  <r>
    <d v="2024-09-21T00:00:00"/>
    <d v="1899-12-30T12:52:00"/>
    <s v="Indomie chicken"/>
    <n v="2"/>
    <n v="100"/>
    <n v="75"/>
    <n v="25"/>
    <s v="Credit"/>
    <x v="19"/>
    <m/>
    <m/>
    <m/>
  </r>
  <r>
    <d v="2024-09-21T00:00:00"/>
    <d v="1899-12-30T12:52:00"/>
    <s v="Coconut Cakes"/>
    <n v="2"/>
    <n v="20"/>
    <n v="16.666666666666668"/>
    <n v="3.3333333333333321"/>
    <s v="Credit"/>
    <x v="2"/>
    <m/>
    <m/>
    <m/>
  </r>
  <r>
    <d v="2024-09-21T00:00:00"/>
    <d v="1899-12-30T13:28:00"/>
    <s v="Kdf"/>
    <n v="4"/>
    <n v="40"/>
    <n v="33.333333333333336"/>
    <n v="6.6666666666666643"/>
    <s v="Mpesa"/>
    <x v="2"/>
    <m/>
    <m/>
    <m/>
  </r>
  <r>
    <d v="2024-09-21T00:00:00"/>
    <d v="1899-12-30T13:28:00"/>
    <s v="Mt kenya milk 500ml"/>
    <n v="1"/>
    <n v="65"/>
    <n v="48.333333333333336"/>
    <n v="16.666666666666664"/>
    <s v="Mpesa"/>
    <x v="2"/>
    <m/>
    <m/>
    <m/>
  </r>
  <r>
    <d v="2024-09-21T00:00:00"/>
    <d v="1899-12-30T13:28:00"/>
    <s v="Cooking Oil Measured"/>
    <n v="0.25"/>
    <n v="70"/>
    <n v="50"/>
    <n v="20"/>
    <s v="Credit"/>
    <x v="23"/>
    <m/>
    <m/>
    <m/>
  </r>
  <r>
    <d v="2024-09-21T00:00:00"/>
    <d v="1899-12-30T13:28:00"/>
    <s v="Tomatoes"/>
    <n v="3"/>
    <n v="30"/>
    <n v="15"/>
    <n v="15"/>
    <s v="Credit"/>
    <x v="2"/>
    <m/>
    <m/>
    <m/>
  </r>
  <r>
    <d v="2024-09-21T00:00:00"/>
    <d v="1899-12-30T13:28:00"/>
    <s v="soda 300ml glass"/>
    <n v="1"/>
    <n v="40"/>
    <n v="32.5"/>
    <n v="7.5"/>
    <s v="Cash"/>
    <x v="2"/>
    <m/>
    <m/>
    <m/>
  </r>
  <r>
    <d v="2024-09-21T00:00:00"/>
    <d v="1899-12-30T13:28:00"/>
    <s v="Coconut Cakes"/>
    <n v="6"/>
    <n v="60"/>
    <n v="50"/>
    <n v="10"/>
    <s v="Cash"/>
    <x v="2"/>
    <m/>
    <m/>
    <m/>
  </r>
  <r>
    <d v="2024-09-21T00:00:00"/>
    <d v="1899-12-30T13:28:00"/>
    <s v="Sportsman"/>
    <n v="3"/>
    <n v="60"/>
    <n v="39"/>
    <n v="21"/>
    <s v="Cash"/>
    <x v="2"/>
    <m/>
    <m/>
    <m/>
  </r>
  <r>
    <d v="2024-09-21T00:00:00"/>
    <d v="1899-12-30T13:38:00"/>
    <s v="soda 500ml plastic"/>
    <n v="1"/>
    <n v="70"/>
    <n v="60.416666666666664"/>
    <n v="9.5833333333333357"/>
    <s v="Mpesa"/>
    <x v="2"/>
    <m/>
    <m/>
    <m/>
  </r>
  <r>
    <d v="2024-09-21T00:00:00"/>
    <d v="1899-12-30T13:38:00"/>
    <s v="Banana"/>
    <n v="4"/>
    <n v="40"/>
    <n v="33.333333333333336"/>
    <n v="6.6666666666666643"/>
    <s v="Cash"/>
    <x v="2"/>
    <m/>
    <m/>
    <m/>
  </r>
  <r>
    <d v="2024-09-21T00:00:00"/>
    <d v="1899-12-30T13:38:00"/>
    <s v="T.Heat Potato crisps salted 25g"/>
    <n v="1"/>
    <n v="30"/>
    <n v="22.916666666666668"/>
    <n v="7.0833333333333321"/>
    <s v="Cash"/>
    <x v="2"/>
    <m/>
    <m/>
    <m/>
  </r>
  <r>
    <d v="2024-09-21T00:00:00"/>
    <d v="1899-12-30T13:38:00"/>
    <s v="Icepop"/>
    <n v="1"/>
    <n v="15"/>
    <n v="7.5"/>
    <n v="7.5"/>
    <s v="Cash"/>
    <x v="2"/>
    <m/>
    <m/>
    <m/>
  </r>
  <r>
    <d v="2024-09-21T00:00:00"/>
    <d v="1899-12-30T14:33:00"/>
    <s v="soda 2lts"/>
    <n v="1"/>
    <n v="200"/>
    <n v="176.66666666666666"/>
    <n v="23.333333333333343"/>
    <s v="Mpesa"/>
    <x v="2"/>
    <m/>
    <m/>
    <m/>
  </r>
  <r>
    <d v="2024-09-21T00:00:00"/>
    <d v="1899-12-30T14:34:00"/>
    <s v="omo 75g"/>
    <n v="1"/>
    <n v="35"/>
    <n v="27.5"/>
    <n v="7.5"/>
    <s v="Mpesa"/>
    <x v="2"/>
    <s v="Erick"/>
    <n v="150"/>
    <s v="Mpesa"/>
  </r>
  <r>
    <d v="2024-09-21T00:00:00"/>
    <d v="1899-12-30T14:34:00"/>
    <s v="Sportsman"/>
    <n v="1"/>
    <n v="20"/>
    <n v="13"/>
    <n v="7"/>
    <s v="Cash"/>
    <x v="2"/>
    <m/>
    <m/>
    <m/>
  </r>
  <r>
    <d v="2024-09-21T00:00:00"/>
    <d v="1899-12-30T14:34:00"/>
    <s v="Icepop"/>
    <n v="1"/>
    <n v="15"/>
    <n v="7.5"/>
    <n v="7.5"/>
    <s v="Cash"/>
    <x v="2"/>
    <s v="Fredy"/>
    <n v="55"/>
    <s v="Cash"/>
  </r>
  <r>
    <d v="2024-09-21T00:00:00"/>
    <d v="1899-12-30T16:35:00"/>
    <s v="Tomatoes"/>
    <n v="2"/>
    <n v="20"/>
    <n v="10"/>
    <n v="10"/>
    <s v="Cash"/>
    <x v="2"/>
    <m/>
    <m/>
    <m/>
  </r>
  <r>
    <d v="2024-09-21T00:00:00"/>
    <d v="1899-12-30T16:35:00"/>
    <s v="Lemon Bisquit"/>
    <n v="4"/>
    <n v="20"/>
    <n v="17.333333333333332"/>
    <n v="2.6666666666666679"/>
    <s v="Cash"/>
    <x v="2"/>
    <m/>
    <m/>
    <m/>
  </r>
  <r>
    <d v="2024-09-21T00:00:00"/>
    <d v="1899-12-30T17:57:00"/>
    <s v="Sportsman"/>
    <n v="2"/>
    <n v="40"/>
    <n v="26"/>
    <n v="14"/>
    <s v="Cash"/>
    <x v="2"/>
    <s v="Fredrick"/>
    <n v="50"/>
    <s v="Cash"/>
  </r>
  <r>
    <d v="2024-09-21T00:00:00"/>
    <d v="1899-12-30T17:57:00"/>
    <s v="Match Box"/>
    <n v="1"/>
    <n v="5"/>
    <n v="2.3611111111111112"/>
    <n v="2.6388888888888888"/>
    <s v="Cash"/>
    <x v="2"/>
    <m/>
    <m/>
    <m/>
  </r>
  <r>
    <d v="2024-09-21T00:00:00"/>
    <d v="1899-12-30T18:42:00"/>
    <s v="Kioo+comb"/>
    <n v="1"/>
    <n v="50"/>
    <n v="40"/>
    <n v="10"/>
    <s v="Mpesa"/>
    <x v="2"/>
    <m/>
    <m/>
    <m/>
  </r>
  <r>
    <d v="2024-09-21T00:00:00"/>
    <d v="1899-12-30T18:43:00"/>
    <s v="Mt kenya milk 500ml"/>
    <n v="2"/>
    <n v="130"/>
    <n v="96.666666666666671"/>
    <n v="33.333333333333329"/>
    <s v="Cash"/>
    <x v="2"/>
    <m/>
    <m/>
    <m/>
  </r>
  <r>
    <d v="2024-09-21T00:00:00"/>
    <d v="1899-12-30T18:46:00"/>
    <s v="eggs"/>
    <n v="4"/>
    <n v="80"/>
    <n v="57.333333333333336"/>
    <n v="22.666666666666664"/>
    <s v="Credit"/>
    <x v="9"/>
    <m/>
    <m/>
    <m/>
  </r>
  <r>
    <d v="2024-09-21T00:00:00"/>
    <d v="1899-12-30T18:46:00"/>
    <s v="Tomatoes"/>
    <n v="2"/>
    <n v="20"/>
    <n v="10"/>
    <n v="10"/>
    <s v="Credit"/>
    <x v="2"/>
    <m/>
    <m/>
    <m/>
  </r>
  <r>
    <d v="2024-09-21T00:00:00"/>
    <d v="1899-12-30T18:46:00"/>
    <s v="Onion"/>
    <n v="1"/>
    <n v="10"/>
    <n v="8"/>
    <n v="2"/>
    <s v="Credit"/>
    <x v="2"/>
    <m/>
    <m/>
    <m/>
  </r>
  <r>
    <d v="2024-09-21T00:00:00"/>
    <d v="1899-12-30T18:46:00"/>
    <s v="Sportsman"/>
    <n v="2"/>
    <n v="40"/>
    <n v="26"/>
    <n v="14"/>
    <s v="Mpesa"/>
    <x v="2"/>
    <m/>
    <m/>
    <m/>
  </r>
  <r>
    <d v="2024-09-21T00:00:00"/>
    <d v="1899-12-30T18:46:00"/>
    <s v="Tomatoes"/>
    <n v="2"/>
    <n v="20"/>
    <n v="10"/>
    <n v="10"/>
    <s v="Cash"/>
    <x v="2"/>
    <m/>
    <m/>
    <m/>
  </r>
  <r>
    <d v="2024-09-21T00:00:00"/>
    <d v="1899-12-30T19:07:00"/>
    <s v="kensalt 200g"/>
    <n v="1"/>
    <n v="15"/>
    <n v="5.5"/>
    <n v="9.5"/>
    <s v="Credit"/>
    <x v="23"/>
    <m/>
    <m/>
    <m/>
  </r>
  <r>
    <d v="2024-09-21T00:00:00"/>
    <d v="1899-12-30T19:14:00"/>
    <s v="Coconut Cakes"/>
    <n v="6"/>
    <n v="60"/>
    <n v="50"/>
    <n v="10"/>
    <s v="Mpesa"/>
    <x v="2"/>
    <m/>
    <m/>
    <m/>
  </r>
  <r>
    <d v="2024-09-21T00:00:00"/>
    <d v="1899-12-30T19:14:00"/>
    <s v="Cooking Oil Measured"/>
    <n v="0.25"/>
    <n v="70"/>
    <n v="50"/>
    <n v="20"/>
    <s v="Mpesa"/>
    <x v="2"/>
    <m/>
    <m/>
    <m/>
  </r>
  <r>
    <d v="2024-09-21T00:00:00"/>
    <d v="1899-12-30T19:14:00"/>
    <s v="Royco cubes"/>
    <n v="2"/>
    <n v="10"/>
    <n v="6"/>
    <n v="4"/>
    <s v="Mpesa"/>
    <x v="2"/>
    <m/>
    <m/>
    <m/>
  </r>
  <r>
    <d v="2024-09-21T00:00:00"/>
    <d v="1899-12-30T19:57:00"/>
    <s v="Sportsman"/>
    <n v="5"/>
    <n v="100"/>
    <n v="65"/>
    <n v="35"/>
    <s v="Mpesa"/>
    <x v="2"/>
    <m/>
    <m/>
    <m/>
  </r>
  <r>
    <d v="2024-09-21T00:00:00"/>
    <d v="1899-12-30T20:20:00"/>
    <s v="Festive Bread 400g"/>
    <n v="1"/>
    <n v="65"/>
    <n v="60"/>
    <n v="5"/>
    <s v="Mpesa"/>
    <x v="2"/>
    <m/>
    <m/>
    <m/>
  </r>
  <r>
    <d v="2024-09-21T00:00:00"/>
    <d v="1899-12-30T20:20:00"/>
    <s v="Sportsman"/>
    <n v="1"/>
    <n v="20"/>
    <n v="13"/>
    <n v="7"/>
    <s v="Cash"/>
    <x v="2"/>
    <m/>
    <m/>
    <m/>
  </r>
  <r>
    <d v="2024-09-22T00:00:00"/>
    <d v="1899-12-30T07:28:00"/>
    <s v="Mt kenya milk 500ml"/>
    <n v="1"/>
    <n v="65"/>
    <n v="48.333333333333336"/>
    <n v="16.666666666666664"/>
    <s v="Credit"/>
    <x v="5"/>
    <m/>
    <m/>
    <m/>
  </r>
  <r>
    <d v="2024-09-22T00:00:00"/>
    <d v="1899-12-30T08:00:00"/>
    <s v="Brookside milk 500ml"/>
    <n v="2"/>
    <n v="140"/>
    <n v="118"/>
    <n v="22"/>
    <s v="Credit"/>
    <x v="21"/>
    <m/>
    <m/>
    <m/>
  </r>
  <r>
    <d v="2024-09-22T00:00:00"/>
    <d v="1899-12-30T08:00:00"/>
    <s v="Kinangop Fresh Milk 500ml"/>
    <n v="1"/>
    <n v="60"/>
    <n v="55"/>
    <n v="5"/>
    <s v="Credit"/>
    <x v="2"/>
    <m/>
    <m/>
    <m/>
  </r>
  <r>
    <d v="2024-09-22T00:00:00"/>
    <d v="1899-12-30T08:00:00"/>
    <s v="eggs"/>
    <n v="3"/>
    <n v="60"/>
    <n v="43"/>
    <n v="17"/>
    <s v="Credit"/>
    <x v="2"/>
    <m/>
    <m/>
    <m/>
  </r>
  <r>
    <d v="2024-09-22T00:00:00"/>
    <d v="1899-12-30T08:09:00"/>
    <s v="Kinangop Fresh Milk 500ml"/>
    <n v="1"/>
    <n v="60"/>
    <n v="55"/>
    <n v="5"/>
    <s v="Credit"/>
    <x v="58"/>
    <m/>
    <m/>
    <m/>
  </r>
  <r>
    <d v="2024-09-22T00:00:00"/>
    <d v="1899-12-30T08:35:00"/>
    <s v="Kinangop Fresh Milk 500ml"/>
    <n v="1"/>
    <n v="60"/>
    <n v="55"/>
    <n v="5"/>
    <s v="Credit"/>
    <x v="9"/>
    <m/>
    <m/>
    <m/>
  </r>
  <r>
    <d v="2024-09-22T00:00:00"/>
    <d v="1899-12-30T08:35:00"/>
    <s v="Festive Bread 400g"/>
    <n v="1"/>
    <n v="65"/>
    <n v="60"/>
    <n v="5"/>
    <s v="Credit"/>
    <x v="2"/>
    <m/>
    <m/>
    <m/>
  </r>
  <r>
    <d v="2024-09-22T00:00:00"/>
    <d v="1899-12-30T08:35:00"/>
    <s v="Sugar 1/4 kg"/>
    <n v="1"/>
    <n v="45"/>
    <n v="30"/>
    <n v="15"/>
    <s v="Credit"/>
    <x v="2"/>
    <m/>
    <m/>
    <m/>
  </r>
  <r>
    <d v="2024-09-22T00:00:00"/>
    <d v="1899-12-30T08:35:00"/>
    <s v="Sportsman"/>
    <n v="2"/>
    <n v="40"/>
    <n v="26"/>
    <n v="14"/>
    <s v="Credit"/>
    <x v="2"/>
    <m/>
    <m/>
    <m/>
  </r>
  <r>
    <d v="2024-09-22T00:00:00"/>
    <d v="1899-12-30T08:37:00"/>
    <s v="Brookside milk 500ml"/>
    <n v="1"/>
    <n v="70"/>
    <n v="59"/>
    <n v="11"/>
    <s v="Cash"/>
    <x v="2"/>
    <m/>
    <m/>
    <m/>
  </r>
  <r>
    <d v="2024-09-22T00:00:00"/>
    <d v="1899-12-30T08:22:00"/>
    <s v="Kinangop Fresh Milk 500ml"/>
    <n v="1"/>
    <n v="60"/>
    <n v="55"/>
    <n v="5"/>
    <s v="Mpesa"/>
    <x v="2"/>
    <m/>
    <m/>
    <m/>
  </r>
  <r>
    <d v="2024-09-22T00:00:00"/>
    <d v="1899-12-30T08:22:00"/>
    <s v="Festive Bread 400g"/>
    <n v="1"/>
    <n v="65"/>
    <n v="60"/>
    <n v="5"/>
    <s v="Mpesa"/>
    <x v="2"/>
    <m/>
    <m/>
    <m/>
  </r>
  <r>
    <d v="2024-09-22T00:00:00"/>
    <d v="1899-12-30T08:46:00"/>
    <s v="Tomatoes"/>
    <n v="4"/>
    <n v="40"/>
    <n v="20"/>
    <n v="20"/>
    <s v="Mpesa"/>
    <x v="2"/>
    <m/>
    <m/>
    <m/>
  </r>
  <r>
    <d v="2024-09-22T00:00:00"/>
    <d v="1899-12-30T08:50:00"/>
    <s v="Brookside milk 500ml"/>
    <n v="1"/>
    <n v="70"/>
    <n v="59"/>
    <n v="11"/>
    <s v="Cash"/>
    <x v="2"/>
    <m/>
    <m/>
    <m/>
  </r>
  <r>
    <d v="2024-09-22T00:00:00"/>
    <d v="1899-12-30T09:16:00"/>
    <s v="Ngumu"/>
    <n v="9"/>
    <n v="90"/>
    <n v="75"/>
    <n v="15"/>
    <s v="Cash"/>
    <x v="2"/>
    <m/>
    <m/>
    <m/>
  </r>
  <r>
    <d v="2024-09-22T00:00:00"/>
    <d v="1899-12-30T09:20:00"/>
    <s v="BB Bread 400g"/>
    <n v="1"/>
    <n v="65"/>
    <n v="60"/>
    <n v="5"/>
    <s v="Mpesa"/>
    <x v="2"/>
    <m/>
    <m/>
    <m/>
  </r>
  <r>
    <d v="2024-09-22T00:00:00"/>
    <d v="1899-12-30T09:30:00"/>
    <s v="omo 75g"/>
    <n v="1"/>
    <n v="35"/>
    <n v="27.5"/>
    <n v="7.5"/>
    <s v="Cash"/>
    <x v="2"/>
    <m/>
    <m/>
    <m/>
  </r>
  <r>
    <d v="2024-09-22T00:00:00"/>
    <d v="1899-12-30T09:30:00"/>
    <s v="Whitewash "/>
    <n v="1"/>
    <n v="50"/>
    <n v="33.75"/>
    <n v="16.25"/>
    <s v="Cash"/>
    <x v="2"/>
    <m/>
    <m/>
    <m/>
  </r>
  <r>
    <d v="2024-09-22T00:00:00"/>
    <d v="1899-12-30T09:30:00"/>
    <s v="eggs"/>
    <n v="4"/>
    <n v="80"/>
    <n v="57.333333333333336"/>
    <n v="22.666666666666664"/>
    <s v="Cash"/>
    <x v="2"/>
    <m/>
    <m/>
    <m/>
  </r>
  <r>
    <d v="2024-09-22T00:00:00"/>
    <d v="1899-12-30T09:30:00"/>
    <s v="Ginger Bisquit"/>
    <n v="1"/>
    <n v="5"/>
    <n v="4.333333333333333"/>
    <n v="0.66666666666666696"/>
    <s v="Cash"/>
    <x v="2"/>
    <m/>
    <m/>
    <m/>
  </r>
  <r>
    <d v="2024-09-22T00:00:00"/>
    <d v="1899-12-30T09:25:00"/>
    <s v="BB Bread 400g"/>
    <n v="1"/>
    <n v="65"/>
    <n v="60"/>
    <n v="5"/>
    <s v="Mpesa"/>
    <x v="2"/>
    <m/>
    <m/>
    <m/>
  </r>
  <r>
    <d v="2024-09-22T00:00:00"/>
    <d v="1899-12-30T09:40:00"/>
    <s v="Mt kenya milk 500ml"/>
    <n v="1"/>
    <n v="65"/>
    <n v="48.333333333333336"/>
    <n v="16.666666666666664"/>
    <s v="Mpesa"/>
    <x v="2"/>
    <m/>
    <m/>
    <m/>
  </r>
  <r>
    <d v="2024-09-22T00:00:00"/>
    <d v="1899-12-30T09:40:00"/>
    <s v="Kdf"/>
    <n v="2"/>
    <n v="20"/>
    <n v="16.666666666666668"/>
    <n v="3.3333333333333321"/>
    <s v="Mpesa"/>
    <x v="2"/>
    <m/>
    <m/>
    <m/>
  </r>
  <r>
    <d v="2024-09-22T00:00:00"/>
    <d v="1899-12-30T09:50:00"/>
    <s v="Sportsman"/>
    <n v="1"/>
    <n v="20"/>
    <n v="13"/>
    <n v="7"/>
    <s v="Mpesa"/>
    <x v="2"/>
    <m/>
    <m/>
    <m/>
  </r>
  <r>
    <d v="2024-09-22T00:00:00"/>
    <d v="1899-12-30T10:12:00"/>
    <s v="eggs"/>
    <n v="1"/>
    <n v="20"/>
    <n v="14.333333333333334"/>
    <n v="5.6666666666666661"/>
    <s v="Credit"/>
    <x v="39"/>
    <s v="Fanis"/>
    <n v="20"/>
    <s v="Mpesa"/>
  </r>
  <r>
    <d v="2024-09-22T00:00:00"/>
    <d v="1899-12-30T10:12:00"/>
    <s v="minutemaid 400ml"/>
    <n v="1"/>
    <n v="85"/>
    <n v="62.5"/>
    <n v="22.5"/>
    <s v="Credit"/>
    <x v="3"/>
    <m/>
    <m/>
    <m/>
  </r>
  <r>
    <d v="2024-09-22T00:00:00"/>
    <d v="1899-12-30T11:25:00"/>
    <s v="Gumballs"/>
    <n v="10"/>
    <n v="10"/>
    <n v="7"/>
    <n v="3"/>
    <s v="Cash"/>
    <x v="2"/>
    <m/>
    <m/>
    <m/>
  </r>
  <r>
    <d v="2024-09-22T00:00:00"/>
    <d v="1899-12-30T12:30:00"/>
    <s v="Tomatoes"/>
    <n v="4"/>
    <n v="40"/>
    <n v="20"/>
    <n v="20"/>
    <s v="Credit"/>
    <x v="9"/>
    <m/>
    <m/>
    <m/>
  </r>
  <r>
    <d v="2024-09-22T00:00:00"/>
    <d v="1899-12-30T12:30:00"/>
    <s v="Onion"/>
    <n v="1"/>
    <n v="10"/>
    <n v="8"/>
    <n v="2"/>
    <s v="Credit"/>
    <x v="2"/>
    <m/>
    <m/>
    <m/>
  </r>
  <r>
    <d v="2024-09-22T00:00:00"/>
    <d v="1899-12-30T12:30:00"/>
    <s v="Sportsman"/>
    <n v="2"/>
    <n v="40"/>
    <n v="26"/>
    <n v="14"/>
    <s v="Mpesa"/>
    <x v="2"/>
    <s v="Masaku"/>
    <n v="40"/>
    <s v="Mpesa"/>
  </r>
  <r>
    <d v="2024-09-22T00:00:00"/>
    <d v="1899-12-30T12:25:00"/>
    <s v="soda 500ml glass"/>
    <n v="3"/>
    <n v="165"/>
    <n v="150"/>
    <n v="15"/>
    <s v="Credit"/>
    <x v="21"/>
    <m/>
    <m/>
    <m/>
  </r>
  <r>
    <d v="2024-09-22T00:00:00"/>
    <d v="1899-12-30T12:25:00"/>
    <s v="Pembe 2kg"/>
    <n v="1"/>
    <n v="160"/>
    <n v="123.33333333333333"/>
    <n v="36.666666666666671"/>
    <s v="Credit"/>
    <x v="2"/>
    <m/>
    <m/>
    <m/>
  </r>
  <r>
    <d v="2024-09-22T00:00:00"/>
    <d v="1899-12-30T12:25:00"/>
    <s v="Ajab 2kg"/>
    <n v="1"/>
    <n v="220"/>
    <n v="175"/>
    <n v="45"/>
    <s v="Credit"/>
    <x v="2"/>
    <m/>
    <m/>
    <m/>
  </r>
  <r>
    <d v="2024-09-22T00:00:00"/>
    <d v="1899-12-30T12:25:00"/>
    <s v="Pishori rice"/>
    <n v="1"/>
    <n v="220"/>
    <n v="180"/>
    <n v="40"/>
    <s v="Credit"/>
    <x v="2"/>
    <m/>
    <m/>
    <m/>
  </r>
  <r>
    <d v="2024-09-22T00:00:00"/>
    <d v="1899-12-30T12:25:00"/>
    <s v="Ndengu"/>
    <n v="1"/>
    <n v="160"/>
    <n v="120"/>
    <n v="40"/>
    <s v="Credit"/>
    <x v="2"/>
    <m/>
    <m/>
    <m/>
  </r>
  <r>
    <d v="2024-09-22T00:00:00"/>
    <d v="1899-12-30T12:32:00"/>
    <s v="Tomatoes"/>
    <n v="2"/>
    <n v="20"/>
    <n v="10"/>
    <n v="10"/>
    <s v="Credit"/>
    <x v="58"/>
    <m/>
    <m/>
    <m/>
  </r>
  <r>
    <d v="2024-09-22T00:00:00"/>
    <d v="1899-12-30T12:46:00"/>
    <s v="eggs"/>
    <n v="3"/>
    <n v="60"/>
    <n v="43"/>
    <n v="17"/>
    <s v="Cash"/>
    <x v="2"/>
    <m/>
    <m/>
    <m/>
  </r>
  <r>
    <d v="2024-09-22T00:00:00"/>
    <d v="1899-12-30T13:21:00"/>
    <s v="Royco cubes"/>
    <n v="2"/>
    <n v="10"/>
    <n v="6"/>
    <n v="4"/>
    <s v="Mpesa"/>
    <x v="2"/>
    <m/>
    <m/>
    <m/>
  </r>
  <r>
    <d v="2024-09-22T00:00:00"/>
    <d v="1899-12-30T13:21:00"/>
    <s v="Onion"/>
    <n v="1"/>
    <n v="10"/>
    <n v="8"/>
    <n v="2"/>
    <s v="Mpesa"/>
    <x v="2"/>
    <m/>
    <m/>
    <m/>
  </r>
  <r>
    <d v="2024-09-22T00:00:00"/>
    <d v="1899-12-30T14:25:00"/>
    <s v="soda 300ml glass"/>
    <n v="2"/>
    <n v="80"/>
    <n v="65"/>
    <n v="15"/>
    <s v="Mpesa"/>
    <x v="2"/>
    <m/>
    <m/>
    <m/>
  </r>
  <r>
    <d v="2024-09-22T00:00:00"/>
    <d v="1899-12-30T14:25:00"/>
    <s v="Coconut Cakes"/>
    <n v="6"/>
    <n v="60"/>
    <n v="50"/>
    <n v="10"/>
    <s v="Mpesa"/>
    <x v="2"/>
    <m/>
    <m/>
    <m/>
  </r>
  <r>
    <d v="2024-09-22T00:00:00"/>
    <d v="1899-12-30T14:46:00"/>
    <s v="Mt kenya milk 500ml"/>
    <n v="1"/>
    <n v="65"/>
    <n v="48.333333333333336"/>
    <n v="16.666666666666664"/>
    <s v="Mpesa"/>
    <x v="2"/>
    <m/>
    <m/>
    <m/>
  </r>
  <r>
    <d v="2024-09-22T00:00:00"/>
    <d v="1899-12-30T14:46:00"/>
    <s v="Coconut Cakes"/>
    <n v="2"/>
    <n v="20"/>
    <n v="16.666666666666668"/>
    <n v="3.3333333333333321"/>
    <s v="Mpesa"/>
    <x v="2"/>
    <m/>
    <m/>
    <m/>
  </r>
  <r>
    <d v="2024-09-22T00:00:00"/>
    <d v="1899-12-30T14:53:00"/>
    <s v="soda 2lts"/>
    <n v="2"/>
    <n v="400"/>
    <n v="353.33333333333331"/>
    <n v="46.666666666666686"/>
    <s v="Cash"/>
    <x v="2"/>
    <m/>
    <m/>
    <m/>
  </r>
  <r>
    <d v="2024-09-22T00:00:00"/>
    <d v="1899-12-30T14:53:00"/>
    <s v="Tomatoes"/>
    <n v="10"/>
    <n v="100"/>
    <n v="50"/>
    <n v="50"/>
    <s v="Cash"/>
    <x v="2"/>
    <m/>
    <m/>
    <m/>
  </r>
  <r>
    <d v="2024-09-22T00:00:00"/>
    <d v="1899-12-30T15:02:00"/>
    <s v="omo 75g"/>
    <n v="2"/>
    <n v="70"/>
    <n v="55"/>
    <n v="15"/>
    <s v="Cash"/>
    <x v="13"/>
    <s v="Mark"/>
    <n v="30"/>
    <s v="Cash"/>
  </r>
  <r>
    <d v="2024-09-22T00:00:00"/>
    <d v="1899-12-30T15:11:00"/>
    <s v="Downy sunrise fresh"/>
    <n v="1"/>
    <n v="20"/>
    <n v="17.333333333333332"/>
    <n v="2.6666666666666679"/>
    <s v="Credit"/>
    <x v="2"/>
    <m/>
    <m/>
    <m/>
  </r>
  <r>
    <d v="2024-09-22T00:00:00"/>
    <d v="1899-12-30T15:11:00"/>
    <s v="Ngumu"/>
    <n v="1"/>
    <n v="10"/>
    <n v="8.3333333333333339"/>
    <n v="1.6666666666666661"/>
    <s v="Mpesa"/>
    <x v="2"/>
    <m/>
    <m/>
    <m/>
  </r>
  <r>
    <d v="2024-09-22T00:00:00"/>
    <d v="1899-12-30T15:11:00"/>
    <s v="Pishori rice"/>
    <n v="0.25"/>
    <n v="55"/>
    <n v="45"/>
    <n v="10"/>
    <s v="Mpesa"/>
    <x v="2"/>
    <m/>
    <m/>
    <m/>
  </r>
  <r>
    <d v="2024-09-22T00:00:00"/>
    <d v="1899-12-30T15:50:00"/>
    <s v="Sportsman"/>
    <n v="1"/>
    <n v="20"/>
    <n v="13"/>
    <n v="7"/>
    <s v="Cash"/>
    <x v="2"/>
    <m/>
    <m/>
    <m/>
  </r>
  <r>
    <d v="2024-09-22T00:00:00"/>
    <d v="1899-12-30T15:54:00"/>
    <s v="Icepop"/>
    <n v="1"/>
    <n v="15"/>
    <n v="7.5"/>
    <n v="7.5"/>
    <s v="Cash"/>
    <x v="2"/>
    <m/>
    <m/>
    <m/>
  </r>
  <r>
    <d v="2024-09-22T00:00:00"/>
    <d v="1899-12-30T15:54:00"/>
    <s v="Bigdaddy"/>
    <n v="3"/>
    <n v="30"/>
    <n v="18"/>
    <n v="12"/>
    <s v="Cash"/>
    <x v="2"/>
    <m/>
    <m/>
    <m/>
  </r>
  <r>
    <d v="2024-09-22T00:00:00"/>
    <d v="1899-12-30T15:54:00"/>
    <s v="Patco"/>
    <n v="4"/>
    <n v="10"/>
    <n v="4.8"/>
    <n v="5.2"/>
    <s v="Cash"/>
    <x v="2"/>
    <m/>
    <m/>
    <m/>
  </r>
  <r>
    <d v="2024-09-22T00:00:00"/>
    <d v="1899-12-30T15:54:00"/>
    <s v="coo"/>
    <n v="4"/>
    <n v="10"/>
    <n v="4.8"/>
    <n v="5.2"/>
    <s v="Cash"/>
    <x v="2"/>
    <m/>
    <m/>
    <m/>
  </r>
  <r>
    <d v="2024-09-22T00:00:00"/>
    <d v="1899-12-30T15:54:00"/>
    <s v="Nuvita Bisquit"/>
    <n v="3"/>
    <n v="15"/>
    <n v="12.5"/>
    <n v="2.5"/>
    <s v="Cash"/>
    <x v="2"/>
    <m/>
    <m/>
    <m/>
  </r>
  <r>
    <d v="2024-09-22T00:00:00"/>
    <d v="1899-12-30T15:57:00"/>
    <s v="Ringoz Barbeque"/>
    <n v="2"/>
    <n v="30"/>
    <n v="17.2"/>
    <n v="12.8"/>
    <s v="Cash"/>
    <x v="2"/>
    <m/>
    <m/>
    <m/>
  </r>
  <r>
    <d v="2024-09-22T00:00:00"/>
    <d v="1899-12-30T15:57:00"/>
    <s v="Tamu  Tamu Green"/>
    <n v="2"/>
    <n v="30"/>
    <n v="17.2"/>
    <n v="12.8"/>
    <s v="Cash"/>
    <x v="2"/>
    <m/>
    <m/>
    <m/>
  </r>
  <r>
    <d v="2024-09-22T00:00:00"/>
    <d v="1899-12-30T16:55:00"/>
    <s v="Bigdaddy"/>
    <n v="1"/>
    <n v="10"/>
    <n v="6"/>
    <n v="4"/>
    <s v="Cash"/>
    <x v="2"/>
    <m/>
    <m/>
    <m/>
  </r>
  <r>
    <d v="2024-09-22T00:00:00"/>
    <d v="1899-12-30T16:55:00"/>
    <s v="kensalt 1kg"/>
    <n v="1"/>
    <n v="50"/>
    <n v="35"/>
    <n v="15"/>
    <s v="Cash"/>
    <x v="2"/>
    <m/>
    <m/>
    <m/>
  </r>
  <r>
    <d v="2024-09-22T00:00:00"/>
    <d v="1899-12-30T17:17:00"/>
    <s v="omo 20g"/>
    <n v="1"/>
    <n v="15"/>
    <n v="9.1666666666666661"/>
    <n v="5.8333333333333339"/>
    <s v="Cash"/>
    <x v="2"/>
    <m/>
    <m/>
    <m/>
  </r>
  <r>
    <d v="2024-09-22T00:00:00"/>
    <d v="1899-12-30T17:36:00"/>
    <s v="Fresh green"/>
    <n v="1"/>
    <n v="10"/>
    <n v="5"/>
    <n v="5"/>
    <s v="Cash"/>
    <x v="2"/>
    <m/>
    <m/>
    <m/>
  </r>
  <r>
    <d v="2024-09-22T00:00:00"/>
    <d v="1899-12-30T17:36:00"/>
    <s v="Glucose 10g"/>
    <n v="2"/>
    <n v="10"/>
    <n v="7.5"/>
    <n v="2.5"/>
    <s v="Cash"/>
    <x v="2"/>
    <m/>
    <m/>
    <m/>
  </r>
  <r>
    <d v="2024-09-22T00:00:00"/>
    <d v="1899-12-30T17:40:00"/>
    <s v="Steel Wool 15g"/>
    <n v="1"/>
    <n v="10"/>
    <n v="5.2333333333333334"/>
    <n v="4.7666666666666666"/>
    <s v="Cash"/>
    <x v="2"/>
    <m/>
    <m/>
    <m/>
  </r>
  <r>
    <d v="2024-09-22T00:00:00"/>
    <d v="1899-12-30T18:19:00"/>
    <s v="Sportsman"/>
    <n v="1"/>
    <n v="20"/>
    <n v="13"/>
    <n v="7"/>
    <s v="Mpesa"/>
    <x v="2"/>
    <m/>
    <m/>
    <m/>
  </r>
  <r>
    <d v="2024-09-22T00:00:00"/>
    <d v="1899-12-30T18:28:00"/>
    <s v="Sportsman"/>
    <n v="4"/>
    <n v="80"/>
    <n v="52"/>
    <n v="28"/>
    <s v="Mpesa"/>
    <x v="2"/>
    <m/>
    <m/>
    <m/>
  </r>
  <r>
    <d v="2024-09-22T00:00:00"/>
    <d v="1899-12-30T18:28:00"/>
    <s v="Maramoja"/>
    <n v="1"/>
    <n v="10"/>
    <n v="7"/>
    <n v="3"/>
    <s v="Mpesa"/>
    <x v="2"/>
    <m/>
    <m/>
    <m/>
  </r>
  <r>
    <d v="2024-09-22T00:00:00"/>
    <d v="1899-12-30T18:40:00"/>
    <s v="Mt kenya milk 500ml"/>
    <n v="4"/>
    <n v="260"/>
    <n v="193.33333333333334"/>
    <n v="66.666666666666657"/>
    <s v="Cash"/>
    <x v="2"/>
    <m/>
    <m/>
    <m/>
  </r>
  <r>
    <d v="2024-09-22T00:00:00"/>
    <d v="1899-12-30T18:40:00"/>
    <s v="Festive 600g"/>
    <n v="1"/>
    <n v="100"/>
    <n v="90"/>
    <n v="10"/>
    <s v="Cash"/>
    <x v="2"/>
    <m/>
    <m/>
    <m/>
  </r>
  <r>
    <d v="2024-09-22T00:00:00"/>
    <d v="1899-12-30T18:50:00"/>
    <s v="Tomatoes"/>
    <n v="2"/>
    <n v="20"/>
    <n v="10"/>
    <n v="10"/>
    <s v="Credit"/>
    <x v="58"/>
    <m/>
    <m/>
    <m/>
  </r>
  <r>
    <d v="2024-09-22T00:00:00"/>
    <d v="1899-12-30T18:55:00"/>
    <s v="Brookside milk 500ml"/>
    <n v="3"/>
    <n v="210"/>
    <n v="177"/>
    <n v="33"/>
    <s v="Credit"/>
    <x v="20"/>
    <m/>
    <m/>
    <m/>
  </r>
  <r>
    <d v="2024-09-22T00:00:00"/>
    <d v="1899-12-30T19:30:00"/>
    <s v="Sportsman"/>
    <n v="1"/>
    <n v="20"/>
    <n v="13"/>
    <n v="7"/>
    <s v="Mpesa"/>
    <x v="2"/>
    <m/>
    <m/>
    <m/>
  </r>
  <r>
    <d v="2024-09-22T00:00:00"/>
    <d v="1899-12-30T19:30:00"/>
    <s v="Coconut Cakes"/>
    <n v="3"/>
    <n v="30"/>
    <n v="25"/>
    <n v="5"/>
    <s v="Mpesa"/>
    <x v="2"/>
    <m/>
    <m/>
    <m/>
  </r>
  <r>
    <d v="2024-09-22T00:00:00"/>
    <d v="1899-12-30T19:30:00"/>
    <s v="Ngumu"/>
    <n v="1"/>
    <n v="10"/>
    <n v="8.3333333333333339"/>
    <n v="1.6666666666666661"/>
    <s v="Mpesa"/>
    <x v="2"/>
    <m/>
    <m/>
    <m/>
  </r>
  <r>
    <d v="2024-09-22T00:00:00"/>
    <d v="1899-12-30T19:30:00"/>
    <s v="afia 500ml"/>
    <n v="1"/>
    <n v="85"/>
    <n v="70.833333333333329"/>
    <n v="14.166666666666671"/>
    <s v="Mpesa"/>
    <x v="2"/>
    <m/>
    <m/>
    <m/>
  </r>
  <r>
    <d v="2024-09-22T00:00:00"/>
    <d v="1899-12-30T20:10:00"/>
    <s v="BB Bread 400g"/>
    <n v="1"/>
    <n v="65"/>
    <n v="60"/>
    <n v="5"/>
    <s v="Mpesa"/>
    <x v="2"/>
    <m/>
    <m/>
    <m/>
  </r>
  <r>
    <d v="2024-09-22T00:00:00"/>
    <d v="1899-12-30T20:07:00"/>
    <s v="Maxguard"/>
    <n v="1"/>
    <n v="80"/>
    <n v="30"/>
    <n v="50"/>
    <s v="Credit"/>
    <x v="62"/>
    <s v="Haron"/>
    <n v="40"/>
    <s v="Cash"/>
  </r>
  <r>
    <d v="2024-09-23T00:00:00"/>
    <d v="1899-12-30T07:30:00"/>
    <s v="Festive Bread 400g"/>
    <n v="1"/>
    <n v="65"/>
    <n v="60"/>
    <n v="5"/>
    <s v="Credit"/>
    <x v="8"/>
    <m/>
    <m/>
    <m/>
  </r>
  <r>
    <d v="2024-09-23T00:00:00"/>
    <d v="1899-12-30T08:04:00"/>
    <s v="Sportsman"/>
    <n v="1"/>
    <n v="20"/>
    <n v="13"/>
    <n v="7"/>
    <s v="Cash"/>
    <x v="2"/>
    <m/>
    <m/>
    <m/>
  </r>
  <r>
    <d v="2024-09-23T00:00:00"/>
    <d v="1899-12-30T08:20:00"/>
    <s v="Ajab 2kg"/>
    <n v="1"/>
    <n v="220"/>
    <n v="175"/>
    <n v="45"/>
    <s v="Credit"/>
    <x v="10"/>
    <m/>
    <m/>
    <m/>
  </r>
  <r>
    <d v="2024-09-23T00:00:00"/>
    <d v="1899-12-30T08:21:00"/>
    <s v="Coconut Cakes"/>
    <n v="2"/>
    <n v="20"/>
    <n v="16.666666666666668"/>
    <n v="3.3333333333333321"/>
    <s v="Mpesa"/>
    <x v="2"/>
    <m/>
    <m/>
    <m/>
  </r>
  <r>
    <d v="2024-09-23T00:00:00"/>
    <d v="1899-12-30T09:07:00"/>
    <s v="Sportsman"/>
    <n v="1"/>
    <n v="20"/>
    <n v="13"/>
    <n v="7"/>
    <s v="Cash"/>
    <x v="2"/>
    <m/>
    <m/>
    <m/>
  </r>
  <r>
    <d v="2024-09-23T00:00:00"/>
    <d v="1899-12-30T09:48:00"/>
    <s v="Sportsman"/>
    <n v="2"/>
    <n v="40"/>
    <n v="26"/>
    <n v="14"/>
    <s v="Credit"/>
    <x v="51"/>
    <m/>
    <m/>
    <m/>
  </r>
  <r>
    <d v="2024-09-23T00:00:00"/>
    <d v="1899-12-30T11:56:00"/>
    <s v="Mt kenya milk 500ml"/>
    <n v="2"/>
    <n v="130"/>
    <n v="96.666666666666671"/>
    <n v="33.333333333333329"/>
    <s v="Mpesa"/>
    <x v="2"/>
    <m/>
    <m/>
    <m/>
  </r>
  <r>
    <d v="2024-09-23T00:00:00"/>
    <d v="1899-12-30T11:56:00"/>
    <s v="BB Bread 400g"/>
    <n v="1"/>
    <n v="65"/>
    <n v="60"/>
    <n v="5"/>
    <s v="Mpesa"/>
    <x v="2"/>
    <m/>
    <m/>
    <m/>
  </r>
  <r>
    <d v="2024-09-23T00:00:00"/>
    <d v="1899-12-30T12:08:00"/>
    <s v="Onion"/>
    <n v="2"/>
    <n v="20"/>
    <n v="16"/>
    <n v="4"/>
    <s v="Cash"/>
    <x v="2"/>
    <m/>
    <m/>
    <m/>
  </r>
  <r>
    <d v="2024-09-23T00:00:00"/>
    <d v="1899-12-30T12:08:00"/>
    <s v="Tomatoes"/>
    <n v="3"/>
    <n v="30"/>
    <n v="15"/>
    <n v="15"/>
    <s v="Cash"/>
    <x v="2"/>
    <m/>
    <m/>
    <m/>
  </r>
  <r>
    <d v="2024-09-23T00:00:00"/>
    <d v="1899-12-30T12:27:00"/>
    <s v="eggs"/>
    <n v="4"/>
    <n v="80"/>
    <n v="57.333333333333336"/>
    <n v="22.666666666666664"/>
    <s v="Credit"/>
    <x v="54"/>
    <m/>
    <m/>
    <m/>
  </r>
  <r>
    <d v="2024-09-23T00:00:00"/>
    <d v="1899-12-30T12:27:00"/>
    <s v="Mt kenya milk 500ml"/>
    <n v="2"/>
    <n v="130"/>
    <n v="96.666666666666671"/>
    <n v="33.333333333333329"/>
    <s v="Cash"/>
    <x v="2"/>
    <m/>
    <m/>
    <m/>
  </r>
  <r>
    <d v="2024-09-23T00:00:00"/>
    <d v="1899-12-30T12:39:00"/>
    <s v="Airtel 10 Credit"/>
    <n v="1"/>
    <n v="10"/>
    <n v="9"/>
    <n v="1"/>
    <s v="Cash"/>
    <x v="2"/>
    <m/>
    <m/>
    <m/>
  </r>
  <r>
    <d v="2024-09-23T00:00:00"/>
    <d v="1899-12-30T12:55:00"/>
    <s v="Safaricom 10 Credit"/>
    <n v="1"/>
    <n v="10"/>
    <n v="9"/>
    <n v="1"/>
    <s v="Cash"/>
    <x v="2"/>
    <m/>
    <m/>
    <m/>
  </r>
  <r>
    <d v="2024-09-23T00:00:00"/>
    <d v="1899-12-30T13:59:00"/>
    <s v="Coconut Cakes"/>
    <n v="3"/>
    <n v="30"/>
    <n v="25"/>
    <n v="5"/>
    <s v="Cash"/>
    <x v="2"/>
    <m/>
    <m/>
    <m/>
  </r>
  <r>
    <d v="2024-09-23T00:00:00"/>
    <d v="1899-12-30T13:59:00"/>
    <s v="Cooking Oil Measured"/>
    <n v="1"/>
    <n v="280"/>
    <n v="200"/>
    <n v="80"/>
    <s v="Credit"/>
    <x v="54"/>
    <m/>
    <m/>
    <m/>
  </r>
  <r>
    <d v="2024-09-23T00:00:00"/>
    <d v="1899-12-30T14:06:00"/>
    <s v="Nuvita Bisquit"/>
    <n v="2"/>
    <n v="10"/>
    <n v="8.3333333333333339"/>
    <n v="1.6666666666666661"/>
    <s v="Mpesa"/>
    <x v="2"/>
    <m/>
    <m/>
    <m/>
  </r>
  <r>
    <d v="2024-09-23T00:00:00"/>
    <d v="1899-12-30T14:06:00"/>
    <s v="Sportsman"/>
    <n v="1"/>
    <n v="20"/>
    <n v="13"/>
    <n v="7"/>
    <s v="Mpesa"/>
    <x v="2"/>
    <m/>
    <m/>
    <m/>
  </r>
  <r>
    <d v="2024-09-23T00:00:00"/>
    <d v="1899-12-30T14:06:00"/>
    <s v="BB Bread 400g"/>
    <n v="1"/>
    <n v="65"/>
    <n v="60"/>
    <n v="5"/>
    <s v="Mpesa"/>
    <x v="2"/>
    <m/>
    <m/>
    <m/>
  </r>
  <r>
    <d v="2024-09-23T00:00:00"/>
    <d v="1899-12-30T14:06:00"/>
    <s v="Menengai Bar 1kg"/>
    <n v="0.2"/>
    <n v="50"/>
    <n v="38"/>
    <n v="12"/>
    <s v="Cash"/>
    <x v="2"/>
    <s v="Lucy"/>
    <n v="220"/>
    <s v="Mpesa"/>
  </r>
  <r>
    <d v="2024-09-23T00:00:00"/>
    <d v="1899-12-30T15:48:00"/>
    <s v="Bigdaddy"/>
    <n v="1"/>
    <n v="10"/>
    <n v="6"/>
    <n v="4"/>
    <s v="Mpesa"/>
    <x v="2"/>
    <m/>
    <m/>
    <m/>
  </r>
  <r>
    <d v="2024-09-23T00:00:00"/>
    <d v="1899-12-30T16:19:00"/>
    <s v="Indomie beef"/>
    <n v="1"/>
    <n v="50"/>
    <n v="38"/>
    <n v="12"/>
    <s v="Mpesa"/>
    <x v="2"/>
    <m/>
    <m/>
    <m/>
  </r>
  <r>
    <d v="2024-09-23T00:00:00"/>
    <d v="1899-12-30T16:19:00"/>
    <s v="Bella Tissue"/>
    <n v="1"/>
    <n v="50"/>
    <n v="35"/>
    <n v="15"/>
    <s v="Mpesa"/>
    <x v="2"/>
    <m/>
    <m/>
    <m/>
  </r>
  <r>
    <d v="2024-09-23T00:00:00"/>
    <d v="1899-12-30T16:31:00"/>
    <s v="1ltr Brookside Lala Natural"/>
    <n v="2"/>
    <n v="360"/>
    <n v="328"/>
    <n v="32"/>
    <s v="Mpesa"/>
    <x v="2"/>
    <m/>
    <m/>
    <m/>
  </r>
  <r>
    <d v="2024-09-23T00:00:00"/>
    <d v="1899-12-30T16:44:00"/>
    <s v="soda 500ml glass"/>
    <n v="2"/>
    <n v="110"/>
    <n v="100"/>
    <n v="10"/>
    <s v="Credit"/>
    <x v="34"/>
    <s v="Fredy"/>
    <n v="40"/>
    <s v="Mpesa"/>
  </r>
  <r>
    <d v="2024-09-23T00:00:00"/>
    <d v="1899-12-30T16:44:00"/>
    <s v="Coconut Cakes"/>
    <n v="6"/>
    <n v="60"/>
    <n v="50"/>
    <n v="10"/>
    <s v="Credit"/>
    <x v="2"/>
    <m/>
    <m/>
    <m/>
  </r>
  <r>
    <d v="2024-09-23T00:00:00"/>
    <d v="1899-12-30T16:54:00"/>
    <s v="Sportsman"/>
    <n v="1"/>
    <n v="20"/>
    <n v="13"/>
    <n v="7"/>
    <s v="Mpesa"/>
    <x v="2"/>
    <m/>
    <m/>
    <m/>
  </r>
  <r>
    <d v="2024-09-23T00:00:00"/>
    <d v="1899-12-30T17:08:00"/>
    <s v="Lighter"/>
    <n v="1"/>
    <n v="30"/>
    <n v="15"/>
    <n v="15"/>
    <s v="Mpesa"/>
    <x v="2"/>
    <m/>
    <m/>
    <m/>
  </r>
  <r>
    <d v="2024-09-23T00:00:00"/>
    <d v="1899-12-30T17:54:00"/>
    <s v="Fresh green"/>
    <n v="1"/>
    <n v="10"/>
    <n v="5"/>
    <n v="5"/>
    <s v="Cash"/>
    <x v="2"/>
    <s v="Lydia"/>
    <n v="250"/>
    <s v="Cash"/>
  </r>
  <r>
    <d v="2024-09-23T00:00:00"/>
    <d v="1899-12-30T18:41:00"/>
    <s v="Hanaan Tissue"/>
    <n v="2"/>
    <n v="110"/>
    <n v="86"/>
    <n v="24"/>
    <s v="Cash"/>
    <x v="2"/>
    <m/>
    <m/>
    <m/>
  </r>
  <r>
    <d v="2024-09-23T00:00:00"/>
    <d v="1899-12-30T18:41:00"/>
    <s v="Tomatoes"/>
    <n v="10"/>
    <n v="100"/>
    <n v="50"/>
    <n v="50"/>
    <s v="Cash"/>
    <x v="2"/>
    <m/>
    <m/>
    <m/>
  </r>
  <r>
    <d v="2024-09-23T00:00:00"/>
    <d v="1899-12-30T18:41:00"/>
    <s v="Onion"/>
    <n v="5"/>
    <n v="50"/>
    <n v="40"/>
    <n v="10"/>
    <s v="Cash"/>
    <x v="2"/>
    <m/>
    <m/>
    <m/>
  </r>
  <r>
    <d v="2024-09-23T00:00:00"/>
    <d v="1899-12-30T18:41:00"/>
    <s v="Festive Bread 400g"/>
    <n v="1"/>
    <n v="65"/>
    <n v="60"/>
    <n v="5"/>
    <s v="Cash"/>
    <x v="2"/>
    <m/>
    <m/>
    <m/>
  </r>
  <r>
    <d v="2024-09-23T00:00:00"/>
    <d v="1899-12-30T19:00:00"/>
    <s v="Coconut Cakes"/>
    <n v="2"/>
    <n v="20"/>
    <n v="16.666666666666668"/>
    <n v="3.3333333333333321"/>
    <s v="Credit"/>
    <x v="63"/>
    <m/>
    <m/>
    <m/>
  </r>
  <r>
    <d v="2024-09-23T00:00:00"/>
    <d v="1899-12-30T19:00:00"/>
    <s v="Tomatoes"/>
    <n v="3"/>
    <n v="30"/>
    <n v="15"/>
    <n v="15"/>
    <s v="Credit"/>
    <x v="58"/>
    <m/>
    <m/>
    <m/>
  </r>
  <r>
    <d v="2024-09-23T00:00:00"/>
    <d v="1899-12-30T19:12:00"/>
    <s v="Festive 600g"/>
    <n v="1"/>
    <n v="100"/>
    <n v="90"/>
    <n v="10"/>
    <s v="Cash"/>
    <x v="2"/>
    <m/>
    <m/>
    <m/>
  </r>
  <r>
    <d v="2024-09-23T00:00:00"/>
    <d v="1899-12-30T19:13:00"/>
    <s v="Soko Maize meal"/>
    <n v="1"/>
    <n v="160"/>
    <n v="125"/>
    <n v="35"/>
    <s v="Cash"/>
    <x v="2"/>
    <m/>
    <m/>
    <m/>
  </r>
  <r>
    <d v="2024-09-23T00:00:00"/>
    <d v="1899-12-30T19:50:00"/>
    <s v="Sportsman"/>
    <n v="1"/>
    <n v="20"/>
    <n v="13"/>
    <n v="7"/>
    <s v="Mpesa"/>
    <x v="2"/>
    <s v="Fredy"/>
    <n v="100"/>
    <s v="Cash"/>
  </r>
  <r>
    <d v="2024-09-23T00:00:00"/>
    <d v="1899-12-30T19:36:00"/>
    <s v="Tamu  Tamu Green"/>
    <n v="2"/>
    <n v="30"/>
    <n v="17.2"/>
    <n v="12.8"/>
    <s v="Mpesa"/>
    <x v="2"/>
    <m/>
    <m/>
    <m/>
  </r>
  <r>
    <d v="2024-09-23T00:00:00"/>
    <d v="1899-12-30T19:36:00"/>
    <s v="Ringoz Barbeque"/>
    <n v="2"/>
    <n v="30"/>
    <n v="17.2"/>
    <n v="12.8"/>
    <s v="Mpesa"/>
    <x v="2"/>
    <m/>
    <m/>
    <m/>
  </r>
  <r>
    <d v="2024-09-23T00:00:00"/>
    <d v="1899-12-30T19:58:00"/>
    <s v="Royco cubes"/>
    <n v="4"/>
    <n v="20"/>
    <n v="12"/>
    <n v="8"/>
    <s v="Mpesa"/>
    <x v="2"/>
    <m/>
    <m/>
    <m/>
  </r>
  <r>
    <d v="2024-09-23T00:00:00"/>
    <d v="1899-12-30T19:58:00"/>
    <s v="Cooking Oil Measured"/>
    <n v="0.25"/>
    <n v="70"/>
    <n v="50"/>
    <n v="20"/>
    <s v="Mpesa"/>
    <x v="2"/>
    <m/>
    <m/>
    <m/>
  </r>
  <r>
    <d v="2024-09-23T00:00:00"/>
    <d v="1899-12-30T20:02:00"/>
    <s v="Rasor Blade"/>
    <n v="1"/>
    <n v="5"/>
    <n v="2"/>
    <n v="3"/>
    <s v="Credit"/>
    <x v="58"/>
    <m/>
    <m/>
    <m/>
  </r>
  <r>
    <d v="2024-09-23T00:00:00"/>
    <d v="1899-12-30T20:02:00"/>
    <s v="Festive Bread 400g"/>
    <n v="1"/>
    <n v="65"/>
    <n v="60"/>
    <n v="5"/>
    <s v="Cash"/>
    <x v="2"/>
    <m/>
    <m/>
    <m/>
  </r>
  <r>
    <d v="2024-09-23T00:00:00"/>
    <d v="1899-12-30T20:02:00"/>
    <s v="Kinangop Fresh Milk 500ml"/>
    <n v="1"/>
    <n v="60"/>
    <n v="55"/>
    <n v="5"/>
    <s v="Cash"/>
    <x v="2"/>
    <m/>
    <m/>
    <m/>
  </r>
  <r>
    <d v="2024-09-23T00:00:00"/>
    <d v="1899-12-30T20:02:00"/>
    <s v="pens black"/>
    <n v="1"/>
    <n v="10"/>
    <n v="5"/>
    <n v="5"/>
    <s v="Mpesa"/>
    <x v="2"/>
    <m/>
    <m/>
    <m/>
  </r>
  <r>
    <d v="2024-09-23T00:00:00"/>
    <d v="1899-12-30T20:02:00"/>
    <s v="pens red"/>
    <n v="1"/>
    <n v="10"/>
    <n v="5"/>
    <n v="5"/>
    <s v="Mpesa"/>
    <x v="2"/>
    <m/>
    <m/>
    <m/>
  </r>
  <r>
    <d v="2024-09-23T00:00:00"/>
    <d v="1899-12-30T20:17:00"/>
    <s v="mosquito stick"/>
    <n v="5"/>
    <n v="50"/>
    <n v="45"/>
    <n v="5"/>
    <s v="Mpesa"/>
    <x v="2"/>
    <m/>
    <m/>
    <m/>
  </r>
  <r>
    <d v="2024-09-23T00:00:00"/>
    <d v="1899-12-30T20:17:00"/>
    <s v="Match Box"/>
    <n v="1"/>
    <n v="5"/>
    <n v="2.3611111111111112"/>
    <n v="2.6388888888888888"/>
    <s v="Mpesa"/>
    <x v="2"/>
    <m/>
    <m/>
    <m/>
  </r>
  <r>
    <d v="2024-09-23T00:00:00"/>
    <d v="1899-12-30T20:19:00"/>
    <s v="Carrier bag small"/>
    <n v="1"/>
    <n v="10"/>
    <n v="3"/>
    <n v="7"/>
    <s v="Credit"/>
    <x v="55"/>
    <m/>
    <m/>
    <m/>
  </r>
  <r>
    <d v="2024-09-23T00:00:00"/>
    <d v="1899-12-30T20:34:00"/>
    <s v="Safaricom 20 Credit"/>
    <n v="1"/>
    <n v="20"/>
    <n v="18"/>
    <n v="2"/>
    <s v="Mpesa"/>
    <x v="2"/>
    <m/>
    <m/>
    <m/>
  </r>
  <r>
    <d v="2024-09-23T00:00:00"/>
    <d v="1899-12-30T20:34:00"/>
    <s v="kensalt 200g"/>
    <n v="1"/>
    <n v="15"/>
    <n v="5.5"/>
    <n v="9.5"/>
    <s v="Mpesa"/>
    <x v="2"/>
    <m/>
    <m/>
    <m/>
  </r>
  <r>
    <d v="2024-09-24T00:00:00"/>
    <d v="1899-12-30T07:34:00"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  <r>
    <d v="2024-09-24T00:00:00"/>
    <m/>
    <m/>
    <m/>
    <e v="#N/A"/>
    <e v="#N/A"/>
    <e v="#N/A"/>
    <m/>
    <x v="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B00342-4522-4086-99EA-516CF121C0E9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reditor_name">
  <location ref="A3:A68" firstHeaderRow="1" firstDataRow="1" firstDataCol="1"/>
  <pivotFields count="12">
    <pivotField numFmtId="14" showAll="0"/>
    <pivotField numFmtId="18" showAll="0"/>
    <pivotField showAll="0"/>
    <pivotField showAll="0"/>
    <pivotField showAll="0"/>
    <pivotField showAll="0"/>
    <pivotField showAll="0"/>
    <pivotField showAll="0"/>
    <pivotField axis="axisRow" showAll="0">
      <items count="65">
        <item x="14"/>
        <item x="3"/>
        <item x="21"/>
        <item x="11"/>
        <item x="5"/>
        <item x="26"/>
        <item x="1"/>
        <item x="25"/>
        <item x="20"/>
        <item x="27"/>
        <item x="23"/>
        <item x="10"/>
        <item x="13"/>
        <item x="9"/>
        <item x="16"/>
        <item x="22"/>
        <item x="7"/>
        <item x="15"/>
        <item x="17"/>
        <item x="12"/>
        <item x="24"/>
        <item x="8"/>
        <item x="4"/>
        <item x="19"/>
        <item x="18"/>
        <item x="6"/>
        <item x="0"/>
        <item x="2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showAll="0"/>
    <pivotField showAll="0"/>
  </pivotFields>
  <rowFields count="1">
    <field x="8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75A10C-3A54-4813-9A9F-D32B2969E983}" name="PivotTable8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">
  <location ref="A3:D921" firstHeaderRow="1" firstDataRow="1" firstDataCol="3"/>
  <pivotFields count="13">
    <pivotField axis="axisRow" compact="0" numFmtId="14" outline="0" showAll="0" sortType="ascending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8" outline="0"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2"/>
    <field x="1"/>
  </rowFields>
  <rowItems count="918">
    <i>
      <x/>
      <x v="8"/>
      <x v="39"/>
    </i>
    <i t="default" r="1">
      <x v="8"/>
    </i>
    <i r="1">
      <x v="9"/>
      <x v="3"/>
    </i>
    <i t="default" r="1">
      <x v="9"/>
    </i>
    <i r="1">
      <x v="11"/>
      <x v="33"/>
    </i>
    <i r="2">
      <x v="40"/>
    </i>
    <i r="2">
      <x v="41"/>
    </i>
    <i r="2">
      <x v="48"/>
    </i>
    <i t="default" r="1">
      <x v="11"/>
    </i>
    <i r="1">
      <x v="12"/>
      <x v="42"/>
    </i>
    <i t="default" r="1">
      <x v="12"/>
    </i>
    <i r="1">
      <x v="13"/>
      <x v="27"/>
    </i>
    <i r="2">
      <x v="42"/>
    </i>
    <i t="default" r="1">
      <x v="13"/>
    </i>
    <i r="1">
      <x v="15"/>
      <x v="6"/>
    </i>
    <i r="2">
      <x v="23"/>
    </i>
    <i r="2">
      <x v="46"/>
    </i>
    <i t="default" r="1">
      <x v="15"/>
    </i>
    <i r="1">
      <x v="16"/>
      <x v="31"/>
    </i>
    <i r="2">
      <x v="36"/>
    </i>
    <i t="default" r="1">
      <x v="16"/>
    </i>
    <i r="1">
      <x v="17"/>
      <x v="24"/>
    </i>
    <i t="default" r="1">
      <x v="17"/>
    </i>
    <i r="1">
      <x v="18"/>
      <x v="31"/>
    </i>
    <i r="2">
      <x v="56"/>
    </i>
    <i t="default" r="1">
      <x v="18"/>
    </i>
    <i r="1">
      <x v="19"/>
      <x v="11"/>
    </i>
    <i r="2">
      <x v="39"/>
    </i>
    <i t="default" r="1">
      <x v="19"/>
    </i>
    <i r="1">
      <x v="20"/>
      <x v="8"/>
    </i>
    <i r="2">
      <x v="31"/>
    </i>
    <i r="2">
      <x v="37"/>
    </i>
    <i t="default" r="1">
      <x v="20"/>
    </i>
    <i r="1">
      <x v="21"/>
      <x v="3"/>
    </i>
    <i r="2">
      <x v="9"/>
    </i>
    <i r="2">
      <x v="11"/>
    </i>
    <i r="2">
      <x v="14"/>
    </i>
    <i t="default" r="1">
      <x v="21"/>
    </i>
    <i>
      <x v="1"/>
      <x v="9"/>
      <x v="1"/>
    </i>
    <i r="2">
      <x v="17"/>
    </i>
    <i t="default" r="1">
      <x v="9"/>
    </i>
    <i r="1">
      <x v="10"/>
      <x v="3"/>
    </i>
    <i r="2">
      <x v="29"/>
    </i>
    <i r="2">
      <x v="30"/>
    </i>
    <i r="2">
      <x v="57"/>
    </i>
    <i t="default" r="1">
      <x v="10"/>
    </i>
    <i r="1">
      <x v="11"/>
      <x v="14"/>
    </i>
    <i r="2">
      <x v="37"/>
    </i>
    <i t="default" r="1">
      <x v="11"/>
    </i>
    <i r="1">
      <x v="12"/>
      <x v="45"/>
    </i>
    <i r="2">
      <x v="46"/>
    </i>
    <i t="default" r="1">
      <x v="12"/>
    </i>
    <i r="1">
      <x v="13"/>
      <x v="47"/>
    </i>
    <i t="default" r="1">
      <x v="13"/>
    </i>
    <i r="1">
      <x v="14"/>
      <x v="36"/>
    </i>
    <i r="2">
      <x v="54"/>
    </i>
    <i r="2">
      <x v="60"/>
    </i>
    <i t="default" r="1">
      <x v="14"/>
    </i>
    <i r="1">
      <x v="15"/>
      <x v="27"/>
    </i>
    <i r="2">
      <x v="35"/>
    </i>
    <i r="2">
      <x v="36"/>
    </i>
    <i r="2">
      <x v="57"/>
    </i>
    <i t="default" r="1">
      <x v="15"/>
    </i>
    <i r="1">
      <x v="16"/>
      <x v="41"/>
    </i>
    <i t="default" r="1">
      <x v="16"/>
    </i>
    <i r="1">
      <x v="17"/>
      <x v="18"/>
    </i>
    <i r="2">
      <x v="50"/>
    </i>
    <i r="2">
      <x v="51"/>
    </i>
    <i t="default" r="1">
      <x v="17"/>
    </i>
    <i r="1">
      <x v="18"/>
      <x v="22"/>
    </i>
    <i r="2">
      <x v="34"/>
    </i>
    <i r="2">
      <x v="46"/>
    </i>
    <i r="2">
      <x v="47"/>
    </i>
    <i t="default" r="1">
      <x v="18"/>
    </i>
    <i r="1">
      <x v="19"/>
      <x v="25"/>
    </i>
    <i r="2">
      <x v="31"/>
    </i>
    <i r="2">
      <x v="34"/>
    </i>
    <i r="2">
      <x v="36"/>
    </i>
    <i r="2">
      <x v="37"/>
    </i>
    <i r="2">
      <x v="38"/>
    </i>
    <i r="2">
      <x v="39"/>
    </i>
    <i t="default" r="1">
      <x v="19"/>
    </i>
    <i r="1">
      <x v="20"/>
      <x v="1"/>
    </i>
    <i r="2">
      <x v="2"/>
    </i>
    <i r="2">
      <x v="5"/>
    </i>
    <i r="2">
      <x v="9"/>
    </i>
    <i r="2">
      <x v="10"/>
    </i>
    <i r="2">
      <x v="20"/>
    </i>
    <i r="2">
      <x v="26"/>
    </i>
    <i r="2">
      <x v="31"/>
    </i>
    <i r="2">
      <x v="48"/>
    </i>
    <i t="default" r="1">
      <x v="20"/>
    </i>
    <i r="1">
      <x v="21"/>
      <x v="3"/>
    </i>
    <i r="2">
      <x v="31"/>
    </i>
    <i t="default" r="1">
      <x v="21"/>
    </i>
    <i>
      <x v="2"/>
      <x v="10"/>
      <x v="20"/>
    </i>
    <i r="2">
      <x v="28"/>
    </i>
    <i r="2">
      <x v="38"/>
    </i>
    <i t="default" r="1">
      <x v="10"/>
    </i>
    <i r="1">
      <x v="11"/>
      <x v="51"/>
    </i>
    <i t="default" r="1">
      <x v="11"/>
    </i>
    <i r="1">
      <x v="12"/>
      <x v="21"/>
    </i>
    <i r="2">
      <x v="44"/>
    </i>
    <i t="default" r="1">
      <x v="12"/>
    </i>
    <i r="1">
      <x v="13"/>
      <x v="12"/>
    </i>
    <i r="2">
      <x v="24"/>
    </i>
    <i t="default" r="1">
      <x v="13"/>
    </i>
    <i r="1">
      <x v="14"/>
      <x v="35"/>
    </i>
    <i r="2">
      <x v="51"/>
    </i>
    <i t="default" r="1">
      <x v="14"/>
    </i>
    <i r="1">
      <x v="15"/>
      <x v="6"/>
    </i>
    <i r="2">
      <x v="47"/>
    </i>
    <i t="default" r="1">
      <x v="15"/>
    </i>
    <i r="1">
      <x v="17"/>
      <x v="15"/>
    </i>
    <i r="2">
      <x v="25"/>
    </i>
    <i t="default" r="1">
      <x v="17"/>
    </i>
    <i r="1">
      <x v="19"/>
      <x v="8"/>
    </i>
    <i r="2">
      <x v="24"/>
    </i>
    <i r="2">
      <x v="26"/>
    </i>
    <i r="2">
      <x v="31"/>
    </i>
    <i t="default" r="1">
      <x v="19"/>
    </i>
    <i r="1">
      <x v="20"/>
      <x v="27"/>
    </i>
    <i r="2">
      <x v="53"/>
    </i>
    <i t="default" r="1">
      <x v="20"/>
    </i>
    <i r="1">
      <x v="21"/>
      <x v="21"/>
    </i>
    <i t="default" r="1">
      <x v="21"/>
    </i>
    <i>
      <x v="3"/>
      <x v="8"/>
      <x v="38"/>
    </i>
    <i t="default" r="1">
      <x v="8"/>
    </i>
    <i r="1">
      <x v="9"/>
      <x v="27"/>
    </i>
    <i r="2">
      <x v="51"/>
    </i>
    <i t="default" r="1">
      <x v="9"/>
    </i>
    <i r="1">
      <x v="10"/>
      <x v="57"/>
    </i>
    <i t="default" r="1">
      <x v="10"/>
    </i>
    <i r="1">
      <x v="11"/>
      <x v="56"/>
    </i>
    <i t="default" r="1">
      <x v="11"/>
    </i>
    <i r="1">
      <x v="12"/>
      <x v="3"/>
    </i>
    <i r="2">
      <x v="36"/>
    </i>
    <i r="2">
      <x v="56"/>
    </i>
    <i t="default" r="1">
      <x v="12"/>
    </i>
    <i r="1">
      <x v="13"/>
      <x v="53"/>
    </i>
    <i t="default" r="1">
      <x v="13"/>
    </i>
    <i r="1">
      <x v="14"/>
      <x v="28"/>
    </i>
    <i t="default" r="1">
      <x v="14"/>
    </i>
    <i r="1">
      <x v="15"/>
      <x v="1"/>
    </i>
    <i r="2">
      <x v="33"/>
    </i>
    <i t="default" r="1">
      <x v="15"/>
    </i>
    <i r="1">
      <x v="16"/>
      <x v="30"/>
    </i>
    <i t="default" r="1">
      <x v="16"/>
    </i>
    <i r="1">
      <x v="17"/>
      <x v="6"/>
    </i>
    <i r="2">
      <x v="28"/>
    </i>
    <i r="2">
      <x v="38"/>
    </i>
    <i t="default" r="1">
      <x v="17"/>
    </i>
    <i r="1">
      <x v="18"/>
      <x v="3"/>
    </i>
    <i r="2">
      <x v="4"/>
    </i>
    <i t="default" r="1">
      <x v="18"/>
    </i>
    <i r="1">
      <x v="19"/>
      <x v="4"/>
    </i>
    <i r="2">
      <x v="44"/>
    </i>
    <i t="default" r="1">
      <x v="19"/>
    </i>
    <i r="1">
      <x v="20"/>
      <x v="1"/>
    </i>
    <i r="2">
      <x v="3"/>
    </i>
    <i r="2">
      <x v="21"/>
    </i>
    <i r="2">
      <x v="23"/>
    </i>
    <i r="2">
      <x v="41"/>
    </i>
    <i t="default" r="1">
      <x v="20"/>
    </i>
    <i r="1">
      <x v="21"/>
      <x v="37"/>
    </i>
    <i r="2">
      <x v="38"/>
    </i>
    <i r="2">
      <x v="45"/>
    </i>
    <i r="2">
      <x v="54"/>
    </i>
    <i t="default" r="1">
      <x v="21"/>
    </i>
    <i>
      <x v="4"/>
      <x v="9"/>
      <x v="1"/>
    </i>
    <i r="2">
      <x v="10"/>
    </i>
    <i r="2">
      <x v="28"/>
    </i>
    <i r="2">
      <x v="54"/>
    </i>
    <i t="default" r="1">
      <x v="9"/>
    </i>
    <i r="1">
      <x v="10"/>
      <x v="12"/>
    </i>
    <i t="default" r="1">
      <x v="10"/>
    </i>
    <i r="1">
      <x v="11"/>
      <x v="23"/>
    </i>
    <i r="2">
      <x v="58"/>
    </i>
    <i t="default" r="1">
      <x v="11"/>
    </i>
    <i r="1">
      <x v="13"/>
      <x v="10"/>
    </i>
    <i r="2">
      <x v="49"/>
    </i>
    <i t="default" r="1">
      <x v="13"/>
    </i>
    <i r="1">
      <x v="14"/>
      <x v="33"/>
    </i>
    <i t="default" r="1">
      <x v="14"/>
    </i>
    <i r="1">
      <x v="15"/>
      <x v="22"/>
    </i>
    <i r="2">
      <x v="31"/>
    </i>
    <i t="default" r="1">
      <x v="15"/>
    </i>
    <i r="1">
      <x v="16"/>
      <x v="3"/>
    </i>
    <i r="2">
      <x v="4"/>
    </i>
    <i r="2">
      <x v="13"/>
    </i>
    <i r="2">
      <x v="14"/>
    </i>
    <i r="2">
      <x v="29"/>
    </i>
    <i t="default" r="1">
      <x v="16"/>
    </i>
    <i r="1">
      <x v="17"/>
      <x v="2"/>
    </i>
    <i r="2">
      <x v="8"/>
    </i>
    <i r="2">
      <x v="12"/>
    </i>
    <i r="2">
      <x v="60"/>
    </i>
    <i t="default" r="1">
      <x v="17"/>
    </i>
    <i r="1">
      <x v="18"/>
      <x v="32"/>
    </i>
    <i r="2">
      <x v="45"/>
    </i>
    <i t="default" r="1">
      <x v="18"/>
    </i>
    <i r="1">
      <x v="19"/>
      <x v="40"/>
    </i>
    <i r="2">
      <x v="45"/>
    </i>
    <i t="default" r="1">
      <x v="19"/>
    </i>
    <i r="1">
      <x v="20"/>
      <x v="1"/>
    </i>
    <i r="2">
      <x v="14"/>
    </i>
    <i r="2">
      <x v="19"/>
    </i>
    <i r="2">
      <x v="21"/>
    </i>
    <i r="2">
      <x v="49"/>
    </i>
    <i r="2">
      <x v="53"/>
    </i>
    <i t="default" r="1">
      <x v="20"/>
    </i>
    <i r="1">
      <x v="21"/>
      <x v="8"/>
    </i>
    <i r="2">
      <x v="19"/>
    </i>
    <i r="2">
      <x v="26"/>
    </i>
    <i r="2">
      <x v="45"/>
    </i>
    <i r="2">
      <x v="56"/>
    </i>
    <i t="default" r="1">
      <x v="21"/>
    </i>
    <i>
      <x v="5"/>
      <x v="8"/>
      <x v="55"/>
    </i>
    <i t="default" r="1">
      <x v="8"/>
    </i>
    <i r="1">
      <x v="9"/>
      <x v="51"/>
    </i>
    <i r="2">
      <x v="57"/>
    </i>
    <i t="default" r="1">
      <x v="9"/>
    </i>
    <i r="1">
      <x v="10"/>
      <x v="14"/>
    </i>
    <i r="2">
      <x v="15"/>
    </i>
    <i r="2">
      <x v="27"/>
    </i>
    <i r="2">
      <x v="49"/>
    </i>
    <i r="2">
      <x v="53"/>
    </i>
    <i t="default" r="1">
      <x v="10"/>
    </i>
    <i r="1">
      <x v="11"/>
      <x v="10"/>
    </i>
    <i r="2">
      <x v="22"/>
    </i>
    <i r="2">
      <x v="43"/>
    </i>
    <i r="2">
      <x v="53"/>
    </i>
    <i t="default" r="1">
      <x v="11"/>
    </i>
    <i r="1">
      <x v="12"/>
      <x v="3"/>
    </i>
    <i r="2">
      <x v="29"/>
    </i>
    <i r="2">
      <x v="48"/>
    </i>
    <i t="default" r="1">
      <x v="12"/>
    </i>
    <i r="1">
      <x v="13"/>
      <x v="53"/>
    </i>
    <i t="default" r="1">
      <x v="13"/>
    </i>
    <i r="1">
      <x v="14"/>
      <x v="15"/>
    </i>
    <i r="2">
      <x v="16"/>
    </i>
    <i r="2">
      <x v="43"/>
    </i>
    <i t="default" r="1">
      <x v="14"/>
    </i>
    <i r="1">
      <x v="15"/>
      <x v="1"/>
    </i>
    <i r="2">
      <x v="17"/>
    </i>
    <i r="2">
      <x v="18"/>
    </i>
    <i r="2">
      <x v="32"/>
    </i>
    <i r="2">
      <x v="33"/>
    </i>
    <i t="default" r="1">
      <x v="15"/>
    </i>
    <i r="1">
      <x v="16"/>
      <x v="46"/>
    </i>
    <i t="default" r="1">
      <x v="16"/>
    </i>
    <i r="1">
      <x v="17"/>
      <x v="21"/>
    </i>
    <i r="2">
      <x v="37"/>
    </i>
    <i r="2">
      <x v="40"/>
    </i>
    <i r="2">
      <x v="58"/>
    </i>
    <i t="default" r="1">
      <x v="17"/>
    </i>
    <i r="1">
      <x v="18"/>
      <x v="25"/>
    </i>
    <i r="2">
      <x v="51"/>
    </i>
    <i t="default" r="1">
      <x v="18"/>
    </i>
    <i r="1">
      <x v="19"/>
      <x v="23"/>
    </i>
    <i r="2">
      <x v="33"/>
    </i>
    <i t="default" r="1">
      <x v="19"/>
    </i>
    <i r="1">
      <x v="20"/>
      <x v="31"/>
    </i>
    <i r="2">
      <x v="43"/>
    </i>
    <i t="default" r="1">
      <x v="20"/>
    </i>
    <i r="1">
      <x v="21"/>
      <x v="29"/>
    </i>
    <i r="2">
      <x v="31"/>
    </i>
    <i r="2">
      <x v="37"/>
    </i>
    <i r="2">
      <x v="52"/>
    </i>
    <i t="default" r="1">
      <x v="21"/>
    </i>
    <i>
      <x v="6"/>
      <x v="8"/>
      <x v="51"/>
    </i>
    <i r="2">
      <x v="53"/>
    </i>
    <i r="2">
      <x v="57"/>
    </i>
    <i t="default" r="1">
      <x v="8"/>
    </i>
    <i r="1">
      <x v="9"/>
      <x v="18"/>
    </i>
    <i r="2">
      <x v="46"/>
    </i>
    <i t="default" r="1">
      <x v="9"/>
    </i>
    <i r="1">
      <x v="10"/>
      <x v="21"/>
    </i>
    <i r="2">
      <x v="38"/>
    </i>
    <i r="2">
      <x v="48"/>
    </i>
    <i t="default" r="1">
      <x v="10"/>
    </i>
    <i r="1">
      <x v="11"/>
      <x v="15"/>
    </i>
    <i r="2">
      <x v="25"/>
    </i>
    <i r="2">
      <x v="31"/>
    </i>
    <i t="default" r="1">
      <x v="11"/>
    </i>
    <i r="1">
      <x v="12"/>
      <x v="5"/>
    </i>
    <i r="2">
      <x v="45"/>
    </i>
    <i t="default" r="1">
      <x v="12"/>
    </i>
    <i r="1">
      <x v="13"/>
      <x v="22"/>
    </i>
    <i r="2">
      <x v="42"/>
    </i>
    <i t="default" r="1">
      <x v="13"/>
    </i>
    <i r="1">
      <x v="14"/>
      <x v="50"/>
    </i>
    <i t="default" r="1">
      <x v="14"/>
    </i>
    <i r="1">
      <x v="15"/>
      <x v="31"/>
    </i>
    <i r="2">
      <x v="51"/>
    </i>
    <i t="default" r="1">
      <x v="15"/>
    </i>
    <i r="1">
      <x v="16"/>
      <x v="25"/>
    </i>
    <i r="2">
      <x v="30"/>
    </i>
    <i r="2">
      <x v="46"/>
    </i>
    <i t="default" r="1">
      <x v="16"/>
    </i>
    <i r="1">
      <x v="17"/>
      <x v="43"/>
    </i>
    <i t="default" r="1">
      <x v="17"/>
    </i>
    <i r="1">
      <x v="18"/>
      <x v="25"/>
    </i>
    <i r="2">
      <x v="44"/>
    </i>
    <i r="2">
      <x v="51"/>
    </i>
    <i t="default" r="1">
      <x v="18"/>
    </i>
    <i r="1">
      <x v="19"/>
      <x v="2"/>
    </i>
    <i r="2">
      <x v="33"/>
    </i>
    <i r="2">
      <x v="38"/>
    </i>
    <i r="2">
      <x v="58"/>
    </i>
    <i t="default" r="1">
      <x v="19"/>
    </i>
    <i r="1">
      <x v="20"/>
      <x v="34"/>
    </i>
    <i t="default" r="1">
      <x v="20"/>
    </i>
    <i r="1">
      <x v="21"/>
      <x v="22"/>
    </i>
    <i r="2">
      <x v="23"/>
    </i>
    <i t="default" r="1">
      <x v="21"/>
    </i>
    <i>
      <x v="7"/>
      <x v="8"/>
      <x v="32"/>
    </i>
    <i r="2">
      <x v="49"/>
    </i>
    <i t="default" r="1">
      <x v="8"/>
    </i>
    <i r="1">
      <x v="9"/>
      <x v="6"/>
    </i>
    <i r="2">
      <x v="32"/>
    </i>
    <i r="2">
      <x v="44"/>
    </i>
    <i r="2">
      <x v="57"/>
    </i>
    <i t="default" r="1">
      <x v="9"/>
    </i>
    <i r="1">
      <x v="10"/>
      <x v="8"/>
    </i>
    <i r="2">
      <x v="35"/>
    </i>
    <i t="default" r="1">
      <x v="10"/>
    </i>
    <i r="1">
      <x v="11"/>
      <x v="12"/>
    </i>
    <i r="2">
      <x v="41"/>
    </i>
    <i t="default" r="1">
      <x v="11"/>
    </i>
    <i r="1">
      <x v="12"/>
      <x v="52"/>
    </i>
    <i t="default" r="1">
      <x v="12"/>
    </i>
    <i r="1">
      <x v="14"/>
      <x v="33"/>
    </i>
    <i r="2">
      <x v="36"/>
    </i>
    <i t="default" r="1">
      <x v="14"/>
    </i>
    <i r="1">
      <x v="15"/>
      <x v="13"/>
    </i>
    <i r="2">
      <x v="32"/>
    </i>
    <i r="2">
      <x v="49"/>
    </i>
    <i r="2">
      <x v="50"/>
    </i>
    <i r="2">
      <x v="52"/>
    </i>
    <i t="default" r="1">
      <x v="15"/>
    </i>
    <i r="1">
      <x v="16"/>
      <x v="47"/>
    </i>
    <i t="default" r="1">
      <x v="16"/>
    </i>
    <i r="1">
      <x v="17"/>
      <x v="23"/>
    </i>
    <i t="default" r="1">
      <x v="17"/>
    </i>
    <i r="1">
      <x v="18"/>
      <x v="16"/>
    </i>
    <i t="default" r="1">
      <x v="18"/>
    </i>
    <i r="1">
      <x v="19"/>
      <x v="48"/>
    </i>
    <i r="2">
      <x v="51"/>
    </i>
    <i t="default" r="1">
      <x v="19"/>
    </i>
    <i r="1">
      <x v="20"/>
      <x v="9"/>
    </i>
    <i r="2">
      <x v="30"/>
    </i>
    <i r="2">
      <x v="40"/>
    </i>
    <i r="2">
      <x v="43"/>
    </i>
    <i t="default" r="1">
      <x v="20"/>
    </i>
    <i r="1">
      <x v="21"/>
      <x v="2"/>
    </i>
    <i r="2">
      <x v="4"/>
    </i>
    <i r="2">
      <x v="12"/>
    </i>
    <i r="2">
      <x v="14"/>
    </i>
    <i r="2">
      <x v="25"/>
    </i>
    <i r="2">
      <x v="54"/>
    </i>
    <i r="2">
      <x v="58"/>
    </i>
    <i t="default" r="1">
      <x v="21"/>
    </i>
    <i>
      <x v="8"/>
      <x v="9"/>
      <x v="23"/>
    </i>
    <i r="2">
      <x v="49"/>
    </i>
    <i t="default" r="1">
      <x v="9"/>
    </i>
    <i r="1">
      <x v="10"/>
      <x v="12"/>
    </i>
    <i r="2">
      <x v="23"/>
    </i>
    <i r="2">
      <x v="28"/>
    </i>
    <i r="2">
      <x v="33"/>
    </i>
    <i r="2">
      <x v="35"/>
    </i>
    <i r="2">
      <x v="45"/>
    </i>
    <i r="2">
      <x v="49"/>
    </i>
    <i t="default" r="1">
      <x v="10"/>
    </i>
    <i r="1">
      <x v="11"/>
      <x v="59"/>
    </i>
    <i r="2">
      <x v="60"/>
    </i>
    <i t="default" r="1">
      <x v="11"/>
    </i>
    <i r="1">
      <x v="12"/>
      <x v="51"/>
    </i>
    <i r="2">
      <x v="59"/>
    </i>
    <i t="default" r="1">
      <x v="12"/>
    </i>
    <i r="1">
      <x v="13"/>
      <x v="26"/>
    </i>
    <i r="2">
      <x v="37"/>
    </i>
    <i t="default" r="1">
      <x v="13"/>
    </i>
    <i r="1">
      <x v="14"/>
      <x v="55"/>
    </i>
    <i t="default" r="1">
      <x v="14"/>
    </i>
    <i r="1">
      <x v="15"/>
      <x v="6"/>
    </i>
    <i r="2">
      <x v="8"/>
    </i>
    <i t="default" r="1">
      <x v="15"/>
    </i>
    <i r="1">
      <x v="16"/>
      <x v="13"/>
    </i>
    <i r="2">
      <x v="45"/>
    </i>
    <i r="2">
      <x v="48"/>
    </i>
    <i t="default" r="1">
      <x v="16"/>
    </i>
    <i r="1">
      <x v="17"/>
      <x v="7"/>
    </i>
    <i r="2">
      <x v="38"/>
    </i>
    <i r="2">
      <x v="51"/>
    </i>
    <i t="default" r="1">
      <x v="17"/>
    </i>
    <i r="1">
      <x v="18"/>
      <x v="50"/>
    </i>
    <i t="default" r="1">
      <x v="18"/>
    </i>
    <i r="1">
      <x v="19"/>
      <x v="32"/>
    </i>
    <i r="2">
      <x v="34"/>
    </i>
    <i r="2">
      <x v="46"/>
    </i>
    <i r="2">
      <x v="52"/>
    </i>
    <i t="default" r="1">
      <x v="19"/>
    </i>
    <i r="1">
      <x v="20"/>
      <x v="3"/>
    </i>
    <i r="2">
      <x v="26"/>
    </i>
    <i r="2">
      <x v="29"/>
    </i>
    <i r="2">
      <x v="34"/>
    </i>
    <i r="2">
      <x v="35"/>
    </i>
    <i r="2">
      <x v="36"/>
    </i>
    <i t="default" r="1">
      <x v="20"/>
    </i>
    <i r="1">
      <x v="21"/>
      <x v="7"/>
    </i>
    <i r="2">
      <x v="8"/>
    </i>
    <i r="2">
      <x v="17"/>
    </i>
    <i t="default" r="1">
      <x v="21"/>
    </i>
    <i>
      <x v="9"/>
      <x v="9"/>
      <x v="26"/>
    </i>
    <i t="default" r="1">
      <x v="9"/>
    </i>
    <i r="1">
      <x v="10"/>
      <x v="11"/>
    </i>
    <i r="2">
      <x v="19"/>
    </i>
    <i r="2">
      <x v="31"/>
    </i>
    <i t="default" r="1">
      <x v="10"/>
    </i>
    <i r="1">
      <x v="11"/>
      <x v="10"/>
    </i>
    <i r="2">
      <x v="31"/>
    </i>
    <i t="default" r="1">
      <x v="11"/>
    </i>
    <i r="1">
      <x v="12"/>
      <x v="26"/>
    </i>
    <i r="2">
      <x v="28"/>
    </i>
    <i r="2">
      <x v="51"/>
    </i>
    <i r="2">
      <x v="56"/>
    </i>
    <i t="default" r="1">
      <x v="12"/>
    </i>
    <i r="1">
      <x v="13"/>
      <x v="60"/>
    </i>
    <i t="default" r="1">
      <x v="13"/>
    </i>
    <i r="1">
      <x v="14"/>
      <x v="30"/>
    </i>
    <i r="2">
      <x v="45"/>
    </i>
    <i t="default" r="1">
      <x v="14"/>
    </i>
    <i r="1">
      <x v="15"/>
      <x v="21"/>
    </i>
    <i r="2">
      <x v="24"/>
    </i>
    <i r="2">
      <x v="31"/>
    </i>
    <i t="default" r="1">
      <x v="15"/>
    </i>
    <i r="1">
      <x v="16"/>
      <x v="31"/>
    </i>
    <i r="2">
      <x v="51"/>
    </i>
    <i t="default" r="1">
      <x v="16"/>
    </i>
    <i r="1">
      <x v="17"/>
      <x v="8"/>
    </i>
    <i r="2">
      <x v="27"/>
    </i>
    <i t="default" r="1">
      <x v="17"/>
    </i>
    <i r="1">
      <x v="18"/>
      <x v="52"/>
    </i>
    <i t="default" r="1">
      <x v="18"/>
    </i>
    <i r="1">
      <x v="19"/>
      <x v="40"/>
    </i>
    <i r="2">
      <x v="47"/>
    </i>
    <i r="2">
      <x v="49"/>
    </i>
    <i r="2">
      <x v="50"/>
    </i>
    <i r="2">
      <x v="54"/>
    </i>
    <i r="2">
      <x v="56"/>
    </i>
    <i r="2">
      <x v="58"/>
    </i>
    <i t="default" r="1">
      <x v="19"/>
    </i>
    <i r="1">
      <x v="20"/>
      <x v="4"/>
    </i>
    <i r="2">
      <x v="14"/>
    </i>
    <i r="2">
      <x v="15"/>
    </i>
    <i r="2">
      <x v="41"/>
    </i>
    <i r="2">
      <x v="43"/>
    </i>
    <i t="default" r="1">
      <x v="20"/>
    </i>
    <i r="1">
      <x v="21"/>
      <x v="3"/>
    </i>
    <i r="2">
      <x v="31"/>
    </i>
    <i r="2">
      <x v="51"/>
    </i>
    <i t="default" r="1">
      <x v="21"/>
    </i>
    <i>
      <x v="10"/>
      <x v="10"/>
      <x v="8"/>
    </i>
    <i t="default" r="1">
      <x v="10"/>
    </i>
    <i r="1">
      <x v="11"/>
      <x v="38"/>
    </i>
    <i t="default" r="1">
      <x v="11"/>
    </i>
    <i r="1">
      <x v="12"/>
      <x v="25"/>
    </i>
    <i r="2">
      <x v="57"/>
    </i>
    <i t="default" r="1">
      <x v="12"/>
    </i>
    <i r="1">
      <x v="13"/>
      <x v="52"/>
    </i>
    <i t="default" r="1">
      <x v="13"/>
    </i>
    <i r="1">
      <x v="14"/>
      <x v="39"/>
    </i>
    <i r="2">
      <x v="48"/>
    </i>
    <i t="default" r="1">
      <x v="14"/>
    </i>
    <i r="1">
      <x v="15"/>
      <x v="36"/>
    </i>
    <i t="default" r="1">
      <x v="15"/>
    </i>
    <i r="1">
      <x v="16"/>
      <x v="4"/>
    </i>
    <i r="2">
      <x v="8"/>
    </i>
    <i r="2">
      <x v="16"/>
    </i>
    <i t="default" r="1">
      <x v="16"/>
    </i>
    <i r="1">
      <x v="17"/>
      <x v="6"/>
    </i>
    <i r="2">
      <x v="48"/>
    </i>
    <i r="2">
      <x v="50"/>
    </i>
    <i t="default" r="1">
      <x v="17"/>
    </i>
    <i r="1">
      <x v="18"/>
      <x v="25"/>
    </i>
    <i r="2">
      <x v="59"/>
    </i>
    <i t="default" r="1">
      <x v="18"/>
    </i>
    <i r="1">
      <x v="19"/>
      <x v="4"/>
    </i>
    <i r="2">
      <x v="14"/>
    </i>
    <i r="2">
      <x v="29"/>
    </i>
    <i r="2">
      <x v="60"/>
    </i>
    <i t="default" r="1">
      <x v="19"/>
    </i>
    <i r="1">
      <x v="20"/>
      <x v="14"/>
    </i>
    <i r="2">
      <x v="17"/>
    </i>
    <i r="2">
      <x v="33"/>
    </i>
    <i r="2">
      <x v="40"/>
    </i>
    <i r="2">
      <x v="45"/>
    </i>
    <i r="2">
      <x v="48"/>
    </i>
    <i r="2">
      <x v="59"/>
    </i>
    <i t="default" r="1">
      <x v="20"/>
    </i>
    <i r="1">
      <x v="21"/>
      <x v="1"/>
    </i>
    <i r="2">
      <x v="21"/>
    </i>
    <i t="default" r="1">
      <x v="21"/>
    </i>
    <i>
      <x v="11"/>
      <x v="9"/>
      <x v="11"/>
    </i>
    <i r="2">
      <x v="14"/>
    </i>
    <i r="2">
      <x v="31"/>
    </i>
    <i r="2">
      <x v="40"/>
    </i>
    <i r="2">
      <x v="52"/>
    </i>
    <i t="default" r="1">
      <x v="9"/>
    </i>
    <i r="1">
      <x v="10"/>
      <x v="6"/>
    </i>
    <i r="2">
      <x v="18"/>
    </i>
    <i r="2">
      <x v="23"/>
    </i>
    <i r="2">
      <x v="50"/>
    </i>
    <i r="2">
      <x v="51"/>
    </i>
    <i t="default" r="1">
      <x v="10"/>
    </i>
    <i r="1">
      <x v="11"/>
      <x v="15"/>
    </i>
    <i t="default" r="1">
      <x v="11"/>
    </i>
    <i r="1">
      <x v="13"/>
      <x v="8"/>
    </i>
    <i r="2">
      <x v="20"/>
    </i>
    <i t="default" r="1">
      <x v="13"/>
    </i>
    <i r="1">
      <x v="14"/>
      <x v="7"/>
    </i>
    <i r="2">
      <x v="16"/>
    </i>
    <i t="default" r="1">
      <x v="14"/>
    </i>
    <i r="1">
      <x v="15"/>
      <x v="59"/>
    </i>
    <i t="default" r="1">
      <x v="15"/>
    </i>
    <i r="1">
      <x v="16"/>
      <x v="16"/>
    </i>
    <i r="2">
      <x v="21"/>
    </i>
    <i r="2">
      <x v="31"/>
    </i>
    <i r="2">
      <x v="33"/>
    </i>
    <i r="2">
      <x v="37"/>
    </i>
    <i t="default" r="1">
      <x v="16"/>
    </i>
    <i r="1">
      <x v="18"/>
      <x v="26"/>
    </i>
    <i t="default" r="1">
      <x v="18"/>
    </i>
    <i r="1">
      <x v="19"/>
      <x v="48"/>
    </i>
    <i t="default" r="1">
      <x v="19"/>
    </i>
    <i r="1">
      <x v="20"/>
      <x v="27"/>
    </i>
    <i r="2">
      <x v="41"/>
    </i>
    <i r="2">
      <x v="51"/>
    </i>
    <i r="2">
      <x v="53"/>
    </i>
    <i t="default" r="1">
      <x v="20"/>
    </i>
    <i r="1">
      <x v="21"/>
      <x v="9"/>
    </i>
    <i r="2">
      <x v="12"/>
    </i>
    <i r="2">
      <x v="15"/>
    </i>
    <i r="2">
      <x v="22"/>
    </i>
    <i r="2">
      <x v="27"/>
    </i>
    <i r="2">
      <x v="38"/>
    </i>
    <i r="2">
      <x v="52"/>
    </i>
    <i r="2">
      <x v="54"/>
    </i>
    <i t="default" r="1">
      <x v="21"/>
    </i>
    <i>
      <x v="12"/>
      <x v="9"/>
      <x v="11"/>
    </i>
    <i r="2">
      <x v="13"/>
    </i>
    <i r="2">
      <x v="21"/>
    </i>
    <i r="2">
      <x v="23"/>
    </i>
    <i r="2">
      <x v="26"/>
    </i>
    <i r="2">
      <x v="31"/>
    </i>
    <i r="2">
      <x v="36"/>
    </i>
    <i t="default" r="1">
      <x v="9"/>
    </i>
    <i r="1">
      <x v="10"/>
      <x v="7"/>
    </i>
    <i r="2">
      <x v="50"/>
    </i>
    <i r="2">
      <x v="57"/>
    </i>
    <i r="2">
      <x v="59"/>
    </i>
    <i t="default" r="1">
      <x v="10"/>
    </i>
    <i r="1">
      <x v="11"/>
      <x v="5"/>
    </i>
    <i r="2">
      <x v="19"/>
    </i>
    <i r="2">
      <x v="24"/>
    </i>
    <i r="2">
      <x v="26"/>
    </i>
    <i r="2">
      <x v="30"/>
    </i>
    <i t="default" r="1">
      <x v="11"/>
    </i>
    <i r="1">
      <x v="12"/>
      <x v="47"/>
    </i>
    <i r="2">
      <x v="57"/>
    </i>
    <i t="default" r="1">
      <x v="12"/>
    </i>
    <i r="1">
      <x v="13"/>
      <x v="14"/>
    </i>
    <i r="2">
      <x v="44"/>
    </i>
    <i r="2">
      <x v="50"/>
    </i>
    <i t="default" r="1">
      <x v="13"/>
    </i>
    <i r="1">
      <x v="14"/>
      <x v="27"/>
    </i>
    <i r="2">
      <x v="42"/>
    </i>
    <i t="default" r="1">
      <x v="14"/>
    </i>
    <i r="1">
      <x v="15"/>
      <x v="22"/>
    </i>
    <i t="default" r="1">
      <x v="15"/>
    </i>
    <i r="1">
      <x v="16"/>
      <x v="12"/>
    </i>
    <i r="2">
      <x v="50"/>
    </i>
    <i t="default" r="1">
      <x v="16"/>
    </i>
    <i r="1">
      <x v="17"/>
      <x v="20"/>
    </i>
    <i r="2">
      <x v="50"/>
    </i>
    <i t="default" r="1">
      <x v="17"/>
    </i>
    <i r="1">
      <x v="18"/>
      <x v="5"/>
    </i>
    <i t="default" r="1">
      <x v="18"/>
    </i>
    <i r="1">
      <x v="19"/>
      <x v="19"/>
    </i>
    <i r="2">
      <x v="31"/>
    </i>
    <i t="default" r="1">
      <x v="19"/>
    </i>
    <i r="1">
      <x v="20"/>
      <x v="2"/>
    </i>
    <i r="2">
      <x v="22"/>
    </i>
    <i r="2">
      <x v="56"/>
    </i>
    <i t="default" r="1">
      <x v="20"/>
    </i>
    <i r="1">
      <x v="21"/>
      <x v="1"/>
    </i>
    <i r="2">
      <x v="10"/>
    </i>
    <i r="2">
      <x v="25"/>
    </i>
    <i r="2">
      <x v="34"/>
    </i>
    <i t="default" r="1">
      <x v="21"/>
    </i>
    <i>
      <x v="13"/>
      <x v="9"/>
      <x v="31"/>
    </i>
    <i r="2">
      <x v="47"/>
    </i>
    <i t="default" r="1">
      <x v="9"/>
    </i>
    <i r="1">
      <x v="10"/>
      <x v="58"/>
    </i>
    <i t="default" r="1">
      <x v="10"/>
    </i>
    <i r="1">
      <x v="11"/>
      <x v="36"/>
    </i>
    <i r="2">
      <x v="58"/>
    </i>
    <i t="default" r="1">
      <x v="11"/>
    </i>
    <i r="1">
      <x v="12"/>
      <x v="19"/>
    </i>
    <i t="default" r="1">
      <x v="12"/>
    </i>
    <i r="1">
      <x v="13"/>
      <x v="3"/>
    </i>
    <i r="2">
      <x v="24"/>
    </i>
    <i r="2">
      <x v="41"/>
    </i>
    <i t="default" r="1">
      <x v="13"/>
    </i>
    <i r="1">
      <x v="14"/>
      <x v="12"/>
    </i>
    <i r="2">
      <x v="13"/>
    </i>
    <i t="default" r="1">
      <x v="14"/>
    </i>
    <i r="1">
      <x v="15"/>
      <x v="5"/>
    </i>
    <i r="2">
      <x v="10"/>
    </i>
    <i r="2">
      <x v="28"/>
    </i>
    <i r="2">
      <x v="44"/>
    </i>
    <i t="default" r="1">
      <x v="15"/>
    </i>
    <i r="1">
      <x v="16"/>
      <x v="45"/>
    </i>
    <i t="default" r="1">
      <x v="16"/>
    </i>
    <i r="1">
      <x v="17"/>
      <x v="29"/>
    </i>
    <i r="2">
      <x v="31"/>
    </i>
    <i r="2">
      <x v="36"/>
    </i>
    <i r="2">
      <x v="42"/>
    </i>
    <i r="2">
      <x v="44"/>
    </i>
    <i t="default" r="1">
      <x v="17"/>
    </i>
    <i r="1">
      <x v="18"/>
      <x v="41"/>
    </i>
    <i r="2">
      <x v="58"/>
    </i>
    <i t="default" r="1">
      <x v="18"/>
    </i>
    <i r="1">
      <x v="19"/>
      <x v="3"/>
    </i>
    <i r="2">
      <x v="36"/>
    </i>
    <i t="default" r="1">
      <x v="19"/>
    </i>
    <i r="1">
      <x v="20"/>
      <x v="21"/>
    </i>
    <i r="2">
      <x v="28"/>
    </i>
    <i r="2">
      <x v="31"/>
    </i>
    <i r="2">
      <x v="38"/>
    </i>
    <i r="2">
      <x v="44"/>
    </i>
    <i t="default" r="1">
      <x v="20"/>
    </i>
    <i r="1">
      <x v="21"/>
      <x v="19"/>
    </i>
    <i t="default" r="1">
      <x v="21"/>
    </i>
    <i>
      <x v="14"/>
      <x v="9"/>
      <x v="25"/>
    </i>
    <i r="2">
      <x v="49"/>
    </i>
    <i r="2">
      <x v="54"/>
    </i>
    <i t="default" r="1">
      <x v="9"/>
    </i>
    <i r="1">
      <x v="10"/>
      <x v="57"/>
    </i>
    <i t="default" r="1">
      <x v="10"/>
    </i>
    <i r="1">
      <x v="11"/>
      <x v="19"/>
    </i>
    <i r="2">
      <x v="21"/>
    </i>
    <i r="2">
      <x v="30"/>
    </i>
    <i r="2">
      <x v="53"/>
    </i>
    <i t="default" r="1">
      <x v="11"/>
    </i>
    <i r="1">
      <x v="12"/>
      <x v="60"/>
    </i>
    <i t="default" r="1">
      <x v="12"/>
    </i>
    <i r="1">
      <x v="13"/>
      <x v="26"/>
    </i>
    <i r="2">
      <x v="36"/>
    </i>
    <i t="default" r="1">
      <x v="13"/>
    </i>
    <i r="1">
      <x v="15"/>
      <x v="2"/>
    </i>
    <i r="2">
      <x v="24"/>
    </i>
    <i t="default" r="1">
      <x v="15"/>
    </i>
    <i r="1">
      <x v="16"/>
      <x v="9"/>
    </i>
    <i t="default" r="1">
      <x v="16"/>
    </i>
    <i r="1">
      <x v="17"/>
      <x v="32"/>
    </i>
    <i r="2">
      <x v="57"/>
    </i>
    <i t="default" r="1">
      <x v="17"/>
    </i>
    <i r="1">
      <x v="19"/>
      <x v="29"/>
    </i>
    <i r="2">
      <x v="49"/>
    </i>
    <i t="default" r="1">
      <x v="19"/>
    </i>
    <i r="1">
      <x v="20"/>
      <x v="8"/>
    </i>
    <i r="2">
      <x v="13"/>
    </i>
    <i r="2">
      <x v="42"/>
    </i>
    <i t="default" r="1">
      <x v="20"/>
    </i>
    <i r="1">
      <x v="21"/>
      <x v="11"/>
    </i>
    <i r="2">
      <x v="32"/>
    </i>
    <i t="default" r="1">
      <x v="21"/>
    </i>
    <i>
      <x v="15"/>
      <x v="8"/>
      <x v="41"/>
    </i>
    <i r="2">
      <x v="46"/>
    </i>
    <i t="default" r="1">
      <x v="8"/>
    </i>
    <i r="1">
      <x v="9"/>
      <x v="25"/>
    </i>
    <i r="2">
      <x v="46"/>
    </i>
    <i t="default" r="1">
      <x v="9"/>
    </i>
    <i r="1">
      <x v="10"/>
      <x v="11"/>
    </i>
    <i r="2">
      <x v="13"/>
    </i>
    <i t="default" r="1">
      <x v="10"/>
    </i>
    <i r="1">
      <x v="11"/>
      <x v="3"/>
    </i>
    <i r="2">
      <x v="21"/>
    </i>
    <i r="2">
      <x v="43"/>
    </i>
    <i r="2">
      <x v="50"/>
    </i>
    <i t="default" r="1">
      <x v="11"/>
    </i>
    <i r="1">
      <x v="12"/>
      <x v="45"/>
    </i>
    <i t="default" r="1">
      <x v="12"/>
    </i>
    <i r="1">
      <x v="13"/>
      <x v="5"/>
    </i>
    <i r="2">
      <x v="40"/>
    </i>
    <i t="default" r="1">
      <x v="13"/>
    </i>
    <i r="1">
      <x v="14"/>
      <x v="14"/>
    </i>
    <i r="2">
      <x v="15"/>
    </i>
    <i r="2">
      <x v="17"/>
    </i>
    <i t="default" r="1">
      <x v="14"/>
    </i>
    <i r="1">
      <x v="15"/>
      <x v="4"/>
    </i>
    <i t="default" r="1">
      <x v="15"/>
    </i>
    <i r="1">
      <x v="18"/>
      <x v="52"/>
    </i>
    <i r="2">
      <x v="57"/>
    </i>
    <i r="2">
      <x v="59"/>
    </i>
    <i t="default" r="1">
      <x v="18"/>
    </i>
    <i r="1">
      <x v="19"/>
      <x v="29"/>
    </i>
    <i r="2">
      <x v="40"/>
    </i>
    <i r="2">
      <x v="42"/>
    </i>
    <i t="default" r="1">
      <x v="19"/>
    </i>
    <i r="1">
      <x v="20"/>
      <x v="26"/>
    </i>
    <i r="2">
      <x v="27"/>
    </i>
    <i t="default" r="1">
      <x v="20"/>
    </i>
    <i r="1">
      <x v="21"/>
      <x v="9"/>
    </i>
    <i r="2">
      <x v="32"/>
    </i>
    <i t="default" r="1">
      <x v="21"/>
    </i>
    <i>
      <x v="16"/>
      <x v="8"/>
      <x v="51"/>
    </i>
    <i t="default" r="1">
      <x v="8"/>
    </i>
    <i r="1">
      <x v="9"/>
      <x v="35"/>
    </i>
    <i r="2">
      <x v="46"/>
    </i>
    <i t="default" r="1">
      <x v="9"/>
    </i>
    <i r="1">
      <x v="11"/>
      <x v="3"/>
    </i>
    <i r="2">
      <x v="7"/>
    </i>
    <i t="default" r="1">
      <x v="11"/>
    </i>
    <i r="1">
      <x v="12"/>
      <x v="12"/>
    </i>
    <i r="2">
      <x v="13"/>
    </i>
    <i r="2">
      <x v="22"/>
    </i>
    <i r="2">
      <x v="55"/>
    </i>
    <i t="default" r="1">
      <x v="12"/>
    </i>
    <i r="1">
      <x v="13"/>
      <x v="6"/>
    </i>
    <i r="2">
      <x v="41"/>
    </i>
    <i r="2">
      <x v="45"/>
    </i>
    <i r="2">
      <x v="46"/>
    </i>
    <i r="2">
      <x v="51"/>
    </i>
    <i t="default" r="1">
      <x v="13"/>
    </i>
    <i r="1">
      <x v="14"/>
      <x v="5"/>
    </i>
    <i t="default" r="1">
      <x v="14"/>
    </i>
    <i r="1">
      <x v="15"/>
      <x v="6"/>
    </i>
    <i r="2">
      <x v="41"/>
    </i>
    <i r="2">
      <x v="52"/>
    </i>
    <i t="default" r="1">
      <x v="15"/>
    </i>
    <i r="1">
      <x v="16"/>
      <x v="41"/>
    </i>
    <i t="default" r="1">
      <x v="16"/>
    </i>
    <i r="1">
      <x v="17"/>
      <x v="25"/>
    </i>
    <i r="2">
      <x v="26"/>
    </i>
    <i r="2">
      <x v="30"/>
    </i>
    <i r="2">
      <x v="51"/>
    </i>
    <i t="default" r="1">
      <x v="17"/>
    </i>
    <i r="1">
      <x v="18"/>
      <x v="51"/>
    </i>
    <i r="2">
      <x v="56"/>
    </i>
    <i t="default" r="1">
      <x v="18"/>
    </i>
    <i r="1">
      <x v="19"/>
      <x v="2"/>
    </i>
    <i r="2">
      <x v="8"/>
    </i>
    <i r="2">
      <x v="41"/>
    </i>
    <i r="2">
      <x v="51"/>
    </i>
    <i r="2">
      <x v="53"/>
    </i>
    <i t="default" r="1">
      <x v="19"/>
    </i>
    <i r="1">
      <x v="20"/>
      <x v="15"/>
    </i>
    <i r="2">
      <x v="29"/>
    </i>
    <i t="default" r="1">
      <x v="20"/>
    </i>
    <i r="1">
      <x v="21"/>
      <x v="11"/>
    </i>
    <i t="default" r="1">
      <x v="21"/>
    </i>
    <i>
      <x v="17"/>
      <x v="8"/>
      <x v="57"/>
    </i>
    <i t="default" r="1">
      <x v="8"/>
    </i>
    <i r="1">
      <x v="9"/>
      <x v="13"/>
    </i>
    <i r="2">
      <x v="25"/>
    </i>
    <i r="2">
      <x v="40"/>
    </i>
    <i t="default" r="1">
      <x v="9"/>
    </i>
    <i r="1">
      <x v="10"/>
      <x v="20"/>
    </i>
    <i r="2">
      <x v="34"/>
    </i>
    <i r="2">
      <x v="36"/>
    </i>
    <i r="2">
      <x v="38"/>
    </i>
    <i r="2">
      <x v="51"/>
    </i>
    <i t="default" r="1">
      <x v="10"/>
    </i>
    <i r="1">
      <x v="11"/>
      <x v="48"/>
    </i>
    <i t="default" r="1">
      <x v="11"/>
    </i>
    <i r="1">
      <x v="12"/>
      <x v="26"/>
    </i>
    <i r="2">
      <x v="38"/>
    </i>
    <i t="default" r="1">
      <x v="12"/>
    </i>
    <i r="1">
      <x v="13"/>
      <x v="43"/>
    </i>
    <i t="default" r="1">
      <x v="13"/>
    </i>
    <i r="1">
      <x v="14"/>
      <x v="17"/>
    </i>
    <i r="2">
      <x v="30"/>
    </i>
    <i r="2">
      <x v="36"/>
    </i>
    <i t="default" r="1">
      <x v="14"/>
    </i>
    <i r="1">
      <x v="15"/>
      <x v="19"/>
    </i>
    <i r="2">
      <x v="58"/>
    </i>
    <i t="default" r="1">
      <x v="15"/>
    </i>
    <i r="1">
      <x v="16"/>
      <x v="16"/>
    </i>
    <i r="2">
      <x v="19"/>
    </i>
    <i r="2">
      <x v="24"/>
    </i>
    <i r="2">
      <x v="52"/>
    </i>
    <i r="2">
      <x v="59"/>
    </i>
    <i t="default" r="1">
      <x v="16"/>
    </i>
    <i r="1">
      <x v="17"/>
      <x v="5"/>
    </i>
    <i r="2">
      <x v="56"/>
    </i>
    <i r="2">
      <x v="57"/>
    </i>
    <i t="default" r="1">
      <x v="17"/>
    </i>
    <i r="1">
      <x v="18"/>
      <x v="9"/>
    </i>
    <i r="2">
      <x v="17"/>
    </i>
    <i r="2">
      <x v="39"/>
    </i>
    <i t="default" r="1">
      <x v="18"/>
    </i>
    <i r="1">
      <x v="19"/>
      <x v="2"/>
    </i>
    <i r="2">
      <x v="15"/>
    </i>
    <i r="2">
      <x v="22"/>
    </i>
    <i r="2">
      <x v="31"/>
    </i>
    <i r="2">
      <x v="42"/>
    </i>
    <i t="default" r="1">
      <x v="19"/>
    </i>
    <i r="1">
      <x v="20"/>
      <x v="1"/>
    </i>
    <i r="2">
      <x v="2"/>
    </i>
    <i r="2">
      <x v="14"/>
    </i>
    <i r="2">
      <x v="16"/>
    </i>
    <i r="2">
      <x v="30"/>
    </i>
    <i r="2">
      <x v="37"/>
    </i>
    <i r="2">
      <x v="52"/>
    </i>
    <i t="default" r="1">
      <x v="20"/>
    </i>
    <i r="1">
      <x v="21"/>
      <x v="5"/>
    </i>
    <i r="2">
      <x v="37"/>
    </i>
    <i t="default" r="1">
      <x v="21"/>
    </i>
    <i>
      <x v="18"/>
      <x v="2"/>
      <x v="44"/>
    </i>
    <i r="2">
      <x v="46"/>
    </i>
    <i t="default" r="1">
      <x v="2"/>
    </i>
    <i r="1">
      <x v="9"/>
      <x v="23"/>
    </i>
    <i r="2">
      <x v="38"/>
    </i>
    <i r="2">
      <x v="49"/>
    </i>
    <i t="default" r="1">
      <x v="9"/>
    </i>
    <i r="1">
      <x v="10"/>
      <x v="31"/>
    </i>
    <i r="2">
      <x v="57"/>
    </i>
    <i r="2">
      <x v="58"/>
    </i>
    <i r="2">
      <x v="59"/>
    </i>
    <i t="default" r="1">
      <x v="10"/>
    </i>
    <i r="1">
      <x v="11"/>
      <x v="41"/>
    </i>
    <i t="default" r="1">
      <x v="11"/>
    </i>
    <i r="1">
      <x v="12"/>
      <x v="49"/>
    </i>
    <i r="2">
      <x v="50"/>
    </i>
    <i t="default" r="1">
      <x v="12"/>
    </i>
    <i r="1">
      <x v="13"/>
      <x v="33"/>
    </i>
    <i t="default" r="1">
      <x v="13"/>
    </i>
    <i r="1">
      <x v="14"/>
      <x v="46"/>
    </i>
    <i t="default" r="1">
      <x v="14"/>
    </i>
    <i r="1">
      <x v="15"/>
      <x v="7"/>
    </i>
    <i r="2">
      <x v="23"/>
    </i>
    <i r="2">
      <x v="35"/>
    </i>
    <i r="2">
      <x v="49"/>
    </i>
    <i r="2">
      <x v="60"/>
    </i>
    <i t="default" r="1">
      <x v="15"/>
    </i>
    <i r="1">
      <x v="16"/>
      <x v="1"/>
    </i>
    <i t="default" r="1">
      <x v="16"/>
    </i>
    <i r="1">
      <x v="17"/>
      <x v="35"/>
    </i>
    <i r="2">
      <x v="50"/>
    </i>
    <i t="default" r="1">
      <x v="17"/>
    </i>
    <i r="1">
      <x v="18"/>
      <x v="14"/>
    </i>
    <i r="2">
      <x v="33"/>
    </i>
    <i r="2">
      <x v="44"/>
    </i>
    <i t="default" r="1">
      <x v="18"/>
    </i>
    <i r="1">
      <x v="19"/>
      <x v="39"/>
    </i>
    <i t="default" r="1">
      <x v="19"/>
    </i>
    <i r="1">
      <x v="20"/>
      <x v="16"/>
    </i>
    <i r="2">
      <x v="21"/>
    </i>
    <i r="2">
      <x v="59"/>
    </i>
    <i t="default" r="1">
      <x v="20"/>
    </i>
    <i r="1">
      <x v="21"/>
      <x v="17"/>
    </i>
    <i r="2">
      <x v="24"/>
    </i>
    <i t="default" r="1">
      <x v="21"/>
    </i>
    <i>
      <x v="19"/>
      <x v="9"/>
      <x v="6"/>
    </i>
    <i r="2">
      <x v="11"/>
    </i>
    <i r="2">
      <x v="16"/>
    </i>
    <i r="2">
      <x v="32"/>
    </i>
    <i r="2">
      <x v="37"/>
    </i>
    <i r="2">
      <x v="39"/>
    </i>
    <i t="default" r="1">
      <x v="9"/>
    </i>
    <i r="1">
      <x v="10"/>
      <x v="5"/>
    </i>
    <i r="2">
      <x v="16"/>
    </i>
    <i r="2">
      <x v="29"/>
    </i>
    <i t="default" r="1">
      <x v="10"/>
    </i>
    <i r="1">
      <x v="11"/>
      <x v="16"/>
    </i>
    <i r="2">
      <x v="47"/>
    </i>
    <i t="default" r="1">
      <x v="11"/>
    </i>
    <i r="1">
      <x v="12"/>
      <x v="6"/>
    </i>
    <i r="2">
      <x v="13"/>
    </i>
    <i r="2">
      <x v="59"/>
    </i>
    <i t="default" r="1">
      <x v="12"/>
    </i>
    <i r="1">
      <x v="13"/>
      <x v="1"/>
    </i>
    <i r="2">
      <x v="9"/>
    </i>
    <i r="2">
      <x v="41"/>
    </i>
    <i r="2">
      <x v="47"/>
    </i>
    <i r="2">
      <x v="53"/>
    </i>
    <i t="default" r="1">
      <x v="13"/>
    </i>
    <i r="1">
      <x v="14"/>
      <x v="13"/>
    </i>
    <i r="2">
      <x v="16"/>
    </i>
    <i r="2">
      <x v="19"/>
    </i>
    <i r="2">
      <x v="30"/>
    </i>
    <i r="2">
      <x v="38"/>
    </i>
    <i r="2">
      <x v="44"/>
    </i>
    <i r="2">
      <x v="56"/>
    </i>
    <i t="default" r="1">
      <x v="14"/>
    </i>
    <i r="1">
      <x v="15"/>
      <x v="15"/>
    </i>
    <i r="2">
      <x v="33"/>
    </i>
    <i t="default" r="1">
      <x v="15"/>
    </i>
    <i r="1">
      <x v="16"/>
      <x v="55"/>
    </i>
    <i t="default" r="1">
      <x v="16"/>
    </i>
    <i r="1">
      <x v="17"/>
      <x v="34"/>
    </i>
    <i r="2">
      <x v="40"/>
    </i>
    <i r="2">
      <x v="55"/>
    </i>
    <i t="default" r="1">
      <x v="17"/>
    </i>
    <i r="1">
      <x v="18"/>
      <x v="32"/>
    </i>
    <i r="2">
      <x v="50"/>
    </i>
    <i t="default" r="1">
      <x v="18"/>
    </i>
    <i r="1">
      <x v="19"/>
      <x v="17"/>
    </i>
    <i r="2">
      <x v="36"/>
    </i>
    <i t="default" r="1">
      <x v="19"/>
    </i>
    <i r="1">
      <x v="20"/>
      <x v="34"/>
    </i>
    <i t="default" r="1">
      <x v="20"/>
    </i>
    <i r="1">
      <x v="21"/>
      <x v="16"/>
    </i>
    <i r="2">
      <x v="31"/>
    </i>
    <i t="default" r="1">
      <x v="21"/>
    </i>
  </rowItems>
  <colItems count="1">
    <i/>
  </colItems>
  <dataFields count="1">
    <dataField name="Sum of qty" fld="3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77A5868-9EB6-41AF-BE09-6B1E69F5E762}" name="Table6" displayName="Table6" ref="A1:H243" totalsRowCount="1">
  <autoFilter ref="A1:H242" xr:uid="{D77A5868-9EB6-41AF-BE09-6B1E69F5E762}"/>
  <tableColumns count="8">
    <tableColumn id="1" xr3:uid="{38F7505E-0BB8-4E8D-BEAE-E62B6E15047B}" name="item_name"/>
    <tableColumn id="2" xr3:uid="{843F03D3-62DD-4991-A190-32283396B1E2}" name="quantity"/>
    <tableColumn id="3" xr3:uid="{673BAA95-67C3-475C-AB8A-B2CDF04772E9}" name="each_bp"/>
    <tableColumn id="4" xr3:uid="{61BF716A-105E-4CA9-9A09-8A6FB856442E}" name="each_sp"/>
    <tableColumn id="5" xr3:uid="{DE0FE4C1-C6B4-4BD3-8176-1B5C62A68B37}" name="category"/>
    <tableColumn id="6" xr3:uid="{E471CC38-8B2C-4851-AD40-B96E23B299DD}" name="expiry_date"/>
    <tableColumn id="7" xr3:uid="{7B6E182C-FE52-43B5-8D5E-A097514BCF8F}" name="date_inventory_taken"/>
    <tableColumn id="8" xr3:uid="{7FB33A0C-BDA2-45D2-9583-D43A2D50D21C}" name="Column1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F89AB7-0F68-4D02-9681-34C9617F1FBC}" name="Table5" displayName="Table5" ref="A1:K227" totalsRowShown="0">
  <autoFilter ref="A1:K227" xr:uid="{2FF89AB7-0F68-4D02-9681-34C9617F1FBC}"/>
  <tableColumns count="11">
    <tableColumn id="1" xr3:uid="{3AF51867-AD93-4013-8F71-4BC857F069B4}" name="date_of_purchase"/>
    <tableColumn id="2" xr3:uid="{239581BC-99A3-4A63-B19D-FC5085EBECE7}" name="Time"/>
    <tableColumn id="3" xr3:uid="{F92C07ED-6257-4B9C-B0AE-56840B1F8357}" name="item_purchased"/>
    <tableColumn id="4" xr3:uid="{FAE103B4-ACEF-4F90-86D4-5F3663C97783}" name="qty"/>
    <tableColumn id="5" xr3:uid="{2F521F01-4E7A-4564-8579-B3C7B95D286F}" name="bp"/>
    <tableColumn id="6" xr3:uid="{ED999AF0-1AFE-4056-8BE4-80CE6BA79FB9}" name="total_spent">
      <calculatedColumnFormula>D2*E2</calculatedColumnFormula>
    </tableColumn>
    <tableColumn id="8" xr3:uid="{E69F4483-FA36-4790-B9DB-176D642818B8}" name="Expiry"/>
    <tableColumn id="10" xr3:uid="{DF52F0EE-4103-49A7-989C-DEF17D5A8C50}" name="Transaction_mode"/>
    <tableColumn id="7" xr3:uid="{D5432CC6-5A75-4EC9-B2DA-D9CB7BD04334}" name="add_item_to_inventory"/>
    <tableColumn id="11" xr3:uid="{20E3966E-F7A6-4DA6-9E65-70F065312C01}" name="Column1"/>
    <tableColumn id="12" xr3:uid="{C3FBCDBE-4186-443F-8837-F47AFECB50CA}" name="Column2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B9F147-2075-4CBE-BAAC-E53AB32CF934}" name="Table1" displayName="Table1" ref="A1:H272" totalsRowShown="0">
  <autoFilter ref="A1:H272" xr:uid="{E1B9F147-2075-4CBE-BAAC-E53AB32CF934}"/>
  <tableColumns count="8">
    <tableColumn id="1" xr3:uid="{D8848912-D777-4676-BB76-82E7304A609B}" name="item_name"/>
    <tableColumn id="2" xr3:uid="{B4AF0F82-BB0C-420B-918D-A104B4FF80C3}" name="qtyat12th"/>
    <tableColumn id="8" xr3:uid="{5EE6FDC1-9CE5-4B50-9953-38ECB812E9D5}" name="qtyupdated" dataDxfId="22">
      <calculatedColumnFormula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calculatedColumnFormula>
    </tableColumn>
    <tableColumn id="3" xr3:uid="{A49885C0-B7F8-4E04-A9FF-23A6F1B10B99}" name="each_bp">
      <calculatedColumnFormula>VLOOKUP(A2,Inventory!A:H,3,FALSE)</calculatedColumnFormula>
    </tableColumn>
    <tableColumn id="4" xr3:uid="{57D9036D-CD73-4474-99D1-DAE6BFDE22AA}" name="each_sp">
      <calculatedColumnFormula>VLOOKUP(A2,Inventory!A:H,4,FALSE)</calculatedColumnFormula>
    </tableColumn>
    <tableColumn id="5" xr3:uid="{5D28FD27-9A97-49D5-AD8A-874D500255AE}" name="Category"/>
    <tableColumn id="6" xr3:uid="{F5AD309C-02A5-4AFE-B509-F7618337AB13}" name="expiry_date" dataDxfId="21"/>
    <tableColumn id="7" xr3:uid="{37CACAD6-3CC4-436F-B12B-DC20CB43B8E1}" name="Index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878B99-5D53-4733-962B-43A7A6B4BD9C}" name="Table2" displayName="Table2" ref="A1:M463" totalsRowCount="1">
  <autoFilter ref="A1:M462" xr:uid="{68878B99-5D53-4733-962B-43A7A6B4BD9C}"/>
  <tableColumns count="13">
    <tableColumn id="1" xr3:uid="{1B4002C7-F523-4946-AF8F-E1935EFEA065}" name="Date" dataDxfId="20" totalsRowDxfId="19"/>
    <tableColumn id="2" xr3:uid="{88032AB1-5D55-47FB-9B79-F075EF0001D7}" name="Time"/>
    <tableColumn id="3" xr3:uid="{BDA46EE0-58AE-4CA2-8484-5C9BF99D9C40}" name="Item" dataDxfId="18"/>
    <tableColumn id="4" xr3:uid="{DDBDF1A9-C7B5-4F16-B582-0345B33CCF3F}" name="Quantity"/>
    <tableColumn id="5" xr3:uid="{6693030D-8434-4EB4-8A99-733243004602}" name="Total_Spent"/>
    <tableColumn id="6" xr3:uid="{C543B4B7-BB95-4A3D-84B3-2588A0FD6BB3}" name="each_bp"/>
    <tableColumn id="7" xr3:uid="{FAC8E482-5F96-481D-A6CD-8EB0A42E5484}" name="Present y/n"/>
    <tableColumn id="8" xr3:uid="{BBA69C29-A5F8-4CDB-8D43-75DFDBE877DF}" name="Transmode"/>
    <tableColumn id="9" xr3:uid="{D974C027-1E4D-4071-8A37-A55FE14738E4}" name="if_mixed_cash_amt"/>
    <tableColumn id="10" xr3:uid="{8D629E66-5CDA-4A6C-995D-8892F711A032}" name="if_mixed_mpesa_amt"/>
    <tableColumn id="11" xr3:uid="{9CE31379-1652-4E3F-9F6C-68224823523B}" name="if_mpesa_mode"/>
    <tableColumn id="12" xr3:uid="{9EACEFBC-A5FA-41E7-B2CE-B6CAE1A7A68F}" name="if_credit_name"/>
    <tableColumn id="13" xr3:uid="{65232B35-E632-4569-AE80-35789C46E030}" name="if_credit_amt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D17F09-A7B7-4970-ABFF-F393DB3C61FE}" name="Table4" displayName="Table4" ref="A1:L9618" totalsRowShown="0">
  <autoFilter ref="A1:L9618" xr:uid="{29D17F09-A7B7-4970-ABFF-F393DB3C61FE}">
    <filterColumn colId="4">
      <filters blank="1">
        <filter val="#N/A"/>
        <filter val="Ksh10.00"/>
        <filter val="Ksh100.00"/>
        <filter val="Ksh105.00"/>
        <filter val="Ksh110.00"/>
        <filter val="Ksh12.50"/>
        <filter val="Ksh120.00"/>
        <filter val="Ksh130.00"/>
        <filter val="Ksh140.00"/>
        <filter val="Ksh15.00"/>
        <filter val="Ksh150.00"/>
        <filter val="Ksh160.00"/>
        <filter val="Ksh165.00"/>
        <filter val="Ksh180.00"/>
        <filter val="Ksh190.00"/>
        <filter val="Ksh195.00"/>
        <filter val="Ksh20.00"/>
        <filter val="Ksh200.00"/>
        <filter val="Ksh210.00"/>
        <filter val="Ksh220.00"/>
        <filter val="Ksh240.00"/>
        <filter val="Ksh25.00"/>
        <filter val="Ksh250.00"/>
        <filter val="Ksh260.00"/>
        <filter val="Ksh280.00"/>
        <filter val="Ksh30.00"/>
        <filter val="Ksh300.00"/>
        <filter val="Ksh320.00"/>
        <filter val="Ksh35.00"/>
        <filter val="Ksh350.00"/>
        <filter val="Ksh40.00"/>
        <filter val="Ksh420.00"/>
        <filter val="Ksh440.00"/>
        <filter val="Ksh45.00"/>
        <filter val="Ksh5.00"/>
        <filter val="Ksh50.00"/>
        <filter val="Ksh55.00"/>
        <filter val="Ksh560.00"/>
        <filter val="Ksh60.00"/>
        <filter val="Ksh600.00"/>
        <filter val="Ksh65.00"/>
        <filter val="Ksh70.00"/>
        <filter val="Ksh75.00"/>
        <filter val="Ksh80.00"/>
        <filter val="Ksh85.00"/>
        <filter val="Ksh90.00"/>
      </filters>
    </filterColumn>
  </autoFilter>
  <tableColumns count="12">
    <tableColumn id="1" xr3:uid="{59C03C09-48D5-4192-A9D0-97EDFD69667D}" name="date" dataDxfId="17">
      <calculatedColumnFormula>DATE(2024,7,15)</calculatedColumnFormula>
    </tableColumn>
    <tableColumn id="2" xr3:uid="{1A92D823-2711-43A4-88DD-3459922DD914}" name="time" dataDxfId="16"/>
    <tableColumn id="3" xr3:uid="{53BF781F-8F56-415E-AEC2-DA48A1CB9548}" name="item_sold"/>
    <tableColumn id="4" xr3:uid="{3CA27FB0-67FE-4D3D-BE82-E49E1B68F748}" name="qty"/>
    <tableColumn id="5" xr3:uid="{4C98C2E7-1387-404D-8371-75074857046D}" name="Total_sold"/>
    <tableColumn id="6" xr3:uid="{55A292E8-C837-4C32-92BF-609EF1DA9F63}" name="Total_bp"/>
    <tableColumn id="7" xr3:uid="{4D51947A-855E-4FE1-80A5-C8F3A7795E4D}" name="profit" dataDxfId="15">
      <calculatedColumnFormula>E2-F2</calculatedColumnFormula>
    </tableColumn>
    <tableColumn id="8" xr3:uid="{E526541E-7180-4E00-B1AE-F7DD35F148E6}" name="Transaction_mode"/>
    <tableColumn id="9" xr3:uid="{E56E2D8A-A65A-4CC1-A10A-B9A77561E735}" name="person_if_credit"/>
    <tableColumn id="13" xr3:uid="{242548A8-2E00-4642-B85B-DA72EFF355F1}" name="person_paid_if_credit"/>
    <tableColumn id="14" xr3:uid="{7A9333F6-C60A-4EED-B401-28249E7D8342}" name="how_much_paid_if_credit"/>
    <tableColumn id="10" xr3:uid="{496695A7-72A1-4DF0-A612-738425919A15}" name="payment_mode_if_paid_in_credit"/>
  </tableColumns>
  <tableStyleInfo name="TableStyleMedium2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DAAB4B-E4DC-467E-A1D7-9AE747468CD7}" name="Table7" displayName="Table7" ref="A1:D18" totalsRowShown="0">
  <autoFilter ref="A1:D18" xr:uid="{B9DAAB4B-E4DC-467E-A1D7-9AE747468CD7}"/>
  <tableColumns count="4">
    <tableColumn id="1" xr3:uid="{B9A0FB3C-E5B5-43D5-B516-B5A4326BEDAE}" name="Date" dataDxfId="14"/>
    <tableColumn id="2" xr3:uid="{7BBEB2D4-E555-45ED-9EEA-E91E9A07B5A8}" name="item/loan"/>
    <tableColumn id="3" xr3:uid="{C8660D5E-AFD0-495A-9F38-C30D90DF1394}" name="qty_if_item"/>
    <tableColumn id="4" xr3:uid="{8CB6291C-8109-42D8-A78D-5A72723A8342}" name="amt" dataDxfId="13"/>
  </tableColumns>
  <tableStyleInfo name="TableStyleDark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0DBFFF-0640-4B8B-9C32-F91081D4773F}" name="Table3" displayName="Table3" ref="A1:I136" totalsRowCount="1" dataDxfId="12">
  <autoFilter ref="A1:I135" xr:uid="{E50DBFFF-0640-4B8B-9C32-F91081D4773F}"/>
  <tableColumns count="9">
    <tableColumn id="1" xr3:uid="{C6618719-8965-44B2-A2A8-0B2B4A728E5E}" name="Date" dataDxfId="11" totalsRowDxfId="10"/>
    <tableColumn id="2" xr3:uid="{813637D6-BDB0-499A-B948-A601C0DD7A1B}" name="Purchases" dataDxfId="9" totalsRowDxfId="8">
      <calculatedColumnFormula>SUMIF(Table5[date_of_purchase],'Summary Per Day'!A2,Table5[total_spent])</calculatedColumnFormula>
    </tableColumn>
    <tableColumn id="3" xr3:uid="{96BEF026-88B3-4E2F-9870-13A9DB1C5973}" name="Sales" dataDxfId="7">
      <calculatedColumnFormula>SUMIF(Table4[date],Table3[[#This Row],[Date]],Table4[Total_sold])</calculatedColumnFormula>
    </tableColumn>
    <tableColumn id="4" xr3:uid="{B07E454F-32CF-4EC4-9ECB-93E764E0AC2C}" name="Profit" dataDxfId="6" totalsRowDxfId="5">
      <calculatedColumnFormula>SUMIF(Table4[date],'Summary Per Day'!A2,Table4[profit])</calculatedColumnFormula>
    </tableColumn>
    <tableColumn id="5" xr3:uid="{828B8D48-145B-4E43-B835-17ADB173DE6F}" name="Sales_Mpesa" dataDxfId="4"/>
    <tableColumn id="6" xr3:uid="{7BD7F482-E46D-4982-B3B1-6498306FDE46}" name="Sales_Cash" dataDxfId="3"/>
    <tableColumn id="7" xr3:uid="{47ABAC53-BC37-4EB4-AF1F-708C89FD4AAF}" name="Sales_Credit" dataDxfId="2"/>
    <tableColumn id="8" xr3:uid="{BCD15FDC-D6CD-444B-A3B6-015F25C28980}" name="45% Profit" dataDxfId="1">
      <calculatedColumnFormula>0.45*D2</calculatedColumnFormula>
    </tableColumn>
    <tableColumn id="9" xr3:uid="{789A3B93-2E6E-4F61-986C-715574E8EC85}" name="55% Profit2" dataDxfId="0">
      <calculatedColumnFormula>0.55*D2</calculatedColumnFormula>
    </tableColumn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4695D-57C0-4EE9-B956-00CE22F0B2B3}">
  <sheetPr codeName="Sheet1"/>
  <dimension ref="A1:K210"/>
  <sheetViews>
    <sheetView topLeftCell="A197" workbookViewId="0">
      <selection activeCell="F9" sqref="F9"/>
    </sheetView>
  </sheetViews>
  <sheetFormatPr defaultRowHeight="15" x14ac:dyDescent="0.25"/>
  <cols>
    <col min="1" max="1" width="13.28515625" customWidth="1"/>
    <col min="2" max="3" width="10.5703125" customWidth="1"/>
    <col min="4" max="4" width="10.28515625" customWidth="1"/>
    <col min="5" max="5" width="10.7109375" customWidth="1"/>
    <col min="6" max="6" width="13.7109375" customWidth="1"/>
    <col min="7" max="7" width="22.7109375" customWidth="1"/>
    <col min="8" max="8" width="10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9" x14ac:dyDescent="0.25">
      <c r="A2" t="s">
        <v>8</v>
      </c>
      <c r="B2">
        <f>(4+(SUMIF(Table5[item_purchased],Table6[[#This Row],[item_name]],Table5[qty])))-(SUMIF(Table4[item_sold],Table6[[#This Row],[item_name]],Table4[qty]))</f>
        <v>-35</v>
      </c>
      <c r="C2">
        <f>300/4</f>
        <v>75</v>
      </c>
      <c r="D2">
        <v>120</v>
      </c>
      <c r="E2" t="s">
        <v>9</v>
      </c>
      <c r="F2" s="1">
        <f>DATE(2024,12,1)</f>
        <v>45627</v>
      </c>
      <c r="G2" s="1">
        <f>DATE(2024,7,16)</f>
        <v>45489</v>
      </c>
      <c r="H2">
        <v>1</v>
      </c>
    </row>
    <row r="3" spans="1:9" x14ac:dyDescent="0.25">
      <c r="A3" t="s">
        <v>10</v>
      </c>
      <c r="B3">
        <v>12</v>
      </c>
      <c r="C3">
        <f>300/12</f>
        <v>25</v>
      </c>
      <c r="D3">
        <v>70</v>
      </c>
      <c r="E3" t="s">
        <v>9</v>
      </c>
      <c r="F3" s="1">
        <f>DATE(2024,12,1)</f>
        <v>45627</v>
      </c>
      <c r="G3" s="1">
        <f t="shared" ref="G3:G54" si="0">DATE(2024,7,16)</f>
        <v>45489</v>
      </c>
      <c r="H3">
        <f>H2+1</f>
        <v>2</v>
      </c>
    </row>
    <row r="4" spans="1:9" x14ac:dyDescent="0.25">
      <c r="A4" t="s">
        <v>11</v>
      </c>
      <c r="B4">
        <v>10</v>
      </c>
      <c r="C4">
        <f>300/24</f>
        <v>12.5</v>
      </c>
      <c r="D4">
        <v>30</v>
      </c>
      <c r="E4" t="s">
        <v>9</v>
      </c>
      <c r="F4" s="1">
        <f>DATE(2024,12,1)</f>
        <v>45627</v>
      </c>
      <c r="G4" s="1">
        <f t="shared" si="0"/>
        <v>45489</v>
      </c>
      <c r="H4">
        <f>H3+1</f>
        <v>3</v>
      </c>
    </row>
    <row r="5" spans="1:9" x14ac:dyDescent="0.25">
      <c r="A5" t="s">
        <v>12</v>
      </c>
      <c r="B5">
        <v>7</v>
      </c>
      <c r="C5">
        <f>1060/6</f>
        <v>176.66666666666666</v>
      </c>
      <c r="D5">
        <v>200</v>
      </c>
      <c r="E5" t="s">
        <v>9</v>
      </c>
      <c r="F5" s="1">
        <f>DATE(2024,10,27)</f>
        <v>45592</v>
      </c>
      <c r="G5" s="1">
        <f t="shared" si="0"/>
        <v>45489</v>
      </c>
      <c r="H5">
        <f t="shared" ref="H5:H68" si="1">H4+1</f>
        <v>4</v>
      </c>
    </row>
    <row r="6" spans="1:9" x14ac:dyDescent="0.25">
      <c r="A6" t="s">
        <v>13</v>
      </c>
      <c r="B6">
        <v>4</v>
      </c>
      <c r="C6">
        <f>1350/12</f>
        <v>112.5</v>
      </c>
      <c r="D6">
        <v>130</v>
      </c>
      <c r="E6" t="s">
        <v>9</v>
      </c>
      <c r="F6" s="1">
        <f>DATE(2024,9,12)</f>
        <v>45547</v>
      </c>
      <c r="G6" s="1">
        <f t="shared" si="0"/>
        <v>45489</v>
      </c>
      <c r="H6">
        <f t="shared" si="1"/>
        <v>5</v>
      </c>
    </row>
    <row r="7" spans="1:9" x14ac:dyDescent="0.25">
      <c r="A7" t="s">
        <v>14</v>
      </c>
      <c r="B7">
        <v>30</v>
      </c>
      <c r="C7">
        <f>1450/24</f>
        <v>60.416666666666664</v>
      </c>
      <c r="D7">
        <v>70</v>
      </c>
      <c r="E7" t="s">
        <v>9</v>
      </c>
      <c r="F7" s="1">
        <f>DATE(2024,10,10)</f>
        <v>45575</v>
      </c>
      <c r="G7" s="1">
        <f t="shared" si="0"/>
        <v>45489</v>
      </c>
      <c r="H7">
        <f t="shared" si="1"/>
        <v>6</v>
      </c>
    </row>
    <row r="8" spans="1:9" x14ac:dyDescent="0.25">
      <c r="A8" t="s">
        <v>15</v>
      </c>
      <c r="B8">
        <v>34</v>
      </c>
      <c r="C8">
        <f>1000/24</f>
        <v>41.666666666666664</v>
      </c>
      <c r="D8">
        <v>50</v>
      </c>
      <c r="E8" t="s">
        <v>9</v>
      </c>
      <c r="F8" s="1">
        <f>DATE(2024,10,10)</f>
        <v>45575</v>
      </c>
      <c r="G8" s="1">
        <f t="shared" si="0"/>
        <v>45489</v>
      </c>
      <c r="H8">
        <f t="shared" si="1"/>
        <v>7</v>
      </c>
    </row>
    <row r="9" spans="1:9" x14ac:dyDescent="0.25">
      <c r="A9" t="s">
        <v>16</v>
      </c>
      <c r="B9">
        <v>7</v>
      </c>
      <c r="C9">
        <f>750/12</f>
        <v>62.5</v>
      </c>
      <c r="D9">
        <v>85</v>
      </c>
      <c r="E9" t="s">
        <v>9</v>
      </c>
      <c r="F9" s="1">
        <f>DATE(2025,2,1)</f>
        <v>45689</v>
      </c>
      <c r="G9" s="1">
        <f t="shared" si="0"/>
        <v>45489</v>
      </c>
      <c r="H9">
        <f t="shared" si="1"/>
        <v>8</v>
      </c>
    </row>
    <row r="10" spans="1:9" x14ac:dyDescent="0.25">
      <c r="A10" t="s">
        <v>17</v>
      </c>
      <c r="B10">
        <v>10</v>
      </c>
      <c r="C10">
        <f>850/12</f>
        <v>70.833333333333329</v>
      </c>
      <c r="D10">
        <v>85</v>
      </c>
      <c r="E10" t="s">
        <v>9</v>
      </c>
      <c r="F10" s="1">
        <f>DATE(2025,10,28)</f>
        <v>45958</v>
      </c>
      <c r="G10" s="1">
        <f t="shared" si="0"/>
        <v>45489</v>
      </c>
      <c r="H10">
        <f t="shared" si="1"/>
        <v>9</v>
      </c>
      <c r="I10" t="s">
        <v>18</v>
      </c>
    </row>
    <row r="11" spans="1:9" x14ac:dyDescent="0.25">
      <c r="A11" t="s">
        <v>19</v>
      </c>
      <c r="B11">
        <v>1</v>
      </c>
      <c r="C11">
        <f>550/12</f>
        <v>45.833333333333336</v>
      </c>
      <c r="D11">
        <v>60</v>
      </c>
      <c r="E11" t="s">
        <v>9</v>
      </c>
      <c r="F11" s="1">
        <f>DATE(2024,9,3)</f>
        <v>45538</v>
      </c>
      <c r="G11" s="1">
        <f t="shared" si="0"/>
        <v>45489</v>
      </c>
      <c r="H11">
        <f t="shared" si="1"/>
        <v>10</v>
      </c>
      <c r="I11" t="e">
        <f>VLOOKUP(I10,Table6[[item_name]:[Column1]],8,FALSE)</f>
        <v>#N/A</v>
      </c>
    </row>
    <row r="12" spans="1:9" x14ac:dyDescent="0.25">
      <c r="A12" t="s">
        <v>20</v>
      </c>
      <c r="B12">
        <v>10</v>
      </c>
      <c r="C12">
        <f>650/12</f>
        <v>54.166666666666664</v>
      </c>
      <c r="D12">
        <v>70</v>
      </c>
      <c r="E12" t="s">
        <v>9</v>
      </c>
      <c r="F12" s="1">
        <f>DATE(2025,1,3)</f>
        <v>45660</v>
      </c>
      <c r="G12" s="1">
        <f t="shared" si="0"/>
        <v>45489</v>
      </c>
      <c r="H12">
        <f t="shared" si="1"/>
        <v>11</v>
      </c>
    </row>
    <row r="13" spans="1:9" x14ac:dyDescent="0.25">
      <c r="A13" t="s">
        <v>21</v>
      </c>
      <c r="B13">
        <v>30</v>
      </c>
      <c r="C13">
        <f>780/24</f>
        <v>32.5</v>
      </c>
      <c r="D13">
        <v>40</v>
      </c>
      <c r="E13" t="s">
        <v>9</v>
      </c>
      <c r="F13" s="1">
        <f>DATE(2025,3,1)</f>
        <v>45717</v>
      </c>
      <c r="G13" s="1">
        <f t="shared" si="0"/>
        <v>45489</v>
      </c>
      <c r="H13">
        <f t="shared" si="1"/>
        <v>12</v>
      </c>
    </row>
    <row r="14" spans="1:9" x14ac:dyDescent="0.25">
      <c r="A14" t="s">
        <v>22</v>
      </c>
      <c r="B14">
        <v>62</v>
      </c>
      <c r="C14">
        <f>1200/24</f>
        <v>50</v>
      </c>
      <c r="D14">
        <v>55</v>
      </c>
      <c r="E14" t="s">
        <v>9</v>
      </c>
      <c r="F14" s="1">
        <f>DATE(2025,2,1)</f>
        <v>45689</v>
      </c>
      <c r="G14" s="1">
        <f t="shared" si="0"/>
        <v>45489</v>
      </c>
      <c r="H14">
        <f t="shared" si="1"/>
        <v>13</v>
      </c>
    </row>
    <row r="15" spans="1:9" x14ac:dyDescent="0.25">
      <c r="A15" t="s">
        <v>23</v>
      </c>
      <c r="B15">
        <v>3</v>
      </c>
      <c r="C15">
        <f>450/30</f>
        <v>15</v>
      </c>
      <c r="D15">
        <v>20</v>
      </c>
      <c r="E15" t="s">
        <v>9</v>
      </c>
      <c r="F15" s="1">
        <f>DATE(2024,10,1)</f>
        <v>45566</v>
      </c>
      <c r="G15" s="1">
        <f t="shared" si="0"/>
        <v>45489</v>
      </c>
      <c r="H15">
        <f t="shared" si="1"/>
        <v>14</v>
      </c>
    </row>
    <row r="16" spans="1:9" x14ac:dyDescent="0.25">
      <c r="A16" t="s">
        <v>24</v>
      </c>
      <c r="B16">
        <v>3</v>
      </c>
      <c r="C16">
        <f>450/6</f>
        <v>75</v>
      </c>
      <c r="D16">
        <v>85</v>
      </c>
      <c r="E16" t="s">
        <v>9</v>
      </c>
      <c r="F16" s="1">
        <f>DATE(2024,12,28)</f>
        <v>45654</v>
      </c>
      <c r="G16" s="1">
        <f t="shared" si="0"/>
        <v>45489</v>
      </c>
      <c r="H16">
        <f t="shared" si="1"/>
        <v>15</v>
      </c>
    </row>
    <row r="17" spans="1:8" x14ac:dyDescent="0.25">
      <c r="A17" t="s">
        <v>25</v>
      </c>
      <c r="B17">
        <v>4</v>
      </c>
      <c r="C17">
        <v>73</v>
      </c>
      <c r="D17">
        <v>85</v>
      </c>
      <c r="E17" t="s">
        <v>9</v>
      </c>
      <c r="F17" s="1">
        <f>DATE(2024,8,3)</f>
        <v>45507</v>
      </c>
      <c r="G17" s="1">
        <f t="shared" si="0"/>
        <v>45489</v>
      </c>
      <c r="H17">
        <f t="shared" si="1"/>
        <v>16</v>
      </c>
    </row>
    <row r="18" spans="1:8" x14ac:dyDescent="0.25">
      <c r="A18" t="s">
        <v>26</v>
      </c>
      <c r="B18">
        <v>7</v>
      </c>
      <c r="C18">
        <f>580/12</f>
        <v>48.333333333333336</v>
      </c>
      <c r="D18">
        <v>60</v>
      </c>
      <c r="E18" t="s">
        <v>9</v>
      </c>
      <c r="F18" s="1">
        <f>DATE(2024,7,20)</f>
        <v>45493</v>
      </c>
      <c r="G18" s="1">
        <f t="shared" si="0"/>
        <v>45489</v>
      </c>
      <c r="H18">
        <f t="shared" si="1"/>
        <v>17</v>
      </c>
    </row>
    <row r="19" spans="1:8" x14ac:dyDescent="0.25">
      <c r="A19" t="s">
        <v>27</v>
      </c>
      <c r="B19">
        <v>1</v>
      </c>
      <c r="C19">
        <v>137</v>
      </c>
      <c r="D19">
        <v>160</v>
      </c>
      <c r="E19" t="s">
        <v>9</v>
      </c>
      <c r="F19" s="1">
        <f>DATE(2024,7,7)</f>
        <v>45480</v>
      </c>
      <c r="G19" s="1">
        <f t="shared" si="0"/>
        <v>45489</v>
      </c>
      <c r="H19">
        <f t="shared" si="1"/>
        <v>18</v>
      </c>
    </row>
    <row r="20" spans="1:8" x14ac:dyDescent="0.25">
      <c r="A20" t="s">
        <v>28</v>
      </c>
      <c r="B20">
        <v>1</v>
      </c>
      <c r="C20">
        <f>555/6</f>
        <v>92.5</v>
      </c>
      <c r="D20">
        <v>120</v>
      </c>
      <c r="E20" t="s">
        <v>9</v>
      </c>
      <c r="F20" s="1">
        <f>DATE(2024,7,16)</f>
        <v>45489</v>
      </c>
      <c r="G20" s="1">
        <f t="shared" si="0"/>
        <v>45489</v>
      </c>
      <c r="H20">
        <f t="shared" si="1"/>
        <v>19</v>
      </c>
    </row>
    <row r="21" spans="1:8" x14ac:dyDescent="0.25">
      <c r="A21" t="s">
        <v>29</v>
      </c>
      <c r="B21">
        <v>1</v>
      </c>
      <c r="C21">
        <v>87</v>
      </c>
      <c r="D21">
        <v>100</v>
      </c>
      <c r="E21" t="s">
        <v>9</v>
      </c>
      <c r="F21" s="1">
        <f>DATE(2024,7,24)</f>
        <v>45497</v>
      </c>
      <c r="G21" s="1">
        <f t="shared" si="0"/>
        <v>45489</v>
      </c>
      <c r="H21">
        <f t="shared" si="1"/>
        <v>20</v>
      </c>
    </row>
    <row r="22" spans="1:8" x14ac:dyDescent="0.25">
      <c r="A22" t="s">
        <v>30</v>
      </c>
      <c r="B22">
        <v>2</v>
      </c>
      <c r="C22">
        <v>93</v>
      </c>
      <c r="D22">
        <v>110</v>
      </c>
      <c r="E22" t="s">
        <v>9</v>
      </c>
      <c r="F22" s="1">
        <f>DATE(2024,7,24)</f>
        <v>45497</v>
      </c>
      <c r="G22" s="1">
        <f t="shared" si="0"/>
        <v>45489</v>
      </c>
      <c r="H22">
        <f t="shared" si="1"/>
        <v>21</v>
      </c>
    </row>
    <row r="23" spans="1:8" x14ac:dyDescent="0.25">
      <c r="A23" t="s">
        <v>31</v>
      </c>
      <c r="B23">
        <v>21</v>
      </c>
      <c r="C23">
        <f>870/18</f>
        <v>48.333333333333336</v>
      </c>
      <c r="D23">
        <v>65</v>
      </c>
      <c r="E23" t="s">
        <v>32</v>
      </c>
      <c r="F23" s="1">
        <f>DATE(2024,29,9)</f>
        <v>46151</v>
      </c>
      <c r="G23" s="1">
        <f t="shared" si="0"/>
        <v>45489</v>
      </c>
      <c r="H23">
        <f t="shared" si="1"/>
        <v>22</v>
      </c>
    </row>
    <row r="24" spans="1:8" x14ac:dyDescent="0.25">
      <c r="A24" t="s">
        <v>33</v>
      </c>
      <c r="B24">
        <v>22</v>
      </c>
      <c r="C24">
        <f>708/12</f>
        <v>59</v>
      </c>
      <c r="D24">
        <v>70</v>
      </c>
      <c r="E24" t="s">
        <v>32</v>
      </c>
      <c r="F24" s="1">
        <f>DATE(2025,1,15)</f>
        <v>45672</v>
      </c>
      <c r="G24" s="1">
        <f t="shared" si="0"/>
        <v>45489</v>
      </c>
      <c r="H24">
        <f t="shared" si="1"/>
        <v>23</v>
      </c>
    </row>
    <row r="25" spans="1:8" x14ac:dyDescent="0.25">
      <c r="A25" t="s">
        <v>34</v>
      </c>
      <c r="B25">
        <v>11</v>
      </c>
      <c r="C25">
        <f>650/12</f>
        <v>54.166666666666664</v>
      </c>
      <c r="D25">
        <v>65</v>
      </c>
      <c r="E25" t="s">
        <v>32</v>
      </c>
      <c r="F25" s="1">
        <f>DATE(2024,9,4)</f>
        <v>45539</v>
      </c>
      <c r="G25" s="1">
        <f t="shared" si="0"/>
        <v>45489</v>
      </c>
      <c r="H25">
        <f t="shared" si="1"/>
        <v>24</v>
      </c>
    </row>
    <row r="26" spans="1:8" x14ac:dyDescent="0.25">
      <c r="A26" t="s">
        <v>35</v>
      </c>
      <c r="B26">
        <v>6</v>
      </c>
      <c r="C26">
        <f>110/12</f>
        <v>9.1666666666666661</v>
      </c>
      <c r="D26">
        <v>15</v>
      </c>
      <c r="E26" t="s">
        <v>32</v>
      </c>
      <c r="F26" s="1">
        <f>DATE(2023,2,28)</f>
        <v>44985</v>
      </c>
      <c r="G26" s="1">
        <f t="shared" si="0"/>
        <v>45489</v>
      </c>
      <c r="H26">
        <f t="shared" si="1"/>
        <v>25</v>
      </c>
    </row>
    <row r="27" spans="1:8" x14ac:dyDescent="0.25">
      <c r="A27" t="s">
        <v>36</v>
      </c>
      <c r="B27">
        <v>12</v>
      </c>
      <c r="C27">
        <f>110/12</f>
        <v>9.1666666666666661</v>
      </c>
      <c r="D27">
        <v>15</v>
      </c>
      <c r="E27" t="s">
        <v>32</v>
      </c>
      <c r="F27" s="1">
        <f>DATE(2025,12,31)</f>
        <v>46022</v>
      </c>
      <c r="G27" s="1">
        <f t="shared" si="0"/>
        <v>45489</v>
      </c>
      <c r="H27">
        <f t="shared" si="1"/>
        <v>26</v>
      </c>
    </row>
    <row r="28" spans="1:8" x14ac:dyDescent="0.25">
      <c r="A28" t="s">
        <v>37</v>
      </c>
      <c r="B28">
        <v>7</v>
      </c>
      <c r="C28">
        <f>210/12</f>
        <v>17.5</v>
      </c>
      <c r="D28">
        <v>30</v>
      </c>
      <c r="E28" t="s">
        <v>32</v>
      </c>
      <c r="F28" s="1">
        <f>DATE(2025,1,27)</f>
        <v>45684</v>
      </c>
      <c r="G28" s="1">
        <f t="shared" si="0"/>
        <v>45489</v>
      </c>
      <c r="H28">
        <f t="shared" si="1"/>
        <v>27</v>
      </c>
    </row>
    <row r="29" spans="1:8" x14ac:dyDescent="0.25">
      <c r="A29" t="s">
        <v>38</v>
      </c>
      <c r="B29">
        <v>1</v>
      </c>
      <c r="C29">
        <f>350/12</f>
        <v>29.166666666666668</v>
      </c>
      <c r="D29">
        <v>35</v>
      </c>
      <c r="E29" t="s">
        <v>32</v>
      </c>
      <c r="F29" s="1">
        <f>DATE(2026,11,1)</f>
        <v>46327</v>
      </c>
      <c r="G29" s="1">
        <f t="shared" si="0"/>
        <v>45489</v>
      </c>
      <c r="H29">
        <f t="shared" si="1"/>
        <v>28</v>
      </c>
    </row>
    <row r="30" spans="1:8" x14ac:dyDescent="0.25">
      <c r="A30" t="s">
        <v>39</v>
      </c>
      <c r="B30">
        <v>2</v>
      </c>
      <c r="C30">
        <v>60</v>
      </c>
      <c r="D30">
        <v>65</v>
      </c>
      <c r="E30" t="s">
        <v>40</v>
      </c>
      <c r="F30" s="1">
        <f>DATE(2024,7,18)</f>
        <v>45491</v>
      </c>
      <c r="G30" s="1">
        <f t="shared" si="0"/>
        <v>45489</v>
      </c>
      <c r="H30">
        <f t="shared" si="1"/>
        <v>29</v>
      </c>
    </row>
    <row r="31" spans="1:8" x14ac:dyDescent="0.25">
      <c r="A31" t="s">
        <v>41</v>
      </c>
      <c r="B31">
        <v>2</v>
      </c>
      <c r="C31">
        <v>35</v>
      </c>
      <c r="D31">
        <v>40</v>
      </c>
      <c r="E31" t="s">
        <v>40</v>
      </c>
      <c r="F31" s="1">
        <f>DATE(2024,7,17)</f>
        <v>45490</v>
      </c>
      <c r="G31" s="1">
        <f t="shared" si="0"/>
        <v>45489</v>
      </c>
      <c r="H31">
        <f t="shared" si="1"/>
        <v>30</v>
      </c>
    </row>
    <row r="32" spans="1:8" x14ac:dyDescent="0.25">
      <c r="A32" t="s">
        <v>42</v>
      </c>
      <c r="B32">
        <v>1</v>
      </c>
      <c r="C32">
        <v>90</v>
      </c>
      <c r="D32">
        <v>100</v>
      </c>
      <c r="E32" t="s">
        <v>40</v>
      </c>
      <c r="F32" s="1">
        <f>DATE(2024,7,18)</f>
        <v>45491</v>
      </c>
      <c r="G32" s="1">
        <f t="shared" si="0"/>
        <v>45489</v>
      </c>
      <c r="H32">
        <f t="shared" si="1"/>
        <v>31</v>
      </c>
    </row>
    <row r="33" spans="1:8" x14ac:dyDescent="0.25">
      <c r="A33" t="s">
        <v>43</v>
      </c>
      <c r="B33">
        <v>1</v>
      </c>
      <c r="C33">
        <v>120</v>
      </c>
      <c r="D33">
        <v>130</v>
      </c>
      <c r="E33" t="s">
        <v>40</v>
      </c>
      <c r="F33" s="1">
        <f>DATE(2024,7,18)</f>
        <v>45491</v>
      </c>
      <c r="G33" s="1">
        <f t="shared" si="0"/>
        <v>45489</v>
      </c>
      <c r="H33">
        <f t="shared" si="1"/>
        <v>32</v>
      </c>
    </row>
    <row r="34" spans="1:8" x14ac:dyDescent="0.25">
      <c r="A34" t="s">
        <v>44</v>
      </c>
      <c r="B34">
        <v>21</v>
      </c>
      <c r="C34">
        <f>440/50</f>
        <v>8.8000000000000007</v>
      </c>
      <c r="D34">
        <v>15</v>
      </c>
      <c r="E34" t="s">
        <v>45</v>
      </c>
      <c r="F34" s="1">
        <f>DATE(2424,12,1)</f>
        <v>191724</v>
      </c>
      <c r="G34" s="1">
        <f t="shared" si="0"/>
        <v>45489</v>
      </c>
      <c r="H34">
        <f t="shared" si="1"/>
        <v>33</v>
      </c>
    </row>
    <row r="35" spans="1:8" x14ac:dyDescent="0.25">
      <c r="A35" t="s">
        <v>46</v>
      </c>
      <c r="B35">
        <v>39</v>
      </c>
      <c r="C35">
        <f>440/50</f>
        <v>8.8000000000000007</v>
      </c>
      <c r="D35">
        <v>15</v>
      </c>
      <c r="E35" t="s">
        <v>45</v>
      </c>
      <c r="F35" s="1">
        <f>DATE(2024,3,18)</f>
        <v>45369</v>
      </c>
      <c r="G35" s="1">
        <f t="shared" si="0"/>
        <v>45489</v>
      </c>
      <c r="H35">
        <f t="shared" si="1"/>
        <v>34</v>
      </c>
    </row>
    <row r="36" spans="1:8" x14ac:dyDescent="0.25">
      <c r="A36" t="s">
        <v>47</v>
      </c>
      <c r="B36">
        <v>48</v>
      </c>
      <c r="C36">
        <f>430/50</f>
        <v>8.6</v>
      </c>
      <c r="D36">
        <v>15</v>
      </c>
      <c r="E36" t="s">
        <v>45</v>
      </c>
      <c r="F36" s="1">
        <f>DATE(2024,2,20)</f>
        <v>45342</v>
      </c>
      <c r="G36" s="1">
        <f t="shared" si="0"/>
        <v>45489</v>
      </c>
      <c r="H36">
        <f t="shared" si="1"/>
        <v>35</v>
      </c>
    </row>
    <row r="37" spans="1:8" x14ac:dyDescent="0.25">
      <c r="A37" t="s">
        <v>48</v>
      </c>
      <c r="B37">
        <v>4</v>
      </c>
      <c r="C37">
        <f>430/50</f>
        <v>8.6</v>
      </c>
      <c r="D37">
        <v>15</v>
      </c>
      <c r="E37" t="s">
        <v>45</v>
      </c>
      <c r="F37" s="1">
        <f>DATE(2024,1,11)</f>
        <v>45302</v>
      </c>
      <c r="G37" s="1">
        <f t="shared" si="0"/>
        <v>45489</v>
      </c>
      <c r="H37">
        <f t="shared" si="1"/>
        <v>36</v>
      </c>
    </row>
    <row r="38" spans="1:8" x14ac:dyDescent="0.25">
      <c r="A38" t="s">
        <v>49</v>
      </c>
      <c r="B38">
        <v>5</v>
      </c>
      <c r="C38">
        <f>550/24</f>
        <v>22.916666666666668</v>
      </c>
      <c r="D38">
        <v>30</v>
      </c>
      <c r="E38" t="s">
        <v>45</v>
      </c>
      <c r="F38" s="1">
        <f>DATE(2024,3,25)</f>
        <v>45376</v>
      </c>
      <c r="G38" s="1">
        <f t="shared" si="0"/>
        <v>45489</v>
      </c>
      <c r="H38">
        <f t="shared" si="1"/>
        <v>37</v>
      </c>
    </row>
    <row r="39" spans="1:8" x14ac:dyDescent="0.25">
      <c r="A39" t="s">
        <v>50</v>
      </c>
      <c r="B39">
        <v>11</v>
      </c>
      <c r="C39">
        <f>550/24</f>
        <v>22.916666666666668</v>
      </c>
      <c r="D39">
        <v>30</v>
      </c>
      <c r="E39" t="s">
        <v>45</v>
      </c>
      <c r="F39" s="1">
        <f>DATE(2025,3,25)</f>
        <v>45741</v>
      </c>
      <c r="G39" s="1">
        <f t="shared" si="0"/>
        <v>45489</v>
      </c>
      <c r="H39">
        <f t="shared" si="1"/>
        <v>38</v>
      </c>
    </row>
    <row r="40" spans="1:8" x14ac:dyDescent="0.25">
      <c r="A40" t="s">
        <v>51</v>
      </c>
      <c r="B40">
        <v>32</v>
      </c>
      <c r="C40">
        <f>90/24</f>
        <v>3.75</v>
      </c>
      <c r="D40">
        <v>5</v>
      </c>
      <c r="E40" t="s">
        <v>45</v>
      </c>
      <c r="F40" s="1">
        <f>DATE(2026,5,3)</f>
        <v>46145</v>
      </c>
      <c r="G40" s="1">
        <f t="shared" si="0"/>
        <v>45489</v>
      </c>
      <c r="H40">
        <f t="shared" si="1"/>
        <v>39</v>
      </c>
    </row>
    <row r="41" spans="1:8" x14ac:dyDescent="0.25">
      <c r="A41" t="s">
        <v>52</v>
      </c>
      <c r="B41">
        <v>9</v>
      </c>
      <c r="C41">
        <f>190/12</f>
        <v>15.833333333333334</v>
      </c>
      <c r="D41">
        <v>30</v>
      </c>
      <c r="E41" t="s">
        <v>45</v>
      </c>
      <c r="F41" s="1">
        <f>DATE(2026, 5,3)</f>
        <v>46145</v>
      </c>
      <c r="G41" s="1">
        <f t="shared" si="0"/>
        <v>45489</v>
      </c>
      <c r="H41">
        <f t="shared" si="1"/>
        <v>40</v>
      </c>
    </row>
    <row r="42" spans="1:8" x14ac:dyDescent="0.25">
      <c r="A42" t="s">
        <v>53</v>
      </c>
      <c r="B42">
        <v>13</v>
      </c>
      <c r="C42">
        <f>160/15</f>
        <v>10.666666666666666</v>
      </c>
      <c r="D42">
        <v>20</v>
      </c>
      <c r="E42" t="s">
        <v>45</v>
      </c>
      <c r="G42" s="1"/>
      <c r="H42">
        <f t="shared" si="1"/>
        <v>41</v>
      </c>
    </row>
    <row r="43" spans="1:8" x14ac:dyDescent="0.25">
      <c r="A43" t="s">
        <v>54</v>
      </c>
      <c r="B43">
        <v>35</v>
      </c>
      <c r="C43">
        <v>25</v>
      </c>
      <c r="D43">
        <v>35</v>
      </c>
      <c r="E43" t="s">
        <v>45</v>
      </c>
      <c r="F43" s="1">
        <f>DATE(2025,6,25)</f>
        <v>45833</v>
      </c>
      <c r="G43" s="1">
        <f t="shared" si="0"/>
        <v>45489</v>
      </c>
      <c r="H43">
        <f t="shared" si="1"/>
        <v>42</v>
      </c>
    </row>
    <row r="44" spans="1:8" x14ac:dyDescent="0.25">
      <c r="A44" t="s">
        <v>55</v>
      </c>
      <c r="B44">
        <v>36</v>
      </c>
      <c r="C44">
        <v>25</v>
      </c>
      <c r="D44">
        <v>35</v>
      </c>
      <c r="E44" t="s">
        <v>45</v>
      </c>
      <c r="F44" s="1">
        <f>DATE(2025,6,26)</f>
        <v>45834</v>
      </c>
      <c r="G44" s="1">
        <f t="shared" si="0"/>
        <v>45489</v>
      </c>
      <c r="H44">
        <f t="shared" si="1"/>
        <v>43</v>
      </c>
    </row>
    <row r="45" spans="1:8" x14ac:dyDescent="0.25">
      <c r="A45" t="s">
        <v>56</v>
      </c>
      <c r="B45">
        <v>22</v>
      </c>
      <c r="C45">
        <f>280/30</f>
        <v>9.3333333333333339</v>
      </c>
      <c r="D45">
        <v>15</v>
      </c>
      <c r="E45" t="s">
        <v>45</v>
      </c>
      <c r="F45" s="1">
        <f>DATE(2025,6,13)</f>
        <v>45821</v>
      </c>
      <c r="G45" s="1">
        <f t="shared" si="0"/>
        <v>45489</v>
      </c>
      <c r="H45">
        <f t="shared" si="1"/>
        <v>44</v>
      </c>
    </row>
    <row r="46" spans="1:8" x14ac:dyDescent="0.25">
      <c r="A46" t="s">
        <v>57</v>
      </c>
      <c r="B46">
        <v>2</v>
      </c>
      <c r="C46">
        <f>250/60</f>
        <v>4.166666666666667</v>
      </c>
      <c r="D46">
        <v>5</v>
      </c>
      <c r="E46" t="s">
        <v>45</v>
      </c>
      <c r="F46" s="1">
        <f>DATE(2025,6,30)</f>
        <v>45838</v>
      </c>
      <c r="G46" s="1">
        <f t="shared" si="0"/>
        <v>45489</v>
      </c>
      <c r="H46">
        <f t="shared" si="1"/>
        <v>45</v>
      </c>
    </row>
    <row r="47" spans="1:8" x14ac:dyDescent="0.25">
      <c r="A47" t="s">
        <v>58</v>
      </c>
      <c r="B47">
        <v>48</v>
      </c>
      <c r="C47">
        <f>260/60</f>
        <v>4.333333333333333</v>
      </c>
      <c r="D47">
        <v>5</v>
      </c>
      <c r="E47" t="s">
        <v>45</v>
      </c>
      <c r="F47" s="1">
        <f>DATE(2025,4,8)</f>
        <v>45755</v>
      </c>
      <c r="G47" s="1">
        <f t="shared" si="0"/>
        <v>45489</v>
      </c>
      <c r="H47">
        <f t="shared" si="1"/>
        <v>46</v>
      </c>
    </row>
    <row r="48" spans="1:8" x14ac:dyDescent="0.25">
      <c r="A48" t="s">
        <v>59</v>
      </c>
      <c r="B48">
        <v>12</v>
      </c>
      <c r="C48">
        <f>260/60</f>
        <v>4.333333333333333</v>
      </c>
      <c r="D48">
        <v>5</v>
      </c>
      <c r="E48" t="s">
        <v>45</v>
      </c>
      <c r="F48" s="1">
        <f>DATE(2025,2,1)</f>
        <v>45689</v>
      </c>
      <c r="G48" s="1">
        <f t="shared" si="0"/>
        <v>45489</v>
      </c>
      <c r="H48">
        <f t="shared" si="1"/>
        <v>47</v>
      </c>
    </row>
    <row r="49" spans="1:8" x14ac:dyDescent="0.25">
      <c r="A49" t="s">
        <v>60</v>
      </c>
      <c r="B49">
        <v>3</v>
      </c>
      <c r="C49">
        <v>90</v>
      </c>
      <c r="D49">
        <v>100</v>
      </c>
      <c r="E49" t="s">
        <v>45</v>
      </c>
      <c r="F49" s="1">
        <f>DATE(2024,7,27)</f>
        <v>45500</v>
      </c>
      <c r="G49" s="1">
        <f t="shared" si="0"/>
        <v>45489</v>
      </c>
      <c r="H49">
        <f t="shared" si="1"/>
        <v>48</v>
      </c>
    </row>
    <row r="50" spans="1:8" x14ac:dyDescent="0.25">
      <c r="A50" t="s">
        <v>61</v>
      </c>
      <c r="B50">
        <v>5</v>
      </c>
      <c r="C50">
        <v>45</v>
      </c>
      <c r="D50">
        <v>50</v>
      </c>
      <c r="E50" t="s">
        <v>45</v>
      </c>
      <c r="F50" s="1">
        <f>DATE(2024,8,8)</f>
        <v>45512</v>
      </c>
      <c r="G50" s="1">
        <f t="shared" si="0"/>
        <v>45489</v>
      </c>
      <c r="H50">
        <f t="shared" si="1"/>
        <v>49</v>
      </c>
    </row>
    <row r="51" spans="1:8" x14ac:dyDescent="0.25">
      <c r="A51" t="s">
        <v>62</v>
      </c>
      <c r="B51">
        <v>1</v>
      </c>
      <c r="C51">
        <f>170/6</f>
        <v>28.333333333333332</v>
      </c>
      <c r="D51">
        <v>35</v>
      </c>
      <c r="E51" t="s">
        <v>45</v>
      </c>
      <c r="F51" s="1">
        <f>DATE(2024,12,19)</f>
        <v>45645</v>
      </c>
      <c r="G51" s="1">
        <f t="shared" si="0"/>
        <v>45489</v>
      </c>
      <c r="H51">
        <f t="shared" si="1"/>
        <v>50</v>
      </c>
    </row>
    <row r="52" spans="1:8" x14ac:dyDescent="0.25">
      <c r="A52" t="s">
        <v>63</v>
      </c>
      <c r="B52">
        <v>1</v>
      </c>
      <c r="C52">
        <v>50</v>
      </c>
      <c r="D52">
        <v>60</v>
      </c>
      <c r="E52" t="s">
        <v>45</v>
      </c>
      <c r="F52" s="1">
        <f>DATE(2024,10,18)</f>
        <v>45583</v>
      </c>
      <c r="G52" s="1">
        <f t="shared" si="0"/>
        <v>45489</v>
      </c>
      <c r="H52">
        <f t="shared" si="1"/>
        <v>51</v>
      </c>
    </row>
    <row r="53" spans="1:8" x14ac:dyDescent="0.25">
      <c r="A53" t="s">
        <v>64</v>
      </c>
      <c r="B53">
        <v>12</v>
      </c>
      <c r="C53">
        <f>50/12</f>
        <v>4.166666666666667</v>
      </c>
      <c r="D53">
        <v>5</v>
      </c>
      <c r="E53" t="s">
        <v>45</v>
      </c>
      <c r="G53" s="1"/>
      <c r="H53">
        <f t="shared" si="1"/>
        <v>52</v>
      </c>
    </row>
    <row r="54" spans="1:8" x14ac:dyDescent="0.25">
      <c r="A54" t="s">
        <v>65</v>
      </c>
      <c r="B54">
        <v>10</v>
      </c>
      <c r="C54">
        <f>50/6</f>
        <v>8.3333333333333339</v>
      </c>
      <c r="D54">
        <v>10</v>
      </c>
      <c r="E54" t="s">
        <v>45</v>
      </c>
      <c r="F54" s="1">
        <f>DATE(2024,7,18)</f>
        <v>45491</v>
      </c>
      <c r="G54" s="1">
        <f t="shared" si="0"/>
        <v>45489</v>
      </c>
      <c r="H54">
        <f t="shared" si="1"/>
        <v>53</v>
      </c>
    </row>
    <row r="55" spans="1:8" x14ac:dyDescent="0.25">
      <c r="A55" t="s">
        <v>66</v>
      </c>
      <c r="B55">
        <v>1</v>
      </c>
      <c r="C55">
        <f>50/6</f>
        <v>8.3333333333333339</v>
      </c>
      <c r="D55">
        <v>10</v>
      </c>
      <c r="E55" t="s">
        <v>45</v>
      </c>
      <c r="G55" s="1"/>
      <c r="H55">
        <f t="shared" si="1"/>
        <v>54</v>
      </c>
    </row>
    <row r="56" spans="1:8" x14ac:dyDescent="0.25">
      <c r="A56" t="s">
        <v>67</v>
      </c>
      <c r="C56">
        <f>250/50</f>
        <v>5</v>
      </c>
      <c r="D56">
        <v>10</v>
      </c>
      <c r="E56" t="s">
        <v>68</v>
      </c>
      <c r="G56" s="1"/>
      <c r="H56">
        <f t="shared" si="1"/>
        <v>55</v>
      </c>
    </row>
    <row r="57" spans="1:8" x14ac:dyDescent="0.25">
      <c r="A57" t="s">
        <v>69</v>
      </c>
      <c r="C57">
        <v>5</v>
      </c>
      <c r="D57">
        <v>10</v>
      </c>
      <c r="E57" t="s">
        <v>68</v>
      </c>
      <c r="G57" s="1"/>
      <c r="H57">
        <f t="shared" si="1"/>
        <v>56</v>
      </c>
    </row>
    <row r="58" spans="1:8" x14ac:dyDescent="0.25">
      <c r="A58" t="s">
        <v>70</v>
      </c>
      <c r="C58">
        <f>120/100</f>
        <v>1.2</v>
      </c>
      <c r="D58">
        <f>5/2</f>
        <v>2.5</v>
      </c>
      <c r="E58" t="s">
        <v>68</v>
      </c>
      <c r="G58" s="1"/>
      <c r="H58">
        <f t="shared" si="1"/>
        <v>57</v>
      </c>
    </row>
    <row r="59" spans="1:8" x14ac:dyDescent="0.25">
      <c r="A59" t="s">
        <v>71</v>
      </c>
      <c r="C59">
        <f>120/100</f>
        <v>1.2</v>
      </c>
      <c r="D59">
        <f>5/2</f>
        <v>2.5</v>
      </c>
      <c r="E59" t="s">
        <v>68</v>
      </c>
      <c r="G59" s="1"/>
      <c r="H59">
        <f t="shared" si="1"/>
        <v>58</v>
      </c>
    </row>
    <row r="60" spans="1:8" x14ac:dyDescent="0.25">
      <c r="A60" t="s">
        <v>72</v>
      </c>
      <c r="C60">
        <f>120/50</f>
        <v>2.4</v>
      </c>
      <c r="D60">
        <v>5</v>
      </c>
      <c r="E60" t="s">
        <v>68</v>
      </c>
      <c r="G60" s="1"/>
      <c r="H60">
        <f t="shared" si="1"/>
        <v>59</v>
      </c>
    </row>
    <row r="61" spans="1:8" x14ac:dyDescent="0.25">
      <c r="A61" t="s">
        <v>73</v>
      </c>
      <c r="C61">
        <f>300/50</f>
        <v>6</v>
      </c>
      <c r="D61">
        <v>10</v>
      </c>
      <c r="E61" t="s">
        <v>68</v>
      </c>
      <c r="G61" s="1"/>
      <c r="H61">
        <f t="shared" si="1"/>
        <v>60</v>
      </c>
    </row>
    <row r="62" spans="1:8" x14ac:dyDescent="0.25">
      <c r="A62" t="s">
        <v>74</v>
      </c>
      <c r="C62">
        <f>200/50</f>
        <v>4</v>
      </c>
      <c r="D62">
        <v>5</v>
      </c>
      <c r="E62" t="s">
        <v>68</v>
      </c>
      <c r="G62" s="1"/>
      <c r="H62">
        <f t="shared" si="1"/>
        <v>61</v>
      </c>
    </row>
    <row r="63" spans="1:8" x14ac:dyDescent="0.25">
      <c r="A63" t="s">
        <v>75</v>
      </c>
      <c r="C63">
        <f>90/50</f>
        <v>1.8</v>
      </c>
      <c r="D63">
        <f>5/2</f>
        <v>2.5</v>
      </c>
      <c r="E63" t="s">
        <v>68</v>
      </c>
      <c r="G63" s="1"/>
      <c r="H63">
        <f t="shared" si="1"/>
        <v>62</v>
      </c>
    </row>
    <row r="64" spans="1:8" x14ac:dyDescent="0.25">
      <c r="A64" t="s">
        <v>76</v>
      </c>
      <c r="C64">
        <f>450/30</f>
        <v>15</v>
      </c>
      <c r="D64">
        <v>20</v>
      </c>
      <c r="E64" t="s">
        <v>68</v>
      </c>
      <c r="G64" s="1"/>
      <c r="H64">
        <f t="shared" si="1"/>
        <v>63</v>
      </c>
    </row>
    <row r="65" spans="1:8" x14ac:dyDescent="0.25">
      <c r="A65" t="s">
        <v>77</v>
      </c>
      <c r="C65">
        <f>150/100</f>
        <v>1.5</v>
      </c>
      <c r="D65">
        <v>5</v>
      </c>
      <c r="E65" t="s">
        <v>68</v>
      </c>
      <c r="G65" s="1"/>
      <c r="H65">
        <f t="shared" si="1"/>
        <v>64</v>
      </c>
    </row>
    <row r="66" spans="1:8" x14ac:dyDescent="0.25">
      <c r="A66" t="s">
        <v>78</v>
      </c>
      <c r="B66">
        <v>500</v>
      </c>
      <c r="C66">
        <f>350/500</f>
        <v>0.7</v>
      </c>
      <c r="D66">
        <v>1</v>
      </c>
      <c r="E66" t="s">
        <v>68</v>
      </c>
      <c r="G66" s="1"/>
      <c r="H66">
        <f t="shared" si="1"/>
        <v>65</v>
      </c>
    </row>
    <row r="67" spans="1:8" x14ac:dyDescent="0.25">
      <c r="A67" t="s">
        <v>79</v>
      </c>
      <c r="C67">
        <f>350/100</f>
        <v>3.5</v>
      </c>
      <c r="D67">
        <v>5</v>
      </c>
      <c r="E67" t="s">
        <v>68</v>
      </c>
      <c r="G67" s="1"/>
      <c r="H67">
        <f t="shared" si="1"/>
        <v>66</v>
      </c>
    </row>
    <row r="68" spans="1:8" x14ac:dyDescent="0.25">
      <c r="A68" t="s">
        <v>80</v>
      </c>
      <c r="B68">
        <v>30</v>
      </c>
      <c r="C68">
        <f>450/30</f>
        <v>15</v>
      </c>
      <c r="D68">
        <v>20</v>
      </c>
      <c r="E68" t="s">
        <v>68</v>
      </c>
      <c r="G68" s="1"/>
      <c r="H68">
        <f t="shared" si="1"/>
        <v>67</v>
      </c>
    </row>
    <row r="69" spans="1:8" x14ac:dyDescent="0.25">
      <c r="A69" t="s">
        <v>81</v>
      </c>
      <c r="B69">
        <v>18</v>
      </c>
      <c r="C69">
        <f>3780/50</f>
        <v>75.599999999999994</v>
      </c>
      <c r="D69">
        <v>85</v>
      </c>
      <c r="E69" t="s">
        <v>82</v>
      </c>
      <c r="F69" s="1">
        <f>DATE(2025,2,25)</f>
        <v>45713</v>
      </c>
      <c r="G69" s="1">
        <f t="shared" ref="G69:G92" si="2">DATE(2024,7,16)</f>
        <v>45489</v>
      </c>
      <c r="H69">
        <f t="shared" ref="H69:H132" si="3">H68+1</f>
        <v>68</v>
      </c>
    </row>
    <row r="70" spans="1:8" x14ac:dyDescent="0.25">
      <c r="A70" t="s">
        <v>83</v>
      </c>
      <c r="B70">
        <v>4</v>
      </c>
      <c r="C70">
        <f>760/20</f>
        <v>38</v>
      </c>
      <c r="D70">
        <v>50</v>
      </c>
      <c r="E70" t="s">
        <v>82</v>
      </c>
      <c r="F70" s="1">
        <f>DATE(2025,4,19)</f>
        <v>45766</v>
      </c>
      <c r="G70" s="1">
        <f t="shared" si="2"/>
        <v>45489</v>
      </c>
      <c r="H70">
        <f t="shared" si="3"/>
        <v>69</v>
      </c>
    </row>
    <row r="71" spans="1:8" x14ac:dyDescent="0.25">
      <c r="A71" t="s">
        <v>84</v>
      </c>
      <c r="B71">
        <v>7</v>
      </c>
      <c r="C71">
        <f>750/20</f>
        <v>37.5</v>
      </c>
      <c r="D71">
        <v>50</v>
      </c>
      <c r="E71" t="s">
        <v>82</v>
      </c>
      <c r="F71" s="1">
        <f>DATE(2025,6,10)</f>
        <v>45818</v>
      </c>
      <c r="G71" s="1">
        <f t="shared" si="2"/>
        <v>45489</v>
      </c>
      <c r="H71">
        <f t="shared" si="3"/>
        <v>70</v>
      </c>
    </row>
    <row r="72" spans="1:8" x14ac:dyDescent="0.25">
      <c r="A72" t="s">
        <v>85</v>
      </c>
      <c r="B72">
        <v>9</v>
      </c>
      <c r="C72">
        <f>450/12</f>
        <v>37.5</v>
      </c>
      <c r="D72">
        <v>50</v>
      </c>
      <c r="E72" t="s">
        <v>82</v>
      </c>
      <c r="F72" s="1">
        <f>DATE(2025,12,4)</f>
        <v>45995</v>
      </c>
      <c r="G72" s="1">
        <f t="shared" si="2"/>
        <v>45489</v>
      </c>
      <c r="H72">
        <f t="shared" si="3"/>
        <v>71</v>
      </c>
    </row>
    <row r="73" spans="1:8" x14ac:dyDescent="0.25">
      <c r="A73" t="s">
        <v>86</v>
      </c>
      <c r="B73">
        <v>16</v>
      </c>
      <c r="C73">
        <f>2800/20</f>
        <v>140</v>
      </c>
      <c r="D73">
        <v>180</v>
      </c>
      <c r="E73" t="s">
        <v>87</v>
      </c>
      <c r="F73" s="1">
        <f>DATE(2027,1,1)</f>
        <v>46388</v>
      </c>
      <c r="G73" s="1">
        <f t="shared" si="2"/>
        <v>45489</v>
      </c>
      <c r="H73">
        <f t="shared" si="3"/>
        <v>72</v>
      </c>
    </row>
    <row r="74" spans="1:8" x14ac:dyDescent="0.25">
      <c r="A74" t="s">
        <v>88</v>
      </c>
      <c r="B74">
        <v>25</v>
      </c>
      <c r="C74">
        <f>275/50</f>
        <v>5.5</v>
      </c>
      <c r="D74">
        <v>15</v>
      </c>
      <c r="E74" t="s">
        <v>87</v>
      </c>
      <c r="F74" s="1">
        <f>DATE(2026,12,1)</f>
        <v>46357</v>
      </c>
      <c r="G74" s="1">
        <f t="shared" si="2"/>
        <v>45489</v>
      </c>
      <c r="H74">
        <f t="shared" si="3"/>
        <v>73</v>
      </c>
    </row>
    <row r="75" spans="1:8" x14ac:dyDescent="0.25">
      <c r="A75" t="s">
        <v>89</v>
      </c>
      <c r="B75">
        <v>36</v>
      </c>
      <c r="C75">
        <f>700/50</f>
        <v>14</v>
      </c>
      <c r="D75">
        <v>25</v>
      </c>
      <c r="E75" t="s">
        <v>87</v>
      </c>
      <c r="F75" s="1">
        <f>DATE(2027,1,1)</f>
        <v>46388</v>
      </c>
      <c r="G75" s="1">
        <f t="shared" si="2"/>
        <v>45489</v>
      </c>
      <c r="H75">
        <f t="shared" si="3"/>
        <v>74</v>
      </c>
    </row>
    <row r="76" spans="1:8" x14ac:dyDescent="0.25">
      <c r="A76" t="s">
        <v>90</v>
      </c>
      <c r="B76">
        <v>19</v>
      </c>
      <c r="C76">
        <f>700/20</f>
        <v>35</v>
      </c>
      <c r="D76">
        <v>50</v>
      </c>
      <c r="E76" t="s">
        <v>87</v>
      </c>
      <c r="F76" s="1">
        <f>DATE(2026,12,1)</f>
        <v>46357</v>
      </c>
      <c r="G76" s="1">
        <f t="shared" si="2"/>
        <v>45489</v>
      </c>
      <c r="H76">
        <f t="shared" si="3"/>
        <v>75</v>
      </c>
    </row>
    <row r="77" spans="1:8" x14ac:dyDescent="0.25">
      <c r="A77" t="s">
        <v>91</v>
      </c>
      <c r="B77">
        <v>3</v>
      </c>
      <c r="C77">
        <v>120</v>
      </c>
      <c r="D77">
        <v>140</v>
      </c>
      <c r="E77" t="s">
        <v>87</v>
      </c>
      <c r="F77" s="1">
        <f>DATE(2025,4,29)</f>
        <v>45776</v>
      </c>
      <c r="G77" s="1">
        <f t="shared" si="2"/>
        <v>45489</v>
      </c>
      <c r="H77">
        <f t="shared" si="3"/>
        <v>76</v>
      </c>
    </row>
    <row r="78" spans="1:8" x14ac:dyDescent="0.25">
      <c r="A78" t="s">
        <v>92</v>
      </c>
      <c r="B78">
        <v>2</v>
      </c>
      <c r="C78">
        <f>250/20</f>
        <v>12.5</v>
      </c>
      <c r="D78">
        <v>30</v>
      </c>
      <c r="E78" t="s">
        <v>87</v>
      </c>
      <c r="F78" s="1">
        <f>DATE(2025,5,6)</f>
        <v>45783</v>
      </c>
      <c r="G78" s="1">
        <f t="shared" si="2"/>
        <v>45489</v>
      </c>
      <c r="H78">
        <f t="shared" si="3"/>
        <v>77</v>
      </c>
    </row>
    <row r="79" spans="1:8" x14ac:dyDescent="0.25">
      <c r="A79" t="s">
        <v>93</v>
      </c>
      <c r="B79">
        <v>2</v>
      </c>
      <c r="C79">
        <v>50</v>
      </c>
      <c r="D79">
        <v>70</v>
      </c>
      <c r="E79" t="s">
        <v>87</v>
      </c>
      <c r="F79" s="1">
        <f>DATE(2026,3,26)</f>
        <v>46107</v>
      </c>
      <c r="G79" s="1">
        <f t="shared" si="2"/>
        <v>45489</v>
      </c>
      <c r="H79">
        <f t="shared" si="3"/>
        <v>78</v>
      </c>
    </row>
    <row r="80" spans="1:8" x14ac:dyDescent="0.25">
      <c r="A80" t="s">
        <v>94</v>
      </c>
      <c r="B80">
        <v>1</v>
      </c>
      <c r="C80">
        <v>140</v>
      </c>
      <c r="D80">
        <v>190</v>
      </c>
      <c r="E80" t="s">
        <v>87</v>
      </c>
      <c r="F80" s="1">
        <f>DATE(2024,10,17)</f>
        <v>45582</v>
      </c>
      <c r="G80" s="1">
        <f t="shared" si="2"/>
        <v>45489</v>
      </c>
      <c r="H80">
        <f t="shared" si="3"/>
        <v>79</v>
      </c>
    </row>
    <row r="81" spans="1:8" x14ac:dyDescent="0.25">
      <c r="A81" t="s">
        <v>95</v>
      </c>
      <c r="B81">
        <v>150</v>
      </c>
      <c r="C81">
        <f>430/30</f>
        <v>14.333333333333334</v>
      </c>
      <c r="D81">
        <v>20</v>
      </c>
      <c r="E81" t="s">
        <v>96</v>
      </c>
      <c r="G81" s="1"/>
      <c r="H81">
        <f t="shared" si="3"/>
        <v>80</v>
      </c>
    </row>
    <row r="82" spans="1:8" x14ac:dyDescent="0.25">
      <c r="A82" t="s">
        <v>97</v>
      </c>
      <c r="B82">
        <v>3</v>
      </c>
      <c r="C82">
        <f>350/20</f>
        <v>17.5</v>
      </c>
      <c r="D82">
        <v>25</v>
      </c>
      <c r="E82" t="s">
        <v>98</v>
      </c>
      <c r="G82" s="1"/>
      <c r="H82">
        <f t="shared" si="3"/>
        <v>81</v>
      </c>
    </row>
    <row r="83" spans="1:8" x14ac:dyDescent="0.25">
      <c r="A83" t="s">
        <v>99</v>
      </c>
      <c r="B83">
        <v>2</v>
      </c>
      <c r="C83">
        <f>260/20</f>
        <v>13</v>
      </c>
      <c r="D83">
        <v>20</v>
      </c>
      <c r="E83" t="s">
        <v>98</v>
      </c>
      <c r="G83" s="1"/>
      <c r="H83">
        <f t="shared" si="3"/>
        <v>82</v>
      </c>
    </row>
    <row r="84" spans="1:8" x14ac:dyDescent="0.25">
      <c r="A84" t="s">
        <v>100</v>
      </c>
      <c r="B84">
        <v>1</v>
      </c>
      <c r="C84">
        <f>170/20</f>
        <v>8.5</v>
      </c>
      <c r="D84">
        <v>15</v>
      </c>
      <c r="E84" t="s">
        <v>98</v>
      </c>
      <c r="G84" s="1"/>
      <c r="H84">
        <f t="shared" si="3"/>
        <v>83</v>
      </c>
    </row>
    <row r="85" spans="1:8" x14ac:dyDescent="0.25">
      <c r="A85" t="s">
        <v>101</v>
      </c>
      <c r="B85">
        <v>4</v>
      </c>
      <c r="C85">
        <f>280/12</f>
        <v>23.333333333333332</v>
      </c>
      <c r="D85">
        <v>30</v>
      </c>
      <c r="E85" t="s">
        <v>102</v>
      </c>
      <c r="G85" s="1"/>
      <c r="H85">
        <f t="shared" si="3"/>
        <v>84</v>
      </c>
    </row>
    <row r="86" spans="1:8" x14ac:dyDescent="0.25">
      <c r="A86" t="s">
        <v>103</v>
      </c>
      <c r="C86">
        <f>300/12</f>
        <v>25</v>
      </c>
      <c r="D86">
        <v>40</v>
      </c>
      <c r="E86" t="s">
        <v>102</v>
      </c>
      <c r="G86" s="1"/>
      <c r="H86">
        <f t="shared" si="3"/>
        <v>85</v>
      </c>
    </row>
    <row r="87" spans="1:8" x14ac:dyDescent="0.25">
      <c r="A87" t="s">
        <v>104</v>
      </c>
      <c r="B87">
        <v>8</v>
      </c>
      <c r="C87">
        <f>2100/12</f>
        <v>175</v>
      </c>
      <c r="D87">
        <v>220</v>
      </c>
      <c r="E87" t="s">
        <v>82</v>
      </c>
      <c r="F87" s="1">
        <f>DATE(2024,11,12)</f>
        <v>45608</v>
      </c>
      <c r="G87" s="1">
        <f t="shared" si="2"/>
        <v>45489</v>
      </c>
      <c r="H87">
        <f t="shared" si="3"/>
        <v>86</v>
      </c>
    </row>
    <row r="88" spans="1:8" x14ac:dyDescent="0.25">
      <c r="A88" t="s">
        <v>105</v>
      </c>
      <c r="B88">
        <v>3</v>
      </c>
      <c r="C88">
        <f>2100/24</f>
        <v>87.5</v>
      </c>
      <c r="D88">
        <v>120</v>
      </c>
      <c r="E88" t="s">
        <v>82</v>
      </c>
      <c r="F88" s="1">
        <f>DATE(2024,11,29)</f>
        <v>45625</v>
      </c>
      <c r="G88" s="1">
        <f t="shared" si="2"/>
        <v>45489</v>
      </c>
      <c r="H88">
        <f t="shared" si="3"/>
        <v>87</v>
      </c>
    </row>
    <row r="89" spans="1:8" x14ac:dyDescent="0.25">
      <c r="A89" t="s">
        <v>106</v>
      </c>
      <c r="B89">
        <v>7</v>
      </c>
      <c r="C89">
        <f>735/12</f>
        <v>61.25</v>
      </c>
      <c r="D89">
        <v>90</v>
      </c>
      <c r="E89" t="s">
        <v>82</v>
      </c>
      <c r="F89" s="1">
        <f>DATE(2024,9,16)</f>
        <v>45551</v>
      </c>
      <c r="G89" s="1">
        <f t="shared" si="2"/>
        <v>45489</v>
      </c>
      <c r="H89">
        <f t="shared" si="3"/>
        <v>88</v>
      </c>
    </row>
    <row r="90" spans="1:8" x14ac:dyDescent="0.25">
      <c r="A90" t="s">
        <v>107</v>
      </c>
      <c r="B90">
        <v>5</v>
      </c>
      <c r="C90">
        <f>1480/12</f>
        <v>123.33333333333333</v>
      </c>
      <c r="D90">
        <v>160</v>
      </c>
      <c r="E90" t="s">
        <v>82</v>
      </c>
      <c r="F90" s="1">
        <f>DATE(2024,10,21)</f>
        <v>45586</v>
      </c>
      <c r="G90" s="1">
        <f t="shared" si="2"/>
        <v>45489</v>
      </c>
      <c r="H90">
        <f t="shared" si="3"/>
        <v>89</v>
      </c>
    </row>
    <row r="91" spans="1:8" x14ac:dyDescent="0.25">
      <c r="A91" t="s">
        <v>108</v>
      </c>
      <c r="B91">
        <v>10</v>
      </c>
      <c r="C91">
        <f>320/12</f>
        <v>26.666666666666668</v>
      </c>
      <c r="D91">
        <v>40</v>
      </c>
      <c r="E91" t="s">
        <v>82</v>
      </c>
      <c r="F91" s="1">
        <f>DATE(2024,4,26)</f>
        <v>45408</v>
      </c>
      <c r="G91" s="1">
        <f t="shared" si="2"/>
        <v>45489</v>
      </c>
      <c r="H91">
        <f t="shared" si="3"/>
        <v>90</v>
      </c>
    </row>
    <row r="92" spans="1:8" x14ac:dyDescent="0.25">
      <c r="A92" t="s">
        <v>109</v>
      </c>
      <c r="B92">
        <v>1</v>
      </c>
      <c r="C92">
        <v>290</v>
      </c>
      <c r="D92">
        <v>350</v>
      </c>
      <c r="E92" t="s">
        <v>110</v>
      </c>
      <c r="F92" s="1">
        <f>DATE(2026,5,30)</f>
        <v>46172</v>
      </c>
      <c r="G92" s="1">
        <f t="shared" si="2"/>
        <v>45489</v>
      </c>
      <c r="H92">
        <f t="shared" si="3"/>
        <v>91</v>
      </c>
    </row>
    <row r="93" spans="1:8" x14ac:dyDescent="0.25">
      <c r="A93" t="s">
        <v>111</v>
      </c>
      <c r="B93">
        <v>15</v>
      </c>
      <c r="C93">
        <v>43</v>
      </c>
      <c r="D93">
        <v>50</v>
      </c>
      <c r="E93" t="s">
        <v>112</v>
      </c>
      <c r="H93">
        <f t="shared" si="3"/>
        <v>92</v>
      </c>
    </row>
    <row r="94" spans="1:8" x14ac:dyDescent="0.25">
      <c r="A94" t="s">
        <v>113</v>
      </c>
      <c r="B94">
        <v>13</v>
      </c>
      <c r="C94">
        <v>35</v>
      </c>
      <c r="D94">
        <v>45</v>
      </c>
      <c r="E94" t="s">
        <v>112</v>
      </c>
      <c r="H94">
        <f t="shared" si="3"/>
        <v>93</v>
      </c>
    </row>
    <row r="95" spans="1:8" x14ac:dyDescent="0.25">
      <c r="A95" t="s">
        <v>114</v>
      </c>
      <c r="B95">
        <v>9</v>
      </c>
      <c r="C95">
        <f>640/48</f>
        <v>13.333333333333334</v>
      </c>
      <c r="D95">
        <v>30</v>
      </c>
      <c r="E95" t="s">
        <v>112</v>
      </c>
      <c r="H95">
        <f t="shared" si="3"/>
        <v>94</v>
      </c>
    </row>
    <row r="96" spans="1:8" x14ac:dyDescent="0.25">
      <c r="A96" t="s">
        <v>115</v>
      </c>
      <c r="B96">
        <v>6</v>
      </c>
      <c r="C96">
        <v>79</v>
      </c>
      <c r="D96">
        <v>100</v>
      </c>
      <c r="E96" t="s">
        <v>112</v>
      </c>
      <c r="H96">
        <f t="shared" si="3"/>
        <v>95</v>
      </c>
    </row>
    <row r="97" spans="1:8" x14ac:dyDescent="0.25">
      <c r="A97" t="s">
        <v>116</v>
      </c>
      <c r="B97">
        <v>4</v>
      </c>
      <c r="C97">
        <v>66</v>
      </c>
      <c r="D97">
        <v>85</v>
      </c>
      <c r="E97" t="s">
        <v>112</v>
      </c>
      <c r="H97">
        <f t="shared" si="3"/>
        <v>96</v>
      </c>
    </row>
    <row r="98" spans="1:8" x14ac:dyDescent="0.25">
      <c r="A98" t="s">
        <v>117</v>
      </c>
      <c r="B98">
        <v>1</v>
      </c>
      <c r="C98">
        <f>340/6</f>
        <v>56.666666666666664</v>
      </c>
      <c r="D98">
        <v>70</v>
      </c>
      <c r="E98" t="s">
        <v>112</v>
      </c>
      <c r="H98">
        <f t="shared" si="3"/>
        <v>97</v>
      </c>
    </row>
    <row r="99" spans="1:8" x14ac:dyDescent="0.25">
      <c r="A99" t="s">
        <v>118</v>
      </c>
      <c r="B99">
        <v>10</v>
      </c>
      <c r="C99">
        <f>435/12</f>
        <v>36.25</v>
      </c>
      <c r="D99">
        <v>50</v>
      </c>
      <c r="E99" t="s">
        <v>112</v>
      </c>
      <c r="H99">
        <f t="shared" si="3"/>
        <v>98</v>
      </c>
    </row>
    <row r="100" spans="1:8" x14ac:dyDescent="0.25">
      <c r="A100" t="s">
        <v>119</v>
      </c>
      <c r="B100">
        <v>6</v>
      </c>
      <c r="C100">
        <f>750/12</f>
        <v>62.5</v>
      </c>
      <c r="D100">
        <v>80</v>
      </c>
      <c r="E100" t="s">
        <v>112</v>
      </c>
      <c r="H100">
        <f t="shared" si="3"/>
        <v>99</v>
      </c>
    </row>
    <row r="101" spans="1:8" x14ac:dyDescent="0.25">
      <c r="A101" t="s">
        <v>120</v>
      </c>
      <c r="C101">
        <f>1600/12</f>
        <v>133.33333333333334</v>
      </c>
      <c r="D101">
        <v>160</v>
      </c>
      <c r="E101" t="s">
        <v>112</v>
      </c>
      <c r="H101">
        <f t="shared" si="3"/>
        <v>100</v>
      </c>
    </row>
    <row r="102" spans="1:8" x14ac:dyDescent="0.25">
      <c r="A102" t="s">
        <v>121</v>
      </c>
      <c r="B102">
        <v>5</v>
      </c>
      <c r="C102">
        <f>360/12</f>
        <v>30</v>
      </c>
      <c r="D102">
        <v>80</v>
      </c>
      <c r="E102" t="s">
        <v>112</v>
      </c>
      <c r="H102">
        <f t="shared" si="3"/>
        <v>101</v>
      </c>
    </row>
    <row r="103" spans="1:8" x14ac:dyDescent="0.25">
      <c r="A103" t="s">
        <v>122</v>
      </c>
      <c r="B103">
        <v>8</v>
      </c>
      <c r="C103">
        <f>450/12</f>
        <v>37.5</v>
      </c>
      <c r="D103">
        <v>50</v>
      </c>
      <c r="E103" t="s">
        <v>112</v>
      </c>
      <c r="H103">
        <f t="shared" si="3"/>
        <v>102</v>
      </c>
    </row>
    <row r="104" spans="1:8" x14ac:dyDescent="0.25">
      <c r="A104" t="s">
        <v>123</v>
      </c>
      <c r="C104">
        <f>440/12</f>
        <v>36.666666666666664</v>
      </c>
      <c r="D104">
        <v>60</v>
      </c>
      <c r="E104" t="s">
        <v>124</v>
      </c>
      <c r="H104">
        <f t="shared" si="3"/>
        <v>103</v>
      </c>
    </row>
    <row r="105" spans="1:8" x14ac:dyDescent="0.25">
      <c r="A105" t="s">
        <v>125</v>
      </c>
      <c r="C105">
        <v>175</v>
      </c>
      <c r="D105">
        <v>250</v>
      </c>
      <c r="E105" t="s">
        <v>124</v>
      </c>
      <c r="H105">
        <f t="shared" si="3"/>
        <v>104</v>
      </c>
    </row>
    <row r="106" spans="1:8" x14ac:dyDescent="0.25">
      <c r="A106" t="s">
        <v>126</v>
      </c>
      <c r="C106">
        <f>405/12</f>
        <v>33.75</v>
      </c>
      <c r="D106">
        <v>50</v>
      </c>
      <c r="E106" t="s">
        <v>124</v>
      </c>
      <c r="H106">
        <f t="shared" si="3"/>
        <v>105</v>
      </c>
    </row>
    <row r="107" spans="1:8" x14ac:dyDescent="0.25">
      <c r="A107" t="s">
        <v>127</v>
      </c>
      <c r="C107">
        <f>460/12</f>
        <v>38.333333333333336</v>
      </c>
      <c r="D107">
        <v>50</v>
      </c>
      <c r="E107" t="s">
        <v>124</v>
      </c>
      <c r="H107">
        <f t="shared" si="3"/>
        <v>106</v>
      </c>
    </row>
    <row r="108" spans="1:8" x14ac:dyDescent="0.25">
      <c r="A108" t="s">
        <v>128</v>
      </c>
      <c r="C108">
        <f>330/12</f>
        <v>27.5</v>
      </c>
      <c r="D108">
        <v>35</v>
      </c>
      <c r="E108" t="s">
        <v>124</v>
      </c>
      <c r="H108">
        <f t="shared" si="3"/>
        <v>107</v>
      </c>
    </row>
    <row r="109" spans="1:8" x14ac:dyDescent="0.25">
      <c r="A109" t="s">
        <v>129</v>
      </c>
      <c r="C109">
        <f>110/12</f>
        <v>9.1666666666666661</v>
      </c>
      <c r="D109">
        <v>15</v>
      </c>
      <c r="E109" t="s">
        <v>124</v>
      </c>
      <c r="H109">
        <f t="shared" si="3"/>
        <v>108</v>
      </c>
    </row>
    <row r="110" spans="1:8" x14ac:dyDescent="0.25">
      <c r="A110" t="s">
        <v>130</v>
      </c>
      <c r="C110">
        <f>330/12</f>
        <v>27.5</v>
      </c>
      <c r="D110">
        <v>35</v>
      </c>
      <c r="E110" t="s">
        <v>124</v>
      </c>
      <c r="H110">
        <f t="shared" si="3"/>
        <v>109</v>
      </c>
    </row>
    <row r="111" spans="1:8" x14ac:dyDescent="0.25">
      <c r="A111" t="s">
        <v>131</v>
      </c>
      <c r="C111">
        <f>110/12</f>
        <v>9.1666666666666661</v>
      </c>
      <c r="D111">
        <v>15</v>
      </c>
      <c r="E111" t="s">
        <v>124</v>
      </c>
      <c r="H111">
        <f t="shared" si="3"/>
        <v>110</v>
      </c>
    </row>
    <row r="112" spans="1:8" x14ac:dyDescent="0.25">
      <c r="A112" t="s">
        <v>132</v>
      </c>
      <c r="C112">
        <f>208/12</f>
        <v>17.333333333333332</v>
      </c>
      <c r="D112">
        <v>20</v>
      </c>
      <c r="E112" t="s">
        <v>124</v>
      </c>
      <c r="H112">
        <f t="shared" si="3"/>
        <v>111</v>
      </c>
    </row>
    <row r="113" spans="1:8" x14ac:dyDescent="0.25">
      <c r="A113" t="s">
        <v>132</v>
      </c>
      <c r="C113">
        <f>208/12</f>
        <v>17.333333333333332</v>
      </c>
      <c r="D113">
        <v>20</v>
      </c>
      <c r="E113" t="s">
        <v>124</v>
      </c>
      <c r="H113">
        <f t="shared" si="3"/>
        <v>112</v>
      </c>
    </row>
    <row r="114" spans="1:8" x14ac:dyDescent="0.25">
      <c r="A114" t="s">
        <v>133</v>
      </c>
      <c r="C114">
        <f>350/50</f>
        <v>7</v>
      </c>
      <c r="D114">
        <v>10</v>
      </c>
      <c r="E114" t="s">
        <v>134</v>
      </c>
      <c r="H114">
        <f t="shared" si="3"/>
        <v>113</v>
      </c>
    </row>
    <row r="115" spans="1:8" x14ac:dyDescent="0.25">
      <c r="A115" t="s">
        <v>135</v>
      </c>
      <c r="C115">
        <v>8</v>
      </c>
      <c r="D115">
        <v>10</v>
      </c>
      <c r="E115" t="s">
        <v>136</v>
      </c>
      <c r="G115" s="1">
        <f>DATE(2024,7,15)</f>
        <v>45488</v>
      </c>
      <c r="H115">
        <f t="shared" si="3"/>
        <v>114</v>
      </c>
    </row>
    <row r="116" spans="1:8" x14ac:dyDescent="0.25">
      <c r="A116" t="s">
        <v>137</v>
      </c>
      <c r="B116">
        <f>4*10</f>
        <v>40</v>
      </c>
      <c r="C116">
        <f>200/40</f>
        <v>5</v>
      </c>
      <c r="D116">
        <v>10</v>
      </c>
      <c r="E116" t="s">
        <v>136</v>
      </c>
      <c r="G116" s="1">
        <f>DATE(2024,7,15)</f>
        <v>45488</v>
      </c>
      <c r="H116">
        <f t="shared" si="3"/>
        <v>115</v>
      </c>
    </row>
    <row r="117" spans="1:8" x14ac:dyDescent="0.25">
      <c r="A117" t="s">
        <v>138</v>
      </c>
      <c r="C117">
        <f>4000/20</f>
        <v>200</v>
      </c>
      <c r="D117">
        <v>280</v>
      </c>
      <c r="E117" t="s">
        <v>110</v>
      </c>
      <c r="H117">
        <f t="shared" si="3"/>
        <v>116</v>
      </c>
    </row>
    <row r="118" spans="1:8" x14ac:dyDescent="0.25">
      <c r="A118" t="s">
        <v>139</v>
      </c>
      <c r="C118">
        <f>650/50</f>
        <v>13</v>
      </c>
      <c r="D118">
        <v>20</v>
      </c>
      <c r="E118" t="s">
        <v>134</v>
      </c>
      <c r="H118">
        <f t="shared" si="3"/>
        <v>117</v>
      </c>
    </row>
    <row r="119" spans="1:8" x14ac:dyDescent="0.25">
      <c r="A119" t="s">
        <v>140</v>
      </c>
      <c r="C119">
        <v>3</v>
      </c>
      <c r="D119">
        <v>5</v>
      </c>
      <c r="E119" t="s">
        <v>87</v>
      </c>
      <c r="H119">
        <f t="shared" si="3"/>
        <v>118</v>
      </c>
    </row>
    <row r="120" spans="1:8" x14ac:dyDescent="0.25">
      <c r="A120" t="s">
        <v>141</v>
      </c>
      <c r="C120">
        <f>450/60</f>
        <v>7.5</v>
      </c>
      <c r="D120">
        <v>15</v>
      </c>
      <c r="E120" t="s">
        <v>68</v>
      </c>
      <c r="H120">
        <f t="shared" si="3"/>
        <v>119</v>
      </c>
    </row>
    <row r="121" spans="1:8" x14ac:dyDescent="0.25">
      <c r="A121" t="s">
        <v>142</v>
      </c>
      <c r="B121">
        <f>3*6</f>
        <v>18</v>
      </c>
      <c r="C121">
        <f>25/3</f>
        <v>8.3333333333333339</v>
      </c>
      <c r="D121">
        <v>10</v>
      </c>
      <c r="E121" t="s">
        <v>136</v>
      </c>
      <c r="G121" s="1">
        <f>DATE(2024,7,15)</f>
        <v>45488</v>
      </c>
      <c r="H121">
        <f t="shared" si="3"/>
        <v>120</v>
      </c>
    </row>
    <row r="122" spans="1:8" x14ac:dyDescent="0.25">
      <c r="A122" t="s">
        <v>143</v>
      </c>
      <c r="B122">
        <v>5</v>
      </c>
      <c r="C122">
        <f>55</f>
        <v>55</v>
      </c>
      <c r="D122">
        <v>60</v>
      </c>
      <c r="E122" t="s">
        <v>96</v>
      </c>
      <c r="H122">
        <f t="shared" si="3"/>
        <v>121</v>
      </c>
    </row>
    <row r="123" spans="1:8" x14ac:dyDescent="0.25">
      <c r="A123" t="s">
        <v>144</v>
      </c>
      <c r="B123">
        <v>21</v>
      </c>
      <c r="C123">
        <f>510/21</f>
        <v>24.285714285714285</v>
      </c>
      <c r="D123">
        <v>35</v>
      </c>
      <c r="E123" t="s">
        <v>96</v>
      </c>
      <c r="G123" s="1">
        <f>DATE(2024,7,16)</f>
        <v>45489</v>
      </c>
      <c r="H123">
        <f t="shared" si="3"/>
        <v>122</v>
      </c>
    </row>
    <row r="124" spans="1:8" x14ac:dyDescent="0.25">
      <c r="A124" t="s">
        <v>145</v>
      </c>
      <c r="B124">
        <v>6</v>
      </c>
      <c r="C124">
        <f>50/6</f>
        <v>8.3333333333333339</v>
      </c>
      <c r="D124">
        <v>10</v>
      </c>
      <c r="E124" t="s">
        <v>45</v>
      </c>
      <c r="G124" s="1">
        <f>DATE(2024,7,15)</f>
        <v>45488</v>
      </c>
      <c r="H124">
        <f t="shared" si="3"/>
        <v>123</v>
      </c>
    </row>
    <row r="125" spans="1:8" x14ac:dyDescent="0.25">
      <c r="A125" t="s">
        <v>146</v>
      </c>
      <c r="B125">
        <v>6</v>
      </c>
      <c r="C125">
        <f>10/3</f>
        <v>3.3333333333333335</v>
      </c>
      <c r="D125">
        <v>5</v>
      </c>
      <c r="E125" t="s">
        <v>136</v>
      </c>
      <c r="G125" s="1">
        <f>DATE(2024,7,15)</f>
        <v>45488</v>
      </c>
      <c r="H125">
        <f t="shared" si="3"/>
        <v>124</v>
      </c>
    </row>
    <row r="126" spans="1:8" x14ac:dyDescent="0.25">
      <c r="A126" t="s">
        <v>147</v>
      </c>
      <c r="B126">
        <v>20</v>
      </c>
      <c r="C126">
        <f>120/40</f>
        <v>3</v>
      </c>
      <c r="D126">
        <v>5</v>
      </c>
      <c r="E126" t="s">
        <v>87</v>
      </c>
      <c r="H126">
        <f t="shared" si="3"/>
        <v>125</v>
      </c>
    </row>
    <row r="127" spans="1:8" x14ac:dyDescent="0.25">
      <c r="A127" t="s">
        <v>148</v>
      </c>
      <c r="B127">
        <v>12</v>
      </c>
      <c r="C127">
        <f>50/12</f>
        <v>4.166666666666667</v>
      </c>
      <c r="D127">
        <v>5</v>
      </c>
      <c r="E127" t="s">
        <v>149</v>
      </c>
      <c r="G127" s="1">
        <f>DATE(2024,7,15)</f>
        <v>45488</v>
      </c>
      <c r="H127">
        <f t="shared" si="3"/>
        <v>126</v>
      </c>
    </row>
    <row r="128" spans="1:8" x14ac:dyDescent="0.25">
      <c r="A128" t="s">
        <v>145</v>
      </c>
      <c r="B128">
        <v>6</v>
      </c>
      <c r="C128">
        <f>50/6</f>
        <v>8.3333333333333339</v>
      </c>
      <c r="D128">
        <v>10</v>
      </c>
      <c r="E128" t="s">
        <v>149</v>
      </c>
      <c r="G128" s="1">
        <f>DATE(2024,7,15)</f>
        <v>45488</v>
      </c>
      <c r="H128">
        <f t="shared" si="3"/>
        <v>127</v>
      </c>
    </row>
    <row r="129" spans="1:8" x14ac:dyDescent="0.25">
      <c r="A129" t="s">
        <v>150</v>
      </c>
      <c r="C129">
        <v>3</v>
      </c>
      <c r="D129">
        <v>10</v>
      </c>
      <c r="E129" t="s">
        <v>151</v>
      </c>
      <c r="G129" s="1">
        <v>45491</v>
      </c>
      <c r="H129">
        <f t="shared" si="3"/>
        <v>128</v>
      </c>
    </row>
    <row r="130" spans="1:8" x14ac:dyDescent="0.25">
      <c r="A130" t="s">
        <v>152</v>
      </c>
      <c r="C130">
        <v>5</v>
      </c>
      <c r="D130">
        <v>20</v>
      </c>
      <c r="E130" t="s">
        <v>151</v>
      </c>
      <c r="G130" s="1">
        <v>45491</v>
      </c>
      <c r="H130">
        <f t="shared" si="3"/>
        <v>129</v>
      </c>
    </row>
    <row r="131" spans="1:8" x14ac:dyDescent="0.25">
      <c r="A131" t="s">
        <v>153</v>
      </c>
      <c r="C131">
        <f>280/10</f>
        <v>28</v>
      </c>
      <c r="D131">
        <v>50</v>
      </c>
      <c r="E131" t="s">
        <v>102</v>
      </c>
      <c r="G131" s="1">
        <v>45491</v>
      </c>
      <c r="H131">
        <f t="shared" si="3"/>
        <v>130</v>
      </c>
    </row>
    <row r="132" spans="1:8" x14ac:dyDescent="0.25">
      <c r="A132" t="s">
        <v>154</v>
      </c>
      <c r="B132">
        <v>6</v>
      </c>
      <c r="C132">
        <v>60</v>
      </c>
      <c r="D132">
        <v>65</v>
      </c>
      <c r="E132" t="s">
        <v>40</v>
      </c>
      <c r="G132" s="1">
        <v>45488</v>
      </c>
      <c r="H132">
        <f t="shared" si="3"/>
        <v>131</v>
      </c>
    </row>
    <row r="133" spans="1:8" x14ac:dyDescent="0.25">
      <c r="A133" t="s">
        <v>155</v>
      </c>
      <c r="B133">
        <v>24</v>
      </c>
      <c r="C133">
        <f>90/12</f>
        <v>7.5</v>
      </c>
      <c r="D133">
        <v>10</v>
      </c>
      <c r="E133" t="s">
        <v>156</v>
      </c>
      <c r="G133" s="1">
        <v>45489</v>
      </c>
      <c r="H133">
        <f t="shared" ref="H133:H196" si="4">H132+1</f>
        <v>132</v>
      </c>
    </row>
    <row r="134" spans="1:8" x14ac:dyDescent="0.25">
      <c r="A134" t="s">
        <v>157</v>
      </c>
      <c r="B134">
        <v>60</v>
      </c>
      <c r="C134">
        <f>6</f>
        <v>6</v>
      </c>
      <c r="D134">
        <v>10</v>
      </c>
      <c r="E134" t="s">
        <v>156</v>
      </c>
      <c r="G134" s="1">
        <v>45490</v>
      </c>
      <c r="H134">
        <f t="shared" si="4"/>
        <v>133</v>
      </c>
    </row>
    <row r="135" spans="1:8" x14ac:dyDescent="0.25">
      <c r="A135" t="s">
        <v>158</v>
      </c>
      <c r="C135">
        <v>18</v>
      </c>
      <c r="D135">
        <v>20</v>
      </c>
      <c r="E135" t="s">
        <v>159</v>
      </c>
      <c r="G135" s="1">
        <f t="shared" ref="G135:G143" si="5">G134</f>
        <v>45490</v>
      </c>
      <c r="H135">
        <f t="shared" si="4"/>
        <v>134</v>
      </c>
    </row>
    <row r="136" spans="1:8" x14ac:dyDescent="0.25">
      <c r="A136" t="s">
        <v>160</v>
      </c>
      <c r="C136">
        <v>9</v>
      </c>
      <c r="D136">
        <v>10</v>
      </c>
      <c r="E136" t="s">
        <v>159</v>
      </c>
      <c r="G136" s="1">
        <f t="shared" si="5"/>
        <v>45490</v>
      </c>
      <c r="H136">
        <f t="shared" si="4"/>
        <v>135</v>
      </c>
    </row>
    <row r="137" spans="1:8" x14ac:dyDescent="0.25">
      <c r="A137" t="s">
        <v>161</v>
      </c>
      <c r="C137">
        <v>47</v>
      </c>
      <c r="D137">
        <v>50</v>
      </c>
      <c r="E137" t="s">
        <v>159</v>
      </c>
      <c r="G137" s="1">
        <f t="shared" si="5"/>
        <v>45490</v>
      </c>
      <c r="H137">
        <f t="shared" si="4"/>
        <v>136</v>
      </c>
    </row>
    <row r="138" spans="1:8" x14ac:dyDescent="0.25">
      <c r="A138" t="s">
        <v>162</v>
      </c>
      <c r="C138">
        <v>18</v>
      </c>
      <c r="D138">
        <v>20</v>
      </c>
      <c r="E138" t="s">
        <v>159</v>
      </c>
      <c r="G138" s="1">
        <f t="shared" si="5"/>
        <v>45490</v>
      </c>
      <c r="H138">
        <f t="shared" si="4"/>
        <v>137</v>
      </c>
    </row>
    <row r="139" spans="1:8" x14ac:dyDescent="0.25">
      <c r="A139" t="s">
        <v>163</v>
      </c>
      <c r="C139">
        <v>9</v>
      </c>
      <c r="D139">
        <v>10</v>
      </c>
      <c r="E139" t="s">
        <v>159</v>
      </c>
      <c r="G139" s="1">
        <f t="shared" si="5"/>
        <v>45490</v>
      </c>
      <c r="H139">
        <f t="shared" si="4"/>
        <v>138</v>
      </c>
    </row>
    <row r="140" spans="1:8" x14ac:dyDescent="0.25">
      <c r="A140" t="s">
        <v>164</v>
      </c>
      <c r="C140">
        <v>47</v>
      </c>
      <c r="D140">
        <v>50</v>
      </c>
      <c r="E140" t="s">
        <v>159</v>
      </c>
      <c r="G140" s="1">
        <f t="shared" si="5"/>
        <v>45490</v>
      </c>
      <c r="H140">
        <f t="shared" si="4"/>
        <v>139</v>
      </c>
    </row>
    <row r="141" spans="1:8" x14ac:dyDescent="0.25">
      <c r="A141" t="s">
        <v>165</v>
      </c>
      <c r="C141">
        <f>1080/12</f>
        <v>90</v>
      </c>
      <c r="D141">
        <v>120</v>
      </c>
      <c r="E141" t="s">
        <v>102</v>
      </c>
      <c r="G141" s="1">
        <f t="shared" si="5"/>
        <v>45490</v>
      </c>
      <c r="H141">
        <f t="shared" si="4"/>
        <v>140</v>
      </c>
    </row>
    <row r="142" spans="1:8" x14ac:dyDescent="0.25">
      <c r="A142" t="s">
        <v>166</v>
      </c>
      <c r="C142">
        <v>120</v>
      </c>
      <c r="D142">
        <v>160</v>
      </c>
      <c r="E142" t="s">
        <v>82</v>
      </c>
      <c r="G142" s="1">
        <f t="shared" si="5"/>
        <v>45490</v>
      </c>
      <c r="H142">
        <f t="shared" si="4"/>
        <v>141</v>
      </c>
    </row>
    <row r="143" spans="1:8" x14ac:dyDescent="0.25">
      <c r="A143" t="s">
        <v>167</v>
      </c>
      <c r="C143">
        <f>100/12</f>
        <v>8.3333333333333339</v>
      </c>
      <c r="D143">
        <v>10</v>
      </c>
      <c r="E143" t="s">
        <v>87</v>
      </c>
      <c r="G143" s="1">
        <f t="shared" si="5"/>
        <v>45490</v>
      </c>
      <c r="H143">
        <f t="shared" si="4"/>
        <v>142</v>
      </c>
    </row>
    <row r="144" spans="1:8" x14ac:dyDescent="0.25">
      <c r="A144" t="s">
        <v>168</v>
      </c>
      <c r="B144">
        <v>12</v>
      </c>
      <c r="C144">
        <f>125/12</f>
        <v>10.416666666666666</v>
      </c>
      <c r="D144">
        <v>20</v>
      </c>
      <c r="E144" t="s">
        <v>32</v>
      </c>
      <c r="G144" s="1">
        <f>DATE(2024,7,16)</f>
        <v>45489</v>
      </c>
      <c r="H144">
        <f t="shared" si="4"/>
        <v>143</v>
      </c>
    </row>
    <row r="145" spans="1:8" x14ac:dyDescent="0.25">
      <c r="A145" t="s">
        <v>169</v>
      </c>
      <c r="C145">
        <f>180/30</f>
        <v>6</v>
      </c>
      <c r="D145">
        <v>10</v>
      </c>
      <c r="E145" t="s">
        <v>170</v>
      </c>
      <c r="G145" s="1">
        <f>DATE(2024,7,16)</f>
        <v>45489</v>
      </c>
      <c r="H145">
        <f t="shared" si="4"/>
        <v>144</v>
      </c>
    </row>
    <row r="146" spans="1:8" x14ac:dyDescent="0.25">
      <c r="A146" t="s">
        <v>171</v>
      </c>
      <c r="C146">
        <f>450/12</f>
        <v>37.5</v>
      </c>
      <c r="D146">
        <v>50</v>
      </c>
      <c r="E146" t="s">
        <v>172</v>
      </c>
      <c r="G146" s="1">
        <f>DATE(2024,7,16)</f>
        <v>45489</v>
      </c>
      <c r="H146">
        <f t="shared" si="4"/>
        <v>145</v>
      </c>
    </row>
    <row r="147" spans="1:8" x14ac:dyDescent="0.25">
      <c r="A147" t="s">
        <v>173</v>
      </c>
      <c r="C147">
        <v>130</v>
      </c>
      <c r="D147">
        <v>180</v>
      </c>
      <c r="E147" t="s">
        <v>87</v>
      </c>
      <c r="G147" s="1">
        <f>DATE(2024,7,16)</f>
        <v>45489</v>
      </c>
      <c r="H147">
        <f t="shared" si="4"/>
        <v>146</v>
      </c>
    </row>
    <row r="148" spans="1:8" x14ac:dyDescent="0.25">
      <c r="A148" t="s">
        <v>174</v>
      </c>
      <c r="C148">
        <v>120</v>
      </c>
      <c r="D148">
        <v>180</v>
      </c>
      <c r="E148" t="s">
        <v>136</v>
      </c>
      <c r="G148" s="1">
        <f>DATE(2024,7,16)</f>
        <v>45489</v>
      </c>
      <c r="H148">
        <f t="shared" si="4"/>
        <v>147</v>
      </c>
    </row>
    <row r="149" spans="1:8" x14ac:dyDescent="0.25">
      <c r="A149" t="s">
        <v>175</v>
      </c>
      <c r="B149">
        <v>4</v>
      </c>
      <c r="C149">
        <v>190</v>
      </c>
      <c r="D149">
        <v>250</v>
      </c>
      <c r="E149" t="s">
        <v>124</v>
      </c>
      <c r="G149" s="1">
        <f>DATE(2024,7,17)</f>
        <v>45490</v>
      </c>
      <c r="H149">
        <f t="shared" si="4"/>
        <v>148</v>
      </c>
    </row>
    <row r="150" spans="1:8" x14ac:dyDescent="0.25">
      <c r="A150" t="s">
        <v>176</v>
      </c>
      <c r="C150">
        <f>350/50</f>
        <v>7</v>
      </c>
      <c r="D150">
        <v>10</v>
      </c>
      <c r="E150" t="s">
        <v>134</v>
      </c>
      <c r="G150" s="1">
        <f>DATE(2024,7,17)</f>
        <v>45490</v>
      </c>
      <c r="H150">
        <f t="shared" si="4"/>
        <v>149</v>
      </c>
    </row>
    <row r="151" spans="1:8" x14ac:dyDescent="0.25">
      <c r="A151" t="s">
        <v>177</v>
      </c>
      <c r="C151">
        <f>280/12</f>
        <v>23.333333333333332</v>
      </c>
      <c r="D151">
        <v>30</v>
      </c>
      <c r="E151" t="s">
        <v>134</v>
      </c>
      <c r="G151" s="1">
        <f>DATE(2024,7,17)</f>
        <v>45490</v>
      </c>
      <c r="H151">
        <f t="shared" si="4"/>
        <v>150</v>
      </c>
    </row>
    <row r="152" spans="1:8" x14ac:dyDescent="0.25">
      <c r="A152" t="s">
        <v>178</v>
      </c>
      <c r="C152">
        <v>10</v>
      </c>
      <c r="D152">
        <v>15</v>
      </c>
      <c r="H152">
        <f t="shared" si="4"/>
        <v>151</v>
      </c>
    </row>
    <row r="153" spans="1:8" x14ac:dyDescent="0.25">
      <c r="A153" t="s">
        <v>179</v>
      </c>
      <c r="C153">
        <v>180</v>
      </c>
      <c r="D153">
        <v>220</v>
      </c>
      <c r="E153" t="s">
        <v>82</v>
      </c>
      <c r="H153">
        <f t="shared" si="4"/>
        <v>152</v>
      </c>
    </row>
    <row r="154" spans="1:8" x14ac:dyDescent="0.25">
      <c r="A154" t="s">
        <v>180</v>
      </c>
      <c r="B154">
        <f>100/6</f>
        <v>16.666666666666668</v>
      </c>
      <c r="C154">
        <f>500/Table6[[#This Row],[quantity]]</f>
        <v>29.999999999999996</v>
      </c>
      <c r="D154">
        <f>50</f>
        <v>50</v>
      </c>
      <c r="E154" t="s">
        <v>136</v>
      </c>
      <c r="H154">
        <f t="shared" si="4"/>
        <v>153</v>
      </c>
    </row>
    <row r="155" spans="1:8" x14ac:dyDescent="0.25">
      <c r="A155" t="s">
        <v>181</v>
      </c>
      <c r="C155">
        <f>75/8</f>
        <v>9.375</v>
      </c>
      <c r="D155">
        <v>15</v>
      </c>
      <c r="H155">
        <f t="shared" si="4"/>
        <v>154</v>
      </c>
    </row>
    <row r="156" spans="1:8" x14ac:dyDescent="0.25">
      <c r="A156" t="s">
        <v>182</v>
      </c>
      <c r="C156">
        <v>120</v>
      </c>
      <c r="D156">
        <v>150</v>
      </c>
      <c r="E156" t="s">
        <v>82</v>
      </c>
      <c r="H156">
        <f t="shared" si="4"/>
        <v>155</v>
      </c>
    </row>
    <row r="157" spans="1:8" x14ac:dyDescent="0.25">
      <c r="A157" t="s">
        <v>183</v>
      </c>
      <c r="C157">
        <v>30</v>
      </c>
      <c r="D157">
        <v>50</v>
      </c>
      <c r="E157" t="s">
        <v>102</v>
      </c>
      <c r="H157">
        <f t="shared" si="4"/>
        <v>156</v>
      </c>
    </row>
    <row r="158" spans="1:8" x14ac:dyDescent="0.25">
      <c r="A158" t="s">
        <v>184</v>
      </c>
      <c r="C158">
        <f>280/12</f>
        <v>23.333333333333332</v>
      </c>
      <c r="D158">
        <v>35</v>
      </c>
      <c r="E158" t="s">
        <v>102</v>
      </c>
      <c r="H158">
        <f t="shared" si="4"/>
        <v>157</v>
      </c>
    </row>
    <row r="159" spans="1:8" x14ac:dyDescent="0.25">
      <c r="A159" t="s">
        <v>185</v>
      </c>
      <c r="C159">
        <v>150</v>
      </c>
      <c r="D159">
        <v>250</v>
      </c>
      <c r="E159" t="s">
        <v>124</v>
      </c>
      <c r="H159">
        <f t="shared" si="4"/>
        <v>158</v>
      </c>
    </row>
    <row r="160" spans="1:8" x14ac:dyDescent="0.25">
      <c r="A160" t="s">
        <v>186</v>
      </c>
      <c r="C160">
        <v>95</v>
      </c>
      <c r="D160">
        <v>120</v>
      </c>
      <c r="E160" t="s">
        <v>102</v>
      </c>
      <c r="H160">
        <f t="shared" si="4"/>
        <v>159</v>
      </c>
    </row>
    <row r="161" spans="1:8" x14ac:dyDescent="0.25">
      <c r="A161" t="s">
        <v>187</v>
      </c>
      <c r="C161">
        <f>25/3</f>
        <v>8.3333333333333339</v>
      </c>
      <c r="D161">
        <v>20</v>
      </c>
      <c r="E161" t="s">
        <v>136</v>
      </c>
      <c r="H161">
        <f t="shared" si="4"/>
        <v>160</v>
      </c>
    </row>
    <row r="162" spans="1:8" x14ac:dyDescent="0.25">
      <c r="A162" t="s">
        <v>188</v>
      </c>
      <c r="C162">
        <f>340/144</f>
        <v>2.3611111111111112</v>
      </c>
      <c r="D162">
        <v>5</v>
      </c>
      <c r="H162">
        <f t="shared" si="4"/>
        <v>161</v>
      </c>
    </row>
    <row r="163" spans="1:8" x14ac:dyDescent="0.25">
      <c r="A163" t="s">
        <v>189</v>
      </c>
      <c r="C163">
        <f>280/12</f>
        <v>23.333333333333332</v>
      </c>
      <c r="D163">
        <v>30</v>
      </c>
      <c r="H163">
        <f t="shared" si="4"/>
        <v>162</v>
      </c>
    </row>
    <row r="164" spans="1:8" x14ac:dyDescent="0.25">
      <c r="A164" t="s">
        <v>190</v>
      </c>
      <c r="C164">
        <f>10/5</f>
        <v>2</v>
      </c>
      <c r="D164">
        <v>5</v>
      </c>
      <c r="H164">
        <f t="shared" si="4"/>
        <v>163</v>
      </c>
    </row>
    <row r="165" spans="1:8" x14ac:dyDescent="0.25">
      <c r="A165" t="s">
        <v>191</v>
      </c>
      <c r="C165">
        <f>280/50</f>
        <v>5.6</v>
      </c>
      <c r="D165">
        <v>10</v>
      </c>
      <c r="E165" t="s">
        <v>156</v>
      </c>
      <c r="H165">
        <f t="shared" si="4"/>
        <v>164</v>
      </c>
    </row>
    <row r="166" spans="1:8" x14ac:dyDescent="0.25">
      <c r="A166" t="s">
        <v>192</v>
      </c>
      <c r="C166">
        <f>550/12</f>
        <v>45.833333333333336</v>
      </c>
      <c r="D166">
        <v>60</v>
      </c>
      <c r="E166" t="s">
        <v>102</v>
      </c>
      <c r="H166">
        <f t="shared" si="4"/>
        <v>165</v>
      </c>
    </row>
    <row r="167" spans="1:8" x14ac:dyDescent="0.25">
      <c r="A167" t="s">
        <v>193</v>
      </c>
      <c r="C167">
        <f>90/12</f>
        <v>7.5</v>
      </c>
      <c r="D167">
        <v>15</v>
      </c>
      <c r="E167" t="s">
        <v>87</v>
      </c>
      <c r="H167">
        <f t="shared" si="4"/>
        <v>166</v>
      </c>
    </row>
    <row r="168" spans="1:8" x14ac:dyDescent="0.25">
      <c r="A168" t="s">
        <v>194</v>
      </c>
      <c r="C168">
        <v>20</v>
      </c>
      <c r="D168">
        <v>30</v>
      </c>
      <c r="E168" t="s">
        <v>136</v>
      </c>
      <c r="H168">
        <f t="shared" si="4"/>
        <v>167</v>
      </c>
    </row>
    <row r="169" spans="1:8" x14ac:dyDescent="0.25">
      <c r="A169" t="s">
        <v>195</v>
      </c>
      <c r="C169">
        <f>1405/12</f>
        <v>117.08333333333333</v>
      </c>
      <c r="D169">
        <v>160</v>
      </c>
      <c r="E169" t="s">
        <v>82</v>
      </c>
      <c r="H169">
        <f t="shared" si="4"/>
        <v>168</v>
      </c>
    </row>
    <row r="170" spans="1:8" x14ac:dyDescent="0.25">
      <c r="A170" t="s">
        <v>196</v>
      </c>
      <c r="C170">
        <f>180/12</f>
        <v>15</v>
      </c>
      <c r="D170">
        <v>30</v>
      </c>
      <c r="H170">
        <f t="shared" si="4"/>
        <v>169</v>
      </c>
    </row>
    <row r="171" spans="1:8" x14ac:dyDescent="0.25">
      <c r="A171" t="s">
        <v>197</v>
      </c>
      <c r="C171">
        <f>50/6</f>
        <v>8.3333333333333339</v>
      </c>
      <c r="D171">
        <v>10</v>
      </c>
      <c r="E171" t="s">
        <v>149</v>
      </c>
      <c r="H171">
        <f t="shared" si="4"/>
        <v>170</v>
      </c>
    </row>
    <row r="172" spans="1:8" x14ac:dyDescent="0.25">
      <c r="A172" t="s">
        <v>198</v>
      </c>
      <c r="B172">
        <v>2</v>
      </c>
      <c r="C172">
        <v>10</v>
      </c>
      <c r="D172">
        <v>20</v>
      </c>
      <c r="E172" t="s">
        <v>136</v>
      </c>
      <c r="H172">
        <f t="shared" si="4"/>
        <v>171</v>
      </c>
    </row>
    <row r="173" spans="1:8" x14ac:dyDescent="0.25">
      <c r="A173" t="s">
        <v>199</v>
      </c>
      <c r="C173">
        <f>700/12</f>
        <v>58.333333333333336</v>
      </c>
      <c r="D173">
        <v>70</v>
      </c>
      <c r="H173">
        <f t="shared" si="4"/>
        <v>172</v>
      </c>
    </row>
    <row r="174" spans="1:8" x14ac:dyDescent="0.25">
      <c r="A174" t="s">
        <v>200</v>
      </c>
      <c r="C174">
        <v>250</v>
      </c>
      <c r="D174">
        <v>350</v>
      </c>
      <c r="H174">
        <f t="shared" si="4"/>
        <v>173</v>
      </c>
    </row>
    <row r="175" spans="1:8" x14ac:dyDescent="0.25">
      <c r="A175" t="s">
        <v>201</v>
      </c>
      <c r="C175">
        <v>15</v>
      </c>
      <c r="D175">
        <v>20</v>
      </c>
      <c r="H175">
        <f t="shared" si="4"/>
        <v>174</v>
      </c>
    </row>
    <row r="176" spans="1:8" x14ac:dyDescent="0.25">
      <c r="A176" t="s">
        <v>202</v>
      </c>
      <c r="C176">
        <f>20/3</f>
        <v>6.666666666666667</v>
      </c>
      <c r="D176">
        <v>10</v>
      </c>
      <c r="E176" t="s">
        <v>96</v>
      </c>
      <c r="H176">
        <f t="shared" si="4"/>
        <v>175</v>
      </c>
    </row>
    <row r="177" spans="1:8" x14ac:dyDescent="0.25">
      <c r="A177" t="s">
        <v>203</v>
      </c>
      <c r="C177">
        <v>300</v>
      </c>
      <c r="D177">
        <v>350</v>
      </c>
      <c r="E177" t="s">
        <v>82</v>
      </c>
      <c r="H177">
        <f t="shared" si="4"/>
        <v>176</v>
      </c>
    </row>
    <row r="178" spans="1:8" x14ac:dyDescent="0.25">
      <c r="A178" t="s">
        <v>204</v>
      </c>
      <c r="C178">
        <v>125</v>
      </c>
      <c r="D178">
        <v>180</v>
      </c>
      <c r="E178" t="s">
        <v>82</v>
      </c>
      <c r="H178">
        <f t="shared" si="4"/>
        <v>177</v>
      </c>
    </row>
    <row r="179" spans="1:8" x14ac:dyDescent="0.25">
      <c r="A179" t="s">
        <v>205</v>
      </c>
      <c r="C179">
        <v>20</v>
      </c>
      <c r="D179">
        <v>30</v>
      </c>
      <c r="E179" t="s">
        <v>96</v>
      </c>
      <c r="H179">
        <f t="shared" si="4"/>
        <v>178</v>
      </c>
    </row>
    <row r="180" spans="1:8" x14ac:dyDescent="0.25">
      <c r="A180" t="s">
        <v>206</v>
      </c>
      <c r="C180">
        <f>650/50</f>
        <v>13</v>
      </c>
      <c r="D180">
        <v>20</v>
      </c>
      <c r="E180" t="s">
        <v>134</v>
      </c>
      <c r="H180">
        <f t="shared" si="4"/>
        <v>179</v>
      </c>
    </row>
    <row r="181" spans="1:8" x14ac:dyDescent="0.25">
      <c r="A181" t="s">
        <v>207</v>
      </c>
      <c r="C181">
        <f>350/50</f>
        <v>7</v>
      </c>
      <c r="D181">
        <v>10</v>
      </c>
      <c r="E181" t="s">
        <v>134</v>
      </c>
      <c r="H181">
        <f t="shared" si="4"/>
        <v>180</v>
      </c>
    </row>
    <row r="182" spans="1:8" x14ac:dyDescent="0.25">
      <c r="A182" t="s">
        <v>208</v>
      </c>
      <c r="C182">
        <f>450/30</f>
        <v>15</v>
      </c>
      <c r="D182">
        <v>30</v>
      </c>
      <c r="H182">
        <f t="shared" si="4"/>
        <v>181</v>
      </c>
    </row>
    <row r="183" spans="1:8" x14ac:dyDescent="0.25">
      <c r="A183" t="s">
        <v>209</v>
      </c>
      <c r="C183">
        <v>190</v>
      </c>
      <c r="D183">
        <v>300</v>
      </c>
      <c r="H183">
        <f t="shared" si="4"/>
        <v>182</v>
      </c>
    </row>
    <row r="184" spans="1:8" x14ac:dyDescent="0.25">
      <c r="A184" t="s">
        <v>210</v>
      </c>
      <c r="C184">
        <v>40</v>
      </c>
      <c r="D184">
        <v>50</v>
      </c>
      <c r="H184">
        <f t="shared" si="4"/>
        <v>183</v>
      </c>
    </row>
    <row r="185" spans="1:8" x14ac:dyDescent="0.25">
      <c r="A185" t="s">
        <v>211</v>
      </c>
      <c r="B185">
        <v>12</v>
      </c>
      <c r="C185">
        <f>215/12</f>
        <v>17.916666666666668</v>
      </c>
      <c r="D185">
        <v>20</v>
      </c>
      <c r="E185" t="s">
        <v>32</v>
      </c>
      <c r="H185">
        <f t="shared" si="4"/>
        <v>184</v>
      </c>
    </row>
    <row r="186" spans="1:8" x14ac:dyDescent="0.25">
      <c r="A186" t="s">
        <v>212</v>
      </c>
      <c r="B186">
        <v>5</v>
      </c>
      <c r="C186">
        <v>80</v>
      </c>
      <c r="D186">
        <v>100</v>
      </c>
      <c r="H186">
        <f t="shared" si="4"/>
        <v>185</v>
      </c>
    </row>
    <row r="187" spans="1:8" x14ac:dyDescent="0.25">
      <c r="A187" t="s">
        <v>213</v>
      </c>
      <c r="C187">
        <f>300/50</f>
        <v>6</v>
      </c>
      <c r="D187">
        <v>10</v>
      </c>
      <c r="E187" t="s">
        <v>134</v>
      </c>
      <c r="H187">
        <f t="shared" si="4"/>
        <v>186</v>
      </c>
    </row>
    <row r="188" spans="1:8" x14ac:dyDescent="0.25">
      <c r="A188" t="s">
        <v>214</v>
      </c>
      <c r="C188">
        <f>300/50</f>
        <v>6</v>
      </c>
      <c r="D188">
        <v>10</v>
      </c>
      <c r="E188" t="s">
        <v>156</v>
      </c>
      <c r="H188">
        <f t="shared" si="4"/>
        <v>187</v>
      </c>
    </row>
    <row r="189" spans="1:8" x14ac:dyDescent="0.25">
      <c r="A189" t="s">
        <v>215</v>
      </c>
      <c r="C189">
        <f>350/50</f>
        <v>7</v>
      </c>
      <c r="D189">
        <v>10</v>
      </c>
      <c r="E189" t="s">
        <v>134</v>
      </c>
      <c r="H189">
        <f t="shared" si="4"/>
        <v>188</v>
      </c>
    </row>
    <row r="190" spans="1:8" x14ac:dyDescent="0.25">
      <c r="A190" t="s">
        <v>216</v>
      </c>
      <c r="C190">
        <f>450/50</f>
        <v>9</v>
      </c>
      <c r="D190">
        <v>10</v>
      </c>
      <c r="H190">
        <f t="shared" si="4"/>
        <v>189</v>
      </c>
    </row>
    <row r="191" spans="1:8" x14ac:dyDescent="0.25">
      <c r="A191" t="s">
        <v>217</v>
      </c>
      <c r="C191">
        <v>10</v>
      </c>
      <c r="D191">
        <v>20</v>
      </c>
      <c r="H191">
        <f t="shared" si="4"/>
        <v>190</v>
      </c>
    </row>
    <row r="192" spans="1:8" x14ac:dyDescent="0.25">
      <c r="A192" t="s">
        <v>218</v>
      </c>
      <c r="C192">
        <v>10</v>
      </c>
      <c r="D192">
        <v>20</v>
      </c>
      <c r="H192">
        <f t="shared" si="4"/>
        <v>191</v>
      </c>
    </row>
    <row r="193" spans="1:11" x14ac:dyDescent="0.25">
      <c r="A193" t="s">
        <v>219</v>
      </c>
      <c r="C193">
        <v>15</v>
      </c>
      <c r="D193">
        <v>20</v>
      </c>
      <c r="H193">
        <f t="shared" si="4"/>
        <v>192</v>
      </c>
    </row>
    <row r="194" spans="1:11" x14ac:dyDescent="0.25">
      <c r="A194" t="s">
        <v>220</v>
      </c>
      <c r="B194">
        <v>30</v>
      </c>
      <c r="C194">
        <v>9</v>
      </c>
      <c r="D194">
        <v>15</v>
      </c>
      <c r="E194" t="s">
        <v>45</v>
      </c>
      <c r="H194">
        <f t="shared" si="4"/>
        <v>193</v>
      </c>
    </row>
    <row r="195" spans="1:11" x14ac:dyDescent="0.25">
      <c r="A195" t="s">
        <v>221</v>
      </c>
      <c r="B195">
        <v>12</v>
      </c>
      <c r="C195">
        <f>600/12</f>
        <v>50</v>
      </c>
      <c r="D195">
        <v>70</v>
      </c>
      <c r="E195" t="s">
        <v>45</v>
      </c>
      <c r="H195">
        <f t="shared" si="4"/>
        <v>194</v>
      </c>
    </row>
    <row r="196" spans="1:11" x14ac:dyDescent="0.25">
      <c r="A196" t="s">
        <v>222</v>
      </c>
      <c r="C196">
        <v>70</v>
      </c>
      <c r="D196">
        <v>100</v>
      </c>
      <c r="E196" t="s">
        <v>102</v>
      </c>
      <c r="H196">
        <f t="shared" si="4"/>
        <v>195</v>
      </c>
    </row>
    <row r="197" spans="1:11" x14ac:dyDescent="0.25">
      <c r="A197" t="s">
        <v>223</v>
      </c>
      <c r="C197">
        <v>40</v>
      </c>
      <c r="D197">
        <v>50</v>
      </c>
      <c r="E197" t="s">
        <v>172</v>
      </c>
      <c r="H197">
        <f t="shared" ref="H197:H206" si="6">H196+1</f>
        <v>196</v>
      </c>
    </row>
    <row r="198" spans="1:11" x14ac:dyDescent="0.25">
      <c r="A198" t="s">
        <v>224</v>
      </c>
      <c r="B198">
        <v>2</v>
      </c>
      <c r="C198">
        <v>106</v>
      </c>
      <c r="D198">
        <v>130</v>
      </c>
      <c r="E198" t="s">
        <v>102</v>
      </c>
      <c r="H198">
        <f t="shared" si="6"/>
        <v>197</v>
      </c>
    </row>
    <row r="199" spans="1:11" x14ac:dyDescent="0.25">
      <c r="A199" t="s">
        <v>225</v>
      </c>
      <c r="C199">
        <v>10</v>
      </c>
      <c r="D199">
        <v>15</v>
      </c>
      <c r="H199">
        <f t="shared" si="6"/>
        <v>198</v>
      </c>
    </row>
    <row r="200" spans="1:11" x14ac:dyDescent="0.25">
      <c r="A200" t="s">
        <v>226</v>
      </c>
      <c r="C200">
        <f>620/40</f>
        <v>15.5</v>
      </c>
      <c r="D200">
        <v>20</v>
      </c>
      <c r="H200">
        <f t="shared" si="6"/>
        <v>199</v>
      </c>
    </row>
    <row r="201" spans="1:11" x14ac:dyDescent="0.25">
      <c r="A201" t="s">
        <v>227</v>
      </c>
      <c r="C201">
        <v>30</v>
      </c>
      <c r="D201">
        <v>40</v>
      </c>
      <c r="H201">
        <f t="shared" si="6"/>
        <v>200</v>
      </c>
    </row>
    <row r="202" spans="1:11" x14ac:dyDescent="0.25">
      <c r="A202" t="s">
        <v>228</v>
      </c>
      <c r="C202">
        <v>30</v>
      </c>
      <c r="D202">
        <v>40</v>
      </c>
      <c r="E202" t="s">
        <v>102</v>
      </c>
      <c r="H202">
        <f t="shared" si="6"/>
        <v>201</v>
      </c>
    </row>
    <row r="203" spans="1:11" x14ac:dyDescent="0.25">
      <c r="A203" t="s">
        <v>229</v>
      </c>
      <c r="C203">
        <f>450/12</f>
        <v>37.5</v>
      </c>
      <c r="D203">
        <v>50</v>
      </c>
      <c r="E203" t="s">
        <v>134</v>
      </c>
      <c r="H203">
        <f t="shared" si="6"/>
        <v>202</v>
      </c>
    </row>
    <row r="204" spans="1:11" x14ac:dyDescent="0.25">
      <c r="A204" t="s">
        <v>230</v>
      </c>
      <c r="C204">
        <v>5</v>
      </c>
      <c r="D204">
        <v>15</v>
      </c>
      <c r="E204" t="s">
        <v>156</v>
      </c>
      <c r="H204">
        <f t="shared" si="6"/>
        <v>203</v>
      </c>
    </row>
    <row r="205" spans="1:11" x14ac:dyDescent="0.25">
      <c r="A205" t="s">
        <v>231</v>
      </c>
      <c r="C205">
        <f>550/50</f>
        <v>11</v>
      </c>
      <c r="D205">
        <v>20</v>
      </c>
      <c r="E205" t="s">
        <v>134</v>
      </c>
      <c r="H205">
        <f t="shared" si="6"/>
        <v>204</v>
      </c>
    </row>
    <row r="206" spans="1:11" x14ac:dyDescent="0.25">
      <c r="A206" t="s">
        <v>232</v>
      </c>
      <c r="C206">
        <f>50/6</f>
        <v>8.3333333333333339</v>
      </c>
      <c r="D206">
        <v>10</v>
      </c>
      <c r="E206" t="s">
        <v>149</v>
      </c>
      <c r="H206">
        <f t="shared" si="6"/>
        <v>205</v>
      </c>
    </row>
    <row r="207" spans="1:11" x14ac:dyDescent="0.25">
      <c r="A207" t="s">
        <v>233</v>
      </c>
      <c r="C207">
        <f>20/5</f>
        <v>4</v>
      </c>
      <c r="D207">
        <v>10</v>
      </c>
      <c r="E207" t="s">
        <v>96</v>
      </c>
    </row>
    <row r="208" spans="1:11" x14ac:dyDescent="0.25">
      <c r="A208" t="s">
        <v>234</v>
      </c>
      <c r="C208">
        <v>164</v>
      </c>
      <c r="D208">
        <v>180</v>
      </c>
      <c r="E208" t="s">
        <v>96</v>
      </c>
      <c r="K208" t="s">
        <v>122</v>
      </c>
    </row>
    <row r="209" spans="1:11" x14ac:dyDescent="0.25">
      <c r="A209" t="s">
        <v>235</v>
      </c>
      <c r="C209">
        <v>30</v>
      </c>
      <c r="D209">
        <v>50</v>
      </c>
      <c r="E209" t="s">
        <v>102</v>
      </c>
      <c r="K209">
        <f>VLOOKUP(K208,A:H,8,FALSE)</f>
        <v>102</v>
      </c>
    </row>
    <row r="210" spans="1:11" x14ac:dyDescent="0.25">
      <c r="A210" t="s">
        <v>236</v>
      </c>
      <c r="B210">
        <v>12</v>
      </c>
      <c r="C210">
        <f>1500/12</f>
        <v>125</v>
      </c>
      <c r="D210">
        <v>160</v>
      </c>
      <c r="E210" t="s">
        <v>82</v>
      </c>
    </row>
  </sheetData>
  <sheetProtection algorithmName="SHA-512" hashValue="m+RexdElly7pY0nGvALTC28xteFamFeks6hMIbzzTm9wIfKryILLysuuN7yCVL4v9s6AkZR7gbRUQm18yJEjag==" saltValue="1k41vmekKLch1SskXqAYZg==" spinCount="100000" sheet="1" objects="1" scenarios="1"/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DA366-2614-419A-822B-412187F1C9E1}">
  <sheetPr codeName="Sheet2"/>
  <dimension ref="A1:K227"/>
  <sheetViews>
    <sheetView topLeftCell="A198" workbookViewId="0">
      <selection activeCell="N221" sqref="N221"/>
    </sheetView>
  </sheetViews>
  <sheetFormatPr defaultRowHeight="15" x14ac:dyDescent="0.25"/>
  <cols>
    <col min="1" max="1" width="19" customWidth="1"/>
    <col min="2" max="2" width="10.7109375" customWidth="1"/>
    <col min="3" max="3" width="17.42578125" customWidth="1"/>
    <col min="6" max="6" width="13.28515625" customWidth="1"/>
    <col min="7" max="7" width="24" customWidth="1"/>
  </cols>
  <sheetData>
    <row r="1" spans="1:11" x14ac:dyDescent="0.25">
      <c r="A1" t="s">
        <v>237</v>
      </c>
      <c r="B1" t="s">
        <v>238</v>
      </c>
      <c r="C1" t="s">
        <v>239</v>
      </c>
      <c r="D1" t="s">
        <v>240</v>
      </c>
      <c r="E1" t="s">
        <v>241</v>
      </c>
      <c r="F1" t="s">
        <v>242</v>
      </c>
      <c r="G1" t="s">
        <v>243</v>
      </c>
      <c r="H1" t="s">
        <v>244</v>
      </c>
      <c r="I1" t="s">
        <v>245</v>
      </c>
      <c r="J1" t="s">
        <v>7</v>
      </c>
      <c r="K1" t="s">
        <v>246</v>
      </c>
    </row>
    <row r="2" spans="1:11" x14ac:dyDescent="0.25">
      <c r="A2" s="1">
        <f>DATE(2024,7,15)</f>
        <v>45488</v>
      </c>
      <c r="B2" s="35">
        <f>TIME(8,44,0)</f>
        <v>0.36388888888888887</v>
      </c>
      <c r="C2" t="s">
        <v>39</v>
      </c>
      <c r="D2">
        <v>6</v>
      </c>
      <c r="E2">
        <v>60</v>
      </c>
      <c r="F2">
        <f t="shared" ref="F2:F14" si="0">D2*E2</f>
        <v>360</v>
      </c>
      <c r="H2" t="s">
        <v>247</v>
      </c>
      <c r="I2" t="str">
        <f>IF(ISNUMBER(MATCH(C2,Inventory!A1:A112,0)),"Exists","Add")</f>
        <v>Exists</v>
      </c>
      <c r="J2">
        <v>1</v>
      </c>
    </row>
    <row r="3" spans="1:11" x14ac:dyDescent="0.25">
      <c r="A3" s="1">
        <f>DATE(2024,7,15)</f>
        <v>45488</v>
      </c>
      <c r="B3" s="35">
        <f>TIME(8,15,0)</f>
        <v>0.34375</v>
      </c>
      <c r="C3" t="s">
        <v>154</v>
      </c>
      <c r="D3">
        <v>6</v>
      </c>
      <c r="E3">
        <v>60</v>
      </c>
      <c r="F3">
        <f t="shared" si="0"/>
        <v>360</v>
      </c>
      <c r="H3" t="s">
        <v>247</v>
      </c>
      <c r="I3" t="str">
        <f>IF(ISNUMBER(MATCH(C3,Inventory!A2:A113,0)),"Exists","Add")</f>
        <v>Add</v>
      </c>
      <c r="J3">
        <f>J2+1</f>
        <v>2</v>
      </c>
    </row>
    <row r="4" spans="1:11" x14ac:dyDescent="0.25">
      <c r="A4" s="1">
        <f>DATE(2024,7,15)</f>
        <v>45488</v>
      </c>
      <c r="B4" s="35">
        <f>TIME(12,8,0)</f>
        <v>0.50555555555555554</v>
      </c>
      <c r="C4" t="s">
        <v>66</v>
      </c>
      <c r="D4">
        <v>12</v>
      </c>
      <c r="E4">
        <f>100/12</f>
        <v>8.3333333333333339</v>
      </c>
      <c r="F4">
        <f t="shared" si="0"/>
        <v>100</v>
      </c>
      <c r="H4" t="s">
        <v>247</v>
      </c>
      <c r="I4" t="str">
        <f>IF(ISNUMBER(MATCH(C4,Inventory!A3:A114,0)),"Exists","Add")</f>
        <v>Exists</v>
      </c>
      <c r="J4">
        <f t="shared" ref="J4:J67" si="1">J3+1</f>
        <v>3</v>
      </c>
    </row>
    <row r="5" spans="1:11" x14ac:dyDescent="0.25">
      <c r="A5" s="1">
        <f t="shared" ref="A5:A14" si="2">DATE(2024,7,15)</f>
        <v>45488</v>
      </c>
      <c r="B5" s="35">
        <f>TIME(12,8,0)</f>
        <v>0.50555555555555554</v>
      </c>
      <c r="C5" t="s">
        <v>145</v>
      </c>
      <c r="D5">
        <v>6</v>
      </c>
      <c r="E5">
        <f>50/6</f>
        <v>8.3333333333333339</v>
      </c>
      <c r="F5">
        <f t="shared" si="0"/>
        <v>50</v>
      </c>
      <c r="H5" t="s">
        <v>247</v>
      </c>
      <c r="I5" t="str">
        <f>IF(ISNUMBER(MATCH(C5,Inventory!A4:A115,0)),"Exists","Add")</f>
        <v>Add</v>
      </c>
      <c r="J5">
        <f t="shared" si="1"/>
        <v>4</v>
      </c>
    </row>
    <row r="6" spans="1:11" x14ac:dyDescent="0.25">
      <c r="A6" s="1">
        <f t="shared" si="2"/>
        <v>45488</v>
      </c>
      <c r="B6" s="35">
        <f>TIME(12,8,0)</f>
        <v>0.50555555555555554</v>
      </c>
      <c r="C6" t="s">
        <v>65</v>
      </c>
      <c r="D6">
        <v>12</v>
      </c>
      <c r="E6">
        <f>50/6</f>
        <v>8.3333333333333339</v>
      </c>
      <c r="F6">
        <f t="shared" si="0"/>
        <v>100</v>
      </c>
      <c r="H6" t="s">
        <v>247</v>
      </c>
      <c r="I6" t="str">
        <f>IF(ISNUMBER(MATCH(C6,Inventory!A5:A116,0)),"Exists","Add")</f>
        <v>Exists</v>
      </c>
      <c r="J6">
        <f t="shared" si="1"/>
        <v>5</v>
      </c>
    </row>
    <row r="7" spans="1:11" x14ac:dyDescent="0.25">
      <c r="A7" s="1">
        <f t="shared" si="2"/>
        <v>45488</v>
      </c>
      <c r="B7" s="35">
        <f>TIME(12,8,0)</f>
        <v>0.50555555555555554</v>
      </c>
      <c r="C7" t="s">
        <v>148</v>
      </c>
      <c r="D7">
        <v>12</v>
      </c>
      <c r="E7">
        <f>50/12</f>
        <v>4.166666666666667</v>
      </c>
      <c r="F7">
        <f t="shared" si="0"/>
        <v>50</v>
      </c>
      <c r="H7" t="s">
        <v>247</v>
      </c>
      <c r="I7" t="str">
        <f>IF(ISNUMBER(MATCH(C7,Inventory!A6:A117,0)),"Exists","Add")</f>
        <v>Add</v>
      </c>
      <c r="J7">
        <f t="shared" si="1"/>
        <v>6</v>
      </c>
    </row>
    <row r="8" spans="1:11" x14ac:dyDescent="0.25">
      <c r="A8" s="1">
        <f t="shared" si="2"/>
        <v>45488</v>
      </c>
      <c r="B8" s="35">
        <f>TIME(12,8,0)</f>
        <v>0.50555555555555554</v>
      </c>
      <c r="C8" t="s">
        <v>63</v>
      </c>
      <c r="D8">
        <v>1</v>
      </c>
      <c r="E8">
        <v>50</v>
      </c>
      <c r="F8">
        <f t="shared" si="0"/>
        <v>50</v>
      </c>
      <c r="H8" t="s">
        <v>247</v>
      </c>
      <c r="I8" t="str">
        <f>IF(ISNUMBER(MATCH(C8,Inventory!A7:A118,0)),"Exists","Add")</f>
        <v>Exists</v>
      </c>
      <c r="J8">
        <f t="shared" si="1"/>
        <v>7</v>
      </c>
    </row>
    <row r="9" spans="1:11" x14ac:dyDescent="0.25">
      <c r="A9" s="1">
        <f t="shared" si="2"/>
        <v>45488</v>
      </c>
      <c r="B9" s="35">
        <f t="shared" ref="B9:B14" si="3">TIME(16,0,0)</f>
        <v>0.66666666666666663</v>
      </c>
      <c r="C9" t="s">
        <v>180</v>
      </c>
      <c r="D9">
        <v>100</v>
      </c>
      <c r="E9">
        <f>500/100</f>
        <v>5</v>
      </c>
      <c r="F9">
        <f t="shared" si="0"/>
        <v>500</v>
      </c>
      <c r="H9" t="s">
        <v>247</v>
      </c>
      <c r="I9" t="str">
        <f>IF(ISNUMBER(MATCH(C9,Inventory!A8:A119,0)),"Exists","Add")</f>
        <v>Add</v>
      </c>
      <c r="J9">
        <f t="shared" si="1"/>
        <v>8</v>
      </c>
    </row>
    <row r="10" spans="1:11" x14ac:dyDescent="0.25">
      <c r="A10" s="1">
        <f t="shared" si="2"/>
        <v>45488</v>
      </c>
      <c r="B10" s="35">
        <f t="shared" si="3"/>
        <v>0.66666666666666663</v>
      </c>
      <c r="C10" t="s">
        <v>137</v>
      </c>
      <c r="D10">
        <f>4*10</f>
        <v>40</v>
      </c>
      <c r="E10">
        <f>200/40</f>
        <v>5</v>
      </c>
      <c r="F10">
        <f t="shared" si="0"/>
        <v>200</v>
      </c>
      <c r="H10" t="s">
        <v>247</v>
      </c>
      <c r="I10" t="str">
        <f>IF(ISNUMBER(MATCH(C10,Inventory!A9:A120,0)),"Exists","Add")</f>
        <v>Exists</v>
      </c>
      <c r="J10">
        <f t="shared" si="1"/>
        <v>9</v>
      </c>
    </row>
    <row r="11" spans="1:11" x14ac:dyDescent="0.25">
      <c r="A11" s="1">
        <f t="shared" si="2"/>
        <v>45488</v>
      </c>
      <c r="B11" s="35">
        <f t="shared" si="3"/>
        <v>0.66666666666666663</v>
      </c>
      <c r="C11" t="s">
        <v>174</v>
      </c>
      <c r="D11">
        <v>2</v>
      </c>
      <c r="E11">
        <v>120</v>
      </c>
      <c r="F11">
        <f t="shared" si="0"/>
        <v>240</v>
      </c>
      <c r="H11" t="s">
        <v>247</v>
      </c>
      <c r="I11" t="str">
        <f>IF(ISNUMBER(MATCH(C11,Inventory!A10:A121,0)),"Exists","Add")</f>
        <v>Add</v>
      </c>
      <c r="J11">
        <f t="shared" si="1"/>
        <v>10</v>
      </c>
    </row>
    <row r="12" spans="1:11" x14ac:dyDescent="0.25">
      <c r="A12" s="1">
        <f t="shared" si="2"/>
        <v>45488</v>
      </c>
      <c r="B12" s="35">
        <f t="shared" si="3"/>
        <v>0.66666666666666663</v>
      </c>
      <c r="C12" t="s">
        <v>198</v>
      </c>
      <c r="D12">
        <v>2</v>
      </c>
      <c r="E12">
        <v>10</v>
      </c>
      <c r="F12">
        <f t="shared" si="0"/>
        <v>20</v>
      </c>
      <c r="H12" t="s">
        <v>247</v>
      </c>
      <c r="I12" t="str">
        <f>IF(ISNUMBER(MATCH(C12,Inventory!A11:A122,0)),"Exists","Add")</f>
        <v>Add</v>
      </c>
      <c r="J12">
        <f t="shared" si="1"/>
        <v>11</v>
      </c>
    </row>
    <row r="13" spans="1:11" x14ac:dyDescent="0.25">
      <c r="A13" s="1">
        <f t="shared" si="2"/>
        <v>45488</v>
      </c>
      <c r="B13" s="35">
        <f t="shared" si="3"/>
        <v>0.66666666666666663</v>
      </c>
      <c r="C13" t="s">
        <v>146</v>
      </c>
      <c r="D13">
        <v>6</v>
      </c>
      <c r="E13">
        <f>10/3</f>
        <v>3.3333333333333335</v>
      </c>
      <c r="F13">
        <f t="shared" si="0"/>
        <v>20</v>
      </c>
      <c r="H13" t="s">
        <v>247</v>
      </c>
      <c r="I13" t="str">
        <f>IF(ISNUMBER(MATCH(C13,Inventory!A12:A123,0)),"Exists","Add")</f>
        <v>Add</v>
      </c>
      <c r="J13">
        <f t="shared" si="1"/>
        <v>12</v>
      </c>
    </row>
    <row r="14" spans="1:11" x14ac:dyDescent="0.25">
      <c r="A14" s="1">
        <f t="shared" si="2"/>
        <v>45488</v>
      </c>
      <c r="B14" s="35">
        <f t="shared" si="3"/>
        <v>0.66666666666666663</v>
      </c>
      <c r="C14" t="s">
        <v>142</v>
      </c>
      <c r="D14">
        <f>3*6</f>
        <v>18</v>
      </c>
      <c r="E14">
        <f>25/3</f>
        <v>8.3333333333333339</v>
      </c>
      <c r="F14">
        <f t="shared" si="0"/>
        <v>150</v>
      </c>
      <c r="H14" t="s">
        <v>247</v>
      </c>
      <c r="I14" t="str">
        <f>IF(ISNUMBER(MATCH(C14,Inventory!A13:A124,0)),"Exists","Add")</f>
        <v>Exists</v>
      </c>
      <c r="J14">
        <f t="shared" si="1"/>
        <v>13</v>
      </c>
    </row>
    <row r="15" spans="1:11" x14ac:dyDescent="0.25">
      <c r="A15" s="1">
        <f>DATE(2024,7,16)</f>
        <v>45489</v>
      </c>
      <c r="B15" s="35">
        <f>TIME(8,30,0)</f>
        <v>0.35416666666666669</v>
      </c>
      <c r="C15" t="s">
        <v>199</v>
      </c>
      <c r="D15">
        <v>12</v>
      </c>
      <c r="E15">
        <f>Table5[[#This Row],[total_spent]]/Table5[[#This Row],[qty]]</f>
        <v>56.666666666666664</v>
      </c>
      <c r="F15">
        <v>680</v>
      </c>
      <c r="H15" t="s">
        <v>248</v>
      </c>
      <c r="I15" t="str">
        <f>IF(ISNUMBER(MATCH(C15,Inventory!A14:A125,0)),"Exists","Add")</f>
        <v>Add</v>
      </c>
      <c r="J15">
        <f t="shared" si="1"/>
        <v>14</v>
      </c>
    </row>
    <row r="16" spans="1:11" x14ac:dyDescent="0.25">
      <c r="A16" s="1">
        <f t="shared" ref="A16:A27" si="4">DATE(2024,7,16)</f>
        <v>45489</v>
      </c>
      <c r="B16" s="35">
        <f t="shared" ref="B16:B27" si="5">TIME(8,30,0)</f>
        <v>0.35416666666666669</v>
      </c>
      <c r="C16" t="s">
        <v>94</v>
      </c>
      <c r="D16">
        <v>6</v>
      </c>
      <c r="E16">
        <f>Table5[[#This Row],[total_spent]]/Table5[[#This Row],[qty]]</f>
        <v>140</v>
      </c>
      <c r="F16">
        <v>840</v>
      </c>
      <c r="H16" t="s">
        <v>248</v>
      </c>
      <c r="I16" t="str">
        <f>IF(ISNUMBER(MATCH(C16,Inventory!A15:A126,0)),"Exists","Add")</f>
        <v>Exists</v>
      </c>
      <c r="J16">
        <f t="shared" si="1"/>
        <v>15</v>
      </c>
    </row>
    <row r="17" spans="1:11" x14ac:dyDescent="0.25">
      <c r="A17" s="1">
        <f t="shared" si="4"/>
        <v>45489</v>
      </c>
      <c r="B17" s="35">
        <f t="shared" si="5"/>
        <v>0.35416666666666669</v>
      </c>
      <c r="C17" t="s">
        <v>200</v>
      </c>
      <c r="D17">
        <v>4</v>
      </c>
      <c r="E17">
        <f>Table5[[#This Row],[total_spent]]/Table5[[#This Row],[qty]]</f>
        <v>250</v>
      </c>
      <c r="F17">
        <v>1000</v>
      </c>
      <c r="H17" t="s">
        <v>248</v>
      </c>
      <c r="I17" t="str">
        <f>IF(ISNUMBER(MATCH(C17,Inventory!A16:A127,0)),"Exists","Add")</f>
        <v>Add</v>
      </c>
      <c r="J17">
        <f t="shared" si="1"/>
        <v>16</v>
      </c>
    </row>
    <row r="18" spans="1:11" x14ac:dyDescent="0.25">
      <c r="A18" s="1">
        <f t="shared" si="4"/>
        <v>45489</v>
      </c>
      <c r="B18" s="35">
        <f t="shared" si="5"/>
        <v>0.35416666666666669</v>
      </c>
      <c r="C18" t="s">
        <v>168</v>
      </c>
      <c r="D18">
        <v>12</v>
      </c>
      <c r="E18">
        <f>Table5[[#This Row],[total_spent]]/Table5[[#This Row],[qty]]</f>
        <v>10.416666666666666</v>
      </c>
      <c r="F18">
        <v>125</v>
      </c>
      <c r="H18" t="s">
        <v>248</v>
      </c>
      <c r="I18" t="str">
        <f>IF(ISNUMBER(MATCH(C18,Inventory!A17:A128,0)),"Exists","Add")</f>
        <v>Add</v>
      </c>
      <c r="J18">
        <f t="shared" si="1"/>
        <v>17</v>
      </c>
    </row>
    <row r="19" spans="1:11" x14ac:dyDescent="0.25">
      <c r="A19" s="1">
        <f t="shared" si="4"/>
        <v>45489</v>
      </c>
      <c r="B19" s="35">
        <f t="shared" si="5"/>
        <v>0.35416666666666669</v>
      </c>
      <c r="C19" t="s">
        <v>249</v>
      </c>
      <c r="D19">
        <v>6</v>
      </c>
      <c r="E19">
        <f>Table5[[#This Row],[total_spent]]/Table5[[#This Row],[qty]]</f>
        <v>80</v>
      </c>
      <c r="F19">
        <v>480</v>
      </c>
      <c r="H19" t="s">
        <v>248</v>
      </c>
      <c r="I19" t="str">
        <f>IF(ISNUMBER(MATCH(C19,Inventory!A18:A129,0)),"Exists","Add")</f>
        <v>Add</v>
      </c>
      <c r="J19">
        <f t="shared" si="1"/>
        <v>18</v>
      </c>
    </row>
    <row r="20" spans="1:11" x14ac:dyDescent="0.25">
      <c r="A20" s="1">
        <f t="shared" si="4"/>
        <v>45489</v>
      </c>
      <c r="B20" s="35">
        <f t="shared" si="5"/>
        <v>0.35416666666666669</v>
      </c>
      <c r="C20" t="s">
        <v>127</v>
      </c>
      <c r="D20">
        <v>12</v>
      </c>
      <c r="E20">
        <f>Table5[[#This Row],[total_spent]]/Table5[[#This Row],[qty]]</f>
        <v>26.666666666666668</v>
      </c>
      <c r="F20">
        <v>320</v>
      </c>
      <c r="H20" t="s">
        <v>248</v>
      </c>
      <c r="I20" t="str">
        <f>IF(ISNUMBER(MATCH(C20,Inventory!A19:A131,0)),"Exists","Add")</f>
        <v>Exists</v>
      </c>
      <c r="J20">
        <f t="shared" si="1"/>
        <v>19</v>
      </c>
    </row>
    <row r="21" spans="1:11" x14ac:dyDescent="0.25">
      <c r="A21" s="1">
        <f t="shared" si="4"/>
        <v>45489</v>
      </c>
      <c r="B21" s="35">
        <f t="shared" si="5"/>
        <v>0.35416666666666669</v>
      </c>
      <c r="C21" t="s">
        <v>133</v>
      </c>
      <c r="D21">
        <v>50</v>
      </c>
      <c r="E21">
        <f>Table5[[#This Row],[total_spent]]/Table5[[#This Row],[qty]]</f>
        <v>7</v>
      </c>
      <c r="F21">
        <v>350</v>
      </c>
      <c r="H21" t="s">
        <v>248</v>
      </c>
      <c r="I21" t="str">
        <f>IF(ISNUMBER(MATCH(C21,Inventory!A20:A132,0)),"Exists","Add")</f>
        <v>Exists</v>
      </c>
      <c r="J21">
        <f t="shared" si="1"/>
        <v>20</v>
      </c>
    </row>
    <row r="22" spans="1:11" x14ac:dyDescent="0.25">
      <c r="A22" s="1">
        <f t="shared" si="4"/>
        <v>45489</v>
      </c>
      <c r="B22" s="35">
        <f t="shared" si="5"/>
        <v>0.35416666666666669</v>
      </c>
      <c r="C22" t="s">
        <v>38</v>
      </c>
      <c r="D22">
        <v>20</v>
      </c>
      <c r="E22">
        <f>Table5[[#This Row],[total_spent]]/Table5[[#This Row],[qty]]</f>
        <v>17.5</v>
      </c>
      <c r="F22">
        <v>350</v>
      </c>
      <c r="H22" t="s">
        <v>248</v>
      </c>
      <c r="I22" t="str">
        <f>IF(ISNUMBER(MATCH(C22,Inventory!A21:A133,0)),"Exists","Add")</f>
        <v>Exists</v>
      </c>
      <c r="J22">
        <f t="shared" si="1"/>
        <v>21</v>
      </c>
    </row>
    <row r="23" spans="1:11" x14ac:dyDescent="0.25">
      <c r="A23" s="1">
        <f t="shared" si="4"/>
        <v>45489</v>
      </c>
      <c r="B23" s="35">
        <f t="shared" si="5"/>
        <v>0.35416666666666669</v>
      </c>
      <c r="C23" t="s">
        <v>175</v>
      </c>
      <c r="D23">
        <v>4</v>
      </c>
      <c r="E23">
        <f>Table5[[#This Row],[total_spent]]/Table5[[#This Row],[qty]]</f>
        <v>190</v>
      </c>
      <c r="F23">
        <v>760</v>
      </c>
      <c r="H23" t="s">
        <v>248</v>
      </c>
      <c r="I23" t="str">
        <f>IF(ISNUMBER(MATCH(C23,Inventory!A22:A134,0)),"Exists","Add")</f>
        <v>Add</v>
      </c>
      <c r="J23">
        <f t="shared" si="1"/>
        <v>22</v>
      </c>
    </row>
    <row r="24" spans="1:11" x14ac:dyDescent="0.25">
      <c r="A24" s="1">
        <f t="shared" si="4"/>
        <v>45489</v>
      </c>
      <c r="B24" s="35">
        <f t="shared" si="5"/>
        <v>0.35416666666666669</v>
      </c>
      <c r="C24" t="s">
        <v>144</v>
      </c>
      <c r="D24">
        <v>21</v>
      </c>
      <c r="E24">
        <f>Table5[[#This Row],[total_spent]]/Table5[[#This Row],[qty]]</f>
        <v>24.285714285714285</v>
      </c>
      <c r="F24">
        <v>510</v>
      </c>
      <c r="H24" t="s">
        <v>248</v>
      </c>
      <c r="I24" t="str">
        <f>IF(ISNUMBER(MATCH(C24,Inventory!A23:A135,0)),"Exists","Add")</f>
        <v>Exists</v>
      </c>
      <c r="J24">
        <f t="shared" si="1"/>
        <v>23</v>
      </c>
    </row>
    <row r="25" spans="1:11" x14ac:dyDescent="0.25">
      <c r="A25" s="1">
        <f t="shared" si="4"/>
        <v>45489</v>
      </c>
      <c r="B25" s="35">
        <f t="shared" si="5"/>
        <v>0.35416666666666669</v>
      </c>
      <c r="C25" t="s">
        <v>250</v>
      </c>
      <c r="D25">
        <v>4</v>
      </c>
      <c r="E25">
        <f>Table5[[#This Row],[total_spent]]/Table5[[#This Row],[qty]]</f>
        <v>160</v>
      </c>
      <c r="F25">
        <v>640</v>
      </c>
      <c r="H25" t="s">
        <v>248</v>
      </c>
      <c r="I25" t="str">
        <f>IF(ISNUMBER(MATCH(C25,Inventory!A24:A138,0)),"Exists","Add")</f>
        <v>Add</v>
      </c>
      <c r="J25">
        <f t="shared" si="1"/>
        <v>24</v>
      </c>
    </row>
    <row r="26" spans="1:11" x14ac:dyDescent="0.25">
      <c r="A26" s="1">
        <f t="shared" si="4"/>
        <v>45489</v>
      </c>
      <c r="B26" s="35">
        <f t="shared" si="5"/>
        <v>0.35416666666666669</v>
      </c>
      <c r="C26" t="s">
        <v>251</v>
      </c>
      <c r="D26">
        <v>12</v>
      </c>
      <c r="E26">
        <f>Table5[[#This Row],[total_spent]]/Table5[[#This Row],[qty]]</f>
        <v>56.666666666666664</v>
      </c>
      <c r="F26">
        <v>680</v>
      </c>
      <c r="H26" t="s">
        <v>248</v>
      </c>
      <c r="I26" t="str">
        <f>IF(ISNUMBER(MATCH(C26,Inventory!A25:A139,0)),"Exists","Add")</f>
        <v>Add</v>
      </c>
      <c r="J26">
        <f t="shared" si="1"/>
        <v>25</v>
      </c>
    </row>
    <row r="27" spans="1:11" x14ac:dyDescent="0.25">
      <c r="A27" s="1">
        <f t="shared" si="4"/>
        <v>45489</v>
      </c>
      <c r="B27" s="35">
        <f t="shared" si="5"/>
        <v>0.35416666666666669</v>
      </c>
      <c r="C27" t="s">
        <v>143</v>
      </c>
      <c r="D27">
        <v>5</v>
      </c>
      <c r="E27">
        <f>Table5[[#This Row],[total_spent]]/Table5[[#This Row],[qty]]</f>
        <v>55</v>
      </c>
      <c r="F27">
        <v>275</v>
      </c>
      <c r="H27" t="s">
        <v>248</v>
      </c>
      <c r="I27" t="str">
        <f>IF(ISNUMBER(MATCH(C27,Inventory!A26:A140,0)),"Exists","Add")</f>
        <v>Exists</v>
      </c>
      <c r="J27">
        <f t="shared" si="1"/>
        <v>26</v>
      </c>
    </row>
    <row r="28" spans="1:11" x14ac:dyDescent="0.25">
      <c r="A28" s="1">
        <f>DATE(2024,7,17)</f>
        <v>45490</v>
      </c>
      <c r="B28" s="35">
        <f>TIME(9,19,0)</f>
        <v>0.38819444444444445</v>
      </c>
      <c r="C28" t="str">
        <f>Inventory!A30</f>
        <v>BB Bread 400g</v>
      </c>
      <c r="D28">
        <v>2</v>
      </c>
      <c r="E28">
        <v>60</v>
      </c>
      <c r="F28">
        <f t="shared" ref="F28:F57" si="6">D28*E28</f>
        <v>120</v>
      </c>
      <c r="G28" s="1">
        <f>DATE(2024,7,22)</f>
        <v>45495</v>
      </c>
      <c r="H28" t="s">
        <v>247</v>
      </c>
      <c r="I28" t="str">
        <f>IF(ISNUMBER(MATCH(C28,Inventory!A27:A141,0)),"Exists","Add")</f>
        <v>Exists</v>
      </c>
      <c r="J28">
        <f t="shared" si="1"/>
        <v>27</v>
      </c>
    </row>
    <row r="29" spans="1:11" x14ac:dyDescent="0.25">
      <c r="A29" s="1">
        <f>DATE(2024,7,17)</f>
        <v>45490</v>
      </c>
      <c r="B29" s="35">
        <f>TIME(9,19,0)</f>
        <v>0.38819444444444445</v>
      </c>
      <c r="C29" t="str">
        <f>Inventory!A122</f>
        <v>Kinangop Fresh Milk 500ml</v>
      </c>
      <c r="D29">
        <v>5</v>
      </c>
      <c r="E29">
        <v>55</v>
      </c>
      <c r="F29">
        <f t="shared" si="6"/>
        <v>275</v>
      </c>
      <c r="G29" s="1">
        <f>DATE(2024,7,19)</f>
        <v>45492</v>
      </c>
      <c r="H29" t="s">
        <v>247</v>
      </c>
      <c r="I29" t="str">
        <f>IF(ISNUMBER(MATCH(C29,Inventory!A28:A142,0)),"Exists","Add")</f>
        <v>Exists</v>
      </c>
      <c r="J29">
        <f t="shared" si="1"/>
        <v>28</v>
      </c>
      <c r="K29" t="b">
        <f>IF(C28=C2,TRUE,FALSE)</f>
        <v>1</v>
      </c>
    </row>
    <row r="30" spans="1:11" x14ac:dyDescent="0.25">
      <c r="A30" s="1">
        <f>DATE(2024,7,17)</f>
        <v>45490</v>
      </c>
      <c r="B30" s="35">
        <f>TIME(11,19,0)</f>
        <v>0.47152777777777777</v>
      </c>
      <c r="C30" t="str">
        <f>Inventory!A132</f>
        <v>Festive Bread 400g</v>
      </c>
      <c r="D30">
        <v>5</v>
      </c>
      <c r="E30">
        <v>60</v>
      </c>
      <c r="F30">
        <f t="shared" si="6"/>
        <v>300</v>
      </c>
      <c r="G30" s="1">
        <f>DATE(2024,7,22)</f>
        <v>45495</v>
      </c>
      <c r="H30" t="s">
        <v>247</v>
      </c>
      <c r="I30" t="str">
        <f>IF(ISNUMBER(MATCH(C30,Inventory!A29:A143,0)),"Exists","Add")</f>
        <v>Exists</v>
      </c>
      <c r="J30">
        <f t="shared" si="1"/>
        <v>29</v>
      </c>
    </row>
    <row r="31" spans="1:11" x14ac:dyDescent="0.25">
      <c r="A31" s="1">
        <f>DATE(2024,7,17)</f>
        <v>45490</v>
      </c>
      <c r="B31" s="35">
        <f>TIME(11,19,0)</f>
        <v>0.47152777777777777</v>
      </c>
      <c r="C31" t="str">
        <f>Inventory!A33</f>
        <v>Festive 800g</v>
      </c>
      <c r="D31">
        <v>1</v>
      </c>
      <c r="E31">
        <v>120</v>
      </c>
      <c r="F31">
        <f t="shared" si="6"/>
        <v>120</v>
      </c>
      <c r="G31" s="1">
        <f>DATE(2024,7,22)</f>
        <v>45495</v>
      </c>
      <c r="H31" t="s">
        <v>247</v>
      </c>
      <c r="I31" t="str">
        <f>IF(ISNUMBER(MATCH(C31,Inventory!A30:A144,0)),"Exists","Add")</f>
        <v>Exists</v>
      </c>
      <c r="J31">
        <f t="shared" si="1"/>
        <v>30</v>
      </c>
    </row>
    <row r="32" spans="1:11" x14ac:dyDescent="0.25">
      <c r="A32" s="1">
        <f>DATE(2024,7,18)</f>
        <v>45491</v>
      </c>
      <c r="B32" s="35">
        <f>TIME(11,35,0)</f>
        <v>0.4826388888888889</v>
      </c>
      <c r="C32" t="str">
        <f>Inventory!A33</f>
        <v>Festive 800g</v>
      </c>
      <c r="D32">
        <v>1</v>
      </c>
      <c r="E32">
        <v>90</v>
      </c>
      <c r="F32">
        <f t="shared" si="6"/>
        <v>90</v>
      </c>
      <c r="G32" s="1">
        <f>DATE(2024,7,23)</f>
        <v>45496</v>
      </c>
      <c r="H32" t="s">
        <v>247</v>
      </c>
      <c r="I32" t="str">
        <f>IF(ISNUMBER(MATCH(C32,Inventory!A31:A145,0)),"Exists","Add")</f>
        <v>Exists</v>
      </c>
      <c r="J32">
        <f t="shared" si="1"/>
        <v>31</v>
      </c>
    </row>
    <row r="33" spans="1:10" x14ac:dyDescent="0.25">
      <c r="A33" s="1">
        <f>DATE(2024,7,18)</f>
        <v>45491</v>
      </c>
      <c r="B33" s="35">
        <f>TIME(11,35,0)</f>
        <v>0.4826388888888889</v>
      </c>
      <c r="C33" t="str">
        <f>Inventory!A32</f>
        <v>Festive 600g</v>
      </c>
      <c r="D33">
        <v>1</v>
      </c>
      <c r="E33">
        <v>120</v>
      </c>
      <c r="F33">
        <f t="shared" si="6"/>
        <v>120</v>
      </c>
      <c r="G33" s="1">
        <f>DATE(2024,7,23)</f>
        <v>45496</v>
      </c>
      <c r="H33" t="s">
        <v>247</v>
      </c>
      <c r="I33" t="str">
        <f>IF(ISNUMBER(MATCH(C33,Inventory!A32:A146,0)),"Exists","Add")</f>
        <v>Exists</v>
      </c>
      <c r="J33">
        <f t="shared" si="1"/>
        <v>32</v>
      </c>
    </row>
    <row r="34" spans="1:10" x14ac:dyDescent="0.25">
      <c r="A34" s="1">
        <f>DATE(2024,7,19)</f>
        <v>45492</v>
      </c>
      <c r="B34" s="35">
        <f>TIME(8,55,0)</f>
        <v>0.37152777777777779</v>
      </c>
      <c r="C34" t="str">
        <f>Inventory!A30</f>
        <v>BB Bread 400g</v>
      </c>
      <c r="D34">
        <v>5</v>
      </c>
      <c r="E34">
        <v>60</v>
      </c>
      <c r="F34">
        <v>300</v>
      </c>
      <c r="G34" s="1">
        <f>DATE(2024,7,24)</f>
        <v>45497</v>
      </c>
      <c r="H34" t="s">
        <v>247</v>
      </c>
      <c r="I34" t="str">
        <f>IF(ISNUMBER(MATCH(C34,Inventory!A33:A147,0)),"Exists","Add")</f>
        <v>Add</v>
      </c>
      <c r="J34">
        <f t="shared" si="1"/>
        <v>33</v>
      </c>
    </row>
    <row r="35" spans="1:10" x14ac:dyDescent="0.25">
      <c r="A35" s="1">
        <f t="shared" ref="A35:A42" si="7">DATE(2024,7,19)</f>
        <v>45492</v>
      </c>
      <c r="B35" s="35">
        <f>TIME(8,55,0)</f>
        <v>0.37152777777777779</v>
      </c>
      <c r="C35" t="str">
        <f>Inventory!A122</f>
        <v>Kinangop Fresh Milk 500ml</v>
      </c>
      <c r="D35">
        <v>3</v>
      </c>
      <c r="E35">
        <v>55</v>
      </c>
      <c r="F35">
        <f t="shared" si="6"/>
        <v>165</v>
      </c>
      <c r="G35" s="1">
        <f>DATE(2024,7,21)</f>
        <v>45494</v>
      </c>
      <c r="H35" t="s">
        <v>247</v>
      </c>
      <c r="I35" t="str">
        <f>IF(ISNUMBER(MATCH(C35,Inventory!A34:A148,0)),"Exists","Add")</f>
        <v>Exists</v>
      </c>
      <c r="J35">
        <f t="shared" si="1"/>
        <v>34</v>
      </c>
    </row>
    <row r="36" spans="1:10" x14ac:dyDescent="0.25">
      <c r="A36" s="1">
        <f t="shared" si="7"/>
        <v>45492</v>
      </c>
      <c r="B36" s="35">
        <f>TIME(13,23,0)</f>
        <v>0.55763888888888891</v>
      </c>
      <c r="C36" t="str">
        <f>Inventory!A88</f>
        <v>Ajab 1kg</v>
      </c>
      <c r="D36">
        <v>24</v>
      </c>
      <c r="E36">
        <f>1939/24</f>
        <v>80.791666666666671</v>
      </c>
      <c r="F36">
        <v>1939</v>
      </c>
      <c r="H36" t="s">
        <v>247</v>
      </c>
      <c r="I36" t="str">
        <f>IF(ISNUMBER(MATCH(C36,Inventory!A35:A149,0)),"Exists","Add")</f>
        <v>Exists</v>
      </c>
      <c r="J36">
        <f t="shared" si="1"/>
        <v>35</v>
      </c>
    </row>
    <row r="37" spans="1:10" x14ac:dyDescent="0.25">
      <c r="A37" s="1">
        <f t="shared" si="7"/>
        <v>45492</v>
      </c>
      <c r="B37" s="35">
        <f t="shared" ref="B37:B42" si="8">TIME(13,23,0)</f>
        <v>0.55763888888888891</v>
      </c>
      <c r="C37" t="s">
        <v>252</v>
      </c>
      <c r="D37">
        <v>12</v>
      </c>
      <c r="E37">
        <f>1405/12</f>
        <v>117.08333333333333</v>
      </c>
      <c r="F37">
        <v>1405</v>
      </c>
      <c r="G37" s="1">
        <f>DATE(2024,11,1)</f>
        <v>45597</v>
      </c>
      <c r="H37" t="s">
        <v>253</v>
      </c>
      <c r="I37" t="str">
        <f>IF(ISNUMBER(MATCH(C37,Inventory!A36:A150,0)),"Exists","Add")</f>
        <v>Add</v>
      </c>
      <c r="J37">
        <f t="shared" si="1"/>
        <v>36</v>
      </c>
    </row>
    <row r="38" spans="1:10" x14ac:dyDescent="0.25">
      <c r="A38" s="1">
        <f t="shared" si="7"/>
        <v>45492</v>
      </c>
      <c r="B38" s="35">
        <f t="shared" si="8"/>
        <v>0.55763888888888891</v>
      </c>
      <c r="C38" t="str">
        <f>Inventory!A71</f>
        <v>Indomie chicken</v>
      </c>
      <c r="D38">
        <v>20</v>
      </c>
      <c r="E38">
        <f>755/20</f>
        <v>37.75</v>
      </c>
      <c r="F38">
        <v>755</v>
      </c>
      <c r="H38" t="s">
        <v>253</v>
      </c>
      <c r="I38" t="str">
        <f>IF(ISNUMBER(MATCH(C38,Inventory!A37:A151,0)),"Exists","Add")</f>
        <v>Exists</v>
      </c>
      <c r="J38">
        <f t="shared" si="1"/>
        <v>37</v>
      </c>
    </row>
    <row r="39" spans="1:10" x14ac:dyDescent="0.25">
      <c r="A39" s="1">
        <f t="shared" si="7"/>
        <v>45492</v>
      </c>
      <c r="B39" s="35">
        <f t="shared" si="8"/>
        <v>0.55763888888888891</v>
      </c>
      <c r="C39" t="str">
        <f>Inventory!A70</f>
        <v>Indomie beef</v>
      </c>
      <c r="D39">
        <v>20</v>
      </c>
      <c r="E39">
        <f>755/20</f>
        <v>37.75</v>
      </c>
      <c r="F39">
        <v>755</v>
      </c>
      <c r="H39" t="s">
        <v>253</v>
      </c>
      <c r="I39" t="str">
        <f>IF(ISNUMBER(MATCH(C39,Inventory!A38:A152,0)),"Exists","Add")</f>
        <v>Exists</v>
      </c>
      <c r="J39">
        <f t="shared" si="1"/>
        <v>38</v>
      </c>
    </row>
    <row r="40" spans="1:10" x14ac:dyDescent="0.25">
      <c r="A40" s="1">
        <f t="shared" si="7"/>
        <v>45492</v>
      </c>
      <c r="B40" s="35">
        <f t="shared" si="8"/>
        <v>0.55763888888888891</v>
      </c>
      <c r="C40" t="str">
        <f>Inventory!A97</f>
        <v>Softcare pads</v>
      </c>
      <c r="D40">
        <v>3</v>
      </c>
      <c r="E40">
        <v>66</v>
      </c>
      <c r="F40">
        <f t="shared" si="6"/>
        <v>198</v>
      </c>
      <c r="G40" s="1">
        <f>DATE(2027,7,17)</f>
        <v>46585</v>
      </c>
      <c r="H40" t="s">
        <v>253</v>
      </c>
      <c r="I40" t="str">
        <f>IF(ISNUMBER(MATCH(C40,Inventory!A39:A153,0)),"Exists","Add")</f>
        <v>Exists</v>
      </c>
      <c r="J40">
        <f t="shared" si="1"/>
        <v>39</v>
      </c>
    </row>
    <row r="41" spans="1:10" x14ac:dyDescent="0.25">
      <c r="A41" s="1">
        <f t="shared" si="7"/>
        <v>45492</v>
      </c>
      <c r="B41" s="35">
        <f t="shared" si="8"/>
        <v>0.55763888888888891</v>
      </c>
      <c r="C41" t="s">
        <v>224</v>
      </c>
      <c r="D41">
        <v>2</v>
      </c>
      <c r="E41">
        <v>106</v>
      </c>
      <c r="F41">
        <f t="shared" si="6"/>
        <v>212</v>
      </c>
      <c r="G41" s="1">
        <f>DATE(2026,7,6)</f>
        <v>46209</v>
      </c>
      <c r="H41" t="s">
        <v>253</v>
      </c>
      <c r="I41" t="str">
        <f>IF(ISNUMBER(MATCH(C41,Inventory!A40:A154,0)),"Exists","Add")</f>
        <v>Add</v>
      </c>
      <c r="J41">
        <f t="shared" si="1"/>
        <v>40</v>
      </c>
    </row>
    <row r="42" spans="1:10" x14ac:dyDescent="0.25">
      <c r="A42" s="1">
        <f t="shared" si="7"/>
        <v>45492</v>
      </c>
      <c r="B42" s="35">
        <f t="shared" si="8"/>
        <v>0.55763888888888891</v>
      </c>
      <c r="C42" t="s">
        <v>254</v>
      </c>
      <c r="D42">
        <v>2</v>
      </c>
      <c r="E42">
        <v>155</v>
      </c>
      <c r="F42">
        <f t="shared" si="6"/>
        <v>310</v>
      </c>
      <c r="G42" s="1">
        <f>DATE(2029,1,4)</f>
        <v>47122</v>
      </c>
      <c r="H42" t="s">
        <v>253</v>
      </c>
      <c r="I42" t="str">
        <f>IF(ISNUMBER(MATCH(C42,Inventory!A41:A155,0)),"Exists","Add")</f>
        <v>Add</v>
      </c>
      <c r="J42">
        <f t="shared" si="1"/>
        <v>41</v>
      </c>
    </row>
    <row r="43" spans="1:10" x14ac:dyDescent="0.25">
      <c r="A43" s="1">
        <f>DATE(2024,7,22)</f>
        <v>45495</v>
      </c>
      <c r="B43" s="35">
        <f>TIME(8,5,0)</f>
        <v>0.33680555555555558</v>
      </c>
      <c r="C43" t="str">
        <f>Inventory!A30</f>
        <v>BB Bread 400g</v>
      </c>
      <c r="D43">
        <v>3</v>
      </c>
      <c r="E43">
        <v>60</v>
      </c>
      <c r="F43">
        <f>Table5[[#This Row],[qty]]*Table5[[#This Row],[bp]]</f>
        <v>180</v>
      </c>
      <c r="H43" t="s">
        <v>247</v>
      </c>
      <c r="I43" t="str">
        <f>IF(ISNUMBER(MATCH(C43,Inventory!A42:A156,0)),"Exists","Add")</f>
        <v>Add</v>
      </c>
      <c r="J43">
        <f t="shared" si="1"/>
        <v>42</v>
      </c>
    </row>
    <row r="44" spans="1:10" x14ac:dyDescent="0.25">
      <c r="A44" s="1">
        <f t="shared" ref="A44:A51" si="9">DATE(2024,7,22)</f>
        <v>45495</v>
      </c>
      <c r="B44" s="35">
        <f>TIME(8,5,0)</f>
        <v>0.33680555555555558</v>
      </c>
      <c r="C44" t="str">
        <f>Inventory!A31</f>
        <v>BB Bread 200g</v>
      </c>
      <c r="D44">
        <v>2</v>
      </c>
      <c r="E44">
        <f>65/Table5[[#This Row],[qty]]</f>
        <v>32.5</v>
      </c>
      <c r="F44">
        <f>Table5[[#This Row],[qty]]*Table5[[#This Row],[bp]]</f>
        <v>65</v>
      </c>
      <c r="H44" t="s">
        <v>247</v>
      </c>
      <c r="I44" t="str">
        <f>IF(ISNUMBER(MATCH(C44,Inventory!A43:A157,0)),"Exists","Add")</f>
        <v>Add</v>
      </c>
      <c r="J44">
        <f t="shared" si="1"/>
        <v>43</v>
      </c>
    </row>
    <row r="45" spans="1:10" x14ac:dyDescent="0.25">
      <c r="A45" s="1">
        <f t="shared" si="9"/>
        <v>45495</v>
      </c>
      <c r="B45" s="35">
        <f>TIME(8,5,0)</f>
        <v>0.33680555555555558</v>
      </c>
      <c r="C45" t="str">
        <f>Inventory!A122</f>
        <v>Kinangop Fresh Milk 500ml</v>
      </c>
      <c r="D45">
        <v>5</v>
      </c>
      <c r="E45">
        <v>55</v>
      </c>
      <c r="F45">
        <f>Table5[[#This Row],[qty]]*Table5[[#This Row],[bp]]</f>
        <v>275</v>
      </c>
      <c r="H45" t="s">
        <v>247</v>
      </c>
      <c r="I45" t="str">
        <f>IF(ISNUMBER(MATCH(C45,Inventory!A44:A158,0)),"Exists","Add")</f>
        <v>Exists</v>
      </c>
      <c r="J45">
        <f t="shared" si="1"/>
        <v>44</v>
      </c>
    </row>
    <row r="46" spans="1:10" x14ac:dyDescent="0.25">
      <c r="A46" s="1">
        <f t="shared" si="9"/>
        <v>45495</v>
      </c>
      <c r="B46" s="35">
        <f>TIME(12,32,0)</f>
        <v>0.52222222222222225</v>
      </c>
      <c r="C46" t="str">
        <f>Inventory!A24</f>
        <v>Brookside milk 500ml</v>
      </c>
      <c r="D46">
        <v>24</v>
      </c>
      <c r="E46">
        <f>710/12</f>
        <v>59.166666666666664</v>
      </c>
      <c r="F46">
        <f>Table5[[#This Row],[qty]]*Table5[[#This Row],[bp]]</f>
        <v>1420</v>
      </c>
      <c r="H46" t="s">
        <v>253</v>
      </c>
      <c r="I46" t="str">
        <f>IF(ISNUMBER(MATCH(C46,Inventory!A45:A159,0)),"Exists","Add")</f>
        <v>Add</v>
      </c>
      <c r="J46">
        <f t="shared" si="1"/>
        <v>45</v>
      </c>
    </row>
    <row r="47" spans="1:10" x14ac:dyDescent="0.25">
      <c r="A47" s="1">
        <f t="shared" si="9"/>
        <v>45495</v>
      </c>
      <c r="B47" s="35">
        <f>TIME(12,32,0)</f>
        <v>0.52222222222222225</v>
      </c>
      <c r="C47" t="str">
        <f>Inventory!A22</f>
        <v>Brookside Lala Sweetened</v>
      </c>
      <c r="D47">
        <v>4</v>
      </c>
      <c r="E47">
        <v>93</v>
      </c>
      <c r="F47">
        <f>Table5[[#This Row],[qty]]*Table5[[#This Row],[bp]]</f>
        <v>372</v>
      </c>
      <c r="H47" t="s">
        <v>253</v>
      </c>
      <c r="I47" t="str">
        <f>IF(ISNUMBER(MATCH(C47,Inventory!A46:A160,0)),"Exists","Add")</f>
        <v>Add</v>
      </c>
      <c r="J47">
        <f t="shared" si="1"/>
        <v>46</v>
      </c>
    </row>
    <row r="48" spans="1:10" x14ac:dyDescent="0.25">
      <c r="A48" s="1">
        <f t="shared" si="9"/>
        <v>45495</v>
      </c>
      <c r="B48" s="35">
        <f>TIME(12,32,0)</f>
        <v>0.52222222222222225</v>
      </c>
      <c r="C48" t="str">
        <f>Inventory!A21</f>
        <v>Brookside Lala Natural</v>
      </c>
      <c r="D48">
        <v>4</v>
      </c>
      <c r="E48">
        <v>87</v>
      </c>
      <c r="F48">
        <f>Table5[[#This Row],[qty]]*Table5[[#This Row],[bp]]</f>
        <v>348</v>
      </c>
      <c r="H48" t="s">
        <v>253</v>
      </c>
      <c r="I48" t="str">
        <f>IF(ISNUMBER(MATCH(C48,Inventory!A47:A161,0)),"Exists","Add")</f>
        <v>Add</v>
      </c>
      <c r="J48">
        <f t="shared" si="1"/>
        <v>47</v>
      </c>
    </row>
    <row r="49" spans="1:10" x14ac:dyDescent="0.25">
      <c r="A49" s="1">
        <f t="shared" si="9"/>
        <v>45495</v>
      </c>
      <c r="B49" s="35">
        <f>TIME(12,35,0)</f>
        <v>0.52430555555555558</v>
      </c>
      <c r="C49" t="str">
        <f>Inventory!A171</f>
        <v>Coconut Cakes</v>
      </c>
      <c r="D49">
        <v>24</v>
      </c>
      <c r="E49">
        <f>200/Table5[[#This Row],[qty]]</f>
        <v>8.3333333333333339</v>
      </c>
      <c r="F49">
        <f t="shared" si="6"/>
        <v>200</v>
      </c>
      <c r="H49" t="s">
        <v>247</v>
      </c>
      <c r="I49" t="str">
        <f>IF(ISNUMBER(MATCH(C49,Inventory!A48:A162,0)),"Exists","Add")</f>
        <v>Add</v>
      </c>
      <c r="J49">
        <f t="shared" si="1"/>
        <v>48</v>
      </c>
    </row>
    <row r="50" spans="1:10" x14ac:dyDescent="0.25">
      <c r="A50" s="1">
        <f t="shared" si="9"/>
        <v>45495</v>
      </c>
      <c r="B50" s="35">
        <f>TIME(12,35,0)</f>
        <v>0.52430555555555558</v>
      </c>
      <c r="C50" t="str">
        <f>Inventory!A132</f>
        <v>Festive Bread 400g</v>
      </c>
      <c r="D50">
        <v>3</v>
      </c>
      <c r="E50">
        <v>60</v>
      </c>
      <c r="F50">
        <f t="shared" si="6"/>
        <v>180</v>
      </c>
      <c r="H50" t="s">
        <v>247</v>
      </c>
      <c r="I50" t="str">
        <f>IF(ISNUMBER(MATCH(C50,Inventory!A49:A163,0)),"Exists","Add")</f>
        <v>Exists</v>
      </c>
      <c r="J50">
        <f t="shared" si="1"/>
        <v>49</v>
      </c>
    </row>
    <row r="51" spans="1:10" x14ac:dyDescent="0.25">
      <c r="A51" s="1">
        <f t="shared" si="9"/>
        <v>45495</v>
      </c>
      <c r="B51" s="35">
        <f>TIME(12,35,0)</f>
        <v>0.52430555555555558</v>
      </c>
      <c r="C51" t="str">
        <f>Inventory!A32</f>
        <v>Festive 600g</v>
      </c>
      <c r="D51">
        <v>1</v>
      </c>
      <c r="E51">
        <v>90</v>
      </c>
      <c r="F51">
        <f t="shared" si="6"/>
        <v>90</v>
      </c>
      <c r="H51" t="s">
        <v>247</v>
      </c>
      <c r="I51" t="str">
        <f>IF(ISNUMBER(MATCH(C51,Inventory!A50:A164,0)),"Exists","Add")</f>
        <v>Add</v>
      </c>
      <c r="J51">
        <f t="shared" si="1"/>
        <v>50</v>
      </c>
    </row>
    <row r="52" spans="1:10" x14ac:dyDescent="0.25">
      <c r="A52" s="1">
        <f>DATE(2024,7,24)</f>
        <v>45497</v>
      </c>
      <c r="B52" s="35">
        <f>TIME(8,25,0)</f>
        <v>0.35069444444444442</v>
      </c>
      <c r="C52" t="str">
        <f>Inventory!A30</f>
        <v>BB Bread 400g</v>
      </c>
      <c r="D52">
        <v>5</v>
      </c>
      <c r="E52">
        <v>60</v>
      </c>
      <c r="F52">
        <f t="shared" si="6"/>
        <v>300</v>
      </c>
      <c r="H52" t="s">
        <v>247</v>
      </c>
      <c r="I52" t="str">
        <f>IF(ISNUMBER(MATCH(C52,Inventory!A51:A165,0)),"Exists","Add")</f>
        <v>Add</v>
      </c>
      <c r="J52">
        <f t="shared" si="1"/>
        <v>51</v>
      </c>
    </row>
    <row r="53" spans="1:10" x14ac:dyDescent="0.25">
      <c r="A53" s="1">
        <f>DATE(2024,7,24)</f>
        <v>45497</v>
      </c>
      <c r="B53" s="35">
        <f>TIME(8,25,0)</f>
        <v>0.35069444444444442</v>
      </c>
      <c r="C53" t="str">
        <f>Inventory!A122</f>
        <v>Kinangop Fresh Milk 500ml</v>
      </c>
      <c r="D53">
        <v>5</v>
      </c>
      <c r="E53">
        <v>5</v>
      </c>
      <c r="F53">
        <f t="shared" si="6"/>
        <v>25</v>
      </c>
      <c r="H53" t="s">
        <v>247</v>
      </c>
      <c r="I53" t="str">
        <f>IF(ISNUMBER(MATCH(C53,Inventory!A52:A166,0)),"Exists","Add")</f>
        <v>Exists</v>
      </c>
      <c r="J53">
        <f t="shared" si="1"/>
        <v>52</v>
      </c>
    </row>
    <row r="54" spans="1:10" x14ac:dyDescent="0.25">
      <c r="A54" s="1">
        <f>DATE(2024,7,24)</f>
        <v>45497</v>
      </c>
      <c r="B54" s="35">
        <f>TIME(12,6,0)</f>
        <v>0.50416666666666665</v>
      </c>
      <c r="C54" t="str">
        <f>Inventory!A132</f>
        <v>Festive Bread 400g</v>
      </c>
      <c r="D54">
        <v>5</v>
      </c>
      <c r="E54">
        <v>60</v>
      </c>
      <c r="F54">
        <f t="shared" si="6"/>
        <v>300</v>
      </c>
      <c r="H54" t="s">
        <v>247</v>
      </c>
      <c r="I54" t="str">
        <f>IF(ISNUMBER(MATCH(C54,Inventory!A53:A167,0)),"Exists","Add")</f>
        <v>Exists</v>
      </c>
      <c r="J54">
        <f t="shared" si="1"/>
        <v>53</v>
      </c>
    </row>
    <row r="55" spans="1:10" x14ac:dyDescent="0.25">
      <c r="A55" s="1">
        <f>DATE(2024,7,24)</f>
        <v>45497</v>
      </c>
      <c r="B55" s="35">
        <f>TIME(12,6,0)</f>
        <v>0.50416666666666665</v>
      </c>
      <c r="C55" t="str">
        <f>Inventory!A33</f>
        <v>Festive 800g</v>
      </c>
      <c r="D55">
        <v>2</v>
      </c>
      <c r="E55">
        <v>120</v>
      </c>
      <c r="F55">
        <f t="shared" si="6"/>
        <v>240</v>
      </c>
      <c r="H55" t="s">
        <v>247</v>
      </c>
      <c r="I55" t="str">
        <f>IF(ISNUMBER(MATCH(C55,Inventory!A54:A168,0)),"Exists","Add")</f>
        <v>Add</v>
      </c>
      <c r="J55">
        <f t="shared" si="1"/>
        <v>54</v>
      </c>
    </row>
    <row r="56" spans="1:10" x14ac:dyDescent="0.25">
      <c r="A56" s="1">
        <f>DATE(2024,7,25)</f>
        <v>45498</v>
      </c>
      <c r="B56" s="35">
        <f>TIME(8,49,0)</f>
        <v>0.36736111111111114</v>
      </c>
      <c r="C56" t="str">
        <f>Inventory!A122</f>
        <v>Kinangop Fresh Milk 500ml</v>
      </c>
      <c r="D56">
        <v>5</v>
      </c>
      <c r="E56">
        <v>55</v>
      </c>
      <c r="F56">
        <f t="shared" si="6"/>
        <v>275</v>
      </c>
      <c r="H56" t="s">
        <v>247</v>
      </c>
      <c r="I56" t="str">
        <f>IF(ISNUMBER(MATCH(C56,Inventory!A55:A169,0)),"Exists","Add")</f>
        <v>Exists</v>
      </c>
      <c r="J56">
        <f t="shared" si="1"/>
        <v>55</v>
      </c>
    </row>
    <row r="57" spans="1:10" x14ac:dyDescent="0.25">
      <c r="A57" s="1">
        <f>DATE(2024,7,25)</f>
        <v>45498</v>
      </c>
      <c r="B57" s="35">
        <f>TIME(10,21,0)</f>
        <v>0.43125000000000002</v>
      </c>
      <c r="C57" t="str">
        <f>Inventory!A32</f>
        <v>Festive 600g</v>
      </c>
      <c r="D57">
        <v>2</v>
      </c>
      <c r="E57">
        <v>90</v>
      </c>
      <c r="F57">
        <f t="shared" si="6"/>
        <v>180</v>
      </c>
      <c r="H57" t="s">
        <v>247</v>
      </c>
      <c r="I57" t="str">
        <f>IF(ISNUMBER(MATCH(C57,Inventory!A56:A170,0)),"Exists","Add")</f>
        <v>Add</v>
      </c>
      <c r="J57">
        <f t="shared" si="1"/>
        <v>56</v>
      </c>
    </row>
    <row r="58" spans="1:10" x14ac:dyDescent="0.25">
      <c r="A58" s="1">
        <f t="shared" ref="A58:A84" si="10">DATE(2024,7,25)</f>
        <v>45498</v>
      </c>
      <c r="B58" s="35">
        <f>TIME(13,8,0)</f>
        <v>0.54722222222222228</v>
      </c>
      <c r="C58" t="str">
        <f>Inventory!A61</f>
        <v>Bigdaddy</v>
      </c>
      <c r="D58">
        <v>50</v>
      </c>
      <c r="E58">
        <f>Table5[[#This Row],[total_spent]]/Table5[[#This Row],[qty]]</f>
        <v>5.76</v>
      </c>
      <c r="F58">
        <v>288</v>
      </c>
      <c r="H58" t="s">
        <v>247</v>
      </c>
      <c r="I58" t="str">
        <f>IF(ISNUMBER(MATCH(C58,Inventory!A57:A171,0)),"Exists","Add")</f>
        <v>Exists</v>
      </c>
      <c r="J58">
        <f t="shared" si="1"/>
        <v>57</v>
      </c>
    </row>
    <row r="59" spans="1:10" x14ac:dyDescent="0.25">
      <c r="A59" s="1">
        <f t="shared" si="10"/>
        <v>45498</v>
      </c>
      <c r="B59" s="35">
        <f t="shared" ref="B59:B84" si="11">TIME(13,8,0)</f>
        <v>0.54722222222222228</v>
      </c>
      <c r="C59" t="str">
        <f>Inventory!A123</f>
        <v>Mt Kenya milk 200ml</v>
      </c>
      <c r="D59">
        <v>21</v>
      </c>
      <c r="E59">
        <f>Table5[[#This Row],[total_spent]]/Table5[[#This Row],[qty]]</f>
        <v>22.952380952380953</v>
      </c>
      <c r="F59">
        <v>482</v>
      </c>
      <c r="H59" t="s">
        <v>247</v>
      </c>
      <c r="I59" t="str">
        <f>IF(ISNUMBER(MATCH(C59,Inventory!A58:A172,0)),"Exists","Add")</f>
        <v>Exists</v>
      </c>
      <c r="J59">
        <f t="shared" si="1"/>
        <v>58</v>
      </c>
    </row>
    <row r="60" spans="1:10" x14ac:dyDescent="0.25">
      <c r="A60" s="1">
        <f t="shared" si="10"/>
        <v>45498</v>
      </c>
      <c r="B60" s="35">
        <f t="shared" si="11"/>
        <v>0.54722222222222228</v>
      </c>
      <c r="C60" t="str">
        <f>Inventory!A126</f>
        <v>Royco cubes</v>
      </c>
      <c r="D60">
        <v>2</v>
      </c>
      <c r="E60">
        <f>Table5[[#This Row],[total_spent]]/Table5[[#This Row],[qty]]</f>
        <v>122</v>
      </c>
      <c r="F60">
        <v>244</v>
      </c>
      <c r="H60" t="s">
        <v>247</v>
      </c>
      <c r="I60" t="str">
        <f>IF(ISNUMBER(MATCH(C60,Inventory!A59:A173,0)),"Exists","Add")</f>
        <v>Exists</v>
      </c>
      <c r="J60">
        <f t="shared" si="1"/>
        <v>59</v>
      </c>
    </row>
    <row r="61" spans="1:10" x14ac:dyDescent="0.25">
      <c r="A61" s="1">
        <f t="shared" si="10"/>
        <v>45498</v>
      </c>
      <c r="B61" s="35">
        <f t="shared" si="11"/>
        <v>0.54722222222222228</v>
      </c>
      <c r="C61" t="str">
        <f>Inventory!A48</f>
        <v>Ginger Bisquit</v>
      </c>
      <c r="D61">
        <v>1</v>
      </c>
      <c r="E61">
        <f>Table5[[#This Row],[total_spent]]/Table5[[#This Row],[qty]]</f>
        <v>255</v>
      </c>
      <c r="F61">
        <v>255</v>
      </c>
      <c r="H61" t="s">
        <v>247</v>
      </c>
      <c r="I61" t="str">
        <f>IF(ISNUMBER(MATCH(C61,Inventory!A60:A174,0)),"Exists","Add")</f>
        <v>Add</v>
      </c>
      <c r="J61">
        <f t="shared" si="1"/>
        <v>60</v>
      </c>
    </row>
    <row r="62" spans="1:10" x14ac:dyDescent="0.25">
      <c r="A62" s="1">
        <f t="shared" si="10"/>
        <v>45498</v>
      </c>
      <c r="B62" s="35">
        <f t="shared" si="11"/>
        <v>0.54722222222222228</v>
      </c>
      <c r="C62" t="str">
        <f>Inventory!A46</f>
        <v>Nuvita Bisquit</v>
      </c>
      <c r="D62">
        <v>1</v>
      </c>
      <c r="E62">
        <f>Table5[[#This Row],[total_spent]]/Table5[[#This Row],[qty]]</f>
        <v>245</v>
      </c>
      <c r="F62">
        <v>245</v>
      </c>
      <c r="H62" t="s">
        <v>247</v>
      </c>
      <c r="I62" t="str">
        <f>IF(ISNUMBER(MATCH(C62,Inventory!A61:A175,0)),"Exists","Add")</f>
        <v>Add</v>
      </c>
      <c r="J62">
        <f t="shared" si="1"/>
        <v>61</v>
      </c>
    </row>
    <row r="63" spans="1:10" x14ac:dyDescent="0.25">
      <c r="A63" s="1">
        <f t="shared" si="10"/>
        <v>45498</v>
      </c>
      <c r="B63" s="35">
        <f t="shared" si="11"/>
        <v>0.54722222222222228</v>
      </c>
      <c r="C63" t="str">
        <f>Inventory!A12</f>
        <v>predator</v>
      </c>
      <c r="D63">
        <v>1</v>
      </c>
      <c r="E63">
        <f>Table5[[#This Row],[total_spent]]/Table5[[#This Row],[qty]]</f>
        <v>637</v>
      </c>
      <c r="F63">
        <v>637</v>
      </c>
      <c r="H63" t="s">
        <v>247</v>
      </c>
      <c r="I63" t="str">
        <f>IF(ISNUMBER(MATCH(C63,Inventory!A62:A176,0)),"Exists","Add")</f>
        <v>Add</v>
      </c>
      <c r="J63">
        <f t="shared" si="1"/>
        <v>62</v>
      </c>
    </row>
    <row r="64" spans="1:10" x14ac:dyDescent="0.25">
      <c r="A64" s="1">
        <f t="shared" si="10"/>
        <v>45498</v>
      </c>
      <c r="B64" s="35">
        <f t="shared" si="11"/>
        <v>0.54722222222222228</v>
      </c>
      <c r="C64" t="str">
        <f>Inventory!A143</f>
        <v>Royco Beef Mchuzi Mix</v>
      </c>
      <c r="D64">
        <v>12</v>
      </c>
      <c r="E64">
        <f>Table5[[#This Row],[total_spent]]/Table5[[#This Row],[qty]]</f>
        <v>9.3333333333333339</v>
      </c>
      <c r="F64">
        <v>112</v>
      </c>
      <c r="H64" t="s">
        <v>247</v>
      </c>
      <c r="I64" t="str">
        <f>IF(ISNUMBER(MATCH(C64,Inventory!A63:A177,0)),"Exists","Add")</f>
        <v>Exists</v>
      </c>
      <c r="J64">
        <f t="shared" si="1"/>
        <v>63</v>
      </c>
    </row>
    <row r="65" spans="1:10" x14ac:dyDescent="0.25">
      <c r="A65" s="1">
        <f t="shared" si="10"/>
        <v>45498</v>
      </c>
      <c r="B65" s="35">
        <f t="shared" si="11"/>
        <v>0.54722222222222228</v>
      </c>
      <c r="C65" t="s">
        <v>255</v>
      </c>
      <c r="D65">
        <v>12</v>
      </c>
      <c r="E65">
        <f>Table5[[#This Row],[total_spent]]/Table5[[#This Row],[qty]]</f>
        <v>10.166666666666666</v>
      </c>
      <c r="F65">
        <v>122</v>
      </c>
      <c r="H65" t="s">
        <v>247</v>
      </c>
      <c r="I65" t="str">
        <f>IF(ISNUMBER(MATCH(C65,Inventory!A64:A178,0)),"Exists","Add")</f>
        <v>Add</v>
      </c>
      <c r="J65">
        <f t="shared" si="1"/>
        <v>64</v>
      </c>
    </row>
    <row r="66" spans="1:10" x14ac:dyDescent="0.25">
      <c r="A66" s="1">
        <f t="shared" si="10"/>
        <v>45498</v>
      </c>
      <c r="B66" s="35">
        <f t="shared" si="11"/>
        <v>0.54722222222222228</v>
      </c>
      <c r="C66" t="str">
        <f>Inventory!A23</f>
        <v>Mt kenya milk 500ml</v>
      </c>
      <c r="D66">
        <v>36</v>
      </c>
      <c r="E66">
        <f>Table5[[#This Row],[total_spent]]/Table5[[#This Row],[qty]]</f>
        <v>48.277777777777779</v>
      </c>
      <c r="F66">
        <f>869*2</f>
        <v>1738</v>
      </c>
      <c r="H66" t="s">
        <v>247</v>
      </c>
      <c r="I66" t="str">
        <f>IF(ISNUMBER(MATCH(C66,Inventory!A65:A179,0)),"Exists","Add")</f>
        <v>Add</v>
      </c>
      <c r="J66">
        <f t="shared" si="1"/>
        <v>65</v>
      </c>
    </row>
    <row r="67" spans="1:10" x14ac:dyDescent="0.25">
      <c r="A67" s="1">
        <f t="shared" si="10"/>
        <v>45498</v>
      </c>
      <c r="B67" s="35">
        <f t="shared" si="11"/>
        <v>0.54722222222222228</v>
      </c>
      <c r="C67" t="str">
        <f>Inventory!A135</f>
        <v>Safaricom 20 Credit</v>
      </c>
      <c r="D67">
        <v>20</v>
      </c>
      <c r="E67">
        <f>Table5[[#This Row],[total_spent]]/Table5[[#This Row],[qty]]</f>
        <v>18.5</v>
      </c>
      <c r="F67">
        <f>185*2</f>
        <v>370</v>
      </c>
      <c r="H67" t="s">
        <v>248</v>
      </c>
      <c r="I67" t="str">
        <f>IF(ISNUMBER(MATCH(C67,Inventory!A66:A180,0)),"Exists","Add")</f>
        <v>Exists</v>
      </c>
      <c r="J67">
        <f t="shared" si="1"/>
        <v>66</v>
      </c>
    </row>
    <row r="68" spans="1:10" x14ac:dyDescent="0.25">
      <c r="A68" s="1">
        <f t="shared" si="10"/>
        <v>45498</v>
      </c>
      <c r="B68" s="35">
        <f t="shared" si="11"/>
        <v>0.54722222222222228</v>
      </c>
      <c r="C68" t="str">
        <f>Inventory!A136</f>
        <v>Safaricom 10 Credit</v>
      </c>
      <c r="D68">
        <v>10</v>
      </c>
      <c r="E68">
        <f>Table5[[#This Row],[total_spent]]/Table5[[#This Row],[qty]]</f>
        <v>9</v>
      </c>
      <c r="F68">
        <v>90</v>
      </c>
      <c r="H68" t="s">
        <v>248</v>
      </c>
      <c r="I68" t="str">
        <f>IF(ISNUMBER(MATCH(C68,Inventory!A67:A181,0)),"Exists","Add")</f>
        <v>Exists</v>
      </c>
      <c r="J68">
        <f t="shared" ref="J68:J131" si="12">J67+1</f>
        <v>67</v>
      </c>
    </row>
    <row r="69" spans="1:10" x14ac:dyDescent="0.25">
      <c r="A69" s="1">
        <f t="shared" si="10"/>
        <v>45498</v>
      </c>
      <c r="B69" s="35">
        <f t="shared" si="11"/>
        <v>0.54722222222222228</v>
      </c>
      <c r="C69" t="str">
        <f>Inventory!A137</f>
        <v>Safaricom 50 Credit</v>
      </c>
      <c r="D69">
        <v>10</v>
      </c>
      <c r="E69">
        <f>Table5[[#This Row],[total_spent]]/Table5[[#This Row],[qty]]</f>
        <v>48</v>
      </c>
      <c r="F69">
        <v>480</v>
      </c>
      <c r="H69" t="s">
        <v>248</v>
      </c>
      <c r="I69" t="str">
        <f>IF(ISNUMBER(MATCH(C69,Inventory!A68:A182,0)),"Exists","Add")</f>
        <v>Exists</v>
      </c>
      <c r="J69">
        <f t="shared" si="12"/>
        <v>68</v>
      </c>
    </row>
    <row r="70" spans="1:10" x14ac:dyDescent="0.25">
      <c r="A70" s="1">
        <f t="shared" si="10"/>
        <v>45498</v>
      </c>
      <c r="B70" s="35">
        <f t="shared" si="11"/>
        <v>0.54722222222222228</v>
      </c>
      <c r="C70" t="str">
        <f>Inventory!A138</f>
        <v>Airtel 20 Credit</v>
      </c>
      <c r="D70">
        <v>20</v>
      </c>
      <c r="E70">
        <f>Table5[[#This Row],[total_spent]]/Table5[[#This Row],[qty]]</f>
        <v>18.5</v>
      </c>
      <c r="F70">
        <v>370</v>
      </c>
      <c r="H70" t="s">
        <v>248</v>
      </c>
      <c r="I70" t="str">
        <f>IF(ISNUMBER(MATCH(C70,Inventory!A69:A183,0)),"Exists","Add")</f>
        <v>Exists</v>
      </c>
      <c r="J70">
        <f t="shared" si="12"/>
        <v>69</v>
      </c>
    </row>
    <row r="71" spans="1:10" x14ac:dyDescent="0.25">
      <c r="A71" s="1">
        <f t="shared" si="10"/>
        <v>45498</v>
      </c>
      <c r="B71" s="35">
        <f t="shared" si="11"/>
        <v>0.54722222222222228</v>
      </c>
      <c r="C71" t="str">
        <f>Inventory!A139</f>
        <v>Airtel 10 Credit</v>
      </c>
      <c r="D71">
        <v>10</v>
      </c>
      <c r="E71">
        <f>Table5[[#This Row],[total_spent]]/Table5[[#This Row],[qty]]</f>
        <v>9</v>
      </c>
      <c r="F71">
        <v>90</v>
      </c>
      <c r="H71" t="s">
        <v>248</v>
      </c>
      <c r="I71" t="str">
        <f>IF(ISNUMBER(MATCH(C71,Inventory!A70:A184,0)),"Exists","Add")</f>
        <v>Exists</v>
      </c>
      <c r="J71">
        <f t="shared" si="12"/>
        <v>70</v>
      </c>
    </row>
    <row r="72" spans="1:10" x14ac:dyDescent="0.25">
      <c r="A72" s="1">
        <f t="shared" si="10"/>
        <v>45498</v>
      </c>
      <c r="B72" s="35">
        <f t="shared" si="11"/>
        <v>0.54722222222222228</v>
      </c>
      <c r="C72" t="str">
        <f>Inventory!A140</f>
        <v>Airtel 50 Credit</v>
      </c>
      <c r="D72">
        <v>10</v>
      </c>
      <c r="E72">
        <f>Table5[[#This Row],[total_spent]]/Table5[[#This Row],[qty]]</f>
        <v>48</v>
      </c>
      <c r="F72">
        <v>480</v>
      </c>
      <c r="H72" t="s">
        <v>248</v>
      </c>
      <c r="I72" t="str">
        <f>IF(ISNUMBER(MATCH(C72,Inventory!A71:A185,0)),"Exists","Add")</f>
        <v>Exists</v>
      </c>
      <c r="J72">
        <f t="shared" si="12"/>
        <v>71</v>
      </c>
    </row>
    <row r="73" spans="1:10" x14ac:dyDescent="0.25">
      <c r="A73" s="1">
        <f t="shared" si="10"/>
        <v>45498</v>
      </c>
      <c r="B73" s="35">
        <f t="shared" si="11"/>
        <v>0.54722222222222228</v>
      </c>
      <c r="C73" t="str">
        <f>Inventory!A84</f>
        <v>Safari</v>
      </c>
      <c r="D73">
        <v>80</v>
      </c>
      <c r="E73">
        <f>Table5[[#This Row],[total_spent]]/Table5[[#This Row],[qty]]</f>
        <v>8.5</v>
      </c>
      <c r="F73">
        <v>680</v>
      </c>
      <c r="H73" t="s">
        <v>248</v>
      </c>
      <c r="I73" t="str">
        <f>IF(ISNUMBER(MATCH(C73,Inventory!A72:A186,0)),"Exists","Add")</f>
        <v>Exists</v>
      </c>
      <c r="J73">
        <f t="shared" si="12"/>
        <v>72</v>
      </c>
    </row>
    <row r="74" spans="1:10" x14ac:dyDescent="0.25">
      <c r="A74" s="1">
        <f t="shared" si="10"/>
        <v>45498</v>
      </c>
      <c r="B74" s="35">
        <f t="shared" si="11"/>
        <v>0.54722222222222228</v>
      </c>
      <c r="C74" t="str">
        <f>Inventory!A10</f>
        <v>afia 500ml</v>
      </c>
      <c r="D74">
        <v>12</v>
      </c>
      <c r="E74">
        <f>Table5[[#This Row],[total_spent]]/Table5[[#This Row],[qty]]</f>
        <v>70.833333333333329</v>
      </c>
      <c r="F74">
        <v>850</v>
      </c>
      <c r="H74" t="s">
        <v>248</v>
      </c>
      <c r="I74" t="str">
        <f>IF(ISNUMBER(MATCH(C74,Inventory!A73:A187,0)),"Exists","Add")</f>
        <v>Add</v>
      </c>
      <c r="J74">
        <f t="shared" si="12"/>
        <v>73</v>
      </c>
    </row>
    <row r="75" spans="1:10" x14ac:dyDescent="0.25">
      <c r="A75" s="1">
        <f t="shared" si="10"/>
        <v>45498</v>
      </c>
      <c r="B75" s="35">
        <f t="shared" si="11"/>
        <v>0.54722222222222228</v>
      </c>
      <c r="C75" t="str">
        <f>Inventory!A58</f>
        <v>Patco</v>
      </c>
      <c r="D75">
        <v>100</v>
      </c>
      <c r="E75">
        <f>Table5[[#This Row],[total_spent]]/Table5[[#This Row],[qty]]</f>
        <v>1.5</v>
      </c>
      <c r="F75">
        <v>150</v>
      </c>
      <c r="H75" t="s">
        <v>248</v>
      </c>
      <c r="I75" t="str">
        <f>IF(ISNUMBER(MATCH(C75,Inventory!A74:A188,0)),"Exists","Add")</f>
        <v>Add</v>
      </c>
      <c r="J75">
        <f t="shared" si="12"/>
        <v>74</v>
      </c>
    </row>
    <row r="76" spans="1:10" x14ac:dyDescent="0.25">
      <c r="A76" s="1">
        <f t="shared" si="10"/>
        <v>45498</v>
      </c>
      <c r="B76" s="35">
        <f t="shared" si="11"/>
        <v>0.54722222222222228</v>
      </c>
      <c r="C76" t="str">
        <f>Inventory!A65</f>
        <v>Tropical</v>
      </c>
      <c r="D76">
        <v>50</v>
      </c>
      <c r="E76">
        <f>Table5[[#This Row],[total_spent]]/Table5[[#This Row],[qty]]</f>
        <v>3.8</v>
      </c>
      <c r="F76">
        <v>190</v>
      </c>
      <c r="H76" t="s">
        <v>248</v>
      </c>
      <c r="I76" t="str">
        <f>IF(ISNUMBER(MATCH(C76,Inventory!A75:A189,0)),"Exists","Add")</f>
        <v>Add</v>
      </c>
      <c r="J76">
        <f t="shared" si="12"/>
        <v>75</v>
      </c>
    </row>
    <row r="77" spans="1:10" x14ac:dyDescent="0.25">
      <c r="A77" s="1">
        <f t="shared" si="10"/>
        <v>45498</v>
      </c>
      <c r="B77" s="35">
        <f t="shared" si="11"/>
        <v>0.54722222222222228</v>
      </c>
      <c r="C77" t="s">
        <v>256</v>
      </c>
      <c r="F77">
        <v>70</v>
      </c>
      <c r="H77" t="s">
        <v>248</v>
      </c>
      <c r="I77" t="str">
        <f>IF(ISNUMBER(MATCH(C77,Inventory!A76:A190,0)),"Exists","Add")</f>
        <v>Add</v>
      </c>
      <c r="J77">
        <f t="shared" si="12"/>
        <v>76</v>
      </c>
    </row>
    <row r="78" spans="1:10" x14ac:dyDescent="0.25">
      <c r="A78" s="1">
        <f t="shared" si="10"/>
        <v>45498</v>
      </c>
      <c r="B78" s="35">
        <f t="shared" si="11"/>
        <v>0.54722222222222228</v>
      </c>
      <c r="C78" t="s">
        <v>257</v>
      </c>
      <c r="F78">
        <v>80</v>
      </c>
      <c r="H78" t="s">
        <v>248</v>
      </c>
      <c r="I78" t="str">
        <f>IF(ISNUMBER(MATCH(C78,Inventory!A77:A191,0)),"Exists","Add")</f>
        <v>Add</v>
      </c>
      <c r="J78">
        <f t="shared" si="12"/>
        <v>77</v>
      </c>
    </row>
    <row r="79" spans="1:10" x14ac:dyDescent="0.25">
      <c r="A79" s="1">
        <f t="shared" si="10"/>
        <v>45498</v>
      </c>
      <c r="B79" s="35">
        <f t="shared" si="11"/>
        <v>0.54722222222222228</v>
      </c>
      <c r="C79" t="str">
        <f>Inventory!A167</f>
        <v>Curry Powder</v>
      </c>
      <c r="D79">
        <v>12</v>
      </c>
      <c r="E79">
        <f>Table5[[#This Row],[total_spent]]/Table5[[#This Row],[qty]]</f>
        <v>9.1666666666666661</v>
      </c>
      <c r="F79">
        <v>110</v>
      </c>
      <c r="H79" t="s">
        <v>248</v>
      </c>
      <c r="I79" t="str">
        <f>IF(ISNUMBER(MATCH(C79,Inventory!A78:A192,0)),"Exists","Add")</f>
        <v>Exists</v>
      </c>
      <c r="J79">
        <f t="shared" si="12"/>
        <v>78</v>
      </c>
    </row>
    <row r="80" spans="1:10" x14ac:dyDescent="0.25">
      <c r="A80" s="1">
        <f t="shared" si="10"/>
        <v>45498</v>
      </c>
      <c r="B80" s="35">
        <f t="shared" si="11"/>
        <v>0.54722222222222228</v>
      </c>
      <c r="C80" t="str">
        <f>Inventory!A2</f>
        <v>5ltrs water</v>
      </c>
      <c r="D80">
        <v>8</v>
      </c>
      <c r="E80">
        <f>Table5[[#This Row],[total_spent]]/Table5[[#This Row],[qty]]</f>
        <v>75</v>
      </c>
      <c r="F80">
        <v>600</v>
      </c>
      <c r="H80" t="s">
        <v>248</v>
      </c>
      <c r="I80" t="str">
        <f>IF(ISNUMBER(MATCH(C80,Inventory!A79:A193,0)),"Exists","Add")</f>
        <v>Add</v>
      </c>
      <c r="J80">
        <f t="shared" si="12"/>
        <v>79</v>
      </c>
    </row>
    <row r="81" spans="1:10" x14ac:dyDescent="0.25">
      <c r="A81" s="1">
        <f t="shared" si="10"/>
        <v>45498</v>
      </c>
      <c r="B81" s="35">
        <f t="shared" si="11"/>
        <v>0.54722222222222228</v>
      </c>
      <c r="C81" t="str">
        <f>Inventory!A108</f>
        <v>ariel 75g</v>
      </c>
      <c r="D81">
        <v>12</v>
      </c>
      <c r="E81">
        <f>Table5[[#This Row],[total_spent]]/Table5[[#This Row],[qty]]</f>
        <v>9.1666666666666661</v>
      </c>
      <c r="F81">
        <v>110</v>
      </c>
      <c r="H81" t="s">
        <v>248</v>
      </c>
      <c r="I81" t="str">
        <f>IF(ISNUMBER(MATCH(C81,Inventory!A80:A198,0)),"Exists","Add")</f>
        <v>Exists</v>
      </c>
      <c r="J81">
        <f t="shared" si="12"/>
        <v>80</v>
      </c>
    </row>
    <row r="82" spans="1:10" x14ac:dyDescent="0.25">
      <c r="A82" s="1">
        <f t="shared" si="10"/>
        <v>45498</v>
      </c>
      <c r="B82" s="35">
        <f t="shared" si="11"/>
        <v>0.54722222222222228</v>
      </c>
      <c r="C82" t="str">
        <f>Inventory!A26</f>
        <v>Nescafe 1.5g</v>
      </c>
      <c r="D82">
        <v>12</v>
      </c>
      <c r="E82">
        <f>Table5[[#This Row],[total_spent]]/Table5[[#This Row],[qty]]</f>
        <v>9.1666666666666661</v>
      </c>
      <c r="F82">
        <v>110</v>
      </c>
      <c r="H82" t="s">
        <v>248</v>
      </c>
      <c r="I82" t="str">
        <f>IF(ISNUMBER(MATCH(C82,Inventory!A81:A194,0)),"Exists","Add")</f>
        <v>Add</v>
      </c>
      <c r="J82">
        <f t="shared" si="12"/>
        <v>81</v>
      </c>
    </row>
    <row r="83" spans="1:10" x14ac:dyDescent="0.25">
      <c r="A83" s="1">
        <f t="shared" si="10"/>
        <v>45498</v>
      </c>
      <c r="B83" s="35">
        <f t="shared" si="11"/>
        <v>0.54722222222222228</v>
      </c>
      <c r="C83" t="s">
        <v>258</v>
      </c>
      <c r="D83">
        <v>4</v>
      </c>
      <c r="E83">
        <f>Table5[[#This Row],[total_spent]]/Table5[[#This Row],[qty]]</f>
        <v>95</v>
      </c>
      <c r="F83">
        <v>380</v>
      </c>
      <c r="H83" t="s">
        <v>248</v>
      </c>
      <c r="I83" t="str">
        <f>IF(ISNUMBER(MATCH(C83,Inventory!A82:A195,0)),"Exists","Add")</f>
        <v>Exists</v>
      </c>
      <c r="J83">
        <f t="shared" si="12"/>
        <v>82</v>
      </c>
    </row>
    <row r="84" spans="1:10" x14ac:dyDescent="0.25">
      <c r="A84" s="1">
        <f t="shared" si="10"/>
        <v>45498</v>
      </c>
      <c r="B84" s="35">
        <f t="shared" si="11"/>
        <v>0.54722222222222228</v>
      </c>
      <c r="C84" t="s">
        <v>259</v>
      </c>
      <c r="D84">
        <v>50</v>
      </c>
      <c r="E84">
        <f>Table5[[#This Row],[total_spent]]/Table5[[#This Row],[qty]]</f>
        <v>3</v>
      </c>
      <c r="F84">
        <v>150</v>
      </c>
      <c r="H84" t="s">
        <v>248</v>
      </c>
      <c r="I84" t="str">
        <f>IF(ISNUMBER(MATCH(C84,Inventory!A83:A196,0)),"Exists","Add")</f>
        <v>Add</v>
      </c>
      <c r="J84">
        <f t="shared" si="12"/>
        <v>83</v>
      </c>
    </row>
    <row r="85" spans="1:10" x14ac:dyDescent="0.25">
      <c r="A85" s="1">
        <f>DATE(2024,7,26)</f>
        <v>45499</v>
      </c>
      <c r="B85" s="35">
        <f>TIME(8,15,0)</f>
        <v>0.34375</v>
      </c>
      <c r="C85" t="str">
        <f>Inventory!A30</f>
        <v>BB Bread 400g</v>
      </c>
      <c r="D85">
        <v>4</v>
      </c>
      <c r="E85">
        <v>60</v>
      </c>
      <c r="F85">
        <f t="shared" ref="F85:F130" si="13">D85*E85</f>
        <v>240</v>
      </c>
      <c r="H85" t="s">
        <v>247</v>
      </c>
      <c r="J85">
        <f t="shared" si="12"/>
        <v>84</v>
      </c>
    </row>
    <row r="86" spans="1:10" x14ac:dyDescent="0.25">
      <c r="A86" s="1">
        <f>DATE(2024,7,26)</f>
        <v>45499</v>
      </c>
      <c r="B86" s="35">
        <f>TIME(8,15,0)</f>
        <v>0.34375</v>
      </c>
      <c r="C86" t="str">
        <f>Inventory!A31</f>
        <v>BB Bread 200g</v>
      </c>
      <c r="D86">
        <v>2</v>
      </c>
      <c r="E86">
        <f>65/2</f>
        <v>32.5</v>
      </c>
      <c r="F86">
        <f t="shared" si="13"/>
        <v>65</v>
      </c>
      <c r="H86" t="s">
        <v>247</v>
      </c>
      <c r="J86">
        <f t="shared" si="12"/>
        <v>85</v>
      </c>
    </row>
    <row r="87" spans="1:10" x14ac:dyDescent="0.25">
      <c r="A87" s="1">
        <f>DATE(2024,7,26)</f>
        <v>45499</v>
      </c>
      <c r="B87" s="35">
        <f>TIME(8,15,0)</f>
        <v>0.34375</v>
      </c>
      <c r="C87" t="str">
        <f>Inventory!A122</f>
        <v>Kinangop Fresh Milk 500ml</v>
      </c>
      <c r="D87">
        <v>5</v>
      </c>
      <c r="E87">
        <v>55</v>
      </c>
      <c r="F87">
        <f t="shared" si="13"/>
        <v>275</v>
      </c>
      <c r="H87" t="s">
        <v>247</v>
      </c>
      <c r="J87">
        <f t="shared" si="12"/>
        <v>86</v>
      </c>
    </row>
    <row r="88" spans="1:10" x14ac:dyDescent="0.25">
      <c r="A88" s="1">
        <f>DATE(2024,7,27)</f>
        <v>45500</v>
      </c>
      <c r="B88" s="35">
        <f>TIME(9,9,0)</f>
        <v>0.38124999999999998</v>
      </c>
      <c r="C88" t="str">
        <f>Inventory!A30</f>
        <v>BB Bread 400g</v>
      </c>
      <c r="D88">
        <v>4</v>
      </c>
      <c r="E88">
        <v>60</v>
      </c>
      <c r="F88">
        <f t="shared" si="13"/>
        <v>240</v>
      </c>
      <c r="G88" s="1">
        <f>DATE(2024,7,29)</f>
        <v>45502</v>
      </c>
      <c r="H88" t="s">
        <v>247</v>
      </c>
      <c r="J88">
        <f t="shared" si="12"/>
        <v>87</v>
      </c>
    </row>
    <row r="89" spans="1:10" x14ac:dyDescent="0.25">
      <c r="A89" s="1">
        <f t="shared" ref="A89:A94" si="14">DATE(2024,7,27)</f>
        <v>45500</v>
      </c>
      <c r="B89" s="35">
        <f>TIME(9,9,0)</f>
        <v>0.38124999999999998</v>
      </c>
      <c r="C89" t="str">
        <f>Inventory!A122</f>
        <v>Kinangop Fresh Milk 500ml</v>
      </c>
      <c r="D89">
        <v>5</v>
      </c>
      <c r="E89">
        <v>55</v>
      </c>
      <c r="F89">
        <f t="shared" si="13"/>
        <v>275</v>
      </c>
      <c r="G89" s="1">
        <f>DATE(2024,7,27)</f>
        <v>45500</v>
      </c>
      <c r="H89" t="s">
        <v>247</v>
      </c>
      <c r="J89">
        <f t="shared" si="12"/>
        <v>88</v>
      </c>
    </row>
    <row r="90" spans="1:10" x14ac:dyDescent="0.25">
      <c r="A90" s="1">
        <f t="shared" si="14"/>
        <v>45500</v>
      </c>
      <c r="B90" s="35">
        <f>TIME(10,53,0)</f>
        <v>0.45347222222222222</v>
      </c>
      <c r="C90" t="str">
        <f>Inventory!A132</f>
        <v>Festive Bread 400g</v>
      </c>
      <c r="D90">
        <v>4</v>
      </c>
      <c r="E90">
        <v>60</v>
      </c>
      <c r="F90">
        <f t="shared" si="13"/>
        <v>240</v>
      </c>
      <c r="G90" s="1">
        <f>DATE(2024,7,31)</f>
        <v>45504</v>
      </c>
      <c r="H90" t="s">
        <v>247</v>
      </c>
      <c r="J90">
        <f t="shared" si="12"/>
        <v>89</v>
      </c>
    </row>
    <row r="91" spans="1:10" x14ac:dyDescent="0.25">
      <c r="A91" s="1">
        <f t="shared" si="14"/>
        <v>45500</v>
      </c>
      <c r="B91" s="35">
        <f>TIME(10,53,0)</f>
        <v>0.45347222222222222</v>
      </c>
      <c r="C91" t="str">
        <f>Inventory!A32</f>
        <v>Festive 600g</v>
      </c>
      <c r="D91">
        <v>1</v>
      </c>
      <c r="E91">
        <v>90</v>
      </c>
      <c r="F91">
        <f t="shared" si="13"/>
        <v>90</v>
      </c>
      <c r="G91" s="1">
        <f>DATE(2024,7,31)</f>
        <v>45504</v>
      </c>
      <c r="H91" t="s">
        <v>247</v>
      </c>
      <c r="J91">
        <f t="shared" si="12"/>
        <v>90</v>
      </c>
    </row>
    <row r="92" spans="1:10" x14ac:dyDescent="0.25">
      <c r="A92" s="1">
        <f t="shared" si="14"/>
        <v>45500</v>
      </c>
      <c r="B92" s="35">
        <f>TIME(10,53,0)</f>
        <v>0.45347222222222222</v>
      </c>
      <c r="C92" t="str">
        <f>Inventory!A33</f>
        <v>Festive 800g</v>
      </c>
      <c r="D92">
        <v>1</v>
      </c>
      <c r="E92">
        <v>120</v>
      </c>
      <c r="F92">
        <f t="shared" si="13"/>
        <v>120</v>
      </c>
      <c r="G92" s="1">
        <f>DATE(2024,7,31)</f>
        <v>45504</v>
      </c>
      <c r="H92" t="s">
        <v>247</v>
      </c>
      <c r="J92">
        <f t="shared" si="12"/>
        <v>91</v>
      </c>
    </row>
    <row r="93" spans="1:10" x14ac:dyDescent="0.25">
      <c r="A93" s="1">
        <f t="shared" si="14"/>
        <v>45500</v>
      </c>
      <c r="B93" s="35">
        <f>TIME(10,53,0)</f>
        <v>0.45347222222222222</v>
      </c>
      <c r="C93" t="str">
        <f>Inventory!A50</f>
        <v>Ring Cake</v>
      </c>
      <c r="D93">
        <v>3</v>
      </c>
      <c r="E93">
        <v>135</v>
      </c>
      <c r="F93">
        <f t="shared" si="13"/>
        <v>405</v>
      </c>
      <c r="G93" s="1">
        <f>DATE(2024,9,23)</f>
        <v>45558</v>
      </c>
      <c r="H93" t="s">
        <v>247</v>
      </c>
      <c r="J93">
        <f t="shared" si="12"/>
        <v>92</v>
      </c>
    </row>
    <row r="94" spans="1:10" x14ac:dyDescent="0.25">
      <c r="A94" s="1">
        <f t="shared" si="14"/>
        <v>45500</v>
      </c>
      <c r="B94" s="35">
        <f>TIME(10,53,0)</f>
        <v>0.45347222222222222</v>
      </c>
      <c r="C94" t="str">
        <f>Inventory!A49</f>
        <v>Half pound cake</v>
      </c>
      <c r="D94">
        <v>3</v>
      </c>
      <c r="E94">
        <v>90</v>
      </c>
      <c r="F94">
        <f t="shared" si="13"/>
        <v>270</v>
      </c>
      <c r="G94" s="1">
        <f>DATE(2024,8,14)</f>
        <v>45518</v>
      </c>
      <c r="H94" t="s">
        <v>247</v>
      </c>
      <c r="J94">
        <f t="shared" si="12"/>
        <v>93</v>
      </c>
    </row>
    <row r="95" spans="1:10" x14ac:dyDescent="0.25">
      <c r="A95" s="1">
        <f>DATE(2024,7,29)</f>
        <v>45502</v>
      </c>
      <c r="B95" s="35">
        <f>TIME(8,44,0)</f>
        <v>0.36388888888888887</v>
      </c>
      <c r="C95" t="str">
        <f>Inventory!A30</f>
        <v>BB Bread 400g</v>
      </c>
      <c r="D95">
        <v>5</v>
      </c>
      <c r="E95">
        <v>60</v>
      </c>
      <c r="F95">
        <f t="shared" si="13"/>
        <v>300</v>
      </c>
      <c r="H95" t="s">
        <v>247</v>
      </c>
      <c r="J95">
        <f t="shared" si="12"/>
        <v>94</v>
      </c>
    </row>
    <row r="96" spans="1:10" x14ac:dyDescent="0.25">
      <c r="A96" s="1">
        <f t="shared" ref="A96:A113" si="15">DATE(2024,7,29)</f>
        <v>45502</v>
      </c>
      <c r="B96" s="35">
        <f>TIME(8,44,0)</f>
        <v>0.36388888888888887</v>
      </c>
      <c r="C96" t="str">
        <f>Inventory!A122</f>
        <v>Kinangop Fresh Milk 500ml</v>
      </c>
      <c r="D96">
        <v>1</v>
      </c>
      <c r="E96">
        <v>55</v>
      </c>
      <c r="F96">
        <f t="shared" si="13"/>
        <v>55</v>
      </c>
      <c r="H96" t="s">
        <v>247</v>
      </c>
      <c r="J96">
        <f t="shared" si="12"/>
        <v>95</v>
      </c>
    </row>
    <row r="97" spans="1:10" x14ac:dyDescent="0.25">
      <c r="A97" s="1">
        <f t="shared" si="15"/>
        <v>45502</v>
      </c>
      <c r="B97" s="35">
        <f>TIME(9,50,0)</f>
        <v>0.40972222222222221</v>
      </c>
      <c r="C97" t="str">
        <f>Inventory!A132</f>
        <v>Festive Bread 400g</v>
      </c>
      <c r="D97">
        <v>5</v>
      </c>
      <c r="E97">
        <v>60</v>
      </c>
      <c r="F97">
        <f t="shared" si="13"/>
        <v>300</v>
      </c>
      <c r="H97" t="s">
        <v>247</v>
      </c>
      <c r="J97">
        <f t="shared" si="12"/>
        <v>96</v>
      </c>
    </row>
    <row r="98" spans="1:10" x14ac:dyDescent="0.25">
      <c r="A98" s="1">
        <f t="shared" si="15"/>
        <v>45502</v>
      </c>
      <c r="B98" s="35">
        <f>TIME(9,50,0)</f>
        <v>0.40972222222222221</v>
      </c>
      <c r="C98" t="str">
        <f>Inventory!A32</f>
        <v>Festive 600g</v>
      </c>
      <c r="D98">
        <v>1</v>
      </c>
      <c r="E98">
        <v>90</v>
      </c>
      <c r="F98">
        <f t="shared" si="13"/>
        <v>90</v>
      </c>
      <c r="H98" t="s">
        <v>247</v>
      </c>
      <c r="J98">
        <f t="shared" si="12"/>
        <v>97</v>
      </c>
    </row>
    <row r="99" spans="1:10" x14ac:dyDescent="0.25">
      <c r="A99" s="1">
        <f t="shared" si="15"/>
        <v>45502</v>
      </c>
      <c r="B99" s="35">
        <f>TIME(9,50,0)</f>
        <v>0.40972222222222221</v>
      </c>
      <c r="C99" t="str">
        <f>Inventory!A33</f>
        <v>Festive 800g</v>
      </c>
      <c r="D99">
        <v>1</v>
      </c>
      <c r="E99">
        <v>120</v>
      </c>
      <c r="F99">
        <f t="shared" si="13"/>
        <v>120</v>
      </c>
      <c r="H99" t="s">
        <v>247</v>
      </c>
      <c r="J99">
        <f t="shared" si="12"/>
        <v>98</v>
      </c>
    </row>
    <row r="100" spans="1:10" x14ac:dyDescent="0.25">
      <c r="A100" s="1">
        <f t="shared" si="15"/>
        <v>45502</v>
      </c>
      <c r="B100" s="35">
        <f>TIME(10,31,0)</f>
        <v>0.43819444444444444</v>
      </c>
      <c r="C100" t="str">
        <f>Inventory!A21</f>
        <v>Brookside Lala Natural</v>
      </c>
      <c r="D100">
        <v>4</v>
      </c>
      <c r="E100">
        <v>87</v>
      </c>
      <c r="F100">
        <f t="shared" si="13"/>
        <v>348</v>
      </c>
      <c r="H100" t="s">
        <v>247</v>
      </c>
      <c r="J100">
        <f t="shared" si="12"/>
        <v>99</v>
      </c>
    </row>
    <row r="101" spans="1:10" x14ac:dyDescent="0.25">
      <c r="A101" s="1">
        <f t="shared" si="15"/>
        <v>45502</v>
      </c>
      <c r="B101" s="35">
        <f>TIME(10,31,0)</f>
        <v>0.43819444444444444</v>
      </c>
      <c r="C101" t="str">
        <f>Inventory!A22</f>
        <v>Brookside Lala Sweetened</v>
      </c>
      <c r="D101">
        <v>2</v>
      </c>
      <c r="E101">
        <v>93</v>
      </c>
      <c r="F101">
        <f t="shared" si="13"/>
        <v>186</v>
      </c>
      <c r="H101" t="s">
        <v>247</v>
      </c>
      <c r="J101">
        <f t="shared" si="12"/>
        <v>100</v>
      </c>
    </row>
    <row r="102" spans="1:10" x14ac:dyDescent="0.25">
      <c r="A102" s="1">
        <f t="shared" si="15"/>
        <v>45502</v>
      </c>
      <c r="B102" s="35">
        <f>TIME(10,31,0)</f>
        <v>0.43819444444444444</v>
      </c>
      <c r="C102" t="s">
        <v>234</v>
      </c>
      <c r="D102">
        <v>2</v>
      </c>
      <c r="E102">
        <v>163</v>
      </c>
      <c r="F102">
        <f t="shared" si="13"/>
        <v>326</v>
      </c>
      <c r="H102" t="s">
        <v>247</v>
      </c>
      <c r="J102">
        <f t="shared" si="12"/>
        <v>101</v>
      </c>
    </row>
    <row r="103" spans="1:10" x14ac:dyDescent="0.25">
      <c r="A103" s="1">
        <f t="shared" si="15"/>
        <v>45502</v>
      </c>
      <c r="B103" s="35">
        <f>TIME(10,31,0)</f>
        <v>0.43819444444444444</v>
      </c>
      <c r="C103" t="s">
        <v>260</v>
      </c>
      <c r="D103">
        <v>2</v>
      </c>
      <c r="E103">
        <v>174</v>
      </c>
      <c r="F103">
        <f t="shared" si="13"/>
        <v>348</v>
      </c>
      <c r="H103" t="s">
        <v>247</v>
      </c>
      <c r="J103">
        <f t="shared" si="12"/>
        <v>102</v>
      </c>
    </row>
    <row r="104" spans="1:10" x14ac:dyDescent="0.25">
      <c r="A104" s="1">
        <f t="shared" si="15"/>
        <v>45502</v>
      </c>
      <c r="B104" s="35">
        <f>TIME(10,31,0)</f>
        <v>0.43819444444444444</v>
      </c>
      <c r="C104" t="str">
        <f>Inventory!A25</f>
        <v>Crown Gold Milk 500ml</v>
      </c>
      <c r="D104">
        <v>1</v>
      </c>
      <c r="E104">
        <v>650</v>
      </c>
      <c r="F104">
        <f t="shared" si="13"/>
        <v>650</v>
      </c>
      <c r="H104" t="s">
        <v>247</v>
      </c>
      <c r="J104">
        <f t="shared" si="12"/>
        <v>103</v>
      </c>
    </row>
    <row r="105" spans="1:10" x14ac:dyDescent="0.25">
      <c r="A105" s="1">
        <f t="shared" si="15"/>
        <v>45502</v>
      </c>
      <c r="B105" s="35">
        <f>TIME(12,6,0)</f>
        <v>0.50416666666666665</v>
      </c>
      <c r="C105" t="str">
        <f>Inventory!A54</f>
        <v>Kdf</v>
      </c>
      <c r="D105">
        <v>3</v>
      </c>
      <c r="E105">
        <v>50</v>
      </c>
      <c r="F105">
        <f t="shared" si="13"/>
        <v>150</v>
      </c>
      <c r="H105" t="s">
        <v>247</v>
      </c>
      <c r="J105">
        <f t="shared" si="12"/>
        <v>104</v>
      </c>
    </row>
    <row r="106" spans="1:10" x14ac:dyDescent="0.25">
      <c r="A106" s="1">
        <f t="shared" si="15"/>
        <v>45502</v>
      </c>
      <c r="B106" s="35">
        <f>TIME(12,6,0)</f>
        <v>0.50416666666666665</v>
      </c>
      <c r="C106" t="str">
        <f>Inventory!A171</f>
        <v>Coconut Cakes</v>
      </c>
      <c r="D106">
        <v>1</v>
      </c>
      <c r="E106">
        <v>50</v>
      </c>
      <c r="F106">
        <f t="shared" si="13"/>
        <v>50</v>
      </c>
      <c r="H106" t="s">
        <v>247</v>
      </c>
      <c r="J106">
        <f t="shared" si="12"/>
        <v>105</v>
      </c>
    </row>
    <row r="107" spans="1:10" x14ac:dyDescent="0.25">
      <c r="A107" s="1">
        <f t="shared" si="15"/>
        <v>45502</v>
      </c>
      <c r="B107" s="35">
        <f t="shared" ref="B107:B113" si="16">TIME(12,19,0)</f>
        <v>0.5131944444444444</v>
      </c>
      <c r="C107" t="str">
        <f>Inventory!A81</f>
        <v>eggs</v>
      </c>
      <c r="D107">
        <f>8*30</f>
        <v>240</v>
      </c>
      <c r="E107">
        <f>3600/240</f>
        <v>15</v>
      </c>
      <c r="F107">
        <f t="shared" si="13"/>
        <v>3600</v>
      </c>
      <c r="H107" t="s">
        <v>248</v>
      </c>
      <c r="J107">
        <f t="shared" si="12"/>
        <v>106</v>
      </c>
    </row>
    <row r="108" spans="1:10" x14ac:dyDescent="0.25">
      <c r="A108" s="1">
        <f t="shared" si="15"/>
        <v>45502</v>
      </c>
      <c r="B108" s="35">
        <f t="shared" si="16"/>
        <v>0.5131944444444444</v>
      </c>
      <c r="C108" t="str">
        <f>Inventory!A4</f>
        <v>300ml water</v>
      </c>
      <c r="D108">
        <v>24</v>
      </c>
      <c r="E108">
        <f>300/24</f>
        <v>12.5</v>
      </c>
      <c r="F108">
        <f t="shared" si="13"/>
        <v>300</v>
      </c>
      <c r="H108" t="s">
        <v>248</v>
      </c>
      <c r="J108">
        <f t="shared" si="12"/>
        <v>107</v>
      </c>
    </row>
    <row r="109" spans="1:10" x14ac:dyDescent="0.25">
      <c r="A109" s="1">
        <f t="shared" si="15"/>
        <v>45502</v>
      </c>
      <c r="B109" s="35">
        <f t="shared" si="16"/>
        <v>0.5131944444444444</v>
      </c>
      <c r="C109" t="str">
        <f>Inventory!A71</f>
        <v>Indomie chicken</v>
      </c>
      <c r="D109">
        <v>40</v>
      </c>
      <c r="E109">
        <f>1520/40</f>
        <v>38</v>
      </c>
      <c r="F109">
        <f t="shared" si="13"/>
        <v>1520</v>
      </c>
      <c r="H109" t="s">
        <v>248</v>
      </c>
      <c r="J109">
        <f t="shared" si="12"/>
        <v>108</v>
      </c>
    </row>
    <row r="110" spans="1:10" x14ac:dyDescent="0.25">
      <c r="A110" s="1">
        <f t="shared" si="15"/>
        <v>45502</v>
      </c>
      <c r="B110" s="35">
        <f t="shared" si="16"/>
        <v>0.5131944444444444</v>
      </c>
      <c r="C110" t="str">
        <f>Inventory!A79</f>
        <v>Tomato sauce</v>
      </c>
      <c r="D110">
        <v>5</v>
      </c>
      <c r="E110">
        <v>60</v>
      </c>
      <c r="F110">
        <f t="shared" si="13"/>
        <v>300</v>
      </c>
      <c r="H110" t="s">
        <v>248</v>
      </c>
      <c r="J110">
        <f t="shared" si="12"/>
        <v>109</v>
      </c>
    </row>
    <row r="111" spans="1:10" x14ac:dyDescent="0.25">
      <c r="A111" s="1">
        <f t="shared" si="15"/>
        <v>45502</v>
      </c>
      <c r="B111" s="35">
        <f t="shared" si="16"/>
        <v>0.5131944444444444</v>
      </c>
      <c r="C111" t="s">
        <v>211</v>
      </c>
      <c r="D111">
        <v>12</v>
      </c>
      <c r="E111">
        <f>215/12</f>
        <v>17.916666666666668</v>
      </c>
      <c r="F111">
        <f t="shared" si="13"/>
        <v>215</v>
      </c>
      <c r="H111" t="s">
        <v>248</v>
      </c>
      <c r="J111">
        <f t="shared" si="12"/>
        <v>110</v>
      </c>
    </row>
    <row r="112" spans="1:10" x14ac:dyDescent="0.25">
      <c r="A112" s="1">
        <f t="shared" si="15"/>
        <v>45502</v>
      </c>
      <c r="B112" s="35">
        <f t="shared" si="16"/>
        <v>0.5131944444444444</v>
      </c>
      <c r="C112" t="s">
        <v>221</v>
      </c>
      <c r="D112">
        <v>12</v>
      </c>
      <c r="E112">
        <f>600/12</f>
        <v>50</v>
      </c>
      <c r="F112">
        <f t="shared" si="13"/>
        <v>600</v>
      </c>
      <c r="H112" t="s">
        <v>248</v>
      </c>
      <c r="J112">
        <f t="shared" si="12"/>
        <v>111</v>
      </c>
    </row>
    <row r="113" spans="1:10" x14ac:dyDescent="0.25">
      <c r="A113" s="1">
        <f t="shared" si="15"/>
        <v>45502</v>
      </c>
      <c r="B113" s="35">
        <f t="shared" si="16"/>
        <v>0.5131944444444444</v>
      </c>
      <c r="C113" t="s">
        <v>261</v>
      </c>
      <c r="D113">
        <v>5</v>
      </c>
      <c r="E113">
        <v>290</v>
      </c>
      <c r="F113">
        <f t="shared" si="13"/>
        <v>1450</v>
      </c>
      <c r="H113" t="s">
        <v>248</v>
      </c>
      <c r="J113">
        <f t="shared" si="12"/>
        <v>112</v>
      </c>
    </row>
    <row r="114" spans="1:10" x14ac:dyDescent="0.25">
      <c r="A114" s="1">
        <f>DATE(2024,7,30)</f>
        <v>45503</v>
      </c>
      <c r="B114" s="35">
        <f>TIME(8,45,0)</f>
        <v>0.36458333333333331</v>
      </c>
      <c r="C114" t="str">
        <f>Inventory!A122</f>
        <v>Kinangop Fresh Milk 500ml</v>
      </c>
      <c r="D114">
        <v>1</v>
      </c>
      <c r="E114">
        <v>55</v>
      </c>
      <c r="F114">
        <f t="shared" si="13"/>
        <v>55</v>
      </c>
      <c r="H114" t="s">
        <v>247</v>
      </c>
      <c r="J114">
        <f t="shared" si="12"/>
        <v>113</v>
      </c>
    </row>
    <row r="115" spans="1:10" x14ac:dyDescent="0.25">
      <c r="A115" s="1">
        <f>DATE(2024,7,30)</f>
        <v>45503</v>
      </c>
      <c r="B115" s="35">
        <f>TIME(11,50,0)</f>
        <v>0.49305555555555558</v>
      </c>
      <c r="C115" t="str">
        <f>Inventory!A132</f>
        <v>Festive Bread 400g</v>
      </c>
      <c r="D115">
        <v>3</v>
      </c>
      <c r="E115">
        <v>60</v>
      </c>
      <c r="F115">
        <f t="shared" si="13"/>
        <v>180</v>
      </c>
      <c r="H115" t="s">
        <v>247</v>
      </c>
      <c r="J115">
        <f t="shared" si="12"/>
        <v>114</v>
      </c>
    </row>
    <row r="116" spans="1:10" x14ac:dyDescent="0.25">
      <c r="A116" s="1">
        <f>DATE(2024,7,30)</f>
        <v>45503</v>
      </c>
      <c r="B116" s="35">
        <f>TIME(11,50,0)</f>
        <v>0.49305555555555558</v>
      </c>
      <c r="C116" t="str">
        <f>Inventory!A32</f>
        <v>Festive 600g</v>
      </c>
      <c r="D116">
        <v>1</v>
      </c>
      <c r="E116">
        <v>90</v>
      </c>
      <c r="F116">
        <f t="shared" si="13"/>
        <v>90</v>
      </c>
      <c r="H116" t="s">
        <v>247</v>
      </c>
      <c r="J116">
        <f t="shared" si="12"/>
        <v>115</v>
      </c>
    </row>
    <row r="117" spans="1:10" x14ac:dyDescent="0.25">
      <c r="A117" s="1">
        <f>DATE(2024,7,31)</f>
        <v>45504</v>
      </c>
      <c r="B117" s="35">
        <f>TIME(8,45,0)</f>
        <v>0.36458333333333331</v>
      </c>
      <c r="C117" t="str">
        <f>Inventory!A30</f>
        <v>BB Bread 400g</v>
      </c>
      <c r="D117">
        <v>4</v>
      </c>
      <c r="E117">
        <v>60</v>
      </c>
      <c r="F117">
        <f t="shared" si="13"/>
        <v>240</v>
      </c>
      <c r="H117" t="s">
        <v>262</v>
      </c>
      <c r="I117" t="s">
        <v>263</v>
      </c>
      <c r="J117">
        <f t="shared" si="12"/>
        <v>116</v>
      </c>
    </row>
    <row r="118" spans="1:10" x14ac:dyDescent="0.25">
      <c r="A118" s="1">
        <f t="shared" ref="A118:A127" si="17">DATE(2024,7,31)</f>
        <v>45504</v>
      </c>
      <c r="B118" s="35">
        <f>TIME(8,45,0)</f>
        <v>0.36458333333333331</v>
      </c>
      <c r="C118" t="str">
        <f>Inventory!A31</f>
        <v>BB Bread 200g</v>
      </c>
      <c r="D118">
        <v>3</v>
      </c>
      <c r="E118">
        <f>100/3</f>
        <v>33.333333333333336</v>
      </c>
      <c r="F118">
        <f t="shared" si="13"/>
        <v>100</v>
      </c>
      <c r="H118" t="s">
        <v>262</v>
      </c>
      <c r="I118" t="s">
        <v>264</v>
      </c>
      <c r="J118">
        <f t="shared" si="12"/>
        <v>117</v>
      </c>
    </row>
    <row r="119" spans="1:10" x14ac:dyDescent="0.25">
      <c r="A119" s="1">
        <f t="shared" si="17"/>
        <v>45504</v>
      </c>
      <c r="B119" s="35">
        <f>TIME(8,45,0)</f>
        <v>0.36458333333333331</v>
      </c>
      <c r="C119" t="str">
        <f>Inventory!A122</f>
        <v>Kinangop Fresh Milk 500ml</v>
      </c>
      <c r="D119">
        <v>5</v>
      </c>
      <c r="E119">
        <v>55</v>
      </c>
      <c r="F119">
        <f t="shared" si="13"/>
        <v>275</v>
      </c>
      <c r="H119" t="s">
        <v>262</v>
      </c>
      <c r="I119" t="s">
        <v>265</v>
      </c>
      <c r="J119">
        <f t="shared" si="12"/>
        <v>118</v>
      </c>
    </row>
    <row r="120" spans="1:10" x14ac:dyDescent="0.25">
      <c r="A120" s="1">
        <f t="shared" si="17"/>
        <v>45504</v>
      </c>
      <c r="B120" s="35">
        <f>TIME(10,23,0)</f>
        <v>0.43263888888888891</v>
      </c>
      <c r="C120" t="str">
        <f>Inventory!A33</f>
        <v>Festive 800g</v>
      </c>
      <c r="D120">
        <v>1</v>
      </c>
      <c r="E120">
        <v>120</v>
      </c>
      <c r="F120">
        <f t="shared" si="13"/>
        <v>120</v>
      </c>
      <c r="H120" t="s">
        <v>262</v>
      </c>
      <c r="J120">
        <f t="shared" si="12"/>
        <v>119</v>
      </c>
    </row>
    <row r="121" spans="1:10" x14ac:dyDescent="0.25">
      <c r="A121" s="1">
        <f t="shared" si="17"/>
        <v>45504</v>
      </c>
      <c r="B121" s="35">
        <f t="shared" ref="B121:B127" si="18">TIME(10,23,0)</f>
        <v>0.43263888888888891</v>
      </c>
      <c r="C121" t="s">
        <v>174</v>
      </c>
      <c r="D121">
        <v>3</v>
      </c>
      <c r="E121">
        <v>140</v>
      </c>
      <c r="F121">
        <f t="shared" si="13"/>
        <v>420</v>
      </c>
      <c r="H121" t="s">
        <v>266</v>
      </c>
      <c r="J121">
        <f t="shared" si="12"/>
        <v>120</v>
      </c>
    </row>
    <row r="122" spans="1:10" x14ac:dyDescent="0.25">
      <c r="A122" s="1">
        <f t="shared" si="17"/>
        <v>45504</v>
      </c>
      <c r="B122" s="35">
        <f t="shared" si="18"/>
        <v>0.43263888888888891</v>
      </c>
      <c r="C122" t="s">
        <v>267</v>
      </c>
      <c r="F122">
        <v>200</v>
      </c>
      <c r="H122" t="s">
        <v>266</v>
      </c>
      <c r="J122">
        <f t="shared" si="12"/>
        <v>121</v>
      </c>
    </row>
    <row r="123" spans="1:10" x14ac:dyDescent="0.25">
      <c r="A123" s="1">
        <f t="shared" si="17"/>
        <v>45504</v>
      </c>
      <c r="B123" s="35">
        <f t="shared" si="18"/>
        <v>0.43263888888888891</v>
      </c>
      <c r="C123" t="s">
        <v>137</v>
      </c>
      <c r="F123">
        <v>300</v>
      </c>
      <c r="H123" t="s">
        <v>266</v>
      </c>
      <c r="J123">
        <f t="shared" si="12"/>
        <v>122</v>
      </c>
    </row>
    <row r="124" spans="1:10" x14ac:dyDescent="0.25">
      <c r="A124" s="1">
        <f t="shared" si="17"/>
        <v>45504</v>
      </c>
      <c r="B124" s="35">
        <f t="shared" si="18"/>
        <v>0.43263888888888891</v>
      </c>
      <c r="C124" t="s">
        <v>180</v>
      </c>
      <c r="F124">
        <v>400</v>
      </c>
      <c r="H124" t="s">
        <v>266</v>
      </c>
      <c r="J124">
        <f t="shared" si="12"/>
        <v>123</v>
      </c>
    </row>
    <row r="125" spans="1:10" x14ac:dyDescent="0.25">
      <c r="A125" s="1">
        <f t="shared" si="17"/>
        <v>45504</v>
      </c>
      <c r="B125" s="35">
        <f t="shared" si="18"/>
        <v>0.43263888888888891</v>
      </c>
      <c r="C125" t="s">
        <v>146</v>
      </c>
      <c r="D125">
        <v>9</v>
      </c>
      <c r="E125">
        <f>30/9</f>
        <v>3.3333333333333335</v>
      </c>
      <c r="F125">
        <v>30</v>
      </c>
      <c r="H125" t="s">
        <v>266</v>
      </c>
      <c r="J125">
        <f t="shared" si="12"/>
        <v>124</v>
      </c>
    </row>
    <row r="126" spans="1:10" x14ac:dyDescent="0.25">
      <c r="A126" s="1">
        <f t="shared" si="17"/>
        <v>45504</v>
      </c>
      <c r="B126" s="35">
        <f t="shared" si="18"/>
        <v>0.43263888888888891</v>
      </c>
      <c r="C126" t="s">
        <v>202</v>
      </c>
      <c r="D126">
        <v>10</v>
      </c>
      <c r="E126">
        <v>5</v>
      </c>
      <c r="F126">
        <f t="shared" si="13"/>
        <v>50</v>
      </c>
      <c r="H126" t="s">
        <v>266</v>
      </c>
      <c r="J126">
        <f t="shared" si="12"/>
        <v>125</v>
      </c>
    </row>
    <row r="127" spans="1:10" x14ac:dyDescent="0.25">
      <c r="A127" s="1">
        <f t="shared" si="17"/>
        <v>45504</v>
      </c>
      <c r="B127" s="35">
        <f t="shared" si="18"/>
        <v>0.43263888888888891</v>
      </c>
      <c r="C127" t="s">
        <v>187</v>
      </c>
      <c r="D127">
        <v>3</v>
      </c>
      <c r="E127">
        <f>20/3</f>
        <v>6.666666666666667</v>
      </c>
      <c r="F127">
        <f t="shared" si="13"/>
        <v>20</v>
      </c>
      <c r="H127" t="s">
        <v>266</v>
      </c>
      <c r="J127">
        <f t="shared" si="12"/>
        <v>126</v>
      </c>
    </row>
    <row r="128" spans="1:10" x14ac:dyDescent="0.25">
      <c r="A128" s="1">
        <f>DATE(2024,8,1)</f>
        <v>45505</v>
      </c>
      <c r="B128" s="35">
        <f>TIME(13,23,0)</f>
        <v>0.55763888888888891</v>
      </c>
      <c r="C128" t="s">
        <v>268</v>
      </c>
      <c r="D128">
        <v>1</v>
      </c>
      <c r="E128">
        <v>4250</v>
      </c>
      <c r="F128">
        <f t="shared" si="13"/>
        <v>4250</v>
      </c>
      <c r="H128" t="s">
        <v>248</v>
      </c>
      <c r="J128">
        <f t="shared" si="12"/>
        <v>127</v>
      </c>
    </row>
    <row r="129" spans="1:10" x14ac:dyDescent="0.25">
      <c r="A129" s="1">
        <f>DATE(2024,8,1)</f>
        <v>45505</v>
      </c>
      <c r="B129" s="35">
        <f>TIME(9,35,0)</f>
        <v>0.39930555555555558</v>
      </c>
      <c r="C129" t="str">
        <f>Inventory!A30</f>
        <v>BB Bread 400g</v>
      </c>
      <c r="D129">
        <v>5</v>
      </c>
      <c r="E129">
        <v>60</v>
      </c>
      <c r="F129">
        <f t="shared" si="13"/>
        <v>300</v>
      </c>
      <c r="H129" t="s">
        <v>247</v>
      </c>
      <c r="J129">
        <f t="shared" si="12"/>
        <v>128</v>
      </c>
    </row>
    <row r="130" spans="1:10" x14ac:dyDescent="0.25">
      <c r="A130" s="1">
        <f>DATE(2024,8,1)</f>
        <v>45505</v>
      </c>
      <c r="B130" s="35">
        <f>TIME(10,15,0)</f>
        <v>0.42708333333333331</v>
      </c>
      <c r="C130" t="str">
        <f>Inventory!A132</f>
        <v>Festive Bread 400g</v>
      </c>
      <c r="D130">
        <v>5</v>
      </c>
      <c r="E130">
        <v>60</v>
      </c>
      <c r="F130">
        <f t="shared" si="13"/>
        <v>300</v>
      </c>
      <c r="H130" t="s">
        <v>247</v>
      </c>
      <c r="J130">
        <f t="shared" si="12"/>
        <v>129</v>
      </c>
    </row>
    <row r="131" spans="1:10" x14ac:dyDescent="0.25">
      <c r="A131" s="1">
        <f>DATE(2024,8,1)</f>
        <v>45505</v>
      </c>
      <c r="B131" s="35">
        <f>TIME(10,15,0)</f>
        <v>0.42708333333333331</v>
      </c>
      <c r="C131" t="str">
        <f>Inventory!A33</f>
        <v>Festive 800g</v>
      </c>
      <c r="D131">
        <v>2</v>
      </c>
      <c r="E131">
        <v>120</v>
      </c>
      <c r="F131">
        <f t="shared" ref="F131:F164" si="19">D131*E131</f>
        <v>240</v>
      </c>
      <c r="H131" t="s">
        <v>247</v>
      </c>
      <c r="J131">
        <f t="shared" si="12"/>
        <v>130</v>
      </c>
    </row>
    <row r="132" spans="1:10" x14ac:dyDescent="0.25">
      <c r="A132" s="1">
        <f>DATE(2024,8,1)</f>
        <v>45505</v>
      </c>
      <c r="B132" s="35">
        <f>TIME(10,15,0)</f>
        <v>0.42708333333333331</v>
      </c>
      <c r="C132" t="str">
        <f>Inventory!A32</f>
        <v>Festive 600g</v>
      </c>
      <c r="D132">
        <v>2</v>
      </c>
      <c r="E132">
        <v>90</v>
      </c>
      <c r="F132">
        <f t="shared" si="19"/>
        <v>180</v>
      </c>
      <c r="H132" t="s">
        <v>247</v>
      </c>
      <c r="J132">
        <f t="shared" ref="J132:J195" si="20">J131+1</f>
        <v>131</v>
      </c>
    </row>
    <row r="133" spans="1:10" x14ac:dyDescent="0.25">
      <c r="A133" s="1">
        <f t="shared" ref="A133:A140" si="21">DATE(2024,8,2)</f>
        <v>45506</v>
      </c>
      <c r="B133" s="35">
        <f>TIME(8,15,0)</f>
        <v>0.34375</v>
      </c>
      <c r="C133" t="str">
        <f>Inventory!A122</f>
        <v>Kinangop Fresh Milk 500ml</v>
      </c>
      <c r="D133">
        <v>6</v>
      </c>
      <c r="E133">
        <v>55</v>
      </c>
      <c r="F133">
        <f t="shared" si="19"/>
        <v>330</v>
      </c>
      <c r="H133" t="s">
        <v>247</v>
      </c>
      <c r="J133">
        <f t="shared" si="20"/>
        <v>132</v>
      </c>
    </row>
    <row r="134" spans="1:10" x14ac:dyDescent="0.25">
      <c r="A134" s="1">
        <f t="shared" si="21"/>
        <v>45506</v>
      </c>
      <c r="B134" s="35">
        <f>TIME(10,57,0)</f>
        <v>0.45624999999999999</v>
      </c>
      <c r="C134" t="str">
        <f>Inventory!A50</f>
        <v>Ring Cake</v>
      </c>
      <c r="D134">
        <v>7</v>
      </c>
      <c r="E134">
        <v>45</v>
      </c>
      <c r="F134">
        <f t="shared" si="19"/>
        <v>315</v>
      </c>
      <c r="H134" t="s">
        <v>247</v>
      </c>
      <c r="J134">
        <f t="shared" si="20"/>
        <v>133</v>
      </c>
    </row>
    <row r="135" spans="1:10" x14ac:dyDescent="0.25">
      <c r="A135" s="1">
        <f t="shared" si="21"/>
        <v>45506</v>
      </c>
      <c r="B135" s="35">
        <f t="shared" ref="B135:B140" si="22">TIME(10,57,0)</f>
        <v>0.45624999999999999</v>
      </c>
      <c r="C135" t="s">
        <v>269</v>
      </c>
      <c r="D135">
        <v>5</v>
      </c>
      <c r="E135">
        <v>145</v>
      </c>
      <c r="F135">
        <f t="shared" si="19"/>
        <v>725</v>
      </c>
      <c r="H135" t="s">
        <v>248</v>
      </c>
      <c r="J135">
        <f t="shared" si="20"/>
        <v>134</v>
      </c>
    </row>
    <row r="136" spans="1:10" x14ac:dyDescent="0.25">
      <c r="A136" s="1">
        <f t="shared" si="21"/>
        <v>45506</v>
      </c>
      <c r="B136" s="35">
        <f t="shared" si="22"/>
        <v>0.45624999999999999</v>
      </c>
      <c r="C136" t="s">
        <v>270</v>
      </c>
      <c r="D136">
        <v>5</v>
      </c>
      <c r="E136">
        <v>175</v>
      </c>
      <c r="F136">
        <f t="shared" si="19"/>
        <v>875</v>
      </c>
      <c r="H136" t="s">
        <v>248</v>
      </c>
      <c r="J136">
        <f t="shared" si="20"/>
        <v>135</v>
      </c>
    </row>
    <row r="137" spans="1:10" x14ac:dyDescent="0.25">
      <c r="A137" s="1">
        <f t="shared" si="21"/>
        <v>45506</v>
      </c>
      <c r="B137" s="35">
        <f t="shared" si="22"/>
        <v>0.45624999999999999</v>
      </c>
      <c r="C137" t="s">
        <v>71</v>
      </c>
      <c r="D137">
        <v>100</v>
      </c>
      <c r="F137">
        <v>120</v>
      </c>
      <c r="H137" t="s">
        <v>248</v>
      </c>
      <c r="J137">
        <f t="shared" si="20"/>
        <v>136</v>
      </c>
    </row>
    <row r="138" spans="1:10" x14ac:dyDescent="0.25">
      <c r="A138" s="1">
        <f t="shared" si="21"/>
        <v>45506</v>
      </c>
      <c r="B138" s="35">
        <f t="shared" si="22"/>
        <v>0.45624999999999999</v>
      </c>
      <c r="C138" t="s">
        <v>271</v>
      </c>
      <c r="D138">
        <v>12</v>
      </c>
      <c r="E138">
        <v>60</v>
      </c>
      <c r="F138">
        <f t="shared" si="19"/>
        <v>720</v>
      </c>
      <c r="H138" t="s">
        <v>248</v>
      </c>
      <c r="J138">
        <f t="shared" si="20"/>
        <v>137</v>
      </c>
    </row>
    <row r="139" spans="1:10" x14ac:dyDescent="0.25">
      <c r="A139" s="1">
        <f t="shared" si="21"/>
        <v>45506</v>
      </c>
      <c r="B139" s="35">
        <f t="shared" si="22"/>
        <v>0.45624999999999999</v>
      </c>
      <c r="C139" t="s">
        <v>220</v>
      </c>
      <c r="D139">
        <v>30</v>
      </c>
      <c r="E139">
        <v>9</v>
      </c>
      <c r="F139">
        <f t="shared" si="19"/>
        <v>270</v>
      </c>
      <c r="H139" t="s">
        <v>248</v>
      </c>
      <c r="J139">
        <f t="shared" si="20"/>
        <v>138</v>
      </c>
    </row>
    <row r="140" spans="1:10" x14ac:dyDescent="0.25">
      <c r="A140" s="1">
        <f t="shared" si="21"/>
        <v>45506</v>
      </c>
      <c r="B140" s="35">
        <f t="shared" si="22"/>
        <v>0.45624999999999999</v>
      </c>
      <c r="C140" t="s">
        <v>272</v>
      </c>
      <c r="D140">
        <v>10</v>
      </c>
      <c r="E140">
        <v>120</v>
      </c>
      <c r="F140">
        <f t="shared" si="19"/>
        <v>1200</v>
      </c>
      <c r="H140" t="s">
        <v>248</v>
      </c>
      <c r="J140">
        <f t="shared" si="20"/>
        <v>139</v>
      </c>
    </row>
    <row r="141" spans="1:10" x14ac:dyDescent="0.25">
      <c r="A141" s="1">
        <f>DATE(2024,8,3)</f>
        <v>45507</v>
      </c>
      <c r="B141" s="35">
        <f>TIME(9,4,0)</f>
        <v>0.37777777777777777</v>
      </c>
      <c r="C141" t="str">
        <f>Inventory!A30</f>
        <v>BB Bread 400g</v>
      </c>
      <c r="D141">
        <v>6</v>
      </c>
      <c r="E141">
        <v>60</v>
      </c>
      <c r="F141">
        <f t="shared" si="19"/>
        <v>360</v>
      </c>
      <c r="H141" t="s">
        <v>247</v>
      </c>
      <c r="J141">
        <f t="shared" si="20"/>
        <v>140</v>
      </c>
    </row>
    <row r="142" spans="1:10" x14ac:dyDescent="0.25">
      <c r="A142" s="1">
        <f>DATE(2024,8,3)</f>
        <v>45507</v>
      </c>
      <c r="B142" s="35">
        <f>TIME(9,4,0)</f>
        <v>0.37777777777777777</v>
      </c>
      <c r="C142" t="str">
        <f>Inventory!A122</f>
        <v>Kinangop Fresh Milk 500ml</v>
      </c>
      <c r="D142">
        <v>4</v>
      </c>
      <c r="E142">
        <v>55</v>
      </c>
      <c r="F142">
        <f t="shared" si="19"/>
        <v>220</v>
      </c>
      <c r="H142" t="s">
        <v>247</v>
      </c>
      <c r="J142">
        <f t="shared" si="20"/>
        <v>141</v>
      </c>
    </row>
    <row r="143" spans="1:10" x14ac:dyDescent="0.25">
      <c r="A143" s="1">
        <f>DATE(2024,8,3)</f>
        <v>45507</v>
      </c>
      <c r="B143" s="35">
        <f>TIME(15,17,0)</f>
        <v>0.63680555555555551</v>
      </c>
      <c r="C143" t="str">
        <f>Inventory!A132</f>
        <v>Festive Bread 400g</v>
      </c>
      <c r="D143">
        <v>6</v>
      </c>
      <c r="E143">
        <v>60</v>
      </c>
      <c r="F143">
        <f t="shared" si="19"/>
        <v>360</v>
      </c>
      <c r="H143" t="s">
        <v>247</v>
      </c>
      <c r="J143">
        <f t="shared" si="20"/>
        <v>142</v>
      </c>
    </row>
    <row r="144" spans="1:10" x14ac:dyDescent="0.25">
      <c r="A144" s="1">
        <f>DATE(2024,8,3)</f>
        <v>45507</v>
      </c>
      <c r="B144" s="35">
        <f>TIME(15,17,0)</f>
        <v>0.63680555555555551</v>
      </c>
      <c r="C144" t="str">
        <f>Inventory!A33</f>
        <v>Festive 800g</v>
      </c>
      <c r="D144">
        <v>2</v>
      </c>
      <c r="E144">
        <v>120</v>
      </c>
      <c r="F144">
        <f t="shared" si="19"/>
        <v>240</v>
      </c>
      <c r="H144" t="s">
        <v>247</v>
      </c>
      <c r="J144">
        <f t="shared" si="20"/>
        <v>143</v>
      </c>
    </row>
    <row r="145" spans="1:10" x14ac:dyDescent="0.25">
      <c r="A145" s="1">
        <f>DATE(2024,8,3)</f>
        <v>45507</v>
      </c>
      <c r="B145" s="35">
        <f>TIME(15,17,0)</f>
        <v>0.63680555555555551</v>
      </c>
      <c r="C145" t="str">
        <f>Inventory!A32</f>
        <v>Festive 600g</v>
      </c>
      <c r="D145">
        <v>2</v>
      </c>
      <c r="E145">
        <v>90</v>
      </c>
      <c r="F145">
        <f t="shared" si="19"/>
        <v>180</v>
      </c>
      <c r="H145" t="s">
        <v>247</v>
      </c>
      <c r="J145">
        <f t="shared" si="20"/>
        <v>144</v>
      </c>
    </row>
    <row r="146" spans="1:10" x14ac:dyDescent="0.25">
      <c r="A146" s="1">
        <f>DATE(2024,8,5)</f>
        <v>45509</v>
      </c>
      <c r="B146" s="35"/>
      <c r="C146" t="s">
        <v>273</v>
      </c>
      <c r="F146">
        <v>265</v>
      </c>
      <c r="H146" t="s">
        <v>248</v>
      </c>
      <c r="J146">
        <f t="shared" si="20"/>
        <v>145</v>
      </c>
    </row>
    <row r="147" spans="1:10" x14ac:dyDescent="0.25">
      <c r="A147" s="1">
        <f t="shared" ref="A147:A165" si="23">DATE(2024,8,5)</f>
        <v>45509</v>
      </c>
      <c r="C147" t="str">
        <f>Inventory!A135</f>
        <v>Safaricom 20 Credit</v>
      </c>
      <c r="D147">
        <v>1</v>
      </c>
      <c r="E147">
        <v>20</v>
      </c>
      <c r="F147">
        <v>20</v>
      </c>
      <c r="J147">
        <f t="shared" si="20"/>
        <v>146</v>
      </c>
    </row>
    <row r="148" spans="1:10" x14ac:dyDescent="0.25">
      <c r="A148" s="1">
        <f t="shared" si="23"/>
        <v>45509</v>
      </c>
      <c r="C148" t="str">
        <f>Inventory!A145</f>
        <v>Steel Wire</v>
      </c>
      <c r="D148">
        <v>30</v>
      </c>
      <c r="E148">
        <f>157/30</f>
        <v>5.2333333333333334</v>
      </c>
      <c r="F148">
        <f t="shared" si="19"/>
        <v>157</v>
      </c>
      <c r="H148" t="s">
        <v>247</v>
      </c>
      <c r="J148">
        <f t="shared" si="20"/>
        <v>147</v>
      </c>
    </row>
    <row r="149" spans="1:10" x14ac:dyDescent="0.25">
      <c r="A149" s="1">
        <f t="shared" si="23"/>
        <v>45509</v>
      </c>
      <c r="C149" t="s">
        <v>274</v>
      </c>
      <c r="D149">
        <v>50</v>
      </c>
      <c r="E149">
        <f>435/50</f>
        <v>8.6999999999999993</v>
      </c>
      <c r="F149">
        <f t="shared" si="19"/>
        <v>434.99999999999994</v>
      </c>
      <c r="H149" t="s">
        <v>247</v>
      </c>
      <c r="J149">
        <f t="shared" si="20"/>
        <v>148</v>
      </c>
    </row>
    <row r="150" spans="1:10" x14ac:dyDescent="0.25">
      <c r="A150" s="1">
        <f t="shared" si="23"/>
        <v>45509</v>
      </c>
      <c r="C150" t="str">
        <f>Inventory!A106</f>
        <v xml:space="preserve">Whitewash </v>
      </c>
      <c r="D150">
        <v>12</v>
      </c>
      <c r="E150">
        <f>358/12</f>
        <v>29.833333333333332</v>
      </c>
      <c r="F150">
        <f t="shared" si="19"/>
        <v>358</v>
      </c>
      <c r="H150" t="s">
        <v>247</v>
      </c>
      <c r="J150">
        <f t="shared" si="20"/>
        <v>149</v>
      </c>
    </row>
    <row r="151" spans="1:10" x14ac:dyDescent="0.25">
      <c r="A151" s="1">
        <f t="shared" si="23"/>
        <v>45509</v>
      </c>
      <c r="C151" t="str">
        <f>Inventory!A112</f>
        <v>Downy lavender</v>
      </c>
      <c r="D151">
        <v>12</v>
      </c>
      <c r="E151">
        <f>208/12</f>
        <v>17.333333333333332</v>
      </c>
      <c r="F151">
        <f t="shared" si="19"/>
        <v>208</v>
      </c>
      <c r="H151" t="s">
        <v>247</v>
      </c>
      <c r="J151">
        <f t="shared" si="20"/>
        <v>150</v>
      </c>
    </row>
    <row r="152" spans="1:10" x14ac:dyDescent="0.25">
      <c r="A152" s="1">
        <f t="shared" si="23"/>
        <v>45509</v>
      </c>
      <c r="C152" t="s">
        <v>275</v>
      </c>
      <c r="D152">
        <v>12</v>
      </c>
      <c r="E152">
        <f>208/12</f>
        <v>17.333333333333332</v>
      </c>
      <c r="F152">
        <f t="shared" si="19"/>
        <v>208</v>
      </c>
      <c r="H152" t="s">
        <v>247</v>
      </c>
      <c r="J152">
        <f t="shared" si="20"/>
        <v>151</v>
      </c>
    </row>
    <row r="153" spans="1:10" x14ac:dyDescent="0.25">
      <c r="A153" s="1">
        <f t="shared" si="23"/>
        <v>45509</v>
      </c>
      <c r="C153" t="s">
        <v>276</v>
      </c>
      <c r="D153">
        <v>12</v>
      </c>
      <c r="E153">
        <f>208/12</f>
        <v>17.333333333333332</v>
      </c>
      <c r="F153">
        <f t="shared" si="19"/>
        <v>208</v>
      </c>
      <c r="H153" t="s">
        <v>247</v>
      </c>
      <c r="J153">
        <f t="shared" si="20"/>
        <v>152</v>
      </c>
    </row>
    <row r="154" spans="1:10" x14ac:dyDescent="0.25">
      <c r="A154" s="1">
        <f t="shared" si="23"/>
        <v>45509</v>
      </c>
      <c r="C154" t="str">
        <f>Inventory!A132</f>
        <v>Festive Bread 400g</v>
      </c>
      <c r="D154">
        <v>5</v>
      </c>
      <c r="E154">
        <v>60</v>
      </c>
      <c r="F154">
        <f t="shared" si="19"/>
        <v>300</v>
      </c>
      <c r="H154" t="s">
        <v>247</v>
      </c>
      <c r="J154">
        <f t="shared" si="20"/>
        <v>153</v>
      </c>
    </row>
    <row r="155" spans="1:10" x14ac:dyDescent="0.25">
      <c r="A155" s="1">
        <f t="shared" si="23"/>
        <v>45509</v>
      </c>
      <c r="C155" t="str">
        <f>Inventory!A32</f>
        <v>Festive 600g</v>
      </c>
      <c r="D155">
        <v>2</v>
      </c>
      <c r="E155">
        <v>90</v>
      </c>
      <c r="F155">
        <f t="shared" si="19"/>
        <v>180</v>
      </c>
      <c r="H155" t="s">
        <v>247</v>
      </c>
      <c r="J155">
        <f t="shared" si="20"/>
        <v>154</v>
      </c>
    </row>
    <row r="156" spans="1:10" x14ac:dyDescent="0.25">
      <c r="A156" s="1">
        <f t="shared" si="23"/>
        <v>45509</v>
      </c>
      <c r="C156" t="str">
        <f>Inventory!A49</f>
        <v>Half pound cake</v>
      </c>
      <c r="D156">
        <v>2</v>
      </c>
      <c r="E156">
        <v>90</v>
      </c>
      <c r="F156">
        <f t="shared" si="19"/>
        <v>180</v>
      </c>
      <c r="H156" t="s">
        <v>247</v>
      </c>
      <c r="J156">
        <f t="shared" si="20"/>
        <v>155</v>
      </c>
    </row>
    <row r="157" spans="1:10" x14ac:dyDescent="0.25">
      <c r="A157" s="1">
        <f t="shared" si="23"/>
        <v>45509</v>
      </c>
      <c r="C157" t="str">
        <f>Inventory!A110</f>
        <v>omo 75g</v>
      </c>
      <c r="D157">
        <v>12</v>
      </c>
      <c r="E157">
        <f>320/12</f>
        <v>26.666666666666668</v>
      </c>
      <c r="F157">
        <f t="shared" si="19"/>
        <v>320</v>
      </c>
      <c r="H157" t="s">
        <v>248</v>
      </c>
      <c r="J157">
        <f t="shared" si="20"/>
        <v>156</v>
      </c>
    </row>
    <row r="158" spans="1:10" x14ac:dyDescent="0.25">
      <c r="A158" s="1">
        <f t="shared" si="23"/>
        <v>45509</v>
      </c>
      <c r="C158" t="str">
        <f>Inventory!A108</f>
        <v>ariel 75g</v>
      </c>
      <c r="D158">
        <v>12</v>
      </c>
      <c r="E158">
        <f>320/12</f>
        <v>26.666666666666668</v>
      </c>
      <c r="F158">
        <f t="shared" si="19"/>
        <v>320</v>
      </c>
      <c r="H158" t="s">
        <v>248</v>
      </c>
      <c r="J158">
        <f t="shared" si="20"/>
        <v>157</v>
      </c>
    </row>
    <row r="159" spans="1:10" x14ac:dyDescent="0.25">
      <c r="A159" s="1">
        <f t="shared" si="23"/>
        <v>45509</v>
      </c>
      <c r="C159" t="str">
        <f>Inventory!A38</f>
        <v>T.Heat Potato crisps salted 25g</v>
      </c>
      <c r="D159">
        <v>12</v>
      </c>
      <c r="E159">
        <f>550/24</f>
        <v>22.916666666666668</v>
      </c>
      <c r="F159">
        <f t="shared" si="19"/>
        <v>275</v>
      </c>
      <c r="H159" t="s">
        <v>248</v>
      </c>
      <c r="J159">
        <f t="shared" si="20"/>
        <v>158</v>
      </c>
    </row>
    <row r="160" spans="1:10" x14ac:dyDescent="0.25">
      <c r="A160" s="1">
        <f t="shared" si="23"/>
        <v>45509</v>
      </c>
      <c r="C160" t="str">
        <f>Inventory!A39</f>
        <v>T.Heat Potato crisps vinegar and salt 25g</v>
      </c>
      <c r="D160">
        <v>6</v>
      </c>
      <c r="E160">
        <f>550/24</f>
        <v>22.916666666666668</v>
      </c>
      <c r="F160">
        <f t="shared" si="19"/>
        <v>137.5</v>
      </c>
      <c r="H160" t="s">
        <v>248</v>
      </c>
      <c r="J160">
        <f t="shared" si="20"/>
        <v>159</v>
      </c>
    </row>
    <row r="161" spans="1:10" x14ac:dyDescent="0.25">
      <c r="A161" s="1">
        <f t="shared" si="23"/>
        <v>45509</v>
      </c>
      <c r="C161" t="s">
        <v>277</v>
      </c>
      <c r="D161">
        <v>6</v>
      </c>
      <c r="E161">
        <f>550/24</f>
        <v>22.916666666666668</v>
      </c>
      <c r="F161">
        <f t="shared" si="19"/>
        <v>137.5</v>
      </c>
      <c r="H161" t="s">
        <v>248</v>
      </c>
      <c r="J161">
        <f t="shared" si="20"/>
        <v>160</v>
      </c>
    </row>
    <row r="162" spans="1:10" x14ac:dyDescent="0.25">
      <c r="A162" s="1">
        <f t="shared" si="23"/>
        <v>45509</v>
      </c>
      <c r="C162" t="str">
        <f>Inventory!A93</f>
        <v>Hanaan Tissue</v>
      </c>
      <c r="D162">
        <v>20</v>
      </c>
      <c r="E162">
        <f>430/10</f>
        <v>43</v>
      </c>
      <c r="F162">
        <f t="shared" si="19"/>
        <v>860</v>
      </c>
      <c r="H162" t="s">
        <v>248</v>
      </c>
      <c r="J162">
        <f t="shared" si="20"/>
        <v>161</v>
      </c>
    </row>
    <row r="163" spans="1:10" x14ac:dyDescent="0.25">
      <c r="A163" s="1">
        <f t="shared" si="23"/>
        <v>45509</v>
      </c>
      <c r="C163" t="str">
        <f>Inventory!A94</f>
        <v>Bella Tissue</v>
      </c>
      <c r="D163">
        <v>10</v>
      </c>
      <c r="E163">
        <v>35</v>
      </c>
      <c r="F163">
        <f t="shared" si="19"/>
        <v>350</v>
      </c>
      <c r="H163" t="s">
        <v>248</v>
      </c>
      <c r="J163">
        <f t="shared" si="20"/>
        <v>162</v>
      </c>
    </row>
    <row r="164" spans="1:10" x14ac:dyDescent="0.25">
      <c r="A164" s="1">
        <f t="shared" si="23"/>
        <v>45509</v>
      </c>
      <c r="C164" t="str">
        <f>Inventory!A95</f>
        <v>Poa Pekee Tissue</v>
      </c>
      <c r="D164">
        <v>10</v>
      </c>
      <c r="E164">
        <v>18</v>
      </c>
      <c r="F164">
        <f t="shared" si="19"/>
        <v>180</v>
      </c>
      <c r="H164" t="s">
        <v>248</v>
      </c>
      <c r="J164">
        <f t="shared" si="20"/>
        <v>163</v>
      </c>
    </row>
    <row r="165" spans="1:10" x14ac:dyDescent="0.25">
      <c r="A165" s="1">
        <f t="shared" si="23"/>
        <v>45509</v>
      </c>
      <c r="C165" t="str">
        <f>Inventory!A63</f>
        <v>Gomba</v>
      </c>
      <c r="D165">
        <v>100</v>
      </c>
      <c r="E165">
        <v>1.2</v>
      </c>
      <c r="F165">
        <f t="shared" ref="F165:F174" si="24">D165*E165</f>
        <v>120</v>
      </c>
      <c r="H165" t="s">
        <v>248</v>
      </c>
      <c r="J165">
        <f t="shared" si="20"/>
        <v>164</v>
      </c>
    </row>
    <row r="166" spans="1:10" x14ac:dyDescent="0.25">
      <c r="A166" s="1">
        <f>DATE(2024,8,6)</f>
        <v>45510</v>
      </c>
      <c r="C166" t="str">
        <f>Inventory!A31</f>
        <v>BB Bread 200g</v>
      </c>
      <c r="D166">
        <v>3</v>
      </c>
      <c r="E166">
        <f>100/3</f>
        <v>33.333333333333336</v>
      </c>
      <c r="F166">
        <f t="shared" si="24"/>
        <v>100</v>
      </c>
      <c r="H166" t="s">
        <v>247</v>
      </c>
      <c r="J166">
        <f t="shared" si="20"/>
        <v>165</v>
      </c>
    </row>
    <row r="167" spans="1:10" x14ac:dyDescent="0.25">
      <c r="A167" s="1">
        <f t="shared" ref="A167:A174" si="25">DATE(2024,8,6)</f>
        <v>45510</v>
      </c>
      <c r="C167" t="str">
        <f>Inventory!A30</f>
        <v>BB Bread 400g</v>
      </c>
      <c r="D167">
        <v>4</v>
      </c>
      <c r="E167">
        <v>60</v>
      </c>
      <c r="F167">
        <f t="shared" si="24"/>
        <v>240</v>
      </c>
      <c r="H167" t="s">
        <v>247</v>
      </c>
      <c r="J167">
        <f t="shared" si="20"/>
        <v>166</v>
      </c>
    </row>
    <row r="168" spans="1:10" x14ac:dyDescent="0.25">
      <c r="A168" s="1">
        <f t="shared" si="25"/>
        <v>45510</v>
      </c>
      <c r="C168" t="str">
        <f>Inventory!A122</f>
        <v>Kinangop Fresh Milk 500ml</v>
      </c>
      <c r="D168">
        <v>5</v>
      </c>
      <c r="E168">
        <v>55</v>
      </c>
      <c r="F168">
        <f t="shared" si="24"/>
        <v>275</v>
      </c>
      <c r="H168" t="s">
        <v>247</v>
      </c>
      <c r="J168">
        <f t="shared" si="20"/>
        <v>167</v>
      </c>
    </row>
    <row r="169" spans="1:10" x14ac:dyDescent="0.25">
      <c r="A169" s="1">
        <f t="shared" si="25"/>
        <v>45510</v>
      </c>
      <c r="C169" t="str">
        <f>Inventory!A49</f>
        <v>Half pound cake</v>
      </c>
      <c r="D169">
        <v>2</v>
      </c>
      <c r="E169">
        <v>90</v>
      </c>
      <c r="F169">
        <f t="shared" si="24"/>
        <v>180</v>
      </c>
      <c r="H169" t="s">
        <v>247</v>
      </c>
      <c r="J169">
        <f t="shared" si="20"/>
        <v>168</v>
      </c>
    </row>
    <row r="170" spans="1:10" x14ac:dyDescent="0.25">
      <c r="A170" s="1">
        <f t="shared" si="25"/>
        <v>45510</v>
      </c>
      <c r="C170" t="str">
        <f>Inventory!A50</f>
        <v>Ring Cake</v>
      </c>
      <c r="D170">
        <v>5</v>
      </c>
      <c r="E170">
        <v>45</v>
      </c>
      <c r="F170">
        <f t="shared" si="24"/>
        <v>225</v>
      </c>
      <c r="H170" t="s">
        <v>247</v>
      </c>
      <c r="J170">
        <f t="shared" si="20"/>
        <v>169</v>
      </c>
    </row>
    <row r="171" spans="1:10" x14ac:dyDescent="0.25">
      <c r="A171" s="1">
        <f t="shared" si="25"/>
        <v>45510</v>
      </c>
      <c r="C171" t="str">
        <f>Inventory!A87</f>
        <v>Ajab 2kg</v>
      </c>
      <c r="D171">
        <v>12</v>
      </c>
      <c r="E171">
        <f>1909/12</f>
        <v>159.08333333333334</v>
      </c>
      <c r="F171">
        <f t="shared" si="24"/>
        <v>1909</v>
      </c>
      <c r="H171" t="s">
        <v>253</v>
      </c>
      <c r="J171">
        <f t="shared" si="20"/>
        <v>170</v>
      </c>
    </row>
    <row r="172" spans="1:10" x14ac:dyDescent="0.25">
      <c r="A172" s="1">
        <f t="shared" si="25"/>
        <v>45510</v>
      </c>
      <c r="C172" t="str">
        <f>Inventory!A162</f>
        <v>Match Box</v>
      </c>
      <c r="D172">
        <v>100</v>
      </c>
      <c r="E172">
        <f>350/100</f>
        <v>3.5</v>
      </c>
      <c r="F172">
        <f t="shared" si="24"/>
        <v>350</v>
      </c>
      <c r="H172" t="s">
        <v>253</v>
      </c>
      <c r="J172">
        <f t="shared" si="20"/>
        <v>171</v>
      </c>
    </row>
    <row r="173" spans="1:10" x14ac:dyDescent="0.25">
      <c r="A173" s="1">
        <f t="shared" si="25"/>
        <v>45510</v>
      </c>
      <c r="C173" t="str">
        <f>Inventory!A12</f>
        <v>predator</v>
      </c>
      <c r="D173">
        <v>12</v>
      </c>
      <c r="E173">
        <f>638/12</f>
        <v>53.166666666666664</v>
      </c>
      <c r="F173">
        <f t="shared" si="24"/>
        <v>638</v>
      </c>
      <c r="H173" t="s">
        <v>253</v>
      </c>
      <c r="J173">
        <f t="shared" si="20"/>
        <v>172</v>
      </c>
    </row>
    <row r="174" spans="1:10" x14ac:dyDescent="0.25">
      <c r="A174" s="1">
        <f t="shared" si="25"/>
        <v>45510</v>
      </c>
      <c r="C174" t="str">
        <f>Inventory!A61</f>
        <v>Bigdaddy</v>
      </c>
      <c r="D174">
        <v>50</v>
      </c>
      <c r="E174">
        <f>288/50</f>
        <v>5.76</v>
      </c>
      <c r="F174">
        <f t="shared" si="24"/>
        <v>288</v>
      </c>
      <c r="H174" t="s">
        <v>253</v>
      </c>
      <c r="J174">
        <f t="shared" si="20"/>
        <v>173</v>
      </c>
    </row>
    <row r="175" spans="1:10" x14ac:dyDescent="0.25">
      <c r="A175" s="1">
        <f>DATE(2024,8,8)</f>
        <v>45512</v>
      </c>
      <c r="B175" s="35">
        <f>TIME(9,7,0)</f>
        <v>0.37986111111111109</v>
      </c>
      <c r="C175" t="str">
        <f>Inventory!A30</f>
        <v>BB Bread 400g</v>
      </c>
      <c r="D175">
        <v>3</v>
      </c>
      <c r="E175">
        <v>60</v>
      </c>
      <c r="F175">
        <f t="shared" ref="F175:F189" si="26">D175*E175</f>
        <v>180</v>
      </c>
      <c r="H175" t="s">
        <v>247</v>
      </c>
      <c r="J175">
        <f t="shared" si="20"/>
        <v>174</v>
      </c>
    </row>
    <row r="176" spans="1:10" x14ac:dyDescent="0.25">
      <c r="A176" s="1">
        <f>DATE(2024,8,8)</f>
        <v>45512</v>
      </c>
      <c r="B176" s="35">
        <f>TIME(9,7,0)</f>
        <v>0.37986111111111109</v>
      </c>
      <c r="C176" t="str">
        <f>Inventory!A31</f>
        <v>BB Bread 200g</v>
      </c>
      <c r="D176">
        <v>5</v>
      </c>
      <c r="E176">
        <f>100/3</f>
        <v>33.333333333333336</v>
      </c>
      <c r="F176">
        <f t="shared" si="26"/>
        <v>166.66666666666669</v>
      </c>
      <c r="H176" t="s">
        <v>247</v>
      </c>
      <c r="J176">
        <f t="shared" si="20"/>
        <v>175</v>
      </c>
    </row>
    <row r="177" spans="1:10" x14ac:dyDescent="0.25">
      <c r="A177" s="1">
        <f>DATE(2024,8,8)</f>
        <v>45512</v>
      </c>
      <c r="B177" s="35">
        <f>TIME(9,7,0)</f>
        <v>0.37986111111111109</v>
      </c>
      <c r="C177" t="str">
        <f>Inventory!A122</f>
        <v>Kinangop Fresh Milk 500ml</v>
      </c>
      <c r="D177">
        <v>5</v>
      </c>
      <c r="E177">
        <v>55</v>
      </c>
      <c r="F177">
        <f t="shared" si="26"/>
        <v>275</v>
      </c>
      <c r="H177" t="s">
        <v>247</v>
      </c>
      <c r="J177">
        <f t="shared" si="20"/>
        <v>176</v>
      </c>
    </row>
    <row r="178" spans="1:10" x14ac:dyDescent="0.25">
      <c r="A178" s="1">
        <f>DATE(2024,8,8)</f>
        <v>45512</v>
      </c>
      <c r="B178" s="35">
        <f>TIME(11,45,0)</f>
        <v>0.48958333333333331</v>
      </c>
      <c r="C178" t="str">
        <f>Inventory!A32</f>
        <v>Festive 600g</v>
      </c>
      <c r="D178">
        <v>3</v>
      </c>
      <c r="E178">
        <v>90</v>
      </c>
      <c r="F178">
        <f t="shared" si="26"/>
        <v>270</v>
      </c>
      <c r="H178" t="s">
        <v>247</v>
      </c>
      <c r="J178">
        <f t="shared" si="20"/>
        <v>177</v>
      </c>
    </row>
    <row r="179" spans="1:10" x14ac:dyDescent="0.25">
      <c r="A179" s="1">
        <f>DATE(2024,8,8)</f>
        <v>45512</v>
      </c>
      <c r="B179" s="35">
        <f>TIME(11,45,0)</f>
        <v>0.48958333333333331</v>
      </c>
      <c r="C179" t="str">
        <f>Inventory!A132</f>
        <v>Festive Bread 400g</v>
      </c>
      <c r="D179">
        <v>5</v>
      </c>
      <c r="E179">
        <v>60</v>
      </c>
      <c r="F179">
        <f t="shared" si="26"/>
        <v>300</v>
      </c>
      <c r="H179" t="s">
        <v>247</v>
      </c>
      <c r="J179">
        <f t="shared" si="20"/>
        <v>178</v>
      </c>
    </row>
    <row r="180" spans="1:10" x14ac:dyDescent="0.25">
      <c r="A180" s="1">
        <f>DATE(2024,8,9)</f>
        <v>45513</v>
      </c>
      <c r="B180" s="35">
        <f>TIME(8,40,0)</f>
        <v>0.3611111111111111</v>
      </c>
      <c r="C180" t="str">
        <f>Inventory!A30</f>
        <v>BB Bread 400g</v>
      </c>
      <c r="D180">
        <v>5</v>
      </c>
      <c r="E180">
        <v>60</v>
      </c>
      <c r="F180">
        <v>300</v>
      </c>
      <c r="H180" t="s">
        <v>247</v>
      </c>
      <c r="J180">
        <f t="shared" si="20"/>
        <v>179</v>
      </c>
    </row>
    <row r="181" spans="1:10" x14ac:dyDescent="0.25">
      <c r="A181" s="1">
        <f t="shared" ref="A181:A192" si="27">DATE(2024,8,9)</f>
        <v>45513</v>
      </c>
      <c r="B181" s="35">
        <f>TIME(8,40,0)</f>
        <v>0.3611111111111111</v>
      </c>
      <c r="C181" t="str">
        <f>Inventory!A18</f>
        <v>kinangop250g youghurt</v>
      </c>
      <c r="D181">
        <v>12</v>
      </c>
      <c r="E181">
        <f>585/12</f>
        <v>48.75</v>
      </c>
      <c r="F181">
        <v>585</v>
      </c>
      <c r="H181" t="s">
        <v>247</v>
      </c>
      <c r="J181">
        <f t="shared" si="20"/>
        <v>180</v>
      </c>
    </row>
    <row r="182" spans="1:10" x14ac:dyDescent="0.25">
      <c r="A182" s="1">
        <f t="shared" si="27"/>
        <v>45513</v>
      </c>
      <c r="B182" s="35">
        <f>TIME(8,40,0)</f>
        <v>0.3611111111111111</v>
      </c>
      <c r="C182" t="str">
        <f>Inventory!A20</f>
        <v>kinangop 500g youghurt</v>
      </c>
      <c r="D182">
        <v>6</v>
      </c>
      <c r="E182">
        <f>540/6</f>
        <v>90</v>
      </c>
      <c r="F182">
        <v>540</v>
      </c>
      <c r="H182" t="s">
        <v>247</v>
      </c>
      <c r="J182">
        <f t="shared" si="20"/>
        <v>181</v>
      </c>
    </row>
    <row r="183" spans="1:10" x14ac:dyDescent="0.25">
      <c r="A183" s="1">
        <f t="shared" si="27"/>
        <v>45513</v>
      </c>
      <c r="B183" s="35">
        <f>TIME(11,20,0)</f>
        <v>0.47222222222222221</v>
      </c>
      <c r="C183" t="str">
        <f>Inventory!A132</f>
        <v>Festive Bread 400g</v>
      </c>
      <c r="D183">
        <v>4</v>
      </c>
      <c r="E183">
        <v>60</v>
      </c>
      <c r="F183">
        <f t="shared" si="26"/>
        <v>240</v>
      </c>
      <c r="H183" t="s">
        <v>247</v>
      </c>
      <c r="J183">
        <f t="shared" si="20"/>
        <v>182</v>
      </c>
    </row>
    <row r="184" spans="1:10" x14ac:dyDescent="0.25">
      <c r="A184" s="1">
        <f t="shared" si="27"/>
        <v>45513</v>
      </c>
      <c r="B184" s="35">
        <f t="shared" ref="B184:B192" si="28">TIME(11,20,0)</f>
        <v>0.47222222222222221</v>
      </c>
      <c r="C184" t="str">
        <f>Inventory!A33</f>
        <v>Festive 800g</v>
      </c>
      <c r="D184">
        <v>2</v>
      </c>
      <c r="E184">
        <v>120</v>
      </c>
      <c r="F184">
        <f t="shared" si="26"/>
        <v>240</v>
      </c>
      <c r="H184" t="s">
        <v>247</v>
      </c>
      <c r="J184">
        <f t="shared" si="20"/>
        <v>183</v>
      </c>
    </row>
    <row r="185" spans="1:10" x14ac:dyDescent="0.25">
      <c r="A185" s="1">
        <f t="shared" si="27"/>
        <v>45513</v>
      </c>
      <c r="B185" s="35">
        <f t="shared" si="28"/>
        <v>0.47222222222222221</v>
      </c>
      <c r="C185" t="str">
        <f>Inventory!A32</f>
        <v>Festive 600g</v>
      </c>
      <c r="D185">
        <v>2</v>
      </c>
      <c r="E185">
        <v>90</v>
      </c>
      <c r="F185">
        <f t="shared" si="26"/>
        <v>180</v>
      </c>
      <c r="H185" t="s">
        <v>247</v>
      </c>
      <c r="J185">
        <f t="shared" si="20"/>
        <v>184</v>
      </c>
    </row>
    <row r="186" spans="1:10" x14ac:dyDescent="0.25">
      <c r="A186" s="1">
        <f t="shared" si="27"/>
        <v>45513</v>
      </c>
      <c r="B186" s="35">
        <f t="shared" si="28"/>
        <v>0.47222222222222221</v>
      </c>
      <c r="C186" t="str">
        <f>Inventory!A49</f>
        <v>Half pound cake</v>
      </c>
      <c r="D186">
        <v>4</v>
      </c>
      <c r="E186">
        <v>90</v>
      </c>
      <c r="F186">
        <f t="shared" si="26"/>
        <v>360</v>
      </c>
      <c r="H186" t="s">
        <v>247</v>
      </c>
      <c r="J186">
        <f t="shared" si="20"/>
        <v>185</v>
      </c>
    </row>
    <row r="187" spans="1:10" x14ac:dyDescent="0.25">
      <c r="A187" s="1">
        <f t="shared" si="27"/>
        <v>45513</v>
      </c>
      <c r="B187" s="35">
        <f t="shared" si="28"/>
        <v>0.47222222222222221</v>
      </c>
      <c r="C187" t="str">
        <f>Inventory!A50</f>
        <v>Ring Cake</v>
      </c>
      <c r="D187">
        <v>6</v>
      </c>
      <c r="E187">
        <v>45</v>
      </c>
      <c r="F187">
        <f t="shared" si="26"/>
        <v>270</v>
      </c>
      <c r="H187" t="s">
        <v>247</v>
      </c>
      <c r="J187">
        <f t="shared" si="20"/>
        <v>186</v>
      </c>
    </row>
    <row r="188" spans="1:10" x14ac:dyDescent="0.25">
      <c r="A188" s="1">
        <f t="shared" si="27"/>
        <v>45513</v>
      </c>
      <c r="B188" s="35">
        <f t="shared" si="28"/>
        <v>0.47222222222222221</v>
      </c>
      <c r="C188" t="str">
        <f>Inventory!A124</f>
        <v>Scones</v>
      </c>
      <c r="D188">
        <v>6</v>
      </c>
      <c r="E188">
        <f>50/6</f>
        <v>8.3333333333333339</v>
      </c>
      <c r="F188">
        <v>50</v>
      </c>
      <c r="H188" t="s">
        <v>247</v>
      </c>
      <c r="J188">
        <f t="shared" si="20"/>
        <v>187</v>
      </c>
    </row>
    <row r="189" spans="1:10" x14ac:dyDescent="0.25">
      <c r="A189" s="1">
        <f t="shared" si="27"/>
        <v>45513</v>
      </c>
      <c r="B189" s="35">
        <f t="shared" si="28"/>
        <v>0.47222222222222221</v>
      </c>
      <c r="C189" t="str">
        <f>Inventory!A54</f>
        <v>Kdf</v>
      </c>
      <c r="D189">
        <v>18</v>
      </c>
      <c r="E189">
        <f>50/6</f>
        <v>8.3333333333333339</v>
      </c>
      <c r="F189">
        <f t="shared" si="26"/>
        <v>150</v>
      </c>
      <c r="H189" t="s">
        <v>247</v>
      </c>
      <c r="J189">
        <f t="shared" si="20"/>
        <v>188</v>
      </c>
    </row>
    <row r="190" spans="1:10" x14ac:dyDescent="0.25">
      <c r="A190" s="1">
        <f t="shared" si="27"/>
        <v>45513</v>
      </c>
      <c r="B190" s="35">
        <f t="shared" si="28"/>
        <v>0.47222222222222221</v>
      </c>
      <c r="C190" t="str">
        <f>Inventory!A121</f>
        <v>Banana</v>
      </c>
      <c r="D190">
        <v>23</v>
      </c>
      <c r="E190">
        <f>20/3</f>
        <v>6.666666666666667</v>
      </c>
      <c r="F190">
        <v>150</v>
      </c>
      <c r="H190" t="s">
        <v>247</v>
      </c>
      <c r="J190">
        <f t="shared" si="20"/>
        <v>189</v>
      </c>
    </row>
    <row r="191" spans="1:10" x14ac:dyDescent="0.25">
      <c r="A191" s="1">
        <f t="shared" si="27"/>
        <v>45513</v>
      </c>
      <c r="B191" s="35">
        <f t="shared" si="28"/>
        <v>0.47222222222222221</v>
      </c>
      <c r="C191" t="str">
        <f>Inventory!A55</f>
        <v>Ngumu</v>
      </c>
      <c r="D191">
        <v>20</v>
      </c>
      <c r="E191">
        <v>100</v>
      </c>
      <c r="F191">
        <f t="shared" ref="F191:F200" si="29">D191*E191</f>
        <v>2000</v>
      </c>
      <c r="H191" t="s">
        <v>247</v>
      </c>
      <c r="J191">
        <f t="shared" si="20"/>
        <v>190</v>
      </c>
    </row>
    <row r="192" spans="1:10" x14ac:dyDescent="0.25">
      <c r="A192" s="1">
        <f t="shared" si="27"/>
        <v>45513</v>
      </c>
      <c r="B192" s="35">
        <f t="shared" si="28"/>
        <v>0.47222222222222221</v>
      </c>
      <c r="C192" t="s">
        <v>278</v>
      </c>
      <c r="D192">
        <v>3</v>
      </c>
      <c r="E192">
        <v>50</v>
      </c>
      <c r="F192">
        <f t="shared" si="29"/>
        <v>150</v>
      </c>
      <c r="H192" t="s">
        <v>247</v>
      </c>
      <c r="J192">
        <f t="shared" si="20"/>
        <v>191</v>
      </c>
    </row>
    <row r="193" spans="1:10" x14ac:dyDescent="0.25">
      <c r="A193" s="1">
        <f>DATE(2024,8,10)</f>
        <v>45514</v>
      </c>
      <c r="B193" s="35">
        <f>TIME(9,8,0)</f>
        <v>0.38055555555555554</v>
      </c>
      <c r="C193" t="str">
        <f>Inventory!A122</f>
        <v>Kinangop Fresh Milk 500ml</v>
      </c>
      <c r="D193">
        <v>6</v>
      </c>
      <c r="E193">
        <v>55</v>
      </c>
      <c r="F193">
        <f t="shared" si="29"/>
        <v>330</v>
      </c>
      <c r="H193" t="s">
        <v>247</v>
      </c>
      <c r="J193">
        <f t="shared" si="20"/>
        <v>192</v>
      </c>
    </row>
    <row r="194" spans="1:10" x14ac:dyDescent="0.25">
      <c r="A194" s="1">
        <f t="shared" ref="A194:A211" si="30">DATE(2024,8,10)</f>
        <v>45514</v>
      </c>
      <c r="B194" s="35">
        <f>TIME(9,8,0)</f>
        <v>0.38055555555555554</v>
      </c>
      <c r="C194" t="str">
        <f>Inventory!A30</f>
        <v>BB Bread 400g</v>
      </c>
      <c r="D194">
        <v>6</v>
      </c>
      <c r="E194">
        <v>60</v>
      </c>
      <c r="F194">
        <f t="shared" si="29"/>
        <v>360</v>
      </c>
      <c r="H194" t="s">
        <v>247</v>
      </c>
      <c r="J194">
        <f t="shared" si="20"/>
        <v>193</v>
      </c>
    </row>
    <row r="195" spans="1:10" x14ac:dyDescent="0.25">
      <c r="A195" s="1">
        <f t="shared" si="30"/>
        <v>45514</v>
      </c>
      <c r="B195" s="35">
        <f>TIME(10,30,0)</f>
        <v>0.4375</v>
      </c>
      <c r="C195" t="str">
        <f>Inventory!A55</f>
        <v>Ngumu</v>
      </c>
      <c r="D195">
        <v>24</v>
      </c>
      <c r="E195">
        <f>50/6</f>
        <v>8.3333333333333339</v>
      </c>
      <c r="F195">
        <f t="shared" si="29"/>
        <v>200</v>
      </c>
      <c r="H195" t="s">
        <v>262</v>
      </c>
      <c r="I195" t="s">
        <v>279</v>
      </c>
      <c r="J195">
        <f t="shared" si="20"/>
        <v>194</v>
      </c>
    </row>
    <row r="196" spans="1:10" x14ac:dyDescent="0.25">
      <c r="A196" s="1">
        <f t="shared" si="30"/>
        <v>45514</v>
      </c>
      <c r="B196" s="35">
        <f>TIME(10,30,0)</f>
        <v>0.4375</v>
      </c>
      <c r="C196" t="str">
        <f>Inventory!A54</f>
        <v>Kdf</v>
      </c>
      <c r="D196">
        <v>18</v>
      </c>
      <c r="E196">
        <f>50/6</f>
        <v>8.3333333333333339</v>
      </c>
      <c r="F196">
        <f t="shared" si="29"/>
        <v>150</v>
      </c>
      <c r="H196" t="s">
        <v>262</v>
      </c>
      <c r="J196">
        <f t="shared" ref="J196:J227" si="31">J195+1</f>
        <v>195</v>
      </c>
    </row>
    <row r="197" spans="1:10" x14ac:dyDescent="0.25">
      <c r="A197" s="1">
        <f t="shared" si="30"/>
        <v>45514</v>
      </c>
      <c r="B197" s="35">
        <f>TIME(10,30,0)</f>
        <v>0.4375</v>
      </c>
      <c r="C197" t="str">
        <f>Inventory!A53</f>
        <v>Mandazi</v>
      </c>
      <c r="D197">
        <v>24</v>
      </c>
      <c r="E197">
        <f>50/6</f>
        <v>8.3333333333333339</v>
      </c>
      <c r="F197">
        <f t="shared" si="29"/>
        <v>200</v>
      </c>
      <c r="H197" t="s">
        <v>262</v>
      </c>
      <c r="J197">
        <f t="shared" si="31"/>
        <v>196</v>
      </c>
    </row>
    <row r="198" spans="1:10" x14ac:dyDescent="0.25">
      <c r="A198" s="1">
        <f t="shared" si="30"/>
        <v>45514</v>
      </c>
      <c r="B198" s="35">
        <f>TIME(10,30,0)</f>
        <v>0.4375</v>
      </c>
      <c r="C198" t="str">
        <f>Inventory!A206</f>
        <v>Queen cake</v>
      </c>
      <c r="D198">
        <v>12</v>
      </c>
      <c r="E198">
        <f>50/6</f>
        <v>8.3333333333333339</v>
      </c>
      <c r="F198">
        <f t="shared" si="29"/>
        <v>100</v>
      </c>
      <c r="H198" t="s">
        <v>262</v>
      </c>
      <c r="J198">
        <f t="shared" si="31"/>
        <v>197</v>
      </c>
    </row>
    <row r="199" spans="1:10" x14ac:dyDescent="0.25">
      <c r="A199" s="1">
        <f t="shared" si="30"/>
        <v>45514</v>
      </c>
      <c r="B199" s="35">
        <f>TIME(11,18,0)</f>
        <v>0.47083333333333333</v>
      </c>
      <c r="C199" t="str">
        <f>Inventory!A132</f>
        <v>Festive Bread 400g</v>
      </c>
      <c r="D199">
        <v>6</v>
      </c>
      <c r="E199">
        <v>60</v>
      </c>
      <c r="F199">
        <f t="shared" si="29"/>
        <v>360</v>
      </c>
      <c r="H199" t="s">
        <v>262</v>
      </c>
      <c r="I199" t="s">
        <v>280</v>
      </c>
      <c r="J199">
        <f t="shared" si="31"/>
        <v>198</v>
      </c>
    </row>
    <row r="200" spans="1:10" x14ac:dyDescent="0.25">
      <c r="A200" s="1">
        <f t="shared" si="30"/>
        <v>45514</v>
      </c>
      <c r="B200" s="35">
        <f>TIME(11,18,0)</f>
        <v>0.47083333333333333</v>
      </c>
      <c r="C200" t="str">
        <f>Inventory!A33</f>
        <v>Festive 800g</v>
      </c>
      <c r="D200">
        <v>3</v>
      </c>
      <c r="E200">
        <v>120</v>
      </c>
      <c r="F200">
        <f t="shared" si="29"/>
        <v>360</v>
      </c>
      <c r="H200" t="s">
        <v>262</v>
      </c>
      <c r="J200">
        <f t="shared" si="31"/>
        <v>199</v>
      </c>
    </row>
    <row r="201" spans="1:10" x14ac:dyDescent="0.25">
      <c r="A201" s="1">
        <f t="shared" si="30"/>
        <v>45514</v>
      </c>
      <c r="B201" s="35">
        <f>TIME(11,18,0)</f>
        <v>0.47083333333333333</v>
      </c>
      <c r="C201" t="str">
        <f>Inventory!A32</f>
        <v>Festive 600g</v>
      </c>
      <c r="D201">
        <v>3</v>
      </c>
      <c r="E201">
        <v>90</v>
      </c>
      <c r="F201">
        <f t="shared" ref="F201:F206" si="32">D201*E201</f>
        <v>270</v>
      </c>
      <c r="H201" t="s">
        <v>262</v>
      </c>
      <c r="J201">
        <f t="shared" si="31"/>
        <v>200</v>
      </c>
    </row>
    <row r="202" spans="1:10" x14ac:dyDescent="0.25">
      <c r="A202" s="1">
        <f t="shared" si="30"/>
        <v>45514</v>
      </c>
      <c r="C202" t="str">
        <f>Inventory!A70</f>
        <v>Indomie beef</v>
      </c>
      <c r="D202">
        <v>20</v>
      </c>
      <c r="E202">
        <f>755/20</f>
        <v>37.75</v>
      </c>
      <c r="F202">
        <f t="shared" si="32"/>
        <v>755</v>
      </c>
      <c r="H202" t="s">
        <v>281</v>
      </c>
      <c r="J202">
        <f t="shared" si="31"/>
        <v>201</v>
      </c>
    </row>
    <row r="203" spans="1:10" x14ac:dyDescent="0.25">
      <c r="A203" s="1">
        <f t="shared" si="30"/>
        <v>45514</v>
      </c>
      <c r="C203" t="str">
        <f>Inventory!A71</f>
        <v>Indomie chicken</v>
      </c>
      <c r="D203">
        <v>40</v>
      </c>
      <c r="E203">
        <f>755/20</f>
        <v>37.75</v>
      </c>
      <c r="F203">
        <f t="shared" si="32"/>
        <v>1510</v>
      </c>
      <c r="H203" t="s">
        <v>281</v>
      </c>
      <c r="J203">
        <f t="shared" si="31"/>
        <v>202</v>
      </c>
    </row>
    <row r="204" spans="1:10" x14ac:dyDescent="0.25">
      <c r="A204" s="1">
        <f t="shared" si="30"/>
        <v>45514</v>
      </c>
      <c r="C204" t="str">
        <f>Inventory!A121</f>
        <v>Banana</v>
      </c>
      <c r="D204">
        <v>20</v>
      </c>
      <c r="E204">
        <f>20/3</f>
        <v>6.666666666666667</v>
      </c>
      <c r="F204">
        <f t="shared" si="32"/>
        <v>133.33333333333334</v>
      </c>
      <c r="H204" t="s">
        <v>281</v>
      </c>
      <c r="J204">
        <f t="shared" si="31"/>
        <v>203</v>
      </c>
    </row>
    <row r="205" spans="1:10" x14ac:dyDescent="0.25">
      <c r="A205" s="1">
        <f t="shared" si="30"/>
        <v>45514</v>
      </c>
      <c r="C205" t="str">
        <f>Inventory!A125</f>
        <v>Dhania</v>
      </c>
      <c r="D205">
        <v>9</v>
      </c>
      <c r="E205">
        <f>10/3</f>
        <v>3.3333333333333335</v>
      </c>
      <c r="F205">
        <f t="shared" si="32"/>
        <v>30</v>
      </c>
      <c r="H205" t="s">
        <v>281</v>
      </c>
      <c r="J205">
        <f t="shared" si="31"/>
        <v>204</v>
      </c>
    </row>
    <row r="206" spans="1:10" x14ac:dyDescent="0.25">
      <c r="A206" s="1">
        <f t="shared" si="30"/>
        <v>45514</v>
      </c>
      <c r="C206" t="str">
        <f>Inventory!A14</f>
        <v>soda 500ml glass</v>
      </c>
      <c r="D206">
        <v>24</v>
      </c>
      <c r="E206">
        <f>780/24</f>
        <v>32.5</v>
      </c>
      <c r="F206">
        <f t="shared" si="32"/>
        <v>780</v>
      </c>
      <c r="H206" t="s">
        <v>253</v>
      </c>
      <c r="J206">
        <f t="shared" si="31"/>
        <v>205</v>
      </c>
    </row>
    <row r="207" spans="1:10" x14ac:dyDescent="0.25">
      <c r="A207" s="1">
        <f t="shared" si="30"/>
        <v>45514</v>
      </c>
      <c r="C207" t="str">
        <f>Inventory!A13</f>
        <v>soda 300ml glass</v>
      </c>
      <c r="D207">
        <v>48</v>
      </c>
      <c r="E207">
        <f>1200/24</f>
        <v>50</v>
      </c>
      <c r="F207">
        <f t="shared" ref="F207:F227" si="33">D207*E207</f>
        <v>2400</v>
      </c>
      <c r="H207" t="s">
        <v>253</v>
      </c>
      <c r="J207">
        <f t="shared" si="31"/>
        <v>206</v>
      </c>
    </row>
    <row r="208" spans="1:10" x14ac:dyDescent="0.25">
      <c r="A208" s="1">
        <f t="shared" si="30"/>
        <v>45514</v>
      </c>
      <c r="C208" t="str">
        <f>Inventory!A6</f>
        <v xml:space="preserve"> soda 1.25lts</v>
      </c>
      <c r="D208">
        <v>12</v>
      </c>
      <c r="E208">
        <f>1300/12</f>
        <v>108.33333333333333</v>
      </c>
      <c r="F208">
        <f t="shared" si="33"/>
        <v>1300</v>
      </c>
      <c r="H208" t="s">
        <v>253</v>
      </c>
      <c r="J208">
        <f t="shared" si="31"/>
        <v>207</v>
      </c>
    </row>
    <row r="209" spans="1:10" x14ac:dyDescent="0.25">
      <c r="A209" s="1">
        <f t="shared" si="30"/>
        <v>45514</v>
      </c>
      <c r="C209" t="str">
        <f>Inventory!A9</f>
        <v>minutemaid 400ml</v>
      </c>
      <c r="D209">
        <v>12</v>
      </c>
      <c r="E209">
        <f>800/12</f>
        <v>66.666666666666671</v>
      </c>
      <c r="F209">
        <f t="shared" si="33"/>
        <v>800</v>
      </c>
      <c r="H209" t="s">
        <v>253</v>
      </c>
      <c r="J209">
        <f t="shared" si="31"/>
        <v>208</v>
      </c>
    </row>
    <row r="210" spans="1:10" x14ac:dyDescent="0.25">
      <c r="A210" s="1">
        <f t="shared" si="30"/>
        <v>45514</v>
      </c>
      <c r="C210" t="str">
        <f>Inventory!A120</f>
        <v>Icepop</v>
      </c>
      <c r="D210">
        <v>120</v>
      </c>
      <c r="E210">
        <f>450/60</f>
        <v>7.5</v>
      </c>
      <c r="F210">
        <f t="shared" si="33"/>
        <v>900</v>
      </c>
      <c r="H210" t="s">
        <v>282</v>
      </c>
      <c r="J210">
        <f t="shared" si="31"/>
        <v>209</v>
      </c>
    </row>
    <row r="211" spans="1:10" x14ac:dyDescent="0.25">
      <c r="A211" s="1">
        <f t="shared" si="30"/>
        <v>45514</v>
      </c>
      <c r="C211" t="str">
        <f>Inventory!A67</f>
        <v>Bigboss</v>
      </c>
      <c r="D211">
        <v>100</v>
      </c>
      <c r="E211">
        <f>350/100</f>
        <v>3.5</v>
      </c>
      <c r="F211">
        <f t="shared" si="33"/>
        <v>350</v>
      </c>
      <c r="H211" t="s">
        <v>282</v>
      </c>
      <c r="J211">
        <f t="shared" si="31"/>
        <v>210</v>
      </c>
    </row>
    <row r="212" spans="1:10" x14ac:dyDescent="0.25">
      <c r="A212" s="1">
        <f>DATE(2024,8,11)</f>
        <v>45515</v>
      </c>
      <c r="C212" t="s">
        <v>273</v>
      </c>
      <c r="F212">
        <v>70</v>
      </c>
      <c r="H212" t="s">
        <v>248</v>
      </c>
      <c r="J212">
        <f t="shared" si="31"/>
        <v>211</v>
      </c>
    </row>
    <row r="213" spans="1:10" x14ac:dyDescent="0.25">
      <c r="A213" s="1">
        <f t="shared" ref="A213" si="34">DATE(2024,8,11)</f>
        <v>45515</v>
      </c>
      <c r="C213" t="s">
        <v>283</v>
      </c>
      <c r="D213">
        <v>10</v>
      </c>
      <c r="E213">
        <v>20</v>
      </c>
      <c r="F213">
        <f t="shared" si="33"/>
        <v>200</v>
      </c>
      <c r="H213" t="s">
        <v>284</v>
      </c>
      <c r="J213">
        <f t="shared" si="31"/>
        <v>212</v>
      </c>
    </row>
    <row r="214" spans="1:10" x14ac:dyDescent="0.25">
      <c r="A214" s="1">
        <f>DATE(2024,8,12)</f>
        <v>45516</v>
      </c>
      <c r="C214" t="s">
        <v>273</v>
      </c>
      <c r="F214">
        <v>200</v>
      </c>
      <c r="H214" t="s">
        <v>248</v>
      </c>
      <c r="J214">
        <f t="shared" si="31"/>
        <v>213</v>
      </c>
    </row>
    <row r="215" spans="1:10" x14ac:dyDescent="0.25">
      <c r="A215" s="1">
        <f t="shared" ref="A215:A227" si="35">DATE(2024,8,12)</f>
        <v>45516</v>
      </c>
      <c r="C215" t="str">
        <f>Inventory!A122</f>
        <v>Kinangop Fresh Milk 500ml</v>
      </c>
      <c r="D215">
        <v>5</v>
      </c>
      <c r="E215">
        <v>55</v>
      </c>
      <c r="F215">
        <f t="shared" si="33"/>
        <v>275</v>
      </c>
      <c r="H215" t="s">
        <v>247</v>
      </c>
      <c r="J215">
        <f t="shared" si="31"/>
        <v>214</v>
      </c>
    </row>
    <row r="216" spans="1:10" x14ac:dyDescent="0.25">
      <c r="A216" s="1">
        <f t="shared" si="35"/>
        <v>45516</v>
      </c>
      <c r="C216" t="str">
        <f>Inventory!A132</f>
        <v>Festive Bread 400g</v>
      </c>
      <c r="D216">
        <v>5</v>
      </c>
      <c r="E216">
        <v>60</v>
      </c>
      <c r="F216">
        <f t="shared" si="33"/>
        <v>300</v>
      </c>
      <c r="H216" t="s">
        <v>247</v>
      </c>
      <c r="J216">
        <f t="shared" si="31"/>
        <v>215</v>
      </c>
    </row>
    <row r="217" spans="1:10" x14ac:dyDescent="0.25">
      <c r="A217" s="1">
        <f t="shared" si="35"/>
        <v>45516</v>
      </c>
      <c r="C217" t="str">
        <f>Inventory!A210</f>
        <v>Soko Maize meal 2kg</v>
      </c>
      <c r="D217">
        <v>12</v>
      </c>
      <c r="E217">
        <v>125</v>
      </c>
      <c r="F217">
        <v>1500</v>
      </c>
      <c r="H217" t="s">
        <v>248</v>
      </c>
      <c r="J217">
        <f t="shared" si="31"/>
        <v>216</v>
      </c>
    </row>
    <row r="218" spans="1:10" x14ac:dyDescent="0.25">
      <c r="A218" s="1">
        <f t="shared" si="35"/>
        <v>45516</v>
      </c>
      <c r="C218" t="str">
        <f>Inventory!A46</f>
        <v>Nuvita Bisquit</v>
      </c>
      <c r="D218">
        <v>60</v>
      </c>
      <c r="E218">
        <f>250/60</f>
        <v>4.166666666666667</v>
      </c>
      <c r="F218">
        <f t="shared" si="33"/>
        <v>250.00000000000003</v>
      </c>
      <c r="H218" t="s">
        <v>248</v>
      </c>
      <c r="J218">
        <f t="shared" si="31"/>
        <v>217</v>
      </c>
    </row>
    <row r="219" spans="1:10" x14ac:dyDescent="0.25">
      <c r="A219" s="1">
        <f t="shared" si="35"/>
        <v>45516</v>
      </c>
      <c r="C219" t="str">
        <f>Inventory!A48</f>
        <v>Ginger Bisquit</v>
      </c>
      <c r="D219">
        <v>60</v>
      </c>
      <c r="E219">
        <f>260/60</f>
        <v>4.333333333333333</v>
      </c>
      <c r="F219">
        <f t="shared" si="33"/>
        <v>260</v>
      </c>
      <c r="H219" t="s">
        <v>248</v>
      </c>
      <c r="J219">
        <f t="shared" si="31"/>
        <v>218</v>
      </c>
    </row>
    <row r="220" spans="1:10" x14ac:dyDescent="0.25">
      <c r="A220" s="1">
        <f t="shared" si="35"/>
        <v>45516</v>
      </c>
      <c r="C220" t="str">
        <f>Inventory!A153</f>
        <v>Pishori rice</v>
      </c>
      <c r="D220">
        <v>10</v>
      </c>
      <c r="E220">
        <v>180</v>
      </c>
      <c r="F220">
        <f t="shared" si="33"/>
        <v>1800</v>
      </c>
      <c r="H220" t="s">
        <v>248</v>
      </c>
      <c r="J220">
        <f t="shared" si="31"/>
        <v>219</v>
      </c>
    </row>
    <row r="221" spans="1:10" x14ac:dyDescent="0.25">
      <c r="A221" s="1">
        <f>DATE(2024,7,20)</f>
        <v>45493</v>
      </c>
      <c r="C221" t="s">
        <v>285</v>
      </c>
      <c r="F221">
        <v>2000</v>
      </c>
      <c r="H221" t="s">
        <v>282</v>
      </c>
      <c r="J221">
        <f t="shared" si="31"/>
        <v>220</v>
      </c>
    </row>
    <row r="222" spans="1:10" x14ac:dyDescent="0.25">
      <c r="A222" s="1">
        <f>DATE(2024,7,27)</f>
        <v>45500</v>
      </c>
      <c r="C222" t="s">
        <v>285</v>
      </c>
      <c r="F222">
        <v>1670</v>
      </c>
      <c r="H222" t="s">
        <v>282</v>
      </c>
      <c r="J222">
        <f t="shared" si="31"/>
        <v>221</v>
      </c>
    </row>
    <row r="223" spans="1:10" x14ac:dyDescent="0.25">
      <c r="A223" s="1">
        <f>DATE(2024,8,3)</f>
        <v>45507</v>
      </c>
      <c r="C223" t="s">
        <v>285</v>
      </c>
      <c r="F223">
        <v>2000</v>
      </c>
      <c r="H223" t="s">
        <v>282</v>
      </c>
      <c r="J223">
        <f t="shared" si="31"/>
        <v>222</v>
      </c>
    </row>
    <row r="224" spans="1:10" x14ac:dyDescent="0.25">
      <c r="A224" s="1">
        <f t="shared" si="35"/>
        <v>45516</v>
      </c>
      <c r="F224">
        <f t="shared" si="33"/>
        <v>0</v>
      </c>
      <c r="J224">
        <f t="shared" si="31"/>
        <v>223</v>
      </c>
    </row>
    <row r="225" spans="1:10" x14ac:dyDescent="0.25">
      <c r="A225" s="1">
        <f t="shared" si="35"/>
        <v>45516</v>
      </c>
      <c r="F225">
        <f t="shared" si="33"/>
        <v>0</v>
      </c>
      <c r="J225">
        <f t="shared" si="31"/>
        <v>224</v>
      </c>
    </row>
    <row r="226" spans="1:10" x14ac:dyDescent="0.25">
      <c r="A226" s="1">
        <f t="shared" si="35"/>
        <v>45516</v>
      </c>
      <c r="F226">
        <f t="shared" si="33"/>
        <v>0</v>
      </c>
      <c r="J226">
        <f t="shared" si="31"/>
        <v>225</v>
      </c>
    </row>
    <row r="227" spans="1:10" x14ac:dyDescent="0.25">
      <c r="A227" s="1">
        <f t="shared" si="35"/>
        <v>45516</v>
      </c>
      <c r="F227">
        <f t="shared" si="33"/>
        <v>0</v>
      </c>
      <c r="J227">
        <f t="shared" si="31"/>
        <v>226</v>
      </c>
    </row>
  </sheetData>
  <sheetProtection algorithmName="SHA-512" hashValue="aF9zUOPTj29KCr1PXoHzkmmObMf7NZoPNdmOx8c2hU/zUBqMjU328ZpV9kMPWI9mynHPp5O76oBSIOlPFhSMbA==" saltValue="MMuTShlMc3DjjcfnMXCxCw==" spinCount="100000" sheet="1" objects="1" scenarios="1"/>
  <phoneticPr fontId="1" type="noConversion"/>
  <pageMargins left="0.7" right="0.7" top="0.75" bottom="0.75" header="0.3" footer="0.3"/>
  <ignoredErrors>
    <ignoredError sqref="F15:F27" calculatedColumn="1"/>
    <ignoredError sqref="G29" formula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E1823-1B1F-4C71-9DE8-D211FA898FFB}">
  <dimension ref="A1:H272"/>
  <sheetViews>
    <sheetView zoomScaleNormal="100" workbookViewId="0">
      <selection activeCell="A58" sqref="A58"/>
    </sheetView>
  </sheetViews>
  <sheetFormatPr defaultRowHeight="15" x14ac:dyDescent="0.25"/>
  <cols>
    <col min="1" max="1" width="37" bestFit="1" customWidth="1"/>
    <col min="2" max="3" width="10.5703125" customWidth="1"/>
    <col min="4" max="4" width="10.28515625" customWidth="1"/>
    <col min="5" max="5" width="11" customWidth="1"/>
    <col min="6" max="6" width="25.85546875" style="1" bestFit="1" customWidth="1"/>
    <col min="7" max="7" width="11" customWidth="1"/>
    <col min="8" max="8" width="7.7109375" bestFit="1" customWidth="1"/>
  </cols>
  <sheetData>
    <row r="1" spans="1:8" x14ac:dyDescent="0.25">
      <c r="A1" t="s">
        <v>0</v>
      </c>
      <c r="B1" t="s">
        <v>286</v>
      </c>
      <c r="C1" t="s">
        <v>287</v>
      </c>
      <c r="D1" t="s">
        <v>2</v>
      </c>
      <c r="E1" t="s">
        <v>3</v>
      </c>
      <c r="F1" t="s">
        <v>288</v>
      </c>
      <c r="G1" s="1" t="s">
        <v>5</v>
      </c>
      <c r="H1" t="s">
        <v>289</v>
      </c>
    </row>
    <row r="2" spans="1:8" x14ac:dyDescent="0.25">
      <c r="A2" t="s">
        <v>158</v>
      </c>
      <c r="B2">
        <v>6</v>
      </c>
      <c r="C2">
        <f>(SUMIF(Table2[Item],Table1[[#This Row],[item_name]],Table2[Quantity])+Table1[[#This Row],[qtyat12th]])- SUMIF(Sales!$C$1887:C2365,Table1[[#This Row],[item_name]],Sales!$D$1887:D2365)- SUMIF(Table7[item/loan],Table1[[#This Row],[item_name]],Table7[qty_if_item])</f>
        <v>33</v>
      </c>
      <c r="D2">
        <f>VLOOKUP(A2,Inventory!A:H,3,FALSE)</f>
        <v>18</v>
      </c>
      <c r="E2">
        <f>VLOOKUP(A2,Inventory!A:H,4,FALSE)</f>
        <v>20</v>
      </c>
      <c r="F2" t="str">
        <f>VLOOKUP(A2,Inventory!A:H,5,FALSE)</f>
        <v>Airtime</v>
      </c>
      <c r="G2" s="1"/>
      <c r="H2">
        <v>1</v>
      </c>
    </row>
    <row r="3" spans="1:8" x14ac:dyDescent="0.25">
      <c r="A3" t="s">
        <v>160</v>
      </c>
      <c r="B3">
        <v>5</v>
      </c>
      <c r="C3">
        <f>(SUMIF(Table2[Item],Table1[[#This Row],[item_name]],Table2[Quantity])+Table1[[#This Row],[qtyat12th]])- SUMIF(Sales!$C$1887:C2366,Table1[[#This Row],[item_name]],Sales!$D$1887:D2366)- SUMIF(Table7[item/loan],Table1[[#This Row],[item_name]],Table7[qty_if_item])</f>
        <v>30</v>
      </c>
      <c r="D3">
        <f>VLOOKUP(A3,Inventory!A:H,3,FALSE)</f>
        <v>9</v>
      </c>
      <c r="E3">
        <f>VLOOKUP(A3,Inventory!A:H,4,FALSE)</f>
        <v>10</v>
      </c>
      <c r="F3" t="str">
        <f>VLOOKUP(A3,Inventory!A:H,5,FALSE)</f>
        <v>Airtime</v>
      </c>
      <c r="G3" s="1"/>
      <c r="H3">
        <f>1+H2</f>
        <v>2</v>
      </c>
    </row>
    <row r="4" spans="1:8" x14ac:dyDescent="0.25">
      <c r="A4" t="s">
        <v>161</v>
      </c>
      <c r="B4">
        <v>6</v>
      </c>
      <c r="C4">
        <f>(SUMIF(Table2[Item],Table1[[#This Row],[item_name]],Table2[Quantity])+Table1[[#This Row],[qtyat12th]])- SUMIF(Sales!$C$1887:C2367,Table1[[#This Row],[item_name]],Sales!$D$1887:D2367)- SUMIF(Table7[item/loan],Table1[[#This Row],[item_name]],Table7[qty_if_item])</f>
        <v>25</v>
      </c>
      <c r="D4">
        <f>VLOOKUP(A4,Inventory!A:H,3,FALSE)</f>
        <v>47</v>
      </c>
      <c r="E4">
        <f>VLOOKUP(A4,Inventory!A:H,4,FALSE)</f>
        <v>50</v>
      </c>
      <c r="F4" t="str">
        <f>VLOOKUP(A4,Inventory!A:H,5,FALSE)</f>
        <v>Airtime</v>
      </c>
      <c r="G4" s="1"/>
      <c r="H4">
        <f t="shared" ref="H4:H67" si="0">1+H3</f>
        <v>3</v>
      </c>
    </row>
    <row r="5" spans="1:8" x14ac:dyDescent="0.25">
      <c r="A5" t="s">
        <v>162</v>
      </c>
      <c r="B5">
        <v>14</v>
      </c>
      <c r="C5">
        <f>(SUMIF(Table2[Item],Table1[[#This Row],[item_name]],Table2[Quantity])+Table1[[#This Row],[qtyat12th]])- SUMIF(Sales!$C$1887:C2368,Table1[[#This Row],[item_name]],Sales!$D$1887:D2368)- SUMIF(Table7[item/loan],Table1[[#This Row],[item_name]],Table7[qty_if_item])</f>
        <v>88</v>
      </c>
      <c r="D5">
        <f>VLOOKUP(A5,Inventory!A:H,3,FALSE)</f>
        <v>18</v>
      </c>
      <c r="E5">
        <f>VLOOKUP(A5,Inventory!A:H,4,FALSE)</f>
        <v>20</v>
      </c>
      <c r="F5" t="str">
        <f>VLOOKUP(A5,Inventory!A:H,5,FALSE)</f>
        <v>Airtime</v>
      </c>
      <c r="G5" s="1"/>
      <c r="H5">
        <f t="shared" si="0"/>
        <v>4</v>
      </c>
    </row>
    <row r="6" spans="1:8" x14ac:dyDescent="0.25">
      <c r="A6" t="s">
        <v>163</v>
      </c>
      <c r="B6">
        <v>5</v>
      </c>
      <c r="C6">
        <f>(SUMIF(Table2[Item],Table1[[#This Row],[item_name]],Table2[Quantity])+Table1[[#This Row],[qtyat12th]])- SUMIF(Sales!$C$1887:C2369,Table1[[#This Row],[item_name]],Sales!$D$1887:D2369)- SUMIF(Table7[item/loan],Table1[[#This Row],[item_name]],Table7[qty_if_item])</f>
        <v>90</v>
      </c>
      <c r="D6">
        <f>VLOOKUP(A6,Inventory!A:H,3,FALSE)</f>
        <v>9</v>
      </c>
      <c r="E6">
        <f>VLOOKUP(A6,Inventory!A:H,4,FALSE)</f>
        <v>10</v>
      </c>
      <c r="F6" t="str">
        <f>VLOOKUP(A6,Inventory!A:H,5,FALSE)</f>
        <v>Airtime</v>
      </c>
      <c r="G6" s="1"/>
      <c r="H6">
        <f t="shared" si="0"/>
        <v>5</v>
      </c>
    </row>
    <row r="7" spans="1:8" x14ac:dyDescent="0.25">
      <c r="A7" t="s">
        <v>164</v>
      </c>
      <c r="B7">
        <v>1</v>
      </c>
      <c r="C7">
        <f>(SUMIF(Table2[Item],Table1[[#This Row],[item_name]],Table2[Quantity])+Table1[[#This Row],[qtyat12th]])- SUMIF(Sales!$C$1887:C2370,Table1[[#This Row],[item_name]],Sales!$D$1887:D2370)- SUMIF(Table7[item/loan],Table1[[#This Row],[item_name]],Table7[qty_if_item])</f>
        <v>69</v>
      </c>
      <c r="D7">
        <f>VLOOKUP(A7,Inventory!A:H,3,FALSE)</f>
        <v>47</v>
      </c>
      <c r="E7">
        <f>VLOOKUP(A7,Inventory!A:H,4,FALSE)</f>
        <v>50</v>
      </c>
      <c r="F7" t="str">
        <f>VLOOKUP(A7,Inventory!A:H,5,FALSE)</f>
        <v>Airtime</v>
      </c>
      <c r="G7" s="1"/>
      <c r="H7">
        <f t="shared" si="0"/>
        <v>6</v>
      </c>
    </row>
    <row r="8" spans="1:8" x14ac:dyDescent="0.25">
      <c r="A8" t="s">
        <v>95</v>
      </c>
      <c r="B8">
        <v>47</v>
      </c>
      <c r="C8">
        <f>(SUMIF(Table2[Item],Table1[[#This Row],[item_name]],Table2[Quantity])+Table1[[#This Row],[qtyat12th]])- SUMIF(Sales!$C$1887:C2371,Table1[[#This Row],[item_name]],Sales!$D$1887:D2371)- SUMIF(Table7[item/loan],Table1[[#This Row],[item_name]],Table7[qty_if_item])</f>
        <v>1050</v>
      </c>
      <c r="D8">
        <f>VLOOKUP(A8,Inventory!A:H,3,FALSE)</f>
        <v>14.333333333333334</v>
      </c>
      <c r="E8">
        <f>VLOOKUP(A8,Inventory!A:H,4,FALSE)</f>
        <v>20</v>
      </c>
      <c r="F8" t="str">
        <f>VLOOKUP(A8,Inventory!A:H,5,FALSE)</f>
        <v>animal produce</v>
      </c>
      <c r="G8" s="1"/>
      <c r="H8">
        <f t="shared" si="0"/>
        <v>7</v>
      </c>
    </row>
    <row r="9" spans="1:8" x14ac:dyDescent="0.25">
      <c r="A9" t="s">
        <v>143</v>
      </c>
      <c r="B9">
        <v>0</v>
      </c>
      <c r="C9">
        <f>(SUMIF(Table2[Item],Table1[[#This Row],[item_name]],Table2[Quantity])+Table1[[#This Row],[qtyat12th]])- SUMIF(Sales!$C$1887:C2372,Table1[[#This Row],[item_name]],Sales!$D$1887:D2372)- SUMIF(Table7[item/loan],Table1[[#This Row],[item_name]],Table7[qty_if_item])</f>
        <v>101</v>
      </c>
      <c r="D9">
        <f>VLOOKUP(A9,Inventory!A:H,3,FALSE)</f>
        <v>55</v>
      </c>
      <c r="E9">
        <f>VLOOKUP(A9,Inventory!A:H,4,FALSE)</f>
        <v>60</v>
      </c>
      <c r="F9" t="str">
        <f>VLOOKUP(A9,Inventory!A:H,5,FALSE)</f>
        <v>animal produce</v>
      </c>
      <c r="G9" s="1"/>
      <c r="H9">
        <f t="shared" si="0"/>
        <v>8</v>
      </c>
    </row>
    <row r="10" spans="1:8" x14ac:dyDescent="0.25">
      <c r="A10" t="s">
        <v>144</v>
      </c>
      <c r="B10">
        <v>11</v>
      </c>
      <c r="C10">
        <f>(SUMIF(Table2[Item],Table1[[#This Row],[item_name]],Table2[Quantity])+Table1[[#This Row],[qtyat12th]])- SUMIF(Sales!$C$1887:C2373,Table1[[#This Row],[item_name]],Sales!$D$1887:D2373)- SUMIF(Table7[item/loan],Table1[[#This Row],[item_name]],Table7[qty_if_item])</f>
        <v>107</v>
      </c>
      <c r="D10">
        <f>VLOOKUP(A10,Inventory!A:H,3,FALSE)</f>
        <v>24.285714285714285</v>
      </c>
      <c r="E10">
        <f>VLOOKUP(A10,Inventory!A:H,4,FALSE)</f>
        <v>35</v>
      </c>
      <c r="F10" t="str">
        <f>VLOOKUP(A10,Inventory!A:H,5,FALSE)</f>
        <v>animal produce</v>
      </c>
      <c r="G10" s="1"/>
      <c r="H10">
        <f t="shared" si="0"/>
        <v>9</v>
      </c>
    </row>
    <row r="11" spans="1:8" x14ac:dyDescent="0.25">
      <c r="A11" t="s">
        <v>202</v>
      </c>
      <c r="B11">
        <v>0</v>
      </c>
      <c r="C11">
        <f>(SUMIF(Table2[Item],Table1[[#This Row],[item_name]],Table2[Quantity])+Table1[[#This Row],[qtyat12th]])- SUMIF(Sales!$C$1887:C2374,Table1[[#This Row],[item_name]],Sales!$D$1887:D2374)- SUMIF(Table7[item/loan],Table1[[#This Row],[item_name]],Table7[qty_if_item])</f>
        <v>0</v>
      </c>
      <c r="D11">
        <f>VLOOKUP(A11,Inventory!A:H,3,FALSE)</f>
        <v>6.666666666666667</v>
      </c>
      <c r="E11">
        <f>VLOOKUP(A11,Inventory!A:H,4,FALSE)</f>
        <v>10</v>
      </c>
      <c r="F11" t="str">
        <f>VLOOKUP(A11,Inventory!A:H,5,FALSE)</f>
        <v>animal produce</v>
      </c>
      <c r="G11" s="1"/>
      <c r="H11">
        <f t="shared" si="0"/>
        <v>10</v>
      </c>
    </row>
    <row r="12" spans="1:8" x14ac:dyDescent="0.25">
      <c r="A12" t="s">
        <v>205</v>
      </c>
      <c r="B12">
        <v>20</v>
      </c>
      <c r="C12">
        <f>(SUMIF(Table2[Item],Table1[[#This Row],[item_name]],Table2[Quantity])+Table1[[#This Row],[qtyat12th]])- SUMIF(Sales!$C$1887:C2375,Table1[[#This Row],[item_name]],Sales!$D$1887:D2375)- SUMIF(Table7[item/loan],Table1[[#This Row],[item_name]],Table7[qty_if_item])</f>
        <v>9</v>
      </c>
      <c r="D12">
        <f>VLOOKUP(A12,Inventory!A:H,3,FALSE)</f>
        <v>20</v>
      </c>
      <c r="E12">
        <f>VLOOKUP(A12,Inventory!A:H,4,FALSE)</f>
        <v>30</v>
      </c>
      <c r="F12" t="str">
        <f>VLOOKUP(A12,Inventory!A:H,5,FALSE)</f>
        <v>animal produce</v>
      </c>
      <c r="G12" s="1"/>
      <c r="H12">
        <f t="shared" si="0"/>
        <v>11</v>
      </c>
    </row>
    <row r="13" spans="1:8" x14ac:dyDescent="0.25">
      <c r="A13" t="s">
        <v>233</v>
      </c>
      <c r="B13">
        <v>0</v>
      </c>
      <c r="C13">
        <f>(SUMIF(Table2[Item],Table1[[#This Row],[item_name]],Table2[Quantity])+Table1[[#This Row],[qtyat12th]])- SUMIF(Sales!$C$1887:C2376,Table1[[#This Row],[item_name]],Sales!$D$1887:D2376)- SUMIF(Table7[item/loan],Table1[[#This Row],[item_name]],Table7[qty_if_item])</f>
        <v>0</v>
      </c>
      <c r="D13">
        <f>VLOOKUP(A13,Inventory!A:H,3,FALSE)</f>
        <v>4</v>
      </c>
      <c r="E13">
        <f>VLOOKUP(A13,Inventory!A:H,4,FALSE)</f>
        <v>10</v>
      </c>
      <c r="F13" t="str">
        <f>VLOOKUP(A13,Inventory!A:H,5,FALSE)</f>
        <v>animal produce</v>
      </c>
      <c r="G13" s="1"/>
      <c r="H13">
        <f t="shared" si="0"/>
        <v>12</v>
      </c>
    </row>
    <row r="14" spans="1:8" x14ac:dyDescent="0.25">
      <c r="A14" t="s">
        <v>290</v>
      </c>
      <c r="B14">
        <v>1</v>
      </c>
      <c r="C14">
        <f>(SUMIF(Table2[Item],Table1[[#This Row],[item_name]],Table2[Quantity])+Table1[[#This Row],[qtyat12th]])- SUMIF(Sales!$C$1887:C2377,Table1[[#This Row],[item_name]],Sales!$D$1887:D2377)- SUMIF(Table7[item/loan],Table1[[#This Row],[item_name]],Table7[qty_if_item])</f>
        <v>0</v>
      </c>
      <c r="D14">
        <v>173</v>
      </c>
      <c r="E14">
        <v>190</v>
      </c>
      <c r="F14" t="s">
        <v>96</v>
      </c>
      <c r="G14" s="1"/>
      <c r="H14">
        <f t="shared" si="0"/>
        <v>13</v>
      </c>
    </row>
    <row r="15" spans="1:8" x14ac:dyDescent="0.25">
      <c r="A15" t="s">
        <v>291</v>
      </c>
      <c r="B15">
        <v>0</v>
      </c>
      <c r="C15">
        <f>(SUMIF(Table2[Item],Table1[[#This Row],[item_name]],Table2[Quantity])+Table1[[#This Row],[qtyat12th]])- SUMIF(Sales!$C$1887:C2378,Table1[[#This Row],[item_name]],Sales!$D$1887:D2378)- SUMIF(Table7[item/loan],Table1[[#This Row],[item_name]],Table7[qty_if_item])</f>
        <v>3</v>
      </c>
      <c r="D15">
        <v>164</v>
      </c>
      <c r="E15">
        <v>180</v>
      </c>
      <c r="F15" t="s">
        <v>96</v>
      </c>
      <c r="G15" s="1"/>
      <c r="H15">
        <f t="shared" si="0"/>
        <v>14</v>
      </c>
    </row>
    <row r="16" spans="1:8" x14ac:dyDescent="0.25">
      <c r="A16" t="s">
        <v>31</v>
      </c>
      <c r="B16">
        <v>8</v>
      </c>
      <c r="C16">
        <f>(SUMIF(Table2[Item],Table1[[#This Row],[item_name]],Table2[Quantity])+Table1[[#This Row],[qtyat12th]])- SUMIF(Sales!$C$1887:C2379,Table1[[#This Row],[item_name]],Sales!$D$1887:D2379)- SUMIF(Table7[item/loan],Table1[[#This Row],[item_name]],Table7[qty_if_item])</f>
        <v>319</v>
      </c>
      <c r="D16">
        <f>VLOOKUP(A16,Inventory!A:H,3,FALSE)</f>
        <v>48.333333333333336</v>
      </c>
      <c r="E16">
        <f>VLOOKUP(A16,Inventory!A:H,4,FALSE)</f>
        <v>65</v>
      </c>
      <c r="F16" t="s">
        <v>96</v>
      </c>
      <c r="G16" s="1"/>
      <c r="H16">
        <f t="shared" si="0"/>
        <v>15</v>
      </c>
    </row>
    <row r="17" spans="1:8" x14ac:dyDescent="0.25">
      <c r="A17" t="s">
        <v>33</v>
      </c>
      <c r="B17">
        <v>12</v>
      </c>
      <c r="C17">
        <f>(SUMIF(Table2[Item],Table1[[#This Row],[item_name]],Table2[Quantity])+Table1[[#This Row],[qtyat12th]])- SUMIF(Sales!$C$1887:C2380,Table1[[#This Row],[item_name]],Sales!$D$1887:D2380)- SUMIF(Table7[item/loan],Table1[[#This Row],[item_name]],Table7[qty_if_item])</f>
        <v>74</v>
      </c>
      <c r="D17">
        <f>VLOOKUP(A17,Inventory!A:H,3,FALSE)</f>
        <v>59</v>
      </c>
      <c r="E17">
        <f>VLOOKUP(A17,Inventory!A:H,4,FALSE)</f>
        <v>70</v>
      </c>
      <c r="F17" t="s">
        <v>96</v>
      </c>
      <c r="G17" s="1"/>
      <c r="H17">
        <f t="shared" si="0"/>
        <v>16</v>
      </c>
    </row>
    <row r="18" spans="1:8" x14ac:dyDescent="0.25">
      <c r="A18" t="s">
        <v>34</v>
      </c>
      <c r="B18">
        <v>7</v>
      </c>
      <c r="C18">
        <f>(SUMIF(Table2[Item],Table1[[#This Row],[item_name]],Table2[Quantity])+Table1[[#This Row],[qtyat12th]])- SUMIF(Sales!$C$1887:C2381,Table1[[#This Row],[item_name]],Sales!$D$1887:D2381)- SUMIF(Table7[item/loan],Table1[[#This Row],[item_name]],Table7[qty_if_item])</f>
        <v>17</v>
      </c>
      <c r="D18">
        <f>VLOOKUP(A18,Inventory!A:H,3,FALSE)</f>
        <v>54.166666666666664</v>
      </c>
      <c r="E18">
        <f>VLOOKUP(A18,Inventory!A:H,4,FALSE)</f>
        <v>65</v>
      </c>
      <c r="F18" t="s">
        <v>96</v>
      </c>
      <c r="G18" s="1"/>
      <c r="H18">
        <f t="shared" si="0"/>
        <v>17</v>
      </c>
    </row>
    <row r="19" spans="1:8" x14ac:dyDescent="0.25">
      <c r="A19" t="s">
        <v>24</v>
      </c>
      <c r="B19">
        <v>0</v>
      </c>
      <c r="C19">
        <f>(SUMIF(Table2[Item],Table1[[#This Row],[item_name]],Table2[Quantity])+Table1[[#This Row],[qtyat12th]])- SUMIF(Sales!$C$1887:C2382,Table1[[#This Row],[item_name]],Sales!$D$1887:D2382)- SUMIF(Table7[item/loan],Table1[[#This Row],[item_name]],Table7[qty_if_item])</f>
        <v>12</v>
      </c>
      <c r="D19">
        <f>VLOOKUP(A19,Inventory!A:H,3,FALSE)</f>
        <v>75</v>
      </c>
      <c r="E19">
        <f>VLOOKUP(A19,Inventory!A:H,4,FALSE)</f>
        <v>85</v>
      </c>
      <c r="F19" t="s">
        <v>96</v>
      </c>
      <c r="G19" s="1"/>
      <c r="H19">
        <f t="shared" si="0"/>
        <v>18</v>
      </c>
    </row>
    <row r="20" spans="1:8" x14ac:dyDescent="0.25">
      <c r="A20" t="s">
        <v>25</v>
      </c>
      <c r="B20">
        <v>0</v>
      </c>
      <c r="C20">
        <f>(SUMIF(Table2[Item],Table1[[#This Row],[item_name]],Table2[Quantity])+Table1[[#This Row],[qtyat12th]])- SUMIF(Sales!$C$1887:C2383,Table1[[#This Row],[item_name]],Sales!$D$1887:D2383)- SUMIF(Table7[item/loan],Table1[[#This Row],[item_name]],Table7[qty_if_item])</f>
        <v>0</v>
      </c>
      <c r="D20">
        <f>VLOOKUP(A20,Inventory!A:H,3,FALSE)</f>
        <v>73</v>
      </c>
      <c r="E20">
        <f>VLOOKUP(A20,Inventory!A:H,4,FALSE)</f>
        <v>85</v>
      </c>
      <c r="F20" t="s">
        <v>96</v>
      </c>
      <c r="G20" s="1"/>
      <c r="H20">
        <f t="shared" si="0"/>
        <v>19</v>
      </c>
    </row>
    <row r="21" spans="1:8" x14ac:dyDescent="0.25">
      <c r="A21" t="s">
        <v>26</v>
      </c>
      <c r="B21">
        <v>8</v>
      </c>
      <c r="C21">
        <f>(SUMIF(Table2[Item],Table1[[#This Row],[item_name]],Table2[Quantity])+Table1[[#This Row],[qtyat12th]])- SUMIF(Sales!$C$1887:C2384,Table1[[#This Row],[item_name]],Sales!$D$1887:D2384)- SUMIF(Table7[item/loan],Table1[[#This Row],[item_name]],Table7[qty_if_item])</f>
        <v>3</v>
      </c>
      <c r="D21">
        <f>VLOOKUP(A21,Inventory!A:H,3,FALSE)</f>
        <v>48.333333333333336</v>
      </c>
      <c r="E21">
        <f>VLOOKUP(A21,Inventory!A:H,4,FALSE)</f>
        <v>60</v>
      </c>
      <c r="F21" t="s">
        <v>96</v>
      </c>
      <c r="G21" s="1"/>
      <c r="H21">
        <f t="shared" si="0"/>
        <v>20</v>
      </c>
    </row>
    <row r="22" spans="1:8" x14ac:dyDescent="0.25">
      <c r="A22" t="s">
        <v>27</v>
      </c>
      <c r="B22">
        <v>0</v>
      </c>
      <c r="C22">
        <f>(SUMIF(Table2[Item],Table1[[#This Row],[item_name]],Table2[Quantity])+Table1[[#This Row],[qtyat12th]])- SUMIF(Sales!$C$1887:C2385,Table1[[#This Row],[item_name]],Sales!$D$1887:D2385)- SUMIF(Table7[item/loan],Table1[[#This Row],[item_name]],Table7[qty_if_item])</f>
        <v>4</v>
      </c>
      <c r="D22">
        <f>VLOOKUP(A22,Inventory!A:H,3,FALSE)</f>
        <v>137</v>
      </c>
      <c r="E22">
        <f>VLOOKUP(A22,Inventory!A:H,4,FALSE)</f>
        <v>160</v>
      </c>
      <c r="F22" t="s">
        <v>96</v>
      </c>
      <c r="G22" s="1"/>
      <c r="H22">
        <f t="shared" si="0"/>
        <v>21</v>
      </c>
    </row>
    <row r="23" spans="1:8" x14ac:dyDescent="0.25">
      <c r="A23" t="s">
        <v>28</v>
      </c>
      <c r="B23">
        <v>6</v>
      </c>
      <c r="C23">
        <f>(SUMIF(Table2[Item],Table1[[#This Row],[item_name]],Table2[Quantity])+Table1[[#This Row],[qtyat12th]])- SUMIF(Sales!$C$1887:C2386,Table1[[#This Row],[item_name]],Sales!$D$1887:D2386)- SUMIF(Table7[item/loan],Table1[[#This Row],[item_name]],Table7[qty_if_item])</f>
        <v>3</v>
      </c>
      <c r="D23">
        <f>VLOOKUP(A23,Inventory!A:H,3,FALSE)</f>
        <v>92.5</v>
      </c>
      <c r="E23">
        <f>VLOOKUP(A23,Inventory!A:H,4,FALSE)</f>
        <v>120</v>
      </c>
      <c r="F23" t="s">
        <v>96</v>
      </c>
      <c r="G23" s="1"/>
      <c r="H23">
        <f t="shared" si="0"/>
        <v>22</v>
      </c>
    </row>
    <row r="24" spans="1:8" x14ac:dyDescent="0.25">
      <c r="A24" t="s">
        <v>29</v>
      </c>
      <c r="B24">
        <v>0</v>
      </c>
      <c r="C24">
        <f>(SUMIF(Table2[Item],Table1[[#This Row],[item_name]],Table2[Quantity])+Table1[[#This Row],[qtyat12th]])- SUMIF(Sales!$C$1887:C2387,Table1[[#This Row],[item_name]],Sales!$D$1887:D2387)- SUMIF(Table7[item/loan],Table1[[#This Row],[item_name]],Table7[qty_if_item])</f>
        <v>2</v>
      </c>
      <c r="D24">
        <f>VLOOKUP(A24,Inventory!A:H,3,FALSE)</f>
        <v>87</v>
      </c>
      <c r="E24">
        <f>VLOOKUP(A24,Inventory!A:H,4,FALSE)</f>
        <v>100</v>
      </c>
      <c r="F24" t="s">
        <v>96</v>
      </c>
      <c r="G24" s="1"/>
      <c r="H24">
        <f t="shared" si="0"/>
        <v>23</v>
      </c>
    </row>
    <row r="25" spans="1:8" x14ac:dyDescent="0.25">
      <c r="A25" t="s">
        <v>30</v>
      </c>
      <c r="B25">
        <v>0</v>
      </c>
      <c r="C25">
        <f>(SUMIF(Table2[Item],Table1[[#This Row],[item_name]],Table2[Quantity])+Table1[[#This Row],[qtyat12th]])- SUMIF(Sales!$C$1887:C2388,Table1[[#This Row],[item_name]],Sales!$D$1887:D2388)- SUMIF(Table7[item/loan],Table1[[#This Row],[item_name]],Table7[qty_if_item])</f>
        <v>4</v>
      </c>
      <c r="D25">
        <f>VLOOKUP(A25,Inventory!A:H,3,FALSE)</f>
        <v>93</v>
      </c>
      <c r="E25">
        <f>VLOOKUP(A25,Inventory!A:H,4,FALSE)</f>
        <v>110</v>
      </c>
      <c r="F25" t="s">
        <v>96</v>
      </c>
      <c r="G25" s="1"/>
      <c r="H25">
        <f t="shared" si="0"/>
        <v>24</v>
      </c>
    </row>
    <row r="26" spans="1:8" x14ac:dyDescent="0.25">
      <c r="A26" t="s">
        <v>226</v>
      </c>
      <c r="B26">
        <v>36</v>
      </c>
      <c r="C26">
        <f>(SUMIF(Table2[Item],Table1[[#This Row],[item_name]],Table2[Quantity])+Table1[[#This Row],[qtyat12th]])- SUMIF(Sales!$C$1887:C2389,Table1[[#This Row],[item_name]],Sales!$D$1887:D2389)- SUMIF(Table7[item/loan],Table1[[#This Row],[item_name]],Table7[qty_if_item])</f>
        <v>36</v>
      </c>
      <c r="D26">
        <f>VLOOKUP(A26,Inventory!A:H,3,FALSE)</f>
        <v>15.5</v>
      </c>
      <c r="E26">
        <f>VLOOKUP(A26,Inventory!A:H,4,FALSE)</f>
        <v>20</v>
      </c>
      <c r="F26" t="s">
        <v>292</v>
      </c>
      <c r="G26" s="1"/>
      <c r="H26">
        <f t="shared" si="0"/>
        <v>25</v>
      </c>
    </row>
    <row r="27" spans="1:8" x14ac:dyDescent="0.25">
      <c r="A27" t="s">
        <v>35</v>
      </c>
      <c r="B27">
        <v>10</v>
      </c>
      <c r="C27">
        <f>(SUMIF(Table2[Item],Table1[[#This Row],[item_name]],Table2[Quantity])+Table1[[#This Row],[qtyat12th]])- SUMIF(Sales!$C$1887:C2390,Table1[[#This Row],[item_name]],Sales!$D$1887:D2390)- SUMIF(Table7[item/loan],Table1[[#This Row],[item_name]],Table7[qty_if_item])</f>
        <v>31</v>
      </c>
      <c r="D27">
        <f>VLOOKUP(A27,Inventory!A:H,3,FALSE)</f>
        <v>9.1666666666666661</v>
      </c>
      <c r="E27">
        <f>VLOOKUP(A27,Inventory!A:H,4,FALSE)</f>
        <v>15</v>
      </c>
      <c r="F27" t="str">
        <f>VLOOKUP(A27,Inventory!A:H,5,FALSE)</f>
        <v>Beverage</v>
      </c>
      <c r="G27" s="1"/>
      <c r="H27">
        <f t="shared" si="0"/>
        <v>26</v>
      </c>
    </row>
    <row r="28" spans="1:8" x14ac:dyDescent="0.25">
      <c r="A28" t="s">
        <v>36</v>
      </c>
      <c r="B28">
        <v>11</v>
      </c>
      <c r="C28">
        <f>(SUMIF(Table2[Item],Table1[[#This Row],[item_name]],Table2[Quantity])+Table1[[#This Row],[qtyat12th]])- SUMIF(Sales!$C$1887:C2391,Table1[[#This Row],[item_name]],Sales!$D$1887:D2391)- SUMIF(Table7[item/loan],Table1[[#This Row],[item_name]],Table7[qty_if_item])</f>
        <v>23</v>
      </c>
      <c r="D28">
        <f>VLOOKUP(A28,Inventory!A:H,3,FALSE)</f>
        <v>9.1666666666666661</v>
      </c>
      <c r="E28">
        <f>VLOOKUP(A28,Inventory!A:H,4,FALSE)</f>
        <v>15</v>
      </c>
      <c r="F28" t="str">
        <f>VLOOKUP(A28,Inventory!A:H,5,FALSE)</f>
        <v>Beverage</v>
      </c>
      <c r="G28" s="1"/>
      <c r="H28">
        <f t="shared" si="0"/>
        <v>27</v>
      </c>
    </row>
    <row r="29" spans="1:8" x14ac:dyDescent="0.25">
      <c r="A29" t="s">
        <v>37</v>
      </c>
      <c r="B29">
        <v>3</v>
      </c>
      <c r="C29">
        <f>(SUMIF(Table2[Item],Table1[[#This Row],[item_name]],Table2[Quantity])+Table1[[#This Row],[qtyat12th]])- SUMIF(Sales!$C$1887:C2392,Table1[[#This Row],[item_name]],Sales!$D$1887:D2392)- SUMIF(Table7[item/loan],Table1[[#This Row],[item_name]],Table7[qty_if_item])</f>
        <v>1</v>
      </c>
      <c r="D29">
        <f>VLOOKUP(A29,Inventory!A:H,3,FALSE)</f>
        <v>17.5</v>
      </c>
      <c r="E29">
        <f>VLOOKUP(A29,Inventory!A:H,4,FALSE)</f>
        <v>30</v>
      </c>
      <c r="F29" t="str">
        <f>VLOOKUP(A29,Inventory!A:H,5,FALSE)</f>
        <v>Beverage</v>
      </c>
      <c r="G29" s="1"/>
      <c r="H29">
        <f t="shared" si="0"/>
        <v>28</v>
      </c>
    </row>
    <row r="30" spans="1:8" x14ac:dyDescent="0.25">
      <c r="A30" t="s">
        <v>38</v>
      </c>
      <c r="B30">
        <v>19</v>
      </c>
      <c r="C30">
        <f>(SUMIF(Table2[Item],Table1[[#This Row],[item_name]],Table2[Quantity])+Table1[[#This Row],[qtyat12th]])- SUMIF(Sales!$C$1887:C2393,Table1[[#This Row],[item_name]],Sales!$D$1887:D2393)- SUMIF(Table7[item/loan],Table1[[#This Row],[item_name]],Table7[qty_if_item])</f>
        <v>19</v>
      </c>
      <c r="D30">
        <f>VLOOKUP(A30,Inventory!A:H,3,FALSE)</f>
        <v>29.166666666666668</v>
      </c>
      <c r="E30">
        <f>VLOOKUP(A30,Inventory!A:H,4,FALSE)</f>
        <v>35</v>
      </c>
      <c r="F30" t="str">
        <f>VLOOKUP(A30,Inventory!A:H,5,FALSE)</f>
        <v>Beverage</v>
      </c>
      <c r="G30" s="1"/>
      <c r="H30">
        <f t="shared" si="0"/>
        <v>29</v>
      </c>
    </row>
    <row r="31" spans="1:8" x14ac:dyDescent="0.25">
      <c r="A31" t="s">
        <v>168</v>
      </c>
      <c r="B31">
        <v>4</v>
      </c>
      <c r="C31">
        <f>(SUMIF(Table2[Item],Table1[[#This Row],[item_name]],Table2[Quantity])+Table1[[#This Row],[qtyat12th]])- SUMIF(Sales!$C$1887:C2394,Table1[[#This Row],[item_name]],Sales!$D$1887:D2394)- SUMIF(Table7[item/loan],Table1[[#This Row],[item_name]],Table7[qty_if_item])</f>
        <v>14</v>
      </c>
      <c r="D31">
        <f>VLOOKUP(A31,Inventory!A:H,3,FALSE)</f>
        <v>10.416666666666666</v>
      </c>
      <c r="E31">
        <f>VLOOKUP(A31,Inventory!A:H,4,FALSE)</f>
        <v>20</v>
      </c>
      <c r="F31" t="str">
        <f>VLOOKUP(A31,Inventory!A:H,5,FALSE)</f>
        <v>Beverage</v>
      </c>
      <c r="G31" s="1"/>
      <c r="H31">
        <f t="shared" si="0"/>
        <v>30</v>
      </c>
    </row>
    <row r="32" spans="1:8" x14ac:dyDescent="0.25">
      <c r="A32" t="s">
        <v>211</v>
      </c>
      <c r="B32">
        <v>4</v>
      </c>
      <c r="C32">
        <f>(SUMIF(Table2[Item],Table1[[#This Row],[item_name]],Table2[Quantity])+Table1[[#This Row],[qtyat12th]])- SUMIF(Sales!$C$1887:C2395,Table1[[#This Row],[item_name]],Sales!$D$1887:D2395)- SUMIF(Table7[item/loan],Table1[[#This Row],[item_name]],Table7[qty_if_item])</f>
        <v>4</v>
      </c>
      <c r="D32">
        <f>VLOOKUP(A32,Inventory!A:H,3,FALSE)</f>
        <v>17.916666666666668</v>
      </c>
      <c r="E32">
        <f>VLOOKUP(A32,Inventory!A:H,4,FALSE)</f>
        <v>20</v>
      </c>
      <c r="F32" t="str">
        <f>VLOOKUP(A32,Inventory!A:H,5,FALSE)</f>
        <v>Beverage</v>
      </c>
      <c r="G32" s="1">
        <v>45657</v>
      </c>
      <c r="H32">
        <f t="shared" si="0"/>
        <v>31</v>
      </c>
    </row>
    <row r="33" spans="1:8" x14ac:dyDescent="0.25">
      <c r="A33" t="s">
        <v>39</v>
      </c>
      <c r="B33">
        <v>1</v>
      </c>
      <c r="C33">
        <f>(SUMIF(Table2[Item],Table1[[#This Row],[item_name]],Table2[Quantity])+Table1[[#This Row],[qtyat12th]])- SUMIF(Sales!$C$1887:C2396,Table1[[#This Row],[item_name]],Sales!$D$1887:D2396)- SUMIF(Table7[item/loan],Table1[[#This Row],[item_name]],Table7[qty_if_item])</f>
        <v>245</v>
      </c>
      <c r="D33">
        <f>VLOOKUP(A33,Inventory!A:H,3,FALSE)</f>
        <v>60</v>
      </c>
      <c r="E33">
        <f>VLOOKUP(A33,Inventory!A:H,4,FALSE)</f>
        <v>65</v>
      </c>
      <c r="F33" t="str">
        <f>VLOOKUP(A33,Inventory!A:H,5,FALSE)</f>
        <v>Bread</v>
      </c>
      <c r="G33" s="1"/>
      <c r="H33">
        <f t="shared" si="0"/>
        <v>32</v>
      </c>
    </row>
    <row r="34" spans="1:8" x14ac:dyDescent="0.25">
      <c r="A34" t="s">
        <v>41</v>
      </c>
      <c r="B34">
        <v>2</v>
      </c>
      <c r="C34">
        <f>(SUMIF(Table2[Item],Table1[[#This Row],[item_name]],Table2[Quantity])+Table1[[#This Row],[qtyat12th]])- SUMIF(Sales!$C$1887:C2397,Table1[[#This Row],[item_name]],Sales!$D$1887:D2397)- SUMIF(Table7[item/loan],Table1[[#This Row],[item_name]],Table7[qty_if_item])</f>
        <v>0</v>
      </c>
      <c r="D34">
        <f>VLOOKUP(A34,Inventory!A:H,3,FALSE)</f>
        <v>35</v>
      </c>
      <c r="E34">
        <f>VLOOKUP(A34,Inventory!A:H,4,FALSE)</f>
        <v>40</v>
      </c>
      <c r="F34" t="str">
        <f>VLOOKUP(A34,Inventory!A:H,5,FALSE)</f>
        <v>Bread</v>
      </c>
      <c r="G34" s="1"/>
      <c r="H34">
        <f t="shared" si="0"/>
        <v>33</v>
      </c>
    </row>
    <row r="35" spans="1:8" x14ac:dyDescent="0.25">
      <c r="A35" t="s">
        <v>42</v>
      </c>
      <c r="B35">
        <v>2</v>
      </c>
      <c r="C35">
        <f>(SUMIF(Table2[Item],Table1[[#This Row],[item_name]],Table2[Quantity])+Table1[[#This Row],[qtyat12th]])- SUMIF(Sales!$C$1887:C2398,Table1[[#This Row],[item_name]],Sales!$D$1887:D2398)- SUMIF(Table7[item/loan],Table1[[#This Row],[item_name]],Table7[qty_if_item])</f>
        <v>48</v>
      </c>
      <c r="D35">
        <f>VLOOKUP(A35,Inventory!A:H,3,FALSE)</f>
        <v>90</v>
      </c>
      <c r="E35">
        <f>VLOOKUP(A35,Inventory!A:H,4,FALSE)</f>
        <v>100</v>
      </c>
      <c r="F35" t="str">
        <f>VLOOKUP(A35,Inventory!A:H,5,FALSE)</f>
        <v>Bread</v>
      </c>
      <c r="G35" s="1"/>
      <c r="H35">
        <f t="shared" si="0"/>
        <v>34</v>
      </c>
    </row>
    <row r="36" spans="1:8" x14ac:dyDescent="0.25">
      <c r="A36" t="s">
        <v>43</v>
      </c>
      <c r="B36">
        <v>0</v>
      </c>
      <c r="C36">
        <f>(SUMIF(Table2[Item],Table1[[#This Row],[item_name]],Table2[Quantity])+Table1[[#This Row],[qtyat12th]])- SUMIF(Sales!$C$1887:C2399,Table1[[#This Row],[item_name]],Sales!$D$1887:D2399)- SUMIF(Table7[item/loan],Table1[[#This Row],[item_name]],Table7[qty_if_item])</f>
        <v>24</v>
      </c>
      <c r="D36">
        <f>VLOOKUP(A36,Inventory!A:H,3,FALSE)</f>
        <v>120</v>
      </c>
      <c r="E36">
        <f>VLOOKUP(A36,Inventory!A:H,4,FALSE)</f>
        <v>130</v>
      </c>
      <c r="F36" t="str">
        <f>VLOOKUP(A36,Inventory!A:H,5,FALSE)</f>
        <v>Bread</v>
      </c>
      <c r="G36" s="1"/>
      <c r="H36">
        <f t="shared" si="0"/>
        <v>35</v>
      </c>
    </row>
    <row r="37" spans="1:8" x14ac:dyDescent="0.25">
      <c r="A37" t="s">
        <v>154</v>
      </c>
      <c r="B37">
        <v>5</v>
      </c>
      <c r="C37">
        <f>(SUMIF(Table2[Item],Table1[[#This Row],[item_name]],Table2[Quantity])+Table1[[#This Row],[qtyat12th]])- SUMIF(Sales!$C$1887:C2400,Table1[[#This Row],[item_name]],Sales!$D$1887:D2400)- SUMIF(Table7[item/loan],Table1[[#This Row],[item_name]],Table7[qty_if_item])</f>
        <v>234</v>
      </c>
      <c r="D37">
        <f>VLOOKUP(A37,Inventory!A:H,3,FALSE)</f>
        <v>60</v>
      </c>
      <c r="E37">
        <f>VLOOKUP(A37,Inventory!A:H,4,FALSE)</f>
        <v>65</v>
      </c>
      <c r="F37" t="str">
        <f>VLOOKUP(A37,Inventory!A:H,5,FALSE)</f>
        <v>Bread</v>
      </c>
      <c r="G37" s="1"/>
      <c r="H37">
        <f t="shared" si="0"/>
        <v>36</v>
      </c>
    </row>
    <row r="38" spans="1:8" x14ac:dyDescent="0.25">
      <c r="A38" t="s">
        <v>293</v>
      </c>
      <c r="B38">
        <v>5</v>
      </c>
      <c r="C38">
        <f>(SUMIF(Table2[Item],Table1[[#This Row],[item_name]],Table2[Quantity])+Table1[[#This Row],[qtyat12th]])- SUMIF(Sales!$C$1887:C2540,Table1[[#This Row],[item_name]],Sales!$D$1887:D2540)- SUMIF(Table7[item/loan],Table1[[#This Row],[item_name]],Table7[qty_if_item])</f>
        <v>4</v>
      </c>
      <c r="D38">
        <v>69</v>
      </c>
      <c r="E38">
        <v>100</v>
      </c>
      <c r="F38" t="s">
        <v>294</v>
      </c>
      <c r="G38" s="1"/>
      <c r="H38">
        <f t="shared" si="0"/>
        <v>37</v>
      </c>
    </row>
    <row r="39" spans="1:8" x14ac:dyDescent="0.25">
      <c r="A39" t="s">
        <v>628</v>
      </c>
      <c r="B39">
        <v>1</v>
      </c>
      <c r="C39">
        <f>(SUMIF(Table2[Item],Table1[[#This Row],[item_name]],Table2[Quantity])+Table1[[#This Row],[qtyat12th]])- SUMIF(Sales!$C$1887:C2541,Table1[[#This Row],[item_name]],Sales!$D$1887:D2541)- SUMIF(Table7[item/loan],Table1[[#This Row],[item_name]],Table7[qty_if_item])</f>
        <v>1</v>
      </c>
      <c r="D39">
        <v>43</v>
      </c>
      <c r="E39">
        <v>60</v>
      </c>
      <c r="F39" t="s">
        <v>294</v>
      </c>
      <c r="G39" s="1"/>
      <c r="H39">
        <f t="shared" si="0"/>
        <v>38</v>
      </c>
    </row>
    <row r="40" spans="1:8" x14ac:dyDescent="0.25">
      <c r="A40" t="s">
        <v>81</v>
      </c>
      <c r="B40">
        <v>18</v>
      </c>
      <c r="C40">
        <f>(SUMIF(Table2[Item],Table1[[#This Row],[item_name]],Table2[Quantity])+Table1[[#This Row],[qtyat12th]])- SUMIF(Sales!$C$1887:C2542,Table1[[#This Row],[item_name]],Sales!$D$1887:D2542)- SUMIF(Table7[item/loan],Table1[[#This Row],[item_name]],Table7[qty_if_item])</f>
        <v>18</v>
      </c>
      <c r="D40">
        <f>VLOOKUP(A40,Inventory!A:H,3,FALSE)</f>
        <v>75.599999999999994</v>
      </c>
      <c r="E40">
        <f>VLOOKUP(A40,Inventory!A:H,4,FALSE)</f>
        <v>85</v>
      </c>
      <c r="F40" t="str">
        <f>VLOOKUP(A40,Inventory!A:H,5,FALSE)</f>
        <v>cereals</v>
      </c>
      <c r="G40" s="1"/>
      <c r="H40">
        <f t="shared" si="0"/>
        <v>39</v>
      </c>
    </row>
    <row r="41" spans="1:8" x14ac:dyDescent="0.25">
      <c r="A41" t="s">
        <v>83</v>
      </c>
      <c r="B41">
        <v>19</v>
      </c>
      <c r="C41">
        <f>(SUMIF(Table2[Item],Table1[[#This Row],[item_name]],Table2[Quantity])+Table1[[#This Row],[qtyat12th]])- SUMIF(Sales!$C$1887:C2543,Table1[[#This Row],[item_name]],Sales!$D$1887:D2543)- SUMIF(Table7[item/loan],Table1[[#This Row],[item_name]],Table7[qty_if_item])</f>
        <v>50</v>
      </c>
      <c r="D41">
        <f>VLOOKUP(A41,Inventory!A:H,3,FALSE)</f>
        <v>38</v>
      </c>
      <c r="E41">
        <f>VLOOKUP(A41,Inventory!A:H,4,FALSE)</f>
        <v>50</v>
      </c>
      <c r="F41" t="str">
        <f>VLOOKUP(A41,Inventory!A:H,5,FALSE)</f>
        <v>cereals</v>
      </c>
      <c r="G41" s="1"/>
      <c r="H41">
        <f t="shared" si="0"/>
        <v>40</v>
      </c>
    </row>
    <row r="42" spans="1:8" x14ac:dyDescent="0.25">
      <c r="A42" t="s">
        <v>84</v>
      </c>
      <c r="B42">
        <v>41</v>
      </c>
      <c r="C42">
        <f>(SUMIF(Table2[Item],Table1[[#This Row],[item_name]],Table2[Quantity])+Table1[[#This Row],[qtyat12th]])- SUMIF(Sales!$C$1887:C2544,Table1[[#This Row],[item_name]],Sales!$D$1887:D2544)- SUMIF(Table7[item/loan],Table1[[#This Row],[item_name]],Table7[qty_if_item])</f>
        <v>155</v>
      </c>
      <c r="D42">
        <f>VLOOKUP(A42,Inventory!A:H,3,FALSE)</f>
        <v>37.5</v>
      </c>
      <c r="E42">
        <f>VLOOKUP(A42,Inventory!A:H,4,FALSE)</f>
        <v>50</v>
      </c>
      <c r="F42" t="str">
        <f>VLOOKUP(A42,Inventory!A:H,5,FALSE)</f>
        <v>cereals</v>
      </c>
      <c r="G42" s="1"/>
      <c r="H42">
        <f t="shared" si="0"/>
        <v>41</v>
      </c>
    </row>
    <row r="43" spans="1:8" x14ac:dyDescent="0.25">
      <c r="A43" t="s">
        <v>85</v>
      </c>
      <c r="B43">
        <v>8</v>
      </c>
      <c r="C43">
        <f>(SUMIF(Table2[Item],Table1[[#This Row],[item_name]],Table2[Quantity])+Table1[[#This Row],[qtyat12th]])- SUMIF(Sales!$C$1887:C2545,Table1[[#This Row],[item_name]],Sales!$D$1887:D2545)- SUMIF(Table7[item/loan],Table1[[#This Row],[item_name]],Table7[qty_if_item])</f>
        <v>20</v>
      </c>
      <c r="D43">
        <f>VLOOKUP(A43,Inventory!A:H,3,FALSE)</f>
        <v>37.5</v>
      </c>
      <c r="E43">
        <f>VLOOKUP(A43,Inventory!A:H,4,FALSE)</f>
        <v>50</v>
      </c>
      <c r="F43" t="str">
        <f>VLOOKUP(A43,Inventory!A:H,5,FALSE)</f>
        <v>cereals</v>
      </c>
      <c r="G43" s="1"/>
      <c r="H43">
        <f t="shared" si="0"/>
        <v>42</v>
      </c>
    </row>
    <row r="44" spans="1:8" x14ac:dyDescent="0.25">
      <c r="A44" t="s">
        <v>104</v>
      </c>
      <c r="B44">
        <v>13</v>
      </c>
      <c r="C44">
        <f>(SUMIF(Table2[Item],Table1[[#This Row],[item_name]],Table2[Quantity])+Table1[[#This Row],[qtyat12th]])- SUMIF(Sales!$C$1887:C2546,Table1[[#This Row],[item_name]],Sales!$D$1887:D2546)- SUMIF(Table7[item/loan],Table1[[#This Row],[item_name]],Table7[qty_if_item])</f>
        <v>11</v>
      </c>
      <c r="D44">
        <f>VLOOKUP(A44,Inventory!A:H,3,FALSE)</f>
        <v>175</v>
      </c>
      <c r="E44">
        <f>VLOOKUP(A44,Inventory!A:H,4,FALSE)</f>
        <v>220</v>
      </c>
      <c r="F44" t="str">
        <f>VLOOKUP(A44,Inventory!A:H,5,FALSE)</f>
        <v>cereals</v>
      </c>
      <c r="G44" s="1"/>
      <c r="H44">
        <f t="shared" si="0"/>
        <v>43</v>
      </c>
    </row>
    <row r="45" spans="1:8" x14ac:dyDescent="0.25">
      <c r="A45" t="s">
        <v>105</v>
      </c>
      <c r="B45">
        <v>22</v>
      </c>
      <c r="C45">
        <f>(SUMIF(Table2[Item],Table1[[#This Row],[item_name]],Table2[Quantity])+Table1[[#This Row],[qtyat12th]])- SUMIF(Sales!$C$1887:C2547,Table1[[#This Row],[item_name]],Sales!$D$1887:D2547)- SUMIF(Table7[item/loan],Table1[[#This Row],[item_name]],Table7[qty_if_item])</f>
        <v>22</v>
      </c>
      <c r="D45">
        <f>VLOOKUP(A45,Inventory!A:H,3,FALSE)</f>
        <v>87.5</v>
      </c>
      <c r="E45">
        <f>VLOOKUP(A45,Inventory!A:H,4,FALSE)</f>
        <v>120</v>
      </c>
      <c r="F45" t="str">
        <f>VLOOKUP(A45,Inventory!A:H,5,FALSE)</f>
        <v>cereals</v>
      </c>
      <c r="G45" s="1"/>
      <c r="H45">
        <f t="shared" si="0"/>
        <v>44</v>
      </c>
    </row>
    <row r="46" spans="1:8" x14ac:dyDescent="0.25">
      <c r="A46" t="s">
        <v>106</v>
      </c>
      <c r="B46">
        <v>3</v>
      </c>
      <c r="C46">
        <f>(SUMIF(Table2[Item],Table1[[#This Row],[item_name]],Table2[Quantity])+Table1[[#This Row],[qtyat12th]])- SUMIF(Sales!$C$1887:C2548,Table1[[#This Row],[item_name]],Sales!$D$1887:D2548)- SUMIF(Table7[item/loan],Table1[[#This Row],[item_name]],Table7[qty_if_item])</f>
        <v>12</v>
      </c>
      <c r="D46">
        <f>VLOOKUP(A46,Inventory!A:H,3,FALSE)</f>
        <v>61.25</v>
      </c>
      <c r="E46">
        <f>VLOOKUP(A46,Inventory!A:H,4,FALSE)</f>
        <v>90</v>
      </c>
      <c r="F46" t="str">
        <f>VLOOKUP(A46,Inventory!A:H,5,FALSE)</f>
        <v>cereals</v>
      </c>
      <c r="G46" s="1"/>
      <c r="H46">
        <f t="shared" si="0"/>
        <v>45</v>
      </c>
    </row>
    <row r="47" spans="1:8" x14ac:dyDescent="0.25">
      <c r="A47" t="s">
        <v>107</v>
      </c>
      <c r="B47">
        <v>0</v>
      </c>
      <c r="C47">
        <f>(SUMIF(Table2[Item],Table1[[#This Row],[item_name]],Table2[Quantity])+Table1[[#This Row],[qtyat12th]])- SUMIF(Sales!$C$1887:C2549,Table1[[#This Row],[item_name]],Sales!$D$1887:D2549)- SUMIF(Table7[item/loan],Table1[[#This Row],[item_name]],Table7[qty_if_item])</f>
        <v>12</v>
      </c>
      <c r="D47">
        <f>VLOOKUP(A47,Inventory!A:H,3,FALSE)</f>
        <v>123.33333333333333</v>
      </c>
      <c r="E47">
        <f>VLOOKUP(A47,Inventory!A:H,4,FALSE)</f>
        <v>160</v>
      </c>
      <c r="F47" t="str">
        <f>VLOOKUP(A47,Inventory!A:H,5,FALSE)</f>
        <v>cereals</v>
      </c>
      <c r="G47" s="1"/>
      <c r="H47">
        <f t="shared" si="0"/>
        <v>46</v>
      </c>
    </row>
    <row r="48" spans="1:8" x14ac:dyDescent="0.25">
      <c r="A48" t="s">
        <v>108</v>
      </c>
      <c r="B48">
        <v>8</v>
      </c>
      <c r="C48">
        <f>(SUMIF(Table2[Item],Table1[[#This Row],[item_name]],Table2[Quantity])+Table1[[#This Row],[qtyat12th]])- SUMIF(Sales!$C$1887:C2550,Table1[[#This Row],[item_name]],Sales!$D$1887:D2550)- SUMIF(Table7[item/loan],Table1[[#This Row],[item_name]],Table7[qty_if_item])</f>
        <v>8</v>
      </c>
      <c r="D48">
        <f>VLOOKUP(A48,Inventory!A:H,3,FALSE)</f>
        <v>26.666666666666668</v>
      </c>
      <c r="E48">
        <f>VLOOKUP(A48,Inventory!A:H,4,FALSE)</f>
        <v>40</v>
      </c>
      <c r="F48" t="str">
        <f>VLOOKUP(A48,Inventory!A:H,5,FALSE)</f>
        <v>cereals</v>
      </c>
      <c r="G48" s="1"/>
      <c r="H48">
        <f t="shared" si="0"/>
        <v>47</v>
      </c>
    </row>
    <row r="49" spans="1:8" x14ac:dyDescent="0.25">
      <c r="A49" t="s">
        <v>166</v>
      </c>
      <c r="B49">
        <v>0.75</v>
      </c>
      <c r="C49">
        <f>(SUMIF(Table2[Item],Table1[[#This Row],[item_name]],Table2[Quantity])+Table1[[#This Row],[qtyat12th]])- SUMIF(Sales!$C$1887:C2551,Table1[[#This Row],[item_name]],Sales!$D$1887:D2551)- SUMIF(Table7[item/loan],Table1[[#This Row],[item_name]],Table7[qty_if_item])</f>
        <v>7.25</v>
      </c>
      <c r="D49">
        <f>VLOOKUP(A49,Inventory!A:H,3,FALSE)</f>
        <v>120</v>
      </c>
      <c r="E49">
        <f>VLOOKUP(A49,Inventory!A:H,4,FALSE)</f>
        <v>160</v>
      </c>
      <c r="F49" t="str">
        <f>VLOOKUP(A49,Inventory!A:H,5,FALSE)</f>
        <v>cereals</v>
      </c>
      <c r="G49" s="1"/>
      <c r="H49">
        <f t="shared" si="0"/>
        <v>48</v>
      </c>
    </row>
    <row r="50" spans="1:8" x14ac:dyDescent="0.25">
      <c r="A50" t="s">
        <v>179</v>
      </c>
      <c r="B50">
        <v>10</v>
      </c>
      <c r="C50">
        <f>(SUMIF(Table2[Item],Table1[[#This Row],[item_name]],Table2[Quantity])+Table1[[#This Row],[qtyat12th]])- SUMIF(Sales!$C$1887:C2552,Table1[[#This Row],[item_name]],Sales!$D$1887:D2552)- SUMIF(Table7[item/loan],Table1[[#This Row],[item_name]],Table7[qty_if_item])</f>
        <v>16</v>
      </c>
      <c r="D50">
        <f>VLOOKUP(A50,Inventory!A:H,3,FALSE)</f>
        <v>180</v>
      </c>
      <c r="E50">
        <f>VLOOKUP(A50,Inventory!A:H,4,FALSE)</f>
        <v>220</v>
      </c>
      <c r="F50" t="str">
        <f>VLOOKUP(A50,Inventory!A:H,5,FALSE)</f>
        <v>cereals</v>
      </c>
      <c r="G50" s="1"/>
      <c r="H50">
        <f t="shared" si="0"/>
        <v>49</v>
      </c>
    </row>
    <row r="51" spans="1:8" x14ac:dyDescent="0.25">
      <c r="A51" t="s">
        <v>182</v>
      </c>
      <c r="B51">
        <v>9</v>
      </c>
      <c r="C51">
        <f>(SUMIF(Table2[Item],Table1[[#This Row],[item_name]],Table2[Quantity])+Table1[[#This Row],[qtyat12th]])- SUMIF(Sales!$C$1887:C2553,Table1[[#This Row],[item_name]],Sales!$D$1887:D2553)- SUMIF(Table7[item/loan],Table1[[#This Row],[item_name]],Table7[qty_if_item])</f>
        <v>7.5</v>
      </c>
      <c r="D51">
        <f>VLOOKUP(A51,Inventory!A:H,3,FALSE)</f>
        <v>120</v>
      </c>
      <c r="E51">
        <f>VLOOKUP(A51,Inventory!A:H,4,FALSE)</f>
        <v>150</v>
      </c>
      <c r="F51" t="str">
        <f>VLOOKUP(A51,Inventory!A:H,5,FALSE)</f>
        <v>cereals</v>
      </c>
      <c r="G51" s="1"/>
      <c r="H51">
        <f t="shared" si="0"/>
        <v>50</v>
      </c>
    </row>
    <row r="52" spans="1:8" x14ac:dyDescent="0.25">
      <c r="A52" t="s">
        <v>195</v>
      </c>
      <c r="B52">
        <v>0</v>
      </c>
      <c r="C52">
        <f>(SUMIF(Table2[Item],Table1[[#This Row],[item_name]],Table2[Quantity])+Table1[[#This Row],[qtyat12th]])- SUMIF(Sales!$C$1887:C2554,Table1[[#This Row],[item_name]],Sales!$D$1887:D2554)- SUMIF(Table7[item/loan],Table1[[#This Row],[item_name]],Table7[qty_if_item])</f>
        <v>-1</v>
      </c>
      <c r="D52">
        <f>VLOOKUP(A52,Inventory!A:H,3,FALSE)</f>
        <v>117.08333333333333</v>
      </c>
      <c r="E52">
        <f>VLOOKUP(A52,Inventory!A:H,4,FALSE)</f>
        <v>160</v>
      </c>
      <c r="F52" t="str">
        <f>VLOOKUP(A52,Inventory!A:H,5,FALSE)</f>
        <v>cereals</v>
      </c>
      <c r="G52" s="1"/>
      <c r="H52">
        <f t="shared" si="0"/>
        <v>51</v>
      </c>
    </row>
    <row r="53" spans="1:8" x14ac:dyDescent="0.25">
      <c r="A53" t="s">
        <v>203</v>
      </c>
      <c r="B53">
        <v>2</v>
      </c>
      <c r="C53">
        <f>(SUMIF(Table2[Item],Table1[[#This Row],[item_name]],Table2[Quantity])+Table1[[#This Row],[qtyat12th]])- SUMIF(Sales!$C$1887:C2555,Table1[[#This Row],[item_name]],Sales!$D$1887:D2555)- SUMIF(Table7[item/loan],Table1[[#This Row],[item_name]],Table7[qty_if_item])</f>
        <v>1.75</v>
      </c>
      <c r="D53">
        <f>VLOOKUP(A53,Inventory!A:H,3,FALSE)</f>
        <v>300</v>
      </c>
      <c r="E53">
        <f>VLOOKUP(A53,Inventory!A:H,4,FALSE)</f>
        <v>350</v>
      </c>
      <c r="F53" t="str">
        <f>VLOOKUP(A53,Inventory!A:H,5,FALSE)</f>
        <v>cereals</v>
      </c>
      <c r="G53" s="1"/>
      <c r="H53">
        <f t="shared" si="0"/>
        <v>52</v>
      </c>
    </row>
    <row r="54" spans="1:8" x14ac:dyDescent="0.25">
      <c r="A54" t="s">
        <v>204</v>
      </c>
      <c r="B54">
        <v>8</v>
      </c>
      <c r="C54">
        <f>(SUMIF(Table2[Item],Table1[[#This Row],[item_name]],Table2[Quantity])+Table1[[#This Row],[qtyat12th]])- SUMIF(Sales!$C$1887:C2556,Table1[[#This Row],[item_name]],Sales!$D$1887:D2556)- SUMIF(Table7[item/loan],Table1[[#This Row],[item_name]],Table7[qty_if_item])</f>
        <v>8</v>
      </c>
      <c r="D54">
        <f>VLOOKUP(A54,Inventory!A:H,3,FALSE)</f>
        <v>125</v>
      </c>
      <c r="E54">
        <f>VLOOKUP(A54,Inventory!A:H,4,FALSE)</f>
        <v>180</v>
      </c>
      <c r="F54" t="str">
        <f>VLOOKUP(A54,Inventory!A:H,5,FALSE)</f>
        <v>cereals</v>
      </c>
      <c r="G54" s="1"/>
      <c r="H54">
        <f t="shared" si="0"/>
        <v>53</v>
      </c>
    </row>
    <row r="55" spans="1:8" x14ac:dyDescent="0.25">
      <c r="A55" t="s">
        <v>212</v>
      </c>
      <c r="B55">
        <v>5</v>
      </c>
      <c r="C55">
        <f>(SUMIF(Table2[Item],Table1[[#This Row],[item_name]],Table2[Quantity])+Table1[[#This Row],[qtyat12th]])- SUMIF(Sales!$C$1887:C2557,Table1[[#This Row],[item_name]],Sales!$D$1887:D2557)- SUMIF(Table7[item/loan],Table1[[#This Row],[item_name]],Table7[qty_if_item])</f>
        <v>5</v>
      </c>
      <c r="D55">
        <f>VLOOKUP(A55,Inventory!A:H,3,FALSE)</f>
        <v>80</v>
      </c>
      <c r="E55">
        <f>VLOOKUP(A55,Inventory!A:H,4,FALSE)</f>
        <v>100</v>
      </c>
      <c r="F55" t="s">
        <v>82</v>
      </c>
      <c r="G55" s="1">
        <v>45572</v>
      </c>
      <c r="H55">
        <f t="shared" si="0"/>
        <v>54</v>
      </c>
    </row>
    <row r="56" spans="1:8" x14ac:dyDescent="0.25">
      <c r="A56" t="s">
        <v>97</v>
      </c>
      <c r="B56">
        <v>40</v>
      </c>
      <c r="C56">
        <f>(SUMIF(Table2[Item],Table1[[#This Row],[item_name]],Table2[Quantity])+Table1[[#This Row],[qtyat12th]])- SUMIF(Sales!$C$1887:C2558,Table1[[#This Row],[item_name]],Sales!$D$1887:D2558)- SUMIF(Table7[item/loan],Table1[[#This Row],[item_name]],Table7[qty_if_item])</f>
        <v>40</v>
      </c>
      <c r="D56">
        <f>VLOOKUP(A56,Inventory!A:H,3,FALSE)</f>
        <v>17.5</v>
      </c>
      <c r="E56">
        <f>VLOOKUP(A56,Inventory!A:H,4,FALSE)</f>
        <v>25</v>
      </c>
      <c r="F56" t="str">
        <f>VLOOKUP(A56,Inventory!A:H,5,FALSE)</f>
        <v>cigarettes</v>
      </c>
      <c r="G56" s="1"/>
      <c r="H56">
        <f t="shared" si="0"/>
        <v>55</v>
      </c>
    </row>
    <row r="57" spans="1:8" x14ac:dyDescent="0.25">
      <c r="A57" t="s">
        <v>99</v>
      </c>
      <c r="B57">
        <v>35</v>
      </c>
      <c r="C57">
        <f>(SUMIF(Table2[Item],Table1[[#This Row],[item_name]],Table2[Quantity])+Table1[[#This Row],[qtyat12th]])- SUMIF(Sales!$C$1887:C2559,Table1[[#This Row],[item_name]],Sales!$D$1887:D2559)- SUMIF(Table7[item/loan],Table1[[#This Row],[item_name]],Table7[qty_if_item])</f>
        <v>62</v>
      </c>
      <c r="D57">
        <f>VLOOKUP(A57,Inventory!A:H,3,FALSE)</f>
        <v>13</v>
      </c>
      <c r="E57">
        <f>VLOOKUP(A57,Inventory!A:H,4,FALSE)</f>
        <v>20</v>
      </c>
      <c r="F57" t="str">
        <f>VLOOKUP(A57,Inventory!A:H,5,FALSE)</f>
        <v>cigarettes</v>
      </c>
      <c r="G57" s="1"/>
      <c r="H57">
        <f t="shared" si="0"/>
        <v>56</v>
      </c>
    </row>
    <row r="58" spans="1:8" x14ac:dyDescent="0.25">
      <c r="A58" t="s">
        <v>100</v>
      </c>
      <c r="B58">
        <v>1</v>
      </c>
      <c r="C58">
        <f>(SUMIF(Table2[Item],Table1[[#This Row],[item_name]],Table2[Quantity])+Table1[[#This Row],[qtyat12th]])- SUMIF(Sales!$C$1887:C2560,Table1[[#This Row],[item_name]],Sales!$D$1887:D2560)- SUMIF(Table7[item/loan],Table1[[#This Row],[item_name]],Table7[qty_if_item])</f>
        <v>406</v>
      </c>
      <c r="D58">
        <f>VLOOKUP(A58,Inventory!A:H,3,FALSE)</f>
        <v>8.5</v>
      </c>
      <c r="E58">
        <f>VLOOKUP(A58,Inventory!A:H,4,FALSE)</f>
        <v>15</v>
      </c>
      <c r="F58" t="str">
        <f>VLOOKUP(A58,Inventory!A:H,5,FALSE)</f>
        <v>cigarettes</v>
      </c>
      <c r="G58" s="1"/>
      <c r="H58">
        <f t="shared" si="0"/>
        <v>57</v>
      </c>
    </row>
    <row r="59" spans="1:8" x14ac:dyDescent="0.25">
      <c r="A59" t="s">
        <v>86</v>
      </c>
      <c r="B59">
        <v>9</v>
      </c>
      <c r="C59">
        <f>(SUMIF(Table2[Item],Table1[[#This Row],[item_name]],Table2[Quantity])+Table1[[#This Row],[qtyat12th]])- SUMIF(Sales!$C$1887:C2561,Table1[[#This Row],[item_name]],Sales!$D$1887:D2561)- SUMIF(Table7[item/loan],Table1[[#This Row],[item_name]],Table7[qty_if_item])</f>
        <v>26</v>
      </c>
      <c r="D59">
        <f>VLOOKUP(A59,Inventory!A:H,3,FALSE)</f>
        <v>140</v>
      </c>
      <c r="E59">
        <f>VLOOKUP(A59,Inventory!A:H,4,FALSE)</f>
        <v>180</v>
      </c>
      <c r="F59" t="str">
        <f>VLOOKUP(A59,Inventory!A:H,5,FALSE)</f>
        <v>Condiments</v>
      </c>
      <c r="G59" s="1"/>
      <c r="H59">
        <f t="shared" si="0"/>
        <v>58</v>
      </c>
    </row>
    <row r="60" spans="1:8" x14ac:dyDescent="0.25">
      <c r="A60" t="s">
        <v>88</v>
      </c>
      <c r="B60">
        <v>25</v>
      </c>
      <c r="C60">
        <f>(SUMIF(Table2[Item],Table1[[#This Row],[item_name]],Table2[Quantity])+Table1[[#This Row],[qtyat12th]])- SUMIF(Sales!$C$1887:C2562,Table1[[#This Row],[item_name]],Sales!$D$1887:D2562)- SUMIF(Table7[item/loan],Table1[[#This Row],[item_name]],Table7[qty_if_item])</f>
        <v>22</v>
      </c>
      <c r="D60">
        <f>VLOOKUP(A60,Inventory!A:H,3,FALSE)</f>
        <v>5.5</v>
      </c>
      <c r="E60">
        <f>VLOOKUP(A60,Inventory!A:H,4,FALSE)</f>
        <v>15</v>
      </c>
      <c r="F60" t="str">
        <f>VLOOKUP(A60,Inventory!A:H,5,FALSE)</f>
        <v>Condiments</v>
      </c>
      <c r="G60" s="1"/>
      <c r="H60">
        <f t="shared" si="0"/>
        <v>59</v>
      </c>
    </row>
    <row r="61" spans="1:8" x14ac:dyDescent="0.25">
      <c r="A61" t="s">
        <v>89</v>
      </c>
      <c r="B61">
        <v>33</v>
      </c>
      <c r="C61">
        <f>(SUMIF(Table2[Item],Table1[[#This Row],[item_name]],Table2[Quantity])+Table1[[#This Row],[qtyat12th]])- SUMIF(Sales!$C$1887:C2563,Table1[[#This Row],[item_name]],Sales!$D$1887:D2563)- SUMIF(Table7[item/loan],Table1[[#This Row],[item_name]],Table7[qty_if_item])</f>
        <v>31</v>
      </c>
      <c r="D61">
        <f>VLOOKUP(A61,Inventory!A:H,3,FALSE)</f>
        <v>14</v>
      </c>
      <c r="E61">
        <f>VLOOKUP(A61,Inventory!A:H,4,FALSE)</f>
        <v>25</v>
      </c>
      <c r="F61" t="str">
        <f>VLOOKUP(A61,Inventory!A:H,5,FALSE)</f>
        <v>Condiments</v>
      </c>
      <c r="G61" s="1"/>
      <c r="H61">
        <f t="shared" si="0"/>
        <v>60</v>
      </c>
    </row>
    <row r="62" spans="1:8" x14ac:dyDescent="0.25">
      <c r="A62" t="s">
        <v>90</v>
      </c>
      <c r="B62">
        <v>13</v>
      </c>
      <c r="C62">
        <f>(SUMIF(Table2[Item],Table1[[#This Row],[item_name]],Table2[Quantity])+Table1[[#This Row],[qtyat12th]])- SUMIF(Sales!$C$1887:C2564,Table1[[#This Row],[item_name]],Sales!$D$1887:D2564)- SUMIF(Table7[item/loan],Table1[[#This Row],[item_name]],Table7[qty_if_item])</f>
        <v>13</v>
      </c>
      <c r="D62">
        <f>VLOOKUP(A62,Inventory!A:H,3,FALSE)</f>
        <v>35</v>
      </c>
      <c r="E62">
        <f>VLOOKUP(A62,Inventory!A:H,4,FALSE)</f>
        <v>50</v>
      </c>
      <c r="F62" t="str">
        <f>VLOOKUP(A62,Inventory!A:H,5,FALSE)</f>
        <v>Condiments</v>
      </c>
      <c r="G62" s="1"/>
      <c r="H62">
        <f t="shared" si="0"/>
        <v>61</v>
      </c>
    </row>
    <row r="63" spans="1:8" x14ac:dyDescent="0.25">
      <c r="A63" t="s">
        <v>91</v>
      </c>
      <c r="B63">
        <v>0</v>
      </c>
      <c r="C63">
        <f>(SUMIF(Table2[Item],Table1[[#This Row],[item_name]],Table2[Quantity])+Table1[[#This Row],[qtyat12th]])- SUMIF(Sales!$C$1887:C2565,Table1[[#This Row],[item_name]],Sales!$D$1887:D2565)- SUMIF(Table7[item/loan],Table1[[#This Row],[item_name]],Table7[qty_if_item])</f>
        <v>0</v>
      </c>
      <c r="D63">
        <f>VLOOKUP(A63,Inventory!A:H,3,FALSE)</f>
        <v>120</v>
      </c>
      <c r="E63">
        <f>VLOOKUP(A63,Inventory!A:H,4,FALSE)</f>
        <v>140</v>
      </c>
      <c r="F63" t="str">
        <f>VLOOKUP(A63,Inventory!A:H,5,FALSE)</f>
        <v>Condiments</v>
      </c>
      <c r="G63" s="1"/>
      <c r="H63">
        <f t="shared" si="0"/>
        <v>62</v>
      </c>
    </row>
    <row r="64" spans="1:8" x14ac:dyDescent="0.25">
      <c r="A64" t="s">
        <v>92</v>
      </c>
      <c r="B64">
        <v>12</v>
      </c>
      <c r="C64">
        <f>(SUMIF(Table2[Item],Table1[[#This Row],[item_name]],Table2[Quantity])+Table1[[#This Row],[qtyat12th]])- SUMIF(Sales!$C$1887:C2566,Table1[[#This Row],[item_name]],Sales!$D$1887:D2566)- SUMIF(Table7[item/loan],Table1[[#This Row],[item_name]],Table7[qty_if_item])</f>
        <v>11</v>
      </c>
      <c r="D64">
        <f>VLOOKUP(A64,Inventory!A:H,3,FALSE)</f>
        <v>12.5</v>
      </c>
      <c r="E64">
        <f>VLOOKUP(A64,Inventory!A:H,4,FALSE)</f>
        <v>30</v>
      </c>
      <c r="F64" t="str">
        <f>VLOOKUP(A64,Inventory!A:H,5,FALSE)</f>
        <v>Condiments</v>
      </c>
      <c r="G64" s="1"/>
      <c r="H64">
        <f t="shared" si="0"/>
        <v>63</v>
      </c>
    </row>
    <row r="65" spans="1:8" x14ac:dyDescent="0.25">
      <c r="A65" t="s">
        <v>93</v>
      </c>
      <c r="B65">
        <v>4</v>
      </c>
      <c r="C65">
        <f>(SUMIF(Table2[Item],Table1[[#This Row],[item_name]],Table2[Quantity])+Table1[[#This Row],[qtyat12th]])- SUMIF(Sales!$C$1887:C2567,Table1[[#This Row],[item_name]],Sales!$D$1887:D2567)- SUMIF(Table7[item/loan],Table1[[#This Row],[item_name]],Table7[qty_if_item])</f>
        <v>9</v>
      </c>
      <c r="D65">
        <f>VLOOKUP(A65,Inventory!A:H,3,FALSE)</f>
        <v>50</v>
      </c>
      <c r="E65">
        <f>VLOOKUP(A65,Inventory!A:H,4,FALSE)</f>
        <v>70</v>
      </c>
      <c r="F65" t="str">
        <f>VLOOKUP(A65,Inventory!A:H,5,FALSE)</f>
        <v>Condiments</v>
      </c>
      <c r="G65" s="1"/>
      <c r="H65">
        <f t="shared" si="0"/>
        <v>64</v>
      </c>
    </row>
    <row r="66" spans="1:8" x14ac:dyDescent="0.25">
      <c r="A66" t="s">
        <v>94</v>
      </c>
      <c r="B66">
        <v>5</v>
      </c>
      <c r="C66">
        <f>(SUMIF(Table2[Item],Table1[[#This Row],[item_name]],Table2[Quantity])+Table1[[#This Row],[qtyat12th]])- SUMIF(Sales!$C$1887:C2568,Table1[[#This Row],[item_name]],Sales!$D$1887:D2568)- SUMIF(Table7[item/loan],Table1[[#This Row],[item_name]],Table7[qty_if_item])</f>
        <v>4</v>
      </c>
      <c r="D66">
        <f>VLOOKUP(A66,Inventory!A:H,3,FALSE)</f>
        <v>140</v>
      </c>
      <c r="E66">
        <f>VLOOKUP(A66,Inventory!A:H,4,FALSE)</f>
        <v>190</v>
      </c>
      <c r="F66" t="s">
        <v>295</v>
      </c>
      <c r="G66" s="1"/>
      <c r="H66">
        <f t="shared" si="0"/>
        <v>65</v>
      </c>
    </row>
    <row r="67" spans="1:8" x14ac:dyDescent="0.25">
      <c r="A67" t="s">
        <v>140</v>
      </c>
      <c r="B67">
        <v>21</v>
      </c>
      <c r="C67">
        <f>(SUMIF(Table2[Item],Table1[[#This Row],[item_name]],Table2[Quantity])+Table1[[#This Row],[qtyat12th]])- SUMIF(Sales!$C$1887:C2569,Table1[[#This Row],[item_name]],Sales!$D$1887:D2569)- SUMIF(Table7[item/loan],Table1[[#This Row],[item_name]],Table7[qty_if_item])</f>
        <v>19</v>
      </c>
      <c r="D67">
        <v>5</v>
      </c>
      <c r="E67">
        <v>10</v>
      </c>
      <c r="F67" t="str">
        <f>VLOOKUP(A67,Inventory!A:H,5,FALSE)</f>
        <v>Condiments</v>
      </c>
      <c r="G67" s="1"/>
      <c r="H67">
        <f t="shared" si="0"/>
        <v>66</v>
      </c>
    </row>
    <row r="68" spans="1:8" x14ac:dyDescent="0.25">
      <c r="A68" t="s">
        <v>147</v>
      </c>
      <c r="B68">
        <v>69</v>
      </c>
      <c r="C68">
        <f>(SUMIF(Table2[Item],Table1[[#This Row],[item_name]],Table2[Quantity])+Table1[[#This Row],[qtyat12th]])- SUMIF(Sales!$C$1887:C2570,Table1[[#This Row],[item_name]],Sales!$D$1887:D2570)- SUMIF(Table7[item/loan],Table1[[#This Row],[item_name]],Table7[qty_if_item])</f>
        <v>295</v>
      </c>
      <c r="D68">
        <f>VLOOKUP(A68,Inventory!A:H,3,FALSE)</f>
        <v>3</v>
      </c>
      <c r="E68">
        <f>VLOOKUP(A68,Inventory!A:H,4,FALSE)</f>
        <v>5</v>
      </c>
      <c r="F68" t="str">
        <f>VLOOKUP(A68,Inventory!A:H,5,FALSE)</f>
        <v>Condiments</v>
      </c>
      <c r="G68" s="1"/>
      <c r="H68">
        <f t="shared" ref="H68:H131" si="1">1+H67</f>
        <v>67</v>
      </c>
    </row>
    <row r="69" spans="1:8" x14ac:dyDescent="0.25">
      <c r="A69" t="s">
        <v>167</v>
      </c>
      <c r="B69">
        <v>13</v>
      </c>
      <c r="C69">
        <f>(SUMIF(Table2[Item],Table1[[#This Row],[item_name]],Table2[Quantity])+Table1[[#This Row],[qtyat12th]])- SUMIF(Sales!$C$1887:C2571,Table1[[#This Row],[item_name]],Sales!$D$1887:D2571)- SUMIF(Table7[item/loan],Table1[[#This Row],[item_name]],Table7[qty_if_item])</f>
        <v>13</v>
      </c>
      <c r="D69">
        <f>VLOOKUP(A69,Inventory!A:H,3,FALSE)</f>
        <v>8.3333333333333339</v>
      </c>
      <c r="E69">
        <f>VLOOKUP(A69,Inventory!A:H,4,FALSE)</f>
        <v>10</v>
      </c>
      <c r="F69" t="str">
        <f>VLOOKUP(A69,Inventory!A:H,5,FALSE)</f>
        <v>Condiments</v>
      </c>
      <c r="G69" s="1"/>
      <c r="H69">
        <f t="shared" si="1"/>
        <v>68</v>
      </c>
    </row>
    <row r="70" spans="1:8" x14ac:dyDescent="0.25">
      <c r="A70" t="s">
        <v>296</v>
      </c>
      <c r="B70">
        <v>7</v>
      </c>
      <c r="C70">
        <f>(SUMIF(Table2[Item],Table1[[#This Row],[item_name]],Table2[Quantity])+Table1[[#This Row],[qtyat12th]])- SUMIF(Sales!$C$1887:C2572,Table1[[#This Row],[item_name]],Sales!$D$1887:D2572)- SUMIF(Table7[item/loan],Table1[[#This Row],[item_name]],Table7[qty_if_item])</f>
        <v>14</v>
      </c>
      <c r="D70">
        <f>120/2</f>
        <v>60</v>
      </c>
      <c r="E70">
        <v>90</v>
      </c>
      <c r="F70" t="s">
        <v>87</v>
      </c>
      <c r="G70" s="1"/>
      <c r="H70">
        <f t="shared" si="1"/>
        <v>69</v>
      </c>
    </row>
    <row r="71" spans="1:8" x14ac:dyDescent="0.25">
      <c r="A71" t="s">
        <v>297</v>
      </c>
      <c r="B71">
        <v>24</v>
      </c>
      <c r="C71">
        <f>(SUMIF(Table2[Item],Table1[[#This Row],[item_name]],Table2[Quantity])+Table1[[#This Row],[qtyat12th]])- SUMIF(Sales!$C$1887:C2573,Table1[[#This Row],[item_name]],Sales!$D$1887:D2573)- SUMIF(Table7[item/loan],Table1[[#This Row],[item_name]],Table7[qty_if_item])</f>
        <v>43</v>
      </c>
      <c r="D71">
        <v>30</v>
      </c>
      <c r="E71">
        <v>45</v>
      </c>
      <c r="F71" t="s">
        <v>87</v>
      </c>
      <c r="G71" s="1"/>
      <c r="H71">
        <f t="shared" si="1"/>
        <v>70</v>
      </c>
    </row>
    <row r="72" spans="1:8" x14ac:dyDescent="0.25">
      <c r="A72" t="s">
        <v>193</v>
      </c>
      <c r="B72">
        <v>26</v>
      </c>
      <c r="C72">
        <f>(SUMIF(Table2[Item],Table1[[#This Row],[item_name]],Table2[Quantity])+Table1[[#This Row],[qtyat12th]])- SUMIF(Sales!$C$1887:C2574,Table1[[#This Row],[item_name]],Sales!$D$1887:D2574)- SUMIF(Table7[item/loan],Table1[[#This Row],[item_name]],Table7[qty_if_item])</f>
        <v>26</v>
      </c>
      <c r="D72">
        <f>VLOOKUP(A72,Inventory!A:H,3,FALSE)</f>
        <v>7.5</v>
      </c>
      <c r="E72">
        <f>VLOOKUP(A72,Inventory!A:H,4,FALSE)</f>
        <v>15</v>
      </c>
      <c r="F72" t="str">
        <f>VLOOKUP(A72,Inventory!A:H,5,FALSE)</f>
        <v>Condiments</v>
      </c>
      <c r="G72" s="1"/>
      <c r="H72">
        <f t="shared" si="1"/>
        <v>71</v>
      </c>
    </row>
    <row r="73" spans="1:8" x14ac:dyDescent="0.25">
      <c r="A73" t="s">
        <v>298</v>
      </c>
      <c r="B73">
        <v>12</v>
      </c>
      <c r="C73">
        <f>(SUMIF(Table2[Item],Table1[[#This Row],[item_name]],Table2[Quantity])+Table1[[#This Row],[qtyat12th]])- SUMIF(Sales!$C$1887:C2575,Table1[[#This Row],[item_name]],Sales!$D$1887:D2575)- SUMIF(Table7[item/loan],Table1[[#This Row],[item_name]],Table7[qty_if_item])</f>
        <v>12</v>
      </c>
      <c r="D73">
        <f>108/12</f>
        <v>9</v>
      </c>
      <c r="E73">
        <v>10</v>
      </c>
      <c r="F73" t="s">
        <v>87</v>
      </c>
      <c r="G73" s="1"/>
      <c r="H73">
        <f t="shared" si="1"/>
        <v>72</v>
      </c>
    </row>
    <row r="74" spans="1:8" x14ac:dyDescent="0.25">
      <c r="A74" t="s">
        <v>109</v>
      </c>
      <c r="B74">
        <v>0</v>
      </c>
      <c r="C74">
        <f>(SUMIF(Table2[Item],Table1[[#This Row],[item_name]],Table2[Quantity])+Table1[[#This Row],[qtyat12th]])- SUMIF(Sales!$C$1887:C2576,Table1[[#This Row],[item_name]],Sales!$D$1887:D2576)- SUMIF(Table7[item/loan],Table1[[#This Row],[item_name]],Table7[qty_if_item])</f>
        <v>5</v>
      </c>
      <c r="D74">
        <f>VLOOKUP(A74,Inventory!A:H,3,FALSE)</f>
        <v>290</v>
      </c>
      <c r="E74">
        <f>VLOOKUP(A74,Inventory!A:H,4,FALSE)</f>
        <v>350</v>
      </c>
      <c r="F74" t="str">
        <f>VLOOKUP(A74,Inventory!A:H,5,FALSE)</f>
        <v>Cooking Oil</v>
      </c>
      <c r="G74" s="1"/>
      <c r="H74">
        <f t="shared" si="1"/>
        <v>73</v>
      </c>
    </row>
    <row r="75" spans="1:8" x14ac:dyDescent="0.25">
      <c r="A75" t="s">
        <v>138</v>
      </c>
      <c r="B75">
        <v>16</v>
      </c>
      <c r="C75">
        <f>(SUMIF(Table2[Item],Table1[[#This Row],[item_name]],Table2[Quantity])+Table1[[#This Row],[qtyat12th]])- SUMIF(Sales!$C$1887:C2577,Table1[[#This Row],[item_name]],Sales!$D$1887:D2577)- SUMIF(Table7[item/loan],Table1[[#This Row],[item_name]],Table7[qty_if_item])</f>
        <v>10.5</v>
      </c>
      <c r="D75">
        <f>VLOOKUP(A75,Inventory!A:H,3,FALSE)</f>
        <v>200</v>
      </c>
      <c r="E75">
        <f>VLOOKUP(A75,Inventory!A:H,4,FALSE)</f>
        <v>280</v>
      </c>
      <c r="F75" t="str">
        <f>VLOOKUP(A75,Inventory!A:H,5,FALSE)</f>
        <v>Cooking Oil</v>
      </c>
      <c r="G75" s="1"/>
      <c r="H75">
        <f t="shared" si="1"/>
        <v>74</v>
      </c>
    </row>
    <row r="76" spans="1:8" x14ac:dyDescent="0.25">
      <c r="A76" t="s">
        <v>299</v>
      </c>
      <c r="B76">
        <v>2</v>
      </c>
      <c r="C76">
        <f>(SUMIF(Table2[Item],Table1[[#This Row],[item_name]],Table2[Quantity])+Table1[[#This Row],[qtyat12th]])- SUMIF(Sales!$C$1887:C2578,Table1[[#This Row],[item_name]],Sales!$D$1887:D2578)- SUMIF(Table7[item/loan],Table1[[#This Row],[item_name]],Table7[qty_if_item])</f>
        <v>7</v>
      </c>
      <c r="D76">
        <v>290</v>
      </c>
      <c r="E76">
        <v>350</v>
      </c>
      <c r="F76" t="s">
        <v>110</v>
      </c>
      <c r="G76" s="1"/>
      <c r="H76">
        <f t="shared" si="1"/>
        <v>75</v>
      </c>
    </row>
    <row r="77" spans="1:8" x14ac:dyDescent="0.25">
      <c r="A77" t="s">
        <v>123</v>
      </c>
      <c r="B77">
        <v>3</v>
      </c>
      <c r="C77">
        <f>(SUMIF(Table2[Item],Table1[[#This Row],[item_name]],Table2[Quantity])+Table1[[#This Row],[qtyat12th]])- SUMIF(Sales!$C$1887:C2579,Table1[[#This Row],[item_name]],Sales!$D$1887:D2579)- SUMIF(Table7[item/loan],Table1[[#This Row],[item_name]],Table7[qty_if_item])</f>
        <v>3</v>
      </c>
      <c r="D77">
        <f>VLOOKUP(A77,Inventory!A:H,3,FALSE)</f>
        <v>36.666666666666664</v>
      </c>
      <c r="E77">
        <f>VLOOKUP(A77,Inventory!A:H,4,FALSE)</f>
        <v>60</v>
      </c>
      <c r="F77" t="str">
        <f>VLOOKUP(A77,Inventory!A:H,5,FALSE)</f>
        <v>Detergents</v>
      </c>
      <c r="G77" s="1"/>
      <c r="H77">
        <f t="shared" si="1"/>
        <v>76</v>
      </c>
    </row>
    <row r="78" spans="1:8" x14ac:dyDescent="0.25">
      <c r="A78" t="s">
        <v>125</v>
      </c>
      <c r="B78">
        <v>4</v>
      </c>
      <c r="C78">
        <f>(SUMIF(Table2[Item],Table1[[#This Row],[item_name]],Table2[Quantity])+Table1[[#This Row],[qtyat12th]])- SUMIF(Sales!$C$1887:C2580,Table1[[#This Row],[item_name]],Sales!$D$1887:D2580)- SUMIF(Table7[item/loan],Table1[[#This Row],[item_name]],Table7[qty_if_item])</f>
        <v>4</v>
      </c>
      <c r="D78">
        <f>VLOOKUP(A78,Inventory!A:H,3,FALSE)</f>
        <v>175</v>
      </c>
      <c r="E78">
        <f>VLOOKUP(A78,Inventory!A:H,4,FALSE)</f>
        <v>250</v>
      </c>
      <c r="F78" t="str">
        <f>VLOOKUP(A78,Inventory!A:H,5,FALSE)</f>
        <v>Detergents</v>
      </c>
      <c r="G78" s="1"/>
      <c r="H78">
        <f t="shared" si="1"/>
        <v>77</v>
      </c>
    </row>
    <row r="79" spans="1:8" x14ac:dyDescent="0.25">
      <c r="A79" t="s">
        <v>126</v>
      </c>
      <c r="B79">
        <v>11</v>
      </c>
      <c r="C79">
        <f>(SUMIF(Table2[Item],Table1[[#This Row],[item_name]],Table2[Quantity])+Table1[[#This Row],[qtyat12th]])- SUMIF(Sales!$C$1887:C2581,Table1[[#This Row],[item_name]],Sales!$D$1887:D2581)- SUMIF(Table7[item/loan],Table1[[#This Row],[item_name]],Table7[qty_if_item])</f>
        <v>32</v>
      </c>
      <c r="D79">
        <f>VLOOKUP(A79,Inventory!A:H,3,FALSE)</f>
        <v>33.75</v>
      </c>
      <c r="E79">
        <f>VLOOKUP(A79,Inventory!A:H,4,FALSE)</f>
        <v>50</v>
      </c>
      <c r="F79" t="str">
        <f>VLOOKUP(A79,Inventory!A:H,5,FALSE)</f>
        <v>Detergents</v>
      </c>
      <c r="G79" s="1"/>
      <c r="H79">
        <f t="shared" si="1"/>
        <v>78</v>
      </c>
    </row>
    <row r="80" spans="1:8" x14ac:dyDescent="0.25">
      <c r="A80" t="s">
        <v>127</v>
      </c>
      <c r="B80">
        <v>11</v>
      </c>
      <c r="C80">
        <f>(SUMIF(Table2[Item],Table1[[#This Row],[item_name]],Table2[Quantity])+Table1[[#This Row],[qtyat12th]])- SUMIF(Sales!$C$1887:C2582,Table1[[#This Row],[item_name]],Sales!$D$1887:D2582)- SUMIF(Table7[item/loan],Table1[[#This Row],[item_name]],Table7[qty_if_item])</f>
        <v>10</v>
      </c>
      <c r="D80">
        <f>VLOOKUP(A80,Inventory!A:H,3,FALSE)</f>
        <v>38.333333333333336</v>
      </c>
      <c r="E80">
        <f>VLOOKUP(A80,Inventory!A:H,4,FALSE)</f>
        <v>50</v>
      </c>
      <c r="F80" t="str">
        <f>VLOOKUP(A80,Inventory!A:H,5,FALSE)</f>
        <v>Detergents</v>
      </c>
      <c r="G80" s="1"/>
      <c r="H80">
        <f t="shared" si="1"/>
        <v>79</v>
      </c>
    </row>
    <row r="81" spans="1:8" x14ac:dyDescent="0.25">
      <c r="A81" t="s">
        <v>128</v>
      </c>
      <c r="B81">
        <v>13</v>
      </c>
      <c r="C81">
        <f>(SUMIF(Table2[Item],Table1[[#This Row],[item_name]],Table2[Quantity])+Table1[[#This Row],[qtyat12th]])- SUMIF(Sales!$C$1887:C2583,Table1[[#This Row],[item_name]],Sales!$D$1887:D2583)- SUMIF(Table7[item/loan],Table1[[#This Row],[item_name]],Table7[qty_if_item])</f>
        <v>35</v>
      </c>
      <c r="D81">
        <f>VLOOKUP(A81,Inventory!A:H,3,FALSE)</f>
        <v>27.5</v>
      </c>
      <c r="E81">
        <f>VLOOKUP(A81,Inventory!A:H,4,FALSE)</f>
        <v>35</v>
      </c>
      <c r="F81" t="str">
        <f>VLOOKUP(A81,Inventory!A:H,5,FALSE)</f>
        <v>Detergents</v>
      </c>
      <c r="G81" s="1"/>
      <c r="H81">
        <f t="shared" si="1"/>
        <v>80</v>
      </c>
    </row>
    <row r="82" spans="1:8" x14ac:dyDescent="0.25">
      <c r="A82" t="s">
        <v>129</v>
      </c>
      <c r="B82">
        <v>7</v>
      </c>
      <c r="C82">
        <f>(SUMIF(Table2[Item],Table1[[#This Row],[item_name]],Table2[Quantity])+Table1[[#This Row],[qtyat12th]])- SUMIF(Sales!$C$1887:C2584,Table1[[#This Row],[item_name]],Sales!$D$1887:D2584)- SUMIF(Table7[item/loan],Table1[[#This Row],[item_name]],Table7[qty_if_item])</f>
        <v>29</v>
      </c>
      <c r="D82">
        <f>VLOOKUP(A82,Inventory!A:H,3,FALSE)</f>
        <v>9.1666666666666661</v>
      </c>
      <c r="E82">
        <f>VLOOKUP(A82,Inventory!A:H,4,FALSE)</f>
        <v>15</v>
      </c>
      <c r="F82" t="str">
        <f>VLOOKUP(A82,Inventory!A:H,5,FALSE)</f>
        <v>Detergents</v>
      </c>
      <c r="G82" s="1"/>
      <c r="H82">
        <f t="shared" si="1"/>
        <v>81</v>
      </c>
    </row>
    <row r="83" spans="1:8" x14ac:dyDescent="0.25">
      <c r="A83" t="s">
        <v>130</v>
      </c>
      <c r="B83">
        <v>12</v>
      </c>
      <c r="C83">
        <f>(SUMIF(Table2[Item],Table1[[#This Row],[item_name]],Table2[Quantity])+Table1[[#This Row],[qtyat12th]])- SUMIF(Sales!$C$1887:C2585,Table1[[#This Row],[item_name]],Sales!$D$1887:D2585)- SUMIF(Table7[item/loan],Table1[[#This Row],[item_name]],Table7[qty_if_item])</f>
        <v>34</v>
      </c>
      <c r="D83">
        <f>VLOOKUP(A83,Inventory!A:H,3,FALSE)</f>
        <v>27.5</v>
      </c>
      <c r="E83">
        <f>VLOOKUP(A83,Inventory!A:H,4,FALSE)</f>
        <v>35</v>
      </c>
      <c r="F83" t="str">
        <f>VLOOKUP(A83,Inventory!A:H,5,FALSE)</f>
        <v>Detergents</v>
      </c>
      <c r="G83" s="1"/>
      <c r="H83">
        <f t="shared" si="1"/>
        <v>82</v>
      </c>
    </row>
    <row r="84" spans="1:8" x14ac:dyDescent="0.25">
      <c r="A84" t="s">
        <v>131</v>
      </c>
      <c r="B84">
        <v>10</v>
      </c>
      <c r="C84">
        <f>(SUMIF(Table2[Item],Table1[[#This Row],[item_name]],Table2[Quantity])+Table1[[#This Row],[qtyat12th]])- SUMIF(Sales!$C$1887:C2586,Table1[[#This Row],[item_name]],Sales!$D$1887:D2586)- SUMIF(Table7[item/loan],Table1[[#This Row],[item_name]],Table7[qty_if_item])</f>
        <v>19</v>
      </c>
      <c r="D84">
        <f>VLOOKUP(A84,Inventory!A:H,3,FALSE)</f>
        <v>9.1666666666666661</v>
      </c>
      <c r="E84">
        <f>VLOOKUP(A84,Inventory!A:H,4,FALSE)</f>
        <v>15</v>
      </c>
      <c r="F84" t="str">
        <f>VLOOKUP(A84,Inventory!A:H,5,FALSE)</f>
        <v>Detergents</v>
      </c>
      <c r="G84" s="1"/>
      <c r="H84">
        <f t="shared" si="1"/>
        <v>83</v>
      </c>
    </row>
    <row r="85" spans="1:8" x14ac:dyDescent="0.25">
      <c r="A85" t="s">
        <v>132</v>
      </c>
      <c r="B85">
        <v>7</v>
      </c>
      <c r="C85">
        <f>(SUMIF(Table2[Item],Table1[[#This Row],[item_name]],Table2[Quantity])+Table1[[#This Row],[qtyat12th]])- SUMIF(Sales!$C$1887:C2587,Table1[[#This Row],[item_name]],Sales!$D$1887:D2587)- SUMIF(Table7[item/loan],Table1[[#This Row],[item_name]],Table7[qty_if_item])</f>
        <v>37</v>
      </c>
      <c r="D85">
        <f>VLOOKUP(A85,Inventory!A:H,3,FALSE)</f>
        <v>17.333333333333332</v>
      </c>
      <c r="E85">
        <f>VLOOKUP(A85,Inventory!A:H,4,FALSE)</f>
        <v>20</v>
      </c>
      <c r="F85" t="str">
        <f>VLOOKUP(A85,Inventory!A:H,5,FALSE)</f>
        <v>Detergents</v>
      </c>
      <c r="G85" s="1"/>
      <c r="H85">
        <f t="shared" si="1"/>
        <v>84</v>
      </c>
    </row>
    <row r="86" spans="1:8" x14ac:dyDescent="0.25">
      <c r="A86" t="s">
        <v>300</v>
      </c>
      <c r="B86">
        <v>12</v>
      </c>
      <c r="C86">
        <f>(SUMIF(Table2[Item],Table1[[#This Row],[item_name]],Table2[Quantity])+Table1[[#This Row],[qtyat12th]])- SUMIF(Sales!$C$1887:C2588,Table1[[#This Row],[item_name]],Sales!$D$1887:D2588)- SUMIF(Table7[item/loan],Table1[[#This Row],[item_name]],Table7[qty_if_item])</f>
        <v>11</v>
      </c>
      <c r="D86">
        <f>208/12</f>
        <v>17.333333333333332</v>
      </c>
      <c r="E86">
        <v>20</v>
      </c>
      <c r="F86" t="s">
        <v>124</v>
      </c>
      <c r="G86" s="1"/>
      <c r="H86">
        <f t="shared" si="1"/>
        <v>85</v>
      </c>
    </row>
    <row r="87" spans="1:8" x14ac:dyDescent="0.25">
      <c r="A87" t="s">
        <v>175</v>
      </c>
      <c r="B87">
        <v>5</v>
      </c>
      <c r="C87">
        <f>(SUMIF(Table2[Item],Table1[[#This Row],[item_name]],Table2[Quantity])+Table1[[#This Row],[qtyat12th]])- SUMIF(Sales!$C$1887:C2589,Table1[[#This Row],[item_name]],Sales!$D$1887:D2589)- SUMIF(Table7[item/loan],Table1[[#This Row],[item_name]],Table7[qty_if_item])</f>
        <v>8.6</v>
      </c>
      <c r="D87">
        <f>VLOOKUP(A87,Inventory!A:H,3,FALSE)</f>
        <v>190</v>
      </c>
      <c r="E87">
        <f>VLOOKUP(A87,Inventory!A:H,4,FALSE)</f>
        <v>250</v>
      </c>
      <c r="F87" t="str">
        <f>VLOOKUP(A87,Inventory!A:H,5,FALSE)</f>
        <v>Detergents</v>
      </c>
      <c r="G87" s="1"/>
      <c r="H87">
        <f t="shared" si="1"/>
        <v>86</v>
      </c>
    </row>
    <row r="88" spans="1:8" x14ac:dyDescent="0.25">
      <c r="A88" t="s">
        <v>185</v>
      </c>
      <c r="B88">
        <v>6</v>
      </c>
      <c r="C88">
        <f>(SUMIF(Table2[Item],Table1[[#This Row],[item_name]],Table2[Quantity])+Table1[[#This Row],[qtyat12th]])- SUMIF(Sales!$C$1887:C2590,Table1[[#This Row],[item_name]],Sales!$D$1887:D2590)- SUMIF(Table7[item/loan],Table1[[#This Row],[item_name]],Table7[qty_if_item])</f>
        <v>4</v>
      </c>
      <c r="D88">
        <v>145</v>
      </c>
      <c r="E88">
        <v>200</v>
      </c>
      <c r="F88" t="str">
        <f>VLOOKUP(A88,Inventory!A:H,5,FALSE)</f>
        <v>Detergents</v>
      </c>
      <c r="G88" s="1"/>
      <c r="H88">
        <f t="shared" si="1"/>
        <v>87</v>
      </c>
    </row>
    <row r="89" spans="1:8" x14ac:dyDescent="0.25">
      <c r="A89" t="s">
        <v>301</v>
      </c>
      <c r="B89">
        <v>12</v>
      </c>
      <c r="C89">
        <f>(SUMIF(Table2[Item],Table1[[#This Row],[item_name]],Table2[Quantity])+Table1[[#This Row],[qtyat12th]])- SUMIF(Sales!$C$1887:C2591,Table1[[#This Row],[item_name]],Sales!$D$1887:D2591)- SUMIF(Table7[item/loan],Table1[[#This Row],[item_name]],Table7[qty_if_item])</f>
        <v>24</v>
      </c>
      <c r="D89">
        <f>208/12</f>
        <v>17.333333333333332</v>
      </c>
      <c r="E89">
        <v>20</v>
      </c>
      <c r="F89" t="s">
        <v>124</v>
      </c>
      <c r="G89" s="1"/>
      <c r="H89">
        <f t="shared" si="1"/>
        <v>88</v>
      </c>
    </row>
    <row r="90" spans="1:8" x14ac:dyDescent="0.25">
      <c r="A90" t="s">
        <v>135</v>
      </c>
      <c r="B90">
        <v>33</v>
      </c>
      <c r="C90">
        <f>(SUMIF(Table2[Item],Table1[[#This Row],[item_name]],Table2[Quantity])+Table1[[#This Row],[qtyat12th]])- SUMIF(Sales!$C$1887:C2592,Table1[[#This Row],[item_name]],Sales!$D$1887:D2592)- SUMIF(Table7[item/loan],Table1[[#This Row],[item_name]],Table7[qty_if_item])</f>
        <v>300</v>
      </c>
      <c r="D90">
        <f>VLOOKUP(A90,Inventory!A:H,3,FALSE)</f>
        <v>8</v>
      </c>
      <c r="E90">
        <f>VLOOKUP(A90,Inventory!A:H,4,FALSE)</f>
        <v>10</v>
      </c>
      <c r="F90" t="str">
        <f>VLOOKUP(A90,Inventory!A:H,5,FALSE)</f>
        <v>Farm Produce</v>
      </c>
      <c r="G90" s="1"/>
      <c r="H90">
        <f t="shared" si="1"/>
        <v>89</v>
      </c>
    </row>
    <row r="91" spans="1:8" x14ac:dyDescent="0.25">
      <c r="A91" t="s">
        <v>137</v>
      </c>
      <c r="B91">
        <v>19</v>
      </c>
      <c r="C91">
        <f>(SUMIF(Table2[Item],Table1[[#This Row],[item_name]],Table2[Quantity])+Table1[[#This Row],[qtyat12th]])- SUMIF(Sales!$C$1887:C2593,Table1[[#This Row],[item_name]],Sales!$D$1887:D2593)- SUMIF(Table7[item/loan],Table1[[#This Row],[item_name]],Table7[qty_if_item])</f>
        <v>385</v>
      </c>
      <c r="D91">
        <f>VLOOKUP(A91,Inventory!A:H,3,FALSE)</f>
        <v>5</v>
      </c>
      <c r="E91">
        <f>VLOOKUP(A91,Inventory!A:H,4,FALSE)</f>
        <v>10</v>
      </c>
      <c r="F91" t="str">
        <f>VLOOKUP(A91,Inventory!A:H,5,FALSE)</f>
        <v>Farm Produce</v>
      </c>
      <c r="G91" s="1"/>
      <c r="H91">
        <f t="shared" si="1"/>
        <v>90</v>
      </c>
    </row>
    <row r="92" spans="1:8" x14ac:dyDescent="0.25">
      <c r="A92" t="s">
        <v>142</v>
      </c>
      <c r="B92">
        <v>15</v>
      </c>
      <c r="C92">
        <f>(SUMIF(Table2[Item],Table1[[#This Row],[item_name]],Table2[Quantity])+Table1[[#This Row],[qtyat12th]])- SUMIF(Sales!$C$1887:C2594,Table1[[#This Row],[item_name]],Sales!$D$1887:D2594)- SUMIF(Table7[item/loan],Table1[[#This Row],[item_name]],Table7[qty_if_item])</f>
        <v>193</v>
      </c>
      <c r="D92">
        <f>VLOOKUP(A92,Inventory!A:H,3,FALSE)</f>
        <v>8.3333333333333339</v>
      </c>
      <c r="E92">
        <f>VLOOKUP(A92,Inventory!A:H,4,FALSE)</f>
        <v>10</v>
      </c>
      <c r="F92" t="str">
        <f>VLOOKUP(A92,Inventory!A:H,5,FALSE)</f>
        <v>Farm Produce</v>
      </c>
      <c r="G92" s="1"/>
      <c r="H92">
        <f t="shared" si="1"/>
        <v>91</v>
      </c>
    </row>
    <row r="93" spans="1:8" x14ac:dyDescent="0.25">
      <c r="A93" t="s">
        <v>146</v>
      </c>
      <c r="B93">
        <v>10</v>
      </c>
      <c r="C93">
        <f>(SUMIF(Table2[Item],Table1[[#This Row],[item_name]],Table2[Quantity])+Table1[[#This Row],[qtyat12th]])- SUMIF(Sales!$C$1887:C2595,Table1[[#This Row],[item_name]],Sales!$D$1887:D2595)- SUMIF(Table7[item/loan],Table1[[#This Row],[item_name]],Table7[qty_if_item])</f>
        <v>10</v>
      </c>
      <c r="D93">
        <f>VLOOKUP(A93,Inventory!A:H,3,FALSE)</f>
        <v>3.3333333333333335</v>
      </c>
      <c r="E93">
        <f>VLOOKUP(A93,Inventory!A:H,4,FALSE)</f>
        <v>5</v>
      </c>
      <c r="F93" t="str">
        <f>VLOOKUP(A93,Inventory!A:H,5,FALSE)</f>
        <v>Farm Produce</v>
      </c>
      <c r="G93" s="1"/>
      <c r="H93">
        <f t="shared" si="1"/>
        <v>92</v>
      </c>
    </row>
    <row r="94" spans="1:8" x14ac:dyDescent="0.25">
      <c r="A94" t="s">
        <v>174</v>
      </c>
      <c r="B94">
        <v>0</v>
      </c>
      <c r="C94">
        <f>(SUMIF(Table2[Item],Table1[[#This Row],[item_name]],Table2[Quantity])+Table1[[#This Row],[qtyat12th]])- SUMIF(Sales!$C$1887:C2596,Table1[[#This Row],[item_name]],Sales!$D$1887:D2596)- SUMIF(Table7[item/loan],Table1[[#This Row],[item_name]],Table7[qty_if_item])</f>
        <v>0</v>
      </c>
      <c r="D94">
        <f>VLOOKUP(A94,Inventory!A:H,3,FALSE)</f>
        <v>120</v>
      </c>
      <c r="E94">
        <f>VLOOKUP(A94,Inventory!A:H,4,FALSE)</f>
        <v>180</v>
      </c>
      <c r="F94" t="str">
        <f>VLOOKUP(A94,Inventory!A:H,5,FALSE)</f>
        <v>Farm Produce</v>
      </c>
      <c r="G94" s="1"/>
      <c r="H94">
        <f t="shared" si="1"/>
        <v>93</v>
      </c>
    </row>
    <row r="95" spans="1:8" x14ac:dyDescent="0.25">
      <c r="A95" t="s">
        <v>180</v>
      </c>
      <c r="B95">
        <v>0</v>
      </c>
      <c r="C95">
        <f>(SUMIF(Table2[Item],Table1[[#This Row],[item_name]],Table2[Quantity])+Table1[[#This Row],[qtyat12th]])- SUMIF(Sales!$C$1887:C2597,Table1[[#This Row],[item_name]],Sales!$D$1887:D2597)- SUMIF(Table7[item/loan],Table1[[#This Row],[item_name]],Table7[qty_if_item])</f>
        <v>8</v>
      </c>
      <c r="D95">
        <f>VLOOKUP(A95,Inventory!A:H,3,FALSE)</f>
        <v>29.999999999999996</v>
      </c>
      <c r="E95">
        <f>VLOOKUP(A95,Inventory!A:H,4,FALSE)</f>
        <v>50</v>
      </c>
      <c r="F95" t="str">
        <f>VLOOKUP(A95,Inventory!A:H,5,FALSE)</f>
        <v>Farm Produce</v>
      </c>
      <c r="G95" s="1"/>
      <c r="H95">
        <f t="shared" si="1"/>
        <v>94</v>
      </c>
    </row>
    <row r="96" spans="1:8" x14ac:dyDescent="0.25">
      <c r="A96" t="s">
        <v>187</v>
      </c>
      <c r="B96">
        <v>3</v>
      </c>
      <c r="C96">
        <f>(SUMIF(Table2[Item],Table1[[#This Row],[item_name]],Table2[Quantity])+Table1[[#This Row],[qtyat12th]])- SUMIF(Sales!$C$1887:C2598,Table1[[#This Row],[item_name]],Sales!$D$1887:D2598)- SUMIF(Table7[item/loan],Table1[[#This Row],[item_name]],Table7[qty_if_item])</f>
        <v>2</v>
      </c>
      <c r="D96">
        <f>VLOOKUP(A96,Inventory!A:H,3,FALSE)</f>
        <v>8.3333333333333339</v>
      </c>
      <c r="E96">
        <f>VLOOKUP(A96,Inventory!A:H,4,FALSE)</f>
        <v>20</v>
      </c>
      <c r="F96" t="str">
        <f>VLOOKUP(A96,Inventory!A:H,5,FALSE)</f>
        <v>Farm Produce</v>
      </c>
      <c r="G96" s="1"/>
      <c r="H96">
        <f t="shared" si="1"/>
        <v>95</v>
      </c>
    </row>
    <row r="97" spans="1:8" x14ac:dyDescent="0.25">
      <c r="A97" t="s">
        <v>194</v>
      </c>
      <c r="B97">
        <v>0</v>
      </c>
      <c r="C97">
        <f>(SUMIF(Table2[Item],Table1[[#This Row],[item_name]],Table2[Quantity])+Table1[[#This Row],[qtyat12th]])- SUMIF(Sales!$C$1887:C2599,Table1[[#This Row],[item_name]],Sales!$D$1887:D2599)- SUMIF(Table7[item/loan],Table1[[#This Row],[item_name]],Table7[qty_if_item])</f>
        <v>6</v>
      </c>
      <c r="D97">
        <f>VLOOKUP(A97,Inventory!A:H,3,FALSE)</f>
        <v>20</v>
      </c>
      <c r="E97">
        <f>VLOOKUP(A97,Inventory!A:H,4,FALSE)</f>
        <v>30</v>
      </c>
      <c r="F97" t="str">
        <f>VLOOKUP(A97,Inventory!A:H,5,FALSE)</f>
        <v>Farm Produce</v>
      </c>
      <c r="G97" s="1"/>
      <c r="H97">
        <f t="shared" si="1"/>
        <v>96</v>
      </c>
    </row>
    <row r="98" spans="1:8" x14ac:dyDescent="0.25">
      <c r="A98" t="s">
        <v>198</v>
      </c>
      <c r="B98">
        <v>6</v>
      </c>
      <c r="C98">
        <f>(SUMIF(Table2[Item],Table1[[#This Row],[item_name]],Table2[Quantity])+Table1[[#This Row],[qtyat12th]])- SUMIF(Sales!$C$1887:C2600,Table1[[#This Row],[item_name]],Sales!$D$1887:D2600)- SUMIF(Table7[item/loan],Table1[[#This Row],[item_name]],Table7[qty_if_item])</f>
        <v>10</v>
      </c>
      <c r="D98">
        <f>VLOOKUP(A98,Inventory!A:H,3,FALSE)</f>
        <v>10</v>
      </c>
      <c r="E98">
        <f>VLOOKUP(A98,Inventory!A:H,4,FALSE)</f>
        <v>20</v>
      </c>
      <c r="F98" t="str">
        <f>VLOOKUP(A98,Inventory!A:H,5,FALSE)</f>
        <v>Farm Produce</v>
      </c>
      <c r="G98" s="1"/>
      <c r="H98">
        <f t="shared" si="1"/>
        <v>97</v>
      </c>
    </row>
    <row r="99" spans="1:8" x14ac:dyDescent="0.25">
      <c r="A99" t="s">
        <v>217</v>
      </c>
      <c r="B99">
        <v>0</v>
      </c>
      <c r="C99">
        <f>(SUMIF(Table2[Item],Table1[[#This Row],[item_name]],Table2[Quantity])+Table1[[#This Row],[qtyat12th]])- SUMIF(Sales!$C$1887:C2601,Table1[[#This Row],[item_name]],Sales!$D$1887:D2601)- SUMIF(Table7[item/loan],Table1[[#This Row],[item_name]],Table7[qty_if_item])</f>
        <v>0</v>
      </c>
      <c r="D99">
        <f>VLOOKUP(A99,Inventory!A:H,3,FALSE)</f>
        <v>10</v>
      </c>
      <c r="E99">
        <f>VLOOKUP(A99,Inventory!A:H,4,FALSE)</f>
        <v>20</v>
      </c>
      <c r="F99" t="s">
        <v>136</v>
      </c>
      <c r="G99" s="1"/>
      <c r="H99">
        <f t="shared" si="1"/>
        <v>98</v>
      </c>
    </row>
    <row r="100" spans="1:8" x14ac:dyDescent="0.25">
      <c r="A100" t="s">
        <v>218</v>
      </c>
      <c r="B100">
        <v>0</v>
      </c>
      <c r="C100">
        <f>(SUMIF(Table2[Item],Table1[[#This Row],[item_name]],Table2[Quantity])+Table1[[#This Row],[qtyat12th]])- SUMIF(Sales!$C$1887:C2602,Table1[[#This Row],[item_name]],Sales!$D$1887:D2602)- SUMIF(Table7[item/loan],Table1[[#This Row],[item_name]],Table7[qty_if_item])</f>
        <v>0</v>
      </c>
      <c r="D100">
        <f>VLOOKUP(A100,Inventory!A:H,3,FALSE)</f>
        <v>10</v>
      </c>
      <c r="E100">
        <f>VLOOKUP(A100,Inventory!A:H,4,FALSE)</f>
        <v>20</v>
      </c>
      <c r="F100" t="s">
        <v>136</v>
      </c>
      <c r="G100" s="1"/>
      <c r="H100">
        <f t="shared" si="1"/>
        <v>99</v>
      </c>
    </row>
    <row r="101" spans="1:8" x14ac:dyDescent="0.25">
      <c r="A101" t="s">
        <v>209</v>
      </c>
      <c r="B101">
        <v>3</v>
      </c>
      <c r="C101">
        <f>(SUMIF(Table2[Item],Table1[[#This Row],[item_name]],Table2[Quantity])+Table1[[#This Row],[qtyat12th]])- SUMIF(Sales!$C$1887:C2603,Table1[[#This Row],[item_name]],Sales!$D$1887:D2603)- SUMIF(Table7[item/loan],Table1[[#This Row],[item_name]],Table7[qty_if_item])</f>
        <v>3</v>
      </c>
      <c r="D101">
        <f>VLOOKUP(A101,Inventory!A:H,3,FALSE)</f>
        <v>190</v>
      </c>
      <c r="E101">
        <f>VLOOKUP(A101,Inventory!A:H,4,FALSE)</f>
        <v>300</v>
      </c>
      <c r="F101" t="s">
        <v>302</v>
      </c>
      <c r="G101" s="1"/>
      <c r="H101">
        <f t="shared" si="1"/>
        <v>100</v>
      </c>
    </row>
    <row r="102" spans="1:8" x14ac:dyDescent="0.25">
      <c r="A102" t="s">
        <v>303</v>
      </c>
      <c r="B102">
        <v>1</v>
      </c>
      <c r="C102">
        <f>(SUMIF(Table2[Item],Table1[[#This Row],[item_name]],Table2[Quantity])+Table1[[#This Row],[qtyat12th]])- SUMIF(Sales!$C$1887:C2604,Table1[[#This Row],[item_name]],Sales!$D$1887:D2604)- SUMIF(Table7[item/loan],Table1[[#This Row],[item_name]],Table7[qty_if_item])</f>
        <v>1</v>
      </c>
      <c r="D102">
        <v>400</v>
      </c>
      <c r="E102">
        <v>1000</v>
      </c>
      <c r="F102" t="s">
        <v>302</v>
      </c>
      <c r="G102" s="1"/>
      <c r="H102">
        <f t="shared" si="1"/>
        <v>101</v>
      </c>
    </row>
    <row r="103" spans="1:8" x14ac:dyDescent="0.25">
      <c r="A103" t="s">
        <v>304</v>
      </c>
      <c r="B103">
        <v>3</v>
      </c>
      <c r="C103">
        <f>(SUMIF(Table2[Item],Table1[[#This Row],[item_name]],Table2[Quantity])+Table1[[#This Row],[qtyat12th]])- SUMIF(Sales!$C$1887:C2605,Table1[[#This Row],[item_name]],Sales!$D$1887:D2605)- SUMIF(Table7[item/loan],Table1[[#This Row],[item_name]],Table7[qty_if_item])</f>
        <v>3</v>
      </c>
      <c r="D103">
        <v>300</v>
      </c>
      <c r="E103">
        <v>800</v>
      </c>
      <c r="F103" t="s">
        <v>302</v>
      </c>
      <c r="G103" s="1"/>
      <c r="H103">
        <f t="shared" si="1"/>
        <v>102</v>
      </c>
    </row>
    <row r="104" spans="1:8" x14ac:dyDescent="0.25">
      <c r="A104" t="s">
        <v>305</v>
      </c>
      <c r="B104">
        <v>1</v>
      </c>
      <c r="C104">
        <f>(SUMIF(Table2[Item],Table1[[#This Row],[item_name]],Table2[Quantity])+Table1[[#This Row],[qtyat12th]])- SUMIF(Sales!$C$1887:C2606,Table1[[#This Row],[item_name]],Sales!$D$1887:D2606)- SUMIF(Table7[item/loan],Table1[[#This Row],[item_name]],Table7[qty_if_item])</f>
        <v>1</v>
      </c>
      <c r="D104">
        <v>170</v>
      </c>
      <c r="E104">
        <v>350</v>
      </c>
      <c r="F104" t="s">
        <v>302</v>
      </c>
      <c r="G104" s="1"/>
      <c r="H104">
        <f t="shared" si="1"/>
        <v>103</v>
      </c>
    </row>
    <row r="105" spans="1:8" x14ac:dyDescent="0.25">
      <c r="A105" t="s">
        <v>306</v>
      </c>
      <c r="B105">
        <v>1</v>
      </c>
      <c r="C105">
        <f>(SUMIF(Table2[Item],Table1[[#This Row],[item_name]],Table2[Quantity])+Table1[[#This Row],[qtyat12th]])- SUMIF(Sales!$C$1887:C2607,Table1[[#This Row],[item_name]],Sales!$D$1887:D2607)- SUMIF(Table7[item/loan],Table1[[#This Row],[item_name]],Table7[qty_if_item])</f>
        <v>1</v>
      </c>
      <c r="D105">
        <v>250</v>
      </c>
      <c r="E105">
        <v>500</v>
      </c>
      <c r="F105" t="s">
        <v>302</v>
      </c>
      <c r="G105" s="1"/>
      <c r="H105">
        <f t="shared" si="1"/>
        <v>104</v>
      </c>
    </row>
    <row r="106" spans="1:8" x14ac:dyDescent="0.25">
      <c r="A106" t="s">
        <v>307</v>
      </c>
      <c r="B106">
        <v>29</v>
      </c>
      <c r="C106">
        <f>(SUMIF(Table2[Item],Table1[[#This Row],[item_name]],Table2[Quantity])+Table1[[#This Row],[qtyat12th]])- SUMIF(Sales!$C$1887:C2608,Table1[[#This Row],[item_name]],Sales!$D$1887:D2608)- SUMIF(Table7[item/loan],Table1[[#This Row],[item_name]],Table7[qty_if_item])</f>
        <v>27</v>
      </c>
      <c r="D106">
        <f>157/30</f>
        <v>5.2333333333333334</v>
      </c>
      <c r="E106">
        <v>10</v>
      </c>
      <c r="F106" t="s">
        <v>170</v>
      </c>
      <c r="G106" s="1"/>
      <c r="H106">
        <f t="shared" si="1"/>
        <v>105</v>
      </c>
    </row>
    <row r="107" spans="1:8" x14ac:dyDescent="0.25">
      <c r="A107" t="s">
        <v>188</v>
      </c>
      <c r="B107">
        <v>134</v>
      </c>
      <c r="C107">
        <f>(SUMIF(Table2[Item],Table1[[#This Row],[item_name]],Table2[Quantity])+Table1[[#This Row],[qtyat12th]])- SUMIF(Sales!$C$1887:C2609,Table1[[#This Row],[item_name]],Sales!$D$1887:D2609)- SUMIF(Table7[item/loan],Table1[[#This Row],[item_name]],Table7[qty_if_item])</f>
        <v>127</v>
      </c>
      <c r="D107">
        <f>VLOOKUP(A107,Inventory!A:H,3,FALSE)</f>
        <v>2.3611111111111112</v>
      </c>
      <c r="E107">
        <f>VLOOKUP(A107,Inventory!A:H,4,FALSE)</f>
        <v>5</v>
      </c>
      <c r="F107" t="s">
        <v>170</v>
      </c>
      <c r="G107" s="1"/>
      <c r="H107">
        <f t="shared" si="1"/>
        <v>106</v>
      </c>
    </row>
    <row r="108" spans="1:8" x14ac:dyDescent="0.25">
      <c r="A108" t="s">
        <v>201</v>
      </c>
      <c r="B108">
        <v>4</v>
      </c>
      <c r="C108">
        <f>(SUMIF(Table2[Item],Table1[[#This Row],[item_name]],Table2[Quantity])+Table1[[#This Row],[qtyat12th]])- SUMIF(Sales!$C$1887:C2610,Table1[[#This Row],[item_name]],Sales!$D$1887:D2610)- SUMIF(Table7[item/loan],Table1[[#This Row],[item_name]],Table7[qty_if_item])</f>
        <v>4</v>
      </c>
      <c r="D108">
        <f>VLOOKUP(A108,Inventory!A:H,3,FALSE)</f>
        <v>15</v>
      </c>
      <c r="E108">
        <f>VLOOKUP(A108,Inventory!A:H,4,FALSE)</f>
        <v>20</v>
      </c>
      <c r="F108" t="s">
        <v>170</v>
      </c>
      <c r="G108" s="1"/>
      <c r="H108">
        <f t="shared" si="1"/>
        <v>107</v>
      </c>
    </row>
    <row r="109" spans="1:8" x14ac:dyDescent="0.25">
      <c r="A109" t="s">
        <v>208</v>
      </c>
      <c r="B109">
        <v>32</v>
      </c>
      <c r="C109">
        <f>(SUMIF(Table2[Item],Table1[[#This Row],[item_name]],Table2[Quantity])+Table1[[#This Row],[qtyat12th]])- SUMIF(Sales!$C$1887:C2611,Table1[[#This Row],[item_name]],Sales!$D$1887:D2611)- SUMIF(Table7[item/loan],Table1[[#This Row],[item_name]],Table7[qty_if_item])</f>
        <v>32</v>
      </c>
      <c r="D109">
        <f>VLOOKUP(A109,Inventory!A:H,3,FALSE)</f>
        <v>15</v>
      </c>
      <c r="E109">
        <f>VLOOKUP(A109,Inventory!A:H,4,FALSE)</f>
        <v>30</v>
      </c>
      <c r="F109" t="s">
        <v>170</v>
      </c>
      <c r="G109" s="1"/>
      <c r="H109">
        <f t="shared" si="1"/>
        <v>108</v>
      </c>
    </row>
    <row r="110" spans="1:8" x14ac:dyDescent="0.25">
      <c r="A110" t="s">
        <v>308</v>
      </c>
      <c r="B110">
        <v>5</v>
      </c>
      <c r="C110">
        <f>(SUMIF(Table2[Item],Table1[[#This Row],[item_name]],Table2[Quantity])+Table1[[#This Row],[qtyat12th]])- SUMIF(Sales!$C$1887:C2612,Table1[[#This Row],[item_name]],Sales!$D$1887:D2612)- SUMIF(Table7[item/loan],Table1[[#This Row],[item_name]],Table7[qty_if_item])</f>
        <v>5</v>
      </c>
      <c r="D110">
        <f>210/12</f>
        <v>17.5</v>
      </c>
      <c r="E110">
        <v>30</v>
      </c>
      <c r="F110" t="s">
        <v>170</v>
      </c>
      <c r="G110" s="1"/>
      <c r="H110">
        <f t="shared" si="1"/>
        <v>109</v>
      </c>
    </row>
    <row r="111" spans="1:8" x14ac:dyDescent="0.25">
      <c r="A111" t="s">
        <v>309</v>
      </c>
      <c r="B111">
        <v>11</v>
      </c>
      <c r="C111">
        <f>(SUMIF(Table2[Item],Table1[[#This Row],[item_name]],Table2[Quantity])+Table1[[#This Row],[qtyat12th]])- SUMIF(Sales!$C$1887:C2613,Table1[[#This Row],[item_name]],Sales!$D$1887:D2613)- SUMIF(Table7[item/loan],Table1[[#This Row],[item_name]],Table7[qty_if_item])</f>
        <v>11</v>
      </c>
      <c r="D111">
        <f>180/24</f>
        <v>7.5</v>
      </c>
      <c r="E111">
        <v>10</v>
      </c>
      <c r="F111" t="s">
        <v>170</v>
      </c>
      <c r="G111" s="1"/>
      <c r="H111">
        <f t="shared" si="1"/>
        <v>110</v>
      </c>
    </row>
    <row r="112" spans="1:8" x14ac:dyDescent="0.25">
      <c r="A112" t="s">
        <v>310</v>
      </c>
      <c r="B112">
        <v>13</v>
      </c>
      <c r="C112">
        <f>(SUMIF(Table2[Item],Table1[[#This Row],[item_name]],Table2[Quantity])+Table1[[#This Row],[qtyat12th]])- SUMIF(Sales!$C$1887:C2614,Table1[[#This Row],[item_name]],Sales!$D$1887:D2614)- SUMIF(Table7[item/loan],Table1[[#This Row],[item_name]],Table7[qty_if_item])</f>
        <v>13</v>
      </c>
      <c r="D112">
        <v>17</v>
      </c>
      <c r="E112">
        <v>30</v>
      </c>
      <c r="F112" t="s">
        <v>170</v>
      </c>
      <c r="G112" s="1"/>
      <c r="H112">
        <f t="shared" si="1"/>
        <v>111</v>
      </c>
    </row>
    <row r="113" spans="1:8" x14ac:dyDescent="0.25">
      <c r="A113" t="s">
        <v>311</v>
      </c>
      <c r="B113">
        <v>3</v>
      </c>
      <c r="C113">
        <f>(SUMIF(Table2[Item],Table1[[#This Row],[item_name]],Table2[Quantity])+Table1[[#This Row],[qtyat12th]])- SUMIF(Sales!$C$1887:C2615,Table1[[#This Row],[item_name]],Sales!$D$1887:D2615)- SUMIF(Table7[item/loan],Table1[[#This Row],[item_name]],Table7[qty_if_item])</f>
        <v>2</v>
      </c>
      <c r="D113">
        <v>38</v>
      </c>
      <c r="E113">
        <v>50</v>
      </c>
      <c r="F113" t="s">
        <v>170</v>
      </c>
      <c r="G113" s="1"/>
      <c r="H113">
        <f t="shared" si="1"/>
        <v>112</v>
      </c>
    </row>
    <row r="114" spans="1:8" x14ac:dyDescent="0.25">
      <c r="A114" t="s">
        <v>312</v>
      </c>
      <c r="B114">
        <v>12</v>
      </c>
      <c r="C114">
        <f>(SUMIF(Table2[Item],Table1[[#This Row],[item_name]],Table2[Quantity])+Table1[[#This Row],[qtyat12th]])- SUMIF(Sales!$C$1887:C2616,Table1[[#This Row],[item_name]],Sales!$D$1887:D2616)- SUMIF(Table7[item/loan],Table1[[#This Row],[item_name]],Table7[qty_if_item])</f>
        <v>12</v>
      </c>
      <c r="D114">
        <v>6</v>
      </c>
      <c r="E114">
        <v>10</v>
      </c>
      <c r="F114" t="s">
        <v>170</v>
      </c>
      <c r="G114" s="1"/>
      <c r="H114">
        <f t="shared" si="1"/>
        <v>113</v>
      </c>
    </row>
    <row r="115" spans="1:8" x14ac:dyDescent="0.25">
      <c r="A115" t="s">
        <v>171</v>
      </c>
      <c r="B115">
        <v>9</v>
      </c>
      <c r="C115">
        <f>(SUMIF(Table2[Item],Table1[[#This Row],[item_name]],Table2[Quantity])+Table1[[#This Row],[qtyat12th]])- SUMIF(Sales!$C$1887:C2617,Table1[[#This Row],[item_name]],Sales!$D$1887:D2617)- SUMIF(Table7[item/loan],Table1[[#This Row],[item_name]],Table7[qty_if_item])</f>
        <v>9</v>
      </c>
      <c r="D115">
        <f>VLOOKUP(A115,Inventory!A:H,3,FALSE)</f>
        <v>37.5</v>
      </c>
      <c r="E115">
        <f>VLOOKUP(A115,Inventory!A:H,4,FALSE)</f>
        <v>50</v>
      </c>
      <c r="F115" t="str">
        <f>VLOOKUP(A115,Inventory!A:H,5,FALSE)</f>
        <v>Laundry Needs</v>
      </c>
      <c r="G115" s="1"/>
      <c r="H115">
        <f t="shared" si="1"/>
        <v>114</v>
      </c>
    </row>
    <row r="116" spans="1:8" x14ac:dyDescent="0.25">
      <c r="A116" t="s">
        <v>223</v>
      </c>
      <c r="B116">
        <v>2</v>
      </c>
      <c r="C116">
        <f>(SUMIF(Table2[Item],Table1[[#This Row],[item_name]],Table2[Quantity])+Table1[[#This Row],[qtyat12th]])- SUMIF(Sales!$C$1887:C2618,Table1[[#This Row],[item_name]],Sales!$D$1887:D2618)- SUMIF(Table7[item/loan],Table1[[#This Row],[item_name]],Table7[qty_if_item])</f>
        <v>1</v>
      </c>
      <c r="D116">
        <f>VLOOKUP(A116,Inventory!A:H,3,FALSE)</f>
        <v>40</v>
      </c>
      <c r="E116">
        <f>VLOOKUP(A116,Inventory!A:H,4,FALSE)</f>
        <v>50</v>
      </c>
      <c r="F116" t="str">
        <f>VLOOKUP(A116,Inventory!A:H,5,FALSE)</f>
        <v>Laundry Needs</v>
      </c>
      <c r="G116" s="1"/>
      <c r="H116">
        <f t="shared" si="1"/>
        <v>115</v>
      </c>
    </row>
    <row r="117" spans="1:8" x14ac:dyDescent="0.25">
      <c r="A117" t="s">
        <v>313</v>
      </c>
      <c r="B117">
        <v>14</v>
      </c>
      <c r="C117">
        <f>(SUMIF(Table2[Item],Table1[[#This Row],[item_name]],Table2[Quantity])+Table1[[#This Row],[qtyat12th]])- SUMIF(Sales!$C$1887:C2619,Table1[[#This Row],[item_name]],Sales!$D$1887:D2619)- SUMIF(Table7[item/loan],Table1[[#This Row],[item_name]],Table7[qty_if_item])</f>
        <v>14</v>
      </c>
      <c r="D117">
        <v>15</v>
      </c>
      <c r="E117">
        <v>25</v>
      </c>
      <c r="F117" t="s">
        <v>172</v>
      </c>
      <c r="G117" s="1"/>
      <c r="H117">
        <f t="shared" si="1"/>
        <v>116</v>
      </c>
    </row>
    <row r="118" spans="1:8" x14ac:dyDescent="0.25">
      <c r="A118" t="s">
        <v>314</v>
      </c>
      <c r="B118">
        <v>8</v>
      </c>
      <c r="C118">
        <f>(SUMIF(Table2[Item],Table1[[#This Row],[item_name]],Table2[Quantity])+Table1[[#This Row],[qtyat12th]])- SUMIF(Sales!$C$1887:C2620,Table1[[#This Row],[item_name]],Sales!$D$1887:D2620)- SUMIF(Table7[item/loan],Table1[[#This Row],[item_name]],Table7[qty_if_item])</f>
        <v>8</v>
      </c>
      <c r="D118">
        <v>18</v>
      </c>
      <c r="E118">
        <v>30</v>
      </c>
      <c r="F118" t="s">
        <v>172</v>
      </c>
      <c r="G118" s="1"/>
      <c r="H118">
        <f t="shared" si="1"/>
        <v>117</v>
      </c>
    </row>
    <row r="119" spans="1:8" x14ac:dyDescent="0.25">
      <c r="A119" t="s">
        <v>315</v>
      </c>
      <c r="B119">
        <v>30</v>
      </c>
      <c r="C119">
        <f>(SUMIF(Table2[Item],Table1[[#This Row],[item_name]],Table2[Quantity])+Table1[[#This Row],[qtyat12th]])- SUMIF(Sales!$C$1887:C2621,Table1[[#This Row],[item_name]],Sales!$D$1887:D2621)- SUMIF(Table7[item/loan],Table1[[#This Row],[item_name]],Table7[qty_if_item])</f>
        <v>30</v>
      </c>
      <c r="D119">
        <v>3</v>
      </c>
      <c r="E119">
        <v>5</v>
      </c>
      <c r="F119" t="s">
        <v>172</v>
      </c>
      <c r="G119" s="1"/>
      <c r="H119">
        <f t="shared" si="1"/>
        <v>118</v>
      </c>
    </row>
    <row r="120" spans="1:8" x14ac:dyDescent="0.25">
      <c r="A120" t="s">
        <v>133</v>
      </c>
      <c r="B120">
        <v>30</v>
      </c>
      <c r="C120">
        <f>(SUMIF(Table2[Item],Table1[[#This Row],[item_name]],Table2[Quantity])+Table1[[#This Row],[qtyat12th]])- SUMIF(Sales!$C$1887:C2622,Table1[[#This Row],[item_name]],Sales!$D$1887:D2622)- SUMIF(Table7[item/loan],Table1[[#This Row],[item_name]],Table7[qty_if_item])</f>
        <v>173</v>
      </c>
      <c r="D120">
        <f>VLOOKUP(A120,Inventory!A:H,3,FALSE)</f>
        <v>7</v>
      </c>
      <c r="E120">
        <f>VLOOKUP(A120,Inventory!A:H,4,FALSE)</f>
        <v>10</v>
      </c>
      <c r="F120" t="str">
        <f>VLOOKUP(A120,Inventory!A:H,5,FALSE)</f>
        <v>Medicine</v>
      </c>
      <c r="G120" s="1"/>
      <c r="H120">
        <f t="shared" si="1"/>
        <v>119</v>
      </c>
    </row>
    <row r="121" spans="1:8" x14ac:dyDescent="0.25">
      <c r="A121" t="s">
        <v>139</v>
      </c>
      <c r="B121">
        <v>11</v>
      </c>
      <c r="C121">
        <f>(SUMIF(Table2[Item],Table1[[#This Row],[item_name]],Table2[Quantity])+Table1[[#This Row],[qtyat12th]])- SUMIF(Sales!$C$1887:C2623,Table1[[#This Row],[item_name]],Sales!$D$1887:D2623)- SUMIF(Table7[item/loan],Table1[[#This Row],[item_name]],Table7[qty_if_item])</f>
        <v>59</v>
      </c>
      <c r="D121">
        <f>VLOOKUP(A121,Inventory!A:H,3,FALSE)</f>
        <v>13</v>
      </c>
      <c r="E121">
        <f>VLOOKUP(A121,Inventory!A:H,4,FALSE)</f>
        <v>20</v>
      </c>
      <c r="F121" t="str">
        <f>VLOOKUP(A121,Inventory!A:H,5,FALSE)</f>
        <v>Medicine</v>
      </c>
      <c r="G121" s="1"/>
      <c r="H121">
        <f t="shared" si="1"/>
        <v>120</v>
      </c>
    </row>
    <row r="122" spans="1:8" x14ac:dyDescent="0.25">
      <c r="A122" t="s">
        <v>176</v>
      </c>
      <c r="B122">
        <v>72</v>
      </c>
      <c r="C122">
        <f>(SUMIF(Table2[Item],Table1[[#This Row],[item_name]],Table2[Quantity])+Table1[[#This Row],[qtyat12th]])- SUMIF(Sales!$C$1887:C2624,Table1[[#This Row],[item_name]],Sales!$D$1887:D2624)- SUMIF(Table7[item/loan],Table1[[#This Row],[item_name]],Table7[qty_if_item])</f>
        <v>72</v>
      </c>
      <c r="D122">
        <f>VLOOKUP(A122,Inventory!A:H,3,FALSE)</f>
        <v>7</v>
      </c>
      <c r="E122">
        <f>VLOOKUP(A122,Inventory!A:H,4,FALSE)</f>
        <v>10</v>
      </c>
      <c r="F122" t="str">
        <f>VLOOKUP(A122,Inventory!A:H,5,FALSE)</f>
        <v>Medicine</v>
      </c>
      <c r="G122" s="1"/>
      <c r="H122">
        <f t="shared" si="1"/>
        <v>121</v>
      </c>
    </row>
    <row r="123" spans="1:8" x14ac:dyDescent="0.25">
      <c r="A123" t="s">
        <v>177</v>
      </c>
      <c r="B123">
        <v>16</v>
      </c>
      <c r="C123">
        <f>(SUMIF(Table2[Item],Table1[[#This Row],[item_name]],Table2[Quantity])+Table1[[#This Row],[qtyat12th]])- SUMIF(Sales!$C$1887:C2625,Table1[[#This Row],[item_name]],Sales!$D$1887:D2625)- SUMIF(Table7[item/loan],Table1[[#This Row],[item_name]],Table7[qty_if_item])</f>
        <v>16</v>
      </c>
      <c r="D123">
        <f>VLOOKUP(A123,Inventory!A:H,3,FALSE)</f>
        <v>23.333333333333332</v>
      </c>
      <c r="E123">
        <f>VLOOKUP(A123,Inventory!A:H,4,FALSE)</f>
        <v>30</v>
      </c>
      <c r="F123" t="str">
        <f>VLOOKUP(A123,Inventory!A:H,5,FALSE)</f>
        <v>Medicine</v>
      </c>
      <c r="G123" s="1"/>
      <c r="H123">
        <f t="shared" si="1"/>
        <v>122</v>
      </c>
    </row>
    <row r="124" spans="1:8" x14ac:dyDescent="0.25">
      <c r="A124" t="s">
        <v>206</v>
      </c>
      <c r="B124">
        <v>20</v>
      </c>
      <c r="C124">
        <f>(SUMIF(Table2[Item],Table1[[#This Row],[item_name]],Table2[Quantity])+Table1[[#This Row],[qtyat12th]])- SUMIF(Sales!$C$1887:C2626,Table1[[#This Row],[item_name]],Sales!$D$1887:D2626)- SUMIF(Table7[item/loan],Table1[[#This Row],[item_name]],Table7[qty_if_item])</f>
        <v>20</v>
      </c>
      <c r="D124">
        <f>VLOOKUP(A124,Inventory!A:H,3,FALSE)</f>
        <v>13</v>
      </c>
      <c r="E124">
        <f>VLOOKUP(A124,Inventory!A:H,4,FALSE)</f>
        <v>20</v>
      </c>
      <c r="F124" t="str">
        <f>VLOOKUP(A124,Inventory!A:H,5,FALSE)</f>
        <v>Medicine</v>
      </c>
      <c r="G124" s="1"/>
      <c r="H124">
        <f t="shared" si="1"/>
        <v>123</v>
      </c>
    </row>
    <row r="125" spans="1:8" x14ac:dyDescent="0.25">
      <c r="A125" t="s">
        <v>207</v>
      </c>
      <c r="B125">
        <v>52</v>
      </c>
      <c r="C125">
        <f>(SUMIF(Table2[Item],Table1[[#This Row],[item_name]],Table2[Quantity])+Table1[[#This Row],[qtyat12th]])- SUMIF(Sales!$C$1887:C2627,Table1[[#This Row],[item_name]],Sales!$D$1887:D2627)- SUMIF(Table7[item/loan],Table1[[#This Row],[item_name]],Table7[qty_if_item])</f>
        <v>52</v>
      </c>
      <c r="D125">
        <f>VLOOKUP(A125,Inventory!A:H,3,FALSE)</f>
        <v>7</v>
      </c>
      <c r="E125">
        <f>VLOOKUP(A125,Inventory!A:H,4,FALSE)</f>
        <v>10</v>
      </c>
      <c r="F125" t="str">
        <f>VLOOKUP(A125,Inventory!A:H,5,FALSE)</f>
        <v>Medicine</v>
      </c>
      <c r="G125" s="1"/>
      <c r="H125">
        <f t="shared" si="1"/>
        <v>124</v>
      </c>
    </row>
    <row r="126" spans="1:8" x14ac:dyDescent="0.25">
      <c r="A126" t="s">
        <v>213</v>
      </c>
      <c r="B126">
        <v>28</v>
      </c>
      <c r="C126">
        <f>(SUMIF(Table2[Item],Table1[[#This Row],[item_name]],Table2[Quantity])+Table1[[#This Row],[qtyat12th]])- SUMIF(Sales!$C$1887:C2628,Table1[[#This Row],[item_name]],Sales!$D$1887:D2628)- SUMIF(Table7[item/loan],Table1[[#This Row],[item_name]],Table7[qty_if_item])</f>
        <v>28</v>
      </c>
      <c r="D126">
        <f>VLOOKUP(A126,Inventory!A:H,3,FALSE)</f>
        <v>6</v>
      </c>
      <c r="E126">
        <f>VLOOKUP(A126,Inventory!A:H,4,FALSE)</f>
        <v>10</v>
      </c>
      <c r="F126" t="str">
        <f>VLOOKUP(A126,Inventory!A:H,5,FALSE)</f>
        <v>Medicine</v>
      </c>
      <c r="G126" s="1">
        <v>46419</v>
      </c>
      <c r="H126">
        <f t="shared" si="1"/>
        <v>125</v>
      </c>
    </row>
    <row r="127" spans="1:8" x14ac:dyDescent="0.25">
      <c r="A127" t="s">
        <v>215</v>
      </c>
      <c r="B127">
        <v>46</v>
      </c>
      <c r="C127">
        <f>(SUMIF(Table2[Item],Table1[[#This Row],[item_name]],Table2[Quantity])+Table1[[#This Row],[qtyat12th]])- SUMIF(Sales!$C$1887:C2629,Table1[[#This Row],[item_name]],Sales!$D$1887:D2629)- SUMIF(Table7[item/loan],Table1[[#This Row],[item_name]],Table7[qty_if_item])</f>
        <v>46</v>
      </c>
      <c r="D127">
        <f>VLOOKUP(A127,Inventory!A:H,3,FALSE)</f>
        <v>7</v>
      </c>
      <c r="E127">
        <f>VLOOKUP(A127,Inventory!A:H,4,FALSE)</f>
        <v>10</v>
      </c>
      <c r="F127" t="str">
        <f>VLOOKUP(A127,Inventory!A:H,5,FALSE)</f>
        <v>Medicine</v>
      </c>
      <c r="G127" s="1">
        <v>45931</v>
      </c>
      <c r="H127">
        <f t="shared" si="1"/>
        <v>126</v>
      </c>
    </row>
    <row r="128" spans="1:8" x14ac:dyDescent="0.25">
      <c r="A128" t="s">
        <v>229</v>
      </c>
      <c r="B128">
        <v>10</v>
      </c>
      <c r="C128">
        <f>(SUMIF(Table2[Item],Table1[[#This Row],[item_name]],Table2[Quantity])+Table1[[#This Row],[qtyat12th]])- SUMIF(Sales!$C$1887:C2630,Table1[[#This Row],[item_name]],Sales!$D$1887:D2630)- SUMIF(Table7[item/loan],Table1[[#This Row],[item_name]],Table7[qty_if_item])</f>
        <v>9</v>
      </c>
      <c r="D128">
        <f>VLOOKUP(A128,Inventory!A:H,3,FALSE)</f>
        <v>37.5</v>
      </c>
      <c r="E128">
        <f>VLOOKUP(A128,Inventory!A:H,4,FALSE)</f>
        <v>50</v>
      </c>
      <c r="F128" t="str">
        <f>VLOOKUP(A128,Inventory!A:H,5,FALSE)</f>
        <v>Medicine</v>
      </c>
      <c r="G128" s="1"/>
      <c r="H128">
        <f t="shared" si="1"/>
        <v>127</v>
      </c>
    </row>
    <row r="129" spans="1:8" x14ac:dyDescent="0.25">
      <c r="A129" t="s">
        <v>231</v>
      </c>
      <c r="B129">
        <v>25</v>
      </c>
      <c r="C129">
        <f>(SUMIF(Table2[Item],Table1[[#This Row],[item_name]],Table2[Quantity])+Table1[[#This Row],[qtyat12th]])- SUMIF(Sales!$C$1887:C2631,Table1[[#This Row],[item_name]],Sales!$D$1887:D2631)- SUMIF(Table7[item/loan],Table1[[#This Row],[item_name]],Table7[qty_if_item])</f>
        <v>22</v>
      </c>
      <c r="D129">
        <f>VLOOKUP(A129,Inventory!A:H,3,FALSE)</f>
        <v>11</v>
      </c>
      <c r="E129">
        <f>VLOOKUP(A129,Inventory!A:H,4,FALSE)</f>
        <v>20</v>
      </c>
      <c r="F129" t="str">
        <f>VLOOKUP(A129,Inventory!A:H,5,FALSE)</f>
        <v>Medicine</v>
      </c>
      <c r="G129" s="1">
        <v>45748</v>
      </c>
      <c r="H129">
        <f t="shared" si="1"/>
        <v>128</v>
      </c>
    </row>
    <row r="130" spans="1:8" x14ac:dyDescent="0.25">
      <c r="A130" t="s">
        <v>316</v>
      </c>
      <c r="B130">
        <v>44</v>
      </c>
      <c r="C130">
        <f>(SUMIF(Table2[Item],Table1[[#This Row],[item_name]],Table2[Quantity])+Table1[[#This Row],[qtyat12th]])- SUMIF(Sales!$C$1887:C2632,Table1[[#This Row],[item_name]],Sales!$D$1887:D2632)- SUMIF(Table7[item/loan],Table1[[#This Row],[item_name]],Table7[qty_if_item])</f>
        <v>44</v>
      </c>
      <c r="D130">
        <f>350/50</f>
        <v>7</v>
      </c>
      <c r="E130">
        <v>10</v>
      </c>
      <c r="F130" t="s">
        <v>134</v>
      </c>
      <c r="G130" s="1">
        <v>45839</v>
      </c>
      <c r="H130">
        <f t="shared" si="1"/>
        <v>129</v>
      </c>
    </row>
    <row r="131" spans="1:8" x14ac:dyDescent="0.25">
      <c r="A131" t="s">
        <v>317</v>
      </c>
      <c r="B131">
        <v>16</v>
      </c>
      <c r="C131">
        <f>(SUMIF(Table2[Item],Table1[[#This Row],[item_name]],Table2[Quantity])+Table1[[#This Row],[qtyat12th]])- SUMIF(Sales!$C$1887:C2633,Table1[[#This Row],[item_name]],Sales!$D$1887:D2633)- SUMIF(Table7[item/loan],Table1[[#This Row],[item_name]],Table7[qty_if_item])</f>
        <v>16</v>
      </c>
      <c r="D131">
        <f>400/50</f>
        <v>8</v>
      </c>
      <c r="E131">
        <v>15</v>
      </c>
      <c r="F131" t="s">
        <v>134</v>
      </c>
      <c r="G131" s="1">
        <v>46204</v>
      </c>
      <c r="H131">
        <f t="shared" si="1"/>
        <v>130</v>
      </c>
    </row>
    <row r="132" spans="1:8" x14ac:dyDescent="0.25">
      <c r="A132" t="s">
        <v>101</v>
      </c>
      <c r="B132">
        <v>4</v>
      </c>
      <c r="C132">
        <f>(SUMIF(Table2[Item],Table1[[#This Row],[item_name]],Table2[Quantity])+Table1[[#This Row],[qtyat12th]])- SUMIF(Sales!$C$1887:C2634,Table1[[#This Row],[item_name]],Sales!$D$1887:D2634)- SUMIF(Table7[item/loan],Table1[[#This Row],[item_name]],Table7[qty_if_item])</f>
        <v>4</v>
      </c>
      <c r="D132">
        <f>VLOOKUP(A132,Inventory!A:H,3,FALSE)</f>
        <v>23.333333333333332</v>
      </c>
      <c r="E132">
        <f>VLOOKUP(A132,Inventory!A:H,4,FALSE)</f>
        <v>30</v>
      </c>
      <c r="F132" t="str">
        <f>VLOOKUP(A132,Inventory!A:H,5,FALSE)</f>
        <v>Personal care</v>
      </c>
      <c r="G132" s="1"/>
      <c r="H132">
        <f t="shared" ref="H132:H195" si="2">1+H131</f>
        <v>131</v>
      </c>
    </row>
    <row r="133" spans="1:8" x14ac:dyDescent="0.25">
      <c r="A133" t="s">
        <v>103</v>
      </c>
      <c r="B133">
        <v>11</v>
      </c>
      <c r="C133">
        <f>(SUMIF(Table2[Item],Table1[[#This Row],[item_name]],Table2[Quantity])+Table1[[#This Row],[qtyat12th]])- SUMIF(Sales!$C$1887:C2635,Table1[[#This Row],[item_name]],Sales!$D$1887:D2635)- SUMIF(Table7[item/loan],Table1[[#This Row],[item_name]],Table7[qty_if_item])</f>
        <v>22</v>
      </c>
      <c r="D133">
        <f>VLOOKUP(A133,Inventory!A:H,3,FALSE)</f>
        <v>25</v>
      </c>
      <c r="E133">
        <f>VLOOKUP(A133,Inventory!A:H,4,FALSE)</f>
        <v>40</v>
      </c>
      <c r="F133" t="str">
        <f>VLOOKUP(A133,Inventory!A:H,5,FALSE)</f>
        <v>Personal care</v>
      </c>
      <c r="G133" s="1"/>
      <c r="H133">
        <f t="shared" si="2"/>
        <v>132</v>
      </c>
    </row>
    <row r="134" spans="1:8" x14ac:dyDescent="0.25">
      <c r="A134" t="s">
        <v>111</v>
      </c>
      <c r="B134">
        <v>17</v>
      </c>
      <c r="C134">
        <f>(SUMIF(Table2[Item],Table1[[#This Row],[item_name]],Table2[Quantity])+Table1[[#This Row],[qtyat12th]])- SUMIF(Sales!$C$1887:C2636,Table1[[#This Row],[item_name]],Sales!$D$1887:D2636)- SUMIF(Table7[item/loan],Table1[[#This Row],[item_name]],Table7[qty_if_item])</f>
        <v>35</v>
      </c>
      <c r="D134">
        <f>VLOOKUP(A134,Inventory!A:H,3,FALSE)</f>
        <v>43</v>
      </c>
      <c r="E134">
        <f>VLOOKUP(A134,Inventory!A:H,4,FALSE)+5</f>
        <v>55</v>
      </c>
      <c r="F134" t="str">
        <f>VLOOKUP(A134,Inventory!A:H,5,FALSE)</f>
        <v>personal care</v>
      </c>
      <c r="G134" s="1"/>
      <c r="H134">
        <f t="shared" si="2"/>
        <v>133</v>
      </c>
    </row>
    <row r="135" spans="1:8" x14ac:dyDescent="0.25">
      <c r="A135" t="s">
        <v>113</v>
      </c>
      <c r="B135">
        <v>10</v>
      </c>
      <c r="C135">
        <f>(SUMIF(Table2[Item],Table1[[#This Row],[item_name]],Table2[Quantity])+Table1[[#This Row],[qtyat12th]])- SUMIF(Sales!$C$1887:C2637,Table1[[#This Row],[item_name]],Sales!$D$1887:D2637)- SUMIF(Table7[item/loan],Table1[[#This Row],[item_name]],Table7[qty_if_item])</f>
        <v>71</v>
      </c>
      <c r="D135">
        <f>VLOOKUP(A135,Inventory!A:H,3,FALSE)</f>
        <v>35</v>
      </c>
      <c r="E135">
        <v>50</v>
      </c>
      <c r="F135" t="str">
        <f>VLOOKUP(A135,Inventory!A:H,5,FALSE)</f>
        <v>personal care</v>
      </c>
      <c r="G135" s="1"/>
      <c r="H135">
        <f t="shared" si="2"/>
        <v>134</v>
      </c>
    </row>
    <row r="136" spans="1:8" x14ac:dyDescent="0.25">
      <c r="A136" t="s">
        <v>114</v>
      </c>
      <c r="B136">
        <v>13</v>
      </c>
      <c r="C136">
        <f>(SUMIF(Table2[Item],Table1[[#This Row],[item_name]],Table2[Quantity])+Table1[[#This Row],[qtyat12th]])- SUMIF(Sales!$C$1887:C2638,Table1[[#This Row],[item_name]],Sales!$D$1887:D2638)- SUMIF(Table7[item/loan],Table1[[#This Row],[item_name]],Table7[qty_if_item])</f>
        <v>30</v>
      </c>
      <c r="D136">
        <f>VLOOKUP(A136,Inventory!A:H,3,FALSE)</f>
        <v>13.333333333333334</v>
      </c>
      <c r="E136">
        <f>VLOOKUP(A136,Inventory!A:H,4,FALSE)</f>
        <v>30</v>
      </c>
      <c r="F136" t="str">
        <f>VLOOKUP(A136,Inventory!A:H,5,FALSE)</f>
        <v>personal care</v>
      </c>
      <c r="G136" s="1"/>
      <c r="H136">
        <f t="shared" si="2"/>
        <v>135</v>
      </c>
    </row>
    <row r="137" spans="1:8" x14ac:dyDescent="0.25">
      <c r="A137" t="s">
        <v>115</v>
      </c>
      <c r="B137">
        <v>6</v>
      </c>
      <c r="C137">
        <f>(SUMIF(Table2[Item],Table1[[#This Row],[item_name]],Table2[Quantity])+Table1[[#This Row],[qtyat12th]])- SUMIF(Sales!$C$1887:C2639,Table1[[#This Row],[item_name]],Sales!$D$1887:D2639)- SUMIF(Table7[item/loan],Table1[[#This Row],[item_name]],Table7[qty_if_item])</f>
        <v>6</v>
      </c>
      <c r="D137">
        <f>VLOOKUP(A137,Inventory!A:H,3,FALSE)</f>
        <v>79</v>
      </c>
      <c r="E137">
        <f>VLOOKUP(A137,Inventory!A:H,4,FALSE)</f>
        <v>100</v>
      </c>
      <c r="F137" t="str">
        <f>VLOOKUP(A137,Inventory!A:H,5,FALSE)</f>
        <v>personal care</v>
      </c>
      <c r="G137" s="1"/>
      <c r="H137">
        <f t="shared" si="2"/>
        <v>136</v>
      </c>
    </row>
    <row r="138" spans="1:8" x14ac:dyDescent="0.25">
      <c r="A138" t="s">
        <v>116</v>
      </c>
      <c r="B138">
        <v>7</v>
      </c>
      <c r="C138">
        <f>(SUMIF(Table2[Item],Table1[[#This Row],[item_name]],Table2[Quantity])+Table1[[#This Row],[qtyat12th]])- SUMIF(Sales!$C$1887:C2640,Table1[[#This Row],[item_name]],Sales!$D$1887:D2640)- SUMIF(Table7[item/loan],Table1[[#This Row],[item_name]],Table7[qty_if_item])</f>
        <v>32</v>
      </c>
      <c r="D138">
        <f>VLOOKUP(A138,Inventory!A:H,3,FALSE)</f>
        <v>66</v>
      </c>
      <c r="E138">
        <f>VLOOKUP(A138,Inventory!A:H,4,FALSE)</f>
        <v>85</v>
      </c>
      <c r="F138" t="str">
        <f>VLOOKUP(A138,Inventory!A:H,5,FALSE)</f>
        <v>personal care</v>
      </c>
      <c r="G138" s="1"/>
      <c r="H138">
        <f t="shared" si="2"/>
        <v>137</v>
      </c>
    </row>
    <row r="139" spans="1:8" x14ac:dyDescent="0.25">
      <c r="A139" t="s">
        <v>117</v>
      </c>
      <c r="B139">
        <v>11</v>
      </c>
      <c r="C139">
        <f>(SUMIF(Table2[Item],Table1[[#This Row],[item_name]],Table2[Quantity])+Table1[[#This Row],[qtyat12th]])- SUMIF(Sales!$C$1887:C2641,Table1[[#This Row],[item_name]],Sales!$D$1887:D2641)- SUMIF(Table7[item/loan],Table1[[#This Row],[item_name]],Table7[qty_if_item])</f>
        <v>11</v>
      </c>
      <c r="D139">
        <f>VLOOKUP(A139,Inventory!A:H,3,FALSE)</f>
        <v>56.666666666666664</v>
      </c>
      <c r="E139">
        <f>VLOOKUP(A139,Inventory!A:H,4,FALSE)</f>
        <v>70</v>
      </c>
      <c r="F139" t="str">
        <f>VLOOKUP(A139,Inventory!A:H,5,FALSE)</f>
        <v>personal care</v>
      </c>
      <c r="G139" s="1"/>
      <c r="H139">
        <f t="shared" si="2"/>
        <v>138</v>
      </c>
    </row>
    <row r="140" spans="1:8" x14ac:dyDescent="0.25">
      <c r="A140" t="s">
        <v>118</v>
      </c>
      <c r="B140">
        <v>2</v>
      </c>
      <c r="C140">
        <f>(SUMIF(Table2[Item],Table1[[#This Row],[item_name]],Table2[Quantity])+Table1[[#This Row],[qtyat12th]])- SUMIF(Sales!$C$1887:C2642,Table1[[#This Row],[item_name]],Sales!$D$1887:D2642)- SUMIF(Table7[item/loan],Table1[[#This Row],[item_name]],Table7[qty_if_item])</f>
        <v>2</v>
      </c>
      <c r="D140">
        <f>VLOOKUP(A140,Inventory!A:H,3,FALSE)</f>
        <v>36.25</v>
      </c>
      <c r="E140">
        <f>VLOOKUP(A140,Inventory!A:H,4,FALSE)</f>
        <v>50</v>
      </c>
      <c r="F140" t="str">
        <f>VLOOKUP(A140,Inventory!A:H,5,FALSE)</f>
        <v>personal care</v>
      </c>
      <c r="G140" s="1"/>
      <c r="H140">
        <f t="shared" si="2"/>
        <v>139</v>
      </c>
    </row>
    <row r="141" spans="1:8" x14ac:dyDescent="0.25">
      <c r="A141" t="s">
        <v>119</v>
      </c>
      <c r="B141">
        <v>8</v>
      </c>
      <c r="C141">
        <f>(SUMIF(Table2[Item],Table1[[#This Row],[item_name]],Table2[Quantity])+Table1[[#This Row],[qtyat12th]])- SUMIF(Sales!$C$1887:C2643,Table1[[#This Row],[item_name]],Sales!$D$1887:D2643)- SUMIF(Table7[item/loan],Table1[[#This Row],[item_name]],Table7[qty_if_item])</f>
        <v>6</v>
      </c>
      <c r="D141">
        <f>VLOOKUP(A141,Inventory!A:H,3,FALSE)</f>
        <v>62.5</v>
      </c>
      <c r="E141">
        <f>VLOOKUP(A141,Inventory!A:H,4,FALSE)</f>
        <v>80</v>
      </c>
      <c r="F141" t="str">
        <f>VLOOKUP(A141,Inventory!A:H,5,FALSE)</f>
        <v>personal care</v>
      </c>
      <c r="G141" s="1"/>
      <c r="H141">
        <f t="shared" si="2"/>
        <v>140</v>
      </c>
    </row>
    <row r="142" spans="1:8" x14ac:dyDescent="0.25">
      <c r="A142" t="s">
        <v>120</v>
      </c>
      <c r="B142">
        <v>9</v>
      </c>
      <c r="C142">
        <f>(SUMIF(Table2[Item],Table1[[#This Row],[item_name]],Table2[Quantity])+Table1[[#This Row],[qtyat12th]])- SUMIF(Sales!$C$1887:C2644,Table1[[#This Row],[item_name]],Sales!$D$1887:D2644)- SUMIF(Table7[item/loan],Table1[[#This Row],[item_name]],Table7[qty_if_item])</f>
        <v>9</v>
      </c>
      <c r="D142">
        <f>VLOOKUP(A142,Inventory!A:H,3,FALSE)</f>
        <v>133.33333333333334</v>
      </c>
      <c r="E142">
        <f>VLOOKUP(A142,Inventory!A:H,4,FALSE)</f>
        <v>160</v>
      </c>
      <c r="F142" t="str">
        <f>VLOOKUP(A142,Inventory!A:H,5,FALSE)</f>
        <v>personal care</v>
      </c>
      <c r="G142" s="1"/>
      <c r="H142">
        <f t="shared" si="2"/>
        <v>141</v>
      </c>
    </row>
    <row r="143" spans="1:8" x14ac:dyDescent="0.25">
      <c r="A143" t="s">
        <v>121</v>
      </c>
      <c r="B143">
        <v>5</v>
      </c>
      <c r="C143">
        <f>(SUMIF(Table2[Item],Table1[[#This Row],[item_name]],Table2[Quantity])+Table1[[#This Row],[qtyat12th]])- SUMIF(Sales!$C$1887:C2645,Table1[[#This Row],[item_name]],Sales!$D$1887:D2645)- SUMIF(Table7[item/loan],Table1[[#This Row],[item_name]],Table7[qty_if_item])</f>
        <v>5</v>
      </c>
      <c r="D143">
        <f>VLOOKUP(A143,Inventory!A:H,3,FALSE)</f>
        <v>30</v>
      </c>
      <c r="E143">
        <f>VLOOKUP(A143,Inventory!A:H,4,FALSE)</f>
        <v>80</v>
      </c>
      <c r="F143" t="str">
        <f>VLOOKUP(A143,Inventory!A:H,5,FALSE)</f>
        <v>personal care</v>
      </c>
      <c r="G143" s="1"/>
      <c r="H143">
        <f t="shared" si="2"/>
        <v>142</v>
      </c>
    </row>
    <row r="144" spans="1:8" x14ac:dyDescent="0.25">
      <c r="A144" t="s">
        <v>122</v>
      </c>
      <c r="B144">
        <v>6</v>
      </c>
      <c r="C144">
        <f>(SUMIF(Table2[Item],Table1[[#This Row],[item_name]],Table2[Quantity])+Table1[[#This Row],[qtyat12th]])- SUMIF(Sales!$C$1887:C2646,Table1[[#This Row],[item_name]],Sales!$D$1887:D2646)- SUMIF(Table7[item/loan],Table1[[#This Row],[item_name]],Table7[qty_if_item])</f>
        <v>5</v>
      </c>
      <c r="D144">
        <f>VLOOKUP(A144,Inventory!A:H,3,FALSE)</f>
        <v>37.5</v>
      </c>
      <c r="E144">
        <f>VLOOKUP(A144,Inventory!A:H,4,FALSE)</f>
        <v>50</v>
      </c>
      <c r="F144" t="str">
        <f>VLOOKUP(A144,Inventory!A:H,5,FALSE)</f>
        <v>personal care</v>
      </c>
      <c r="G144" s="1"/>
      <c r="H144">
        <f t="shared" si="2"/>
        <v>143</v>
      </c>
    </row>
    <row r="145" spans="1:8" x14ac:dyDescent="0.25">
      <c r="A145" t="s">
        <v>318</v>
      </c>
      <c r="B145">
        <v>2</v>
      </c>
      <c r="C145">
        <f>(SUMIF(Table2[Item],Table1[[#This Row],[item_name]],Table2[Quantity])+Table1[[#This Row],[qtyat12th]])- SUMIF(Sales!$C$1887:C2647,Table1[[#This Row],[item_name]],Sales!$D$1887:D2647)- SUMIF(Table7[item/loan],Table1[[#This Row],[item_name]],Table7[qty_if_item])</f>
        <v>2</v>
      </c>
      <c r="D145">
        <v>155</v>
      </c>
      <c r="E145">
        <v>200</v>
      </c>
      <c r="F145" t="s">
        <v>102</v>
      </c>
      <c r="G145" s="1"/>
      <c r="H145">
        <f t="shared" si="2"/>
        <v>144</v>
      </c>
    </row>
    <row r="146" spans="1:8" x14ac:dyDescent="0.25">
      <c r="A146" t="s">
        <v>153</v>
      </c>
      <c r="B146">
        <v>7</v>
      </c>
      <c r="C146">
        <f>(SUMIF(Table2[Item],Table1[[#This Row],[item_name]],Table2[Quantity])+Table1[[#This Row],[qtyat12th]])- SUMIF(Sales!$C$1887:C2648,Table1[[#This Row],[item_name]],Sales!$D$1887:D2648)- SUMIF(Table7[item/loan],Table1[[#This Row],[item_name]],Table7[qty_if_item])</f>
        <v>14</v>
      </c>
      <c r="D146">
        <f>VLOOKUP(A146,Inventory!A:H,3,FALSE)</f>
        <v>28</v>
      </c>
      <c r="E146">
        <f>VLOOKUP(A146,Inventory!A:H,4,FALSE)</f>
        <v>50</v>
      </c>
      <c r="F146" t="str">
        <f>VLOOKUP(A146,Inventory!A:H,5,FALSE)</f>
        <v>Personal care</v>
      </c>
      <c r="G146" s="1"/>
      <c r="H146">
        <f t="shared" si="2"/>
        <v>145</v>
      </c>
    </row>
    <row r="147" spans="1:8" x14ac:dyDescent="0.25">
      <c r="A147" t="s">
        <v>165</v>
      </c>
      <c r="B147">
        <v>7</v>
      </c>
      <c r="C147">
        <f>(SUMIF(Table2[Item],Table1[[#This Row],[item_name]],Table2[Quantity])+Table1[[#This Row],[qtyat12th]])- SUMIF(Sales!$C$1887:C2649,Table1[[#This Row],[item_name]],Sales!$D$1887:D2649)- SUMIF(Table7[item/loan],Table1[[#This Row],[item_name]],Table7[qty_if_item])</f>
        <v>7</v>
      </c>
      <c r="D147">
        <f>VLOOKUP(A147,Inventory!A:H,3,FALSE)</f>
        <v>90</v>
      </c>
      <c r="E147">
        <f>VLOOKUP(A147,Inventory!A:H,4,FALSE)</f>
        <v>120</v>
      </c>
      <c r="F147" t="str">
        <f>VLOOKUP(A147,Inventory!A:H,5,FALSE)</f>
        <v>Personal care</v>
      </c>
      <c r="G147" s="1"/>
      <c r="H147">
        <f t="shared" si="2"/>
        <v>146</v>
      </c>
    </row>
    <row r="148" spans="1:8" x14ac:dyDescent="0.25">
      <c r="A148" t="s">
        <v>183</v>
      </c>
      <c r="B148">
        <v>4</v>
      </c>
      <c r="C148">
        <f>(SUMIF(Table2[Item],Table1[[#This Row],[item_name]],Table2[Quantity])+Table1[[#This Row],[qtyat12th]])- SUMIF(Sales!$C$1887:C2650,Table1[[#This Row],[item_name]],Sales!$D$1887:D2650)- SUMIF(Table7[item/loan],Table1[[#This Row],[item_name]],Table7[qty_if_item])</f>
        <v>4</v>
      </c>
      <c r="D148">
        <f>VLOOKUP(A148,Inventory!A:H,3,FALSE)</f>
        <v>30</v>
      </c>
      <c r="E148">
        <f>VLOOKUP(A148,Inventory!A:H,4,FALSE)</f>
        <v>50</v>
      </c>
      <c r="F148" t="str">
        <f>VLOOKUP(A148,Inventory!A:H,5,FALSE)</f>
        <v>Personal care</v>
      </c>
      <c r="G148" s="1"/>
      <c r="H148">
        <f t="shared" si="2"/>
        <v>147</v>
      </c>
    </row>
    <row r="149" spans="1:8" x14ac:dyDescent="0.25">
      <c r="A149" t="s">
        <v>184</v>
      </c>
      <c r="B149">
        <v>3</v>
      </c>
      <c r="C149">
        <f>(SUMIF(Table2[Item],Table1[[#This Row],[item_name]],Table2[Quantity])+Table1[[#This Row],[qtyat12th]])- SUMIF(Sales!$C$1887:C2651,Table1[[#This Row],[item_name]],Sales!$D$1887:D2651)- SUMIF(Table7[item/loan],Table1[[#This Row],[item_name]],Table7[qty_if_item])</f>
        <v>12</v>
      </c>
      <c r="D149">
        <f>VLOOKUP(A149,Inventory!A:H,3,FALSE)</f>
        <v>23.333333333333332</v>
      </c>
      <c r="E149">
        <f>VLOOKUP(A149,Inventory!A:H,4,FALSE)</f>
        <v>35</v>
      </c>
      <c r="F149" t="str">
        <f>VLOOKUP(A149,Inventory!A:H,5,FALSE)</f>
        <v>Personal care</v>
      </c>
      <c r="G149" s="1"/>
      <c r="H149">
        <f t="shared" si="2"/>
        <v>148</v>
      </c>
    </row>
    <row r="150" spans="1:8" x14ac:dyDescent="0.25">
      <c r="A150" t="s">
        <v>186</v>
      </c>
      <c r="B150">
        <v>3</v>
      </c>
      <c r="C150">
        <f>(SUMIF(Table2[Item],Table1[[#This Row],[item_name]],Table2[Quantity])+Table1[[#This Row],[qtyat12th]])- SUMIF(Sales!$C$1887:C2652,Table1[[#This Row],[item_name]],Sales!$D$1887:D2652)- SUMIF(Table7[item/loan],Table1[[#This Row],[item_name]],Table7[qty_if_item])</f>
        <v>1</v>
      </c>
      <c r="D150">
        <f>VLOOKUP(A150,Inventory!A:H,3,FALSE)</f>
        <v>95</v>
      </c>
      <c r="E150">
        <f>VLOOKUP(A150,Inventory!A:H,4,FALSE)</f>
        <v>120</v>
      </c>
      <c r="F150" t="str">
        <f>VLOOKUP(A150,Inventory!A:H,5,FALSE)</f>
        <v>Personal care</v>
      </c>
      <c r="G150" s="1"/>
      <c r="H150">
        <f t="shared" si="2"/>
        <v>149</v>
      </c>
    </row>
    <row r="151" spans="1:8" x14ac:dyDescent="0.25">
      <c r="A151" t="s">
        <v>192</v>
      </c>
      <c r="B151">
        <v>7</v>
      </c>
      <c r="C151">
        <f>(SUMIF(Table2[Item],Table1[[#This Row],[item_name]],Table2[Quantity])+Table1[[#This Row],[qtyat12th]])- SUMIF(Sales!$C$1887:C2653,Table1[[#This Row],[item_name]],Sales!$D$1887:D2653)- SUMIF(Table7[item/loan],Table1[[#This Row],[item_name]],Table7[qty_if_item])</f>
        <v>19</v>
      </c>
      <c r="D151">
        <f>VLOOKUP(A151,Inventory!A:H,3,FALSE)</f>
        <v>45.833333333333336</v>
      </c>
      <c r="E151">
        <f>VLOOKUP(A151,Inventory!A:H,4,FALSE)</f>
        <v>60</v>
      </c>
      <c r="F151" t="str">
        <f>VLOOKUP(A151,Inventory!A:H,5,FALSE)</f>
        <v>Personal care</v>
      </c>
      <c r="G151" s="1"/>
      <c r="H151">
        <f t="shared" si="2"/>
        <v>150</v>
      </c>
    </row>
    <row r="152" spans="1:8" x14ac:dyDescent="0.25">
      <c r="A152" t="s">
        <v>210</v>
      </c>
      <c r="B152">
        <v>11</v>
      </c>
      <c r="C152">
        <f>(SUMIF(Table2[Item],Table1[[#This Row],[item_name]],Table2[Quantity])+Table1[[#This Row],[qtyat12th]])- SUMIF(Sales!$C$1887:C2654,Table1[[#This Row],[item_name]],Sales!$D$1887:D2654)- SUMIF(Table7[item/loan],Table1[[#This Row],[item_name]],Table7[qty_if_item])</f>
        <v>11</v>
      </c>
      <c r="D152">
        <f>VLOOKUP(A152,Inventory!A:H,3,FALSE)</f>
        <v>40</v>
      </c>
      <c r="E152">
        <f>VLOOKUP(A152,Inventory!A:H,4,FALSE)</f>
        <v>50</v>
      </c>
      <c r="F152" t="s">
        <v>102</v>
      </c>
      <c r="G152" s="1">
        <v>45627</v>
      </c>
      <c r="H152">
        <f t="shared" si="2"/>
        <v>151</v>
      </c>
    </row>
    <row r="153" spans="1:8" x14ac:dyDescent="0.25">
      <c r="A153" t="s">
        <v>216</v>
      </c>
      <c r="B153">
        <v>24</v>
      </c>
      <c r="C153">
        <f>(SUMIF(Table2[Item],Table1[[#This Row],[item_name]],Table2[Quantity])+Table1[[#This Row],[qtyat12th]])- SUMIF(Sales!$C$1887:C2655,Table1[[#This Row],[item_name]],Sales!$D$1887:D2655)- SUMIF(Table7[item/loan],Table1[[#This Row],[item_name]],Table7[qty_if_item])</f>
        <v>84</v>
      </c>
      <c r="D153">
        <f>VLOOKUP(A153,Inventory!A:H,3,FALSE)</f>
        <v>9</v>
      </c>
      <c r="E153">
        <f>VLOOKUP(A153,Inventory!A:H,4,FALSE)</f>
        <v>10</v>
      </c>
      <c r="F153" t="s">
        <v>102</v>
      </c>
      <c r="G153" s="1"/>
      <c r="H153">
        <f t="shared" si="2"/>
        <v>152</v>
      </c>
    </row>
    <row r="154" spans="1:8" x14ac:dyDescent="0.25">
      <c r="A154" t="s">
        <v>219</v>
      </c>
      <c r="B154">
        <v>5</v>
      </c>
      <c r="C154">
        <f>(SUMIF(Table2[Item],Table1[[#This Row],[item_name]],Table2[Quantity])+Table1[[#This Row],[qtyat12th]])- SUMIF(Sales!$C$1887:C2656,Table1[[#This Row],[item_name]],Sales!$D$1887:D2656)- SUMIF(Table7[item/loan],Table1[[#This Row],[item_name]],Table7[qty_if_item])</f>
        <v>5</v>
      </c>
      <c r="D154">
        <f>VLOOKUP(A154,Inventory!A:H,3,FALSE)</f>
        <v>15</v>
      </c>
      <c r="E154">
        <f>VLOOKUP(A154,Inventory!A:H,4,FALSE)</f>
        <v>20</v>
      </c>
      <c r="F154" t="s">
        <v>102</v>
      </c>
      <c r="G154" s="1"/>
      <c r="H154">
        <f t="shared" si="2"/>
        <v>153</v>
      </c>
    </row>
    <row r="155" spans="1:8" x14ac:dyDescent="0.25">
      <c r="A155" t="s">
        <v>222</v>
      </c>
      <c r="B155">
        <v>1</v>
      </c>
      <c r="C155">
        <f>(SUMIF(Table2[Item],Table1[[#This Row],[item_name]],Table2[Quantity])+Table1[[#This Row],[qtyat12th]])- SUMIF(Sales!$C$1887:C2657,Table1[[#This Row],[item_name]],Sales!$D$1887:D2657)- SUMIF(Table7[item/loan],Table1[[#This Row],[item_name]],Table7[qty_if_item])</f>
        <v>1</v>
      </c>
      <c r="D155">
        <f>VLOOKUP(A155,Inventory!A:H,3,FALSE)</f>
        <v>70</v>
      </c>
      <c r="E155">
        <f>VLOOKUP(A155,Inventory!A:H,4,FALSE)</f>
        <v>100</v>
      </c>
      <c r="F155" t="str">
        <f>VLOOKUP(A155,Inventory!A:H,5,FALSE)</f>
        <v>Personal care</v>
      </c>
      <c r="G155" s="1"/>
      <c r="H155">
        <f t="shared" si="2"/>
        <v>154</v>
      </c>
    </row>
    <row r="156" spans="1:8" x14ac:dyDescent="0.25">
      <c r="A156" t="s">
        <v>224</v>
      </c>
      <c r="B156">
        <v>1</v>
      </c>
      <c r="C156">
        <f>(SUMIF(Table2[Item],Table1[[#This Row],[item_name]],Table2[Quantity])+Table1[[#This Row],[qtyat12th]])- SUMIF(Sales!$C$1887:C2658,Table1[[#This Row],[item_name]],Sales!$D$1887:D2658)- SUMIF(Table7[item/loan],Table1[[#This Row],[item_name]],Table7[qty_if_item])</f>
        <v>5</v>
      </c>
      <c r="D156">
        <f>VLOOKUP(A156,Inventory!A:H,3,FALSE)</f>
        <v>106</v>
      </c>
      <c r="E156">
        <f>VLOOKUP(A156,Inventory!A:H,4,FALSE)</f>
        <v>130</v>
      </c>
      <c r="F156" t="str">
        <f>VLOOKUP(A156,Inventory!A:H,5,FALSE)</f>
        <v>Personal care</v>
      </c>
      <c r="G156" s="1"/>
      <c r="H156">
        <f t="shared" si="2"/>
        <v>155</v>
      </c>
    </row>
    <row r="157" spans="1:8" x14ac:dyDescent="0.25">
      <c r="A157" t="s">
        <v>227</v>
      </c>
      <c r="B157">
        <v>5</v>
      </c>
      <c r="C157">
        <f>(SUMIF(Table2[Item],Table1[[#This Row],[item_name]],Table2[Quantity])+Table1[[#This Row],[qtyat12th]])- SUMIF(Sales!$C$1887:C2659,Table1[[#This Row],[item_name]],Sales!$D$1887:D2659)- SUMIF(Table7[item/loan],Table1[[#This Row],[item_name]],Table7[qty_if_item])</f>
        <v>5</v>
      </c>
      <c r="D157">
        <f>VLOOKUP(A157,Inventory!A:H,3,FALSE)</f>
        <v>30</v>
      </c>
      <c r="E157">
        <f>VLOOKUP(A157,Inventory!A:H,4,FALSE)</f>
        <v>40</v>
      </c>
      <c r="F157" t="s">
        <v>102</v>
      </c>
      <c r="G157" s="1"/>
      <c r="H157">
        <f t="shared" si="2"/>
        <v>156</v>
      </c>
    </row>
    <row r="158" spans="1:8" x14ac:dyDescent="0.25">
      <c r="A158" t="s">
        <v>228</v>
      </c>
      <c r="B158">
        <v>5</v>
      </c>
      <c r="C158">
        <f>(SUMIF(Table2[Item],Table1[[#This Row],[item_name]],Table2[Quantity])+Table1[[#This Row],[qtyat12th]])- SUMIF(Sales!$C$1887:C2660,Table1[[#This Row],[item_name]],Sales!$D$1887:D2660)- SUMIF(Table7[item/loan],Table1[[#This Row],[item_name]],Table7[qty_if_item])</f>
        <v>3</v>
      </c>
      <c r="D158">
        <f>VLOOKUP(A158,Inventory!A:H,3,FALSE)</f>
        <v>30</v>
      </c>
      <c r="E158">
        <f>VLOOKUP(A158,Inventory!A:H,4,FALSE)</f>
        <v>40</v>
      </c>
      <c r="F158" t="str">
        <f>VLOOKUP(A158,Inventory!A:H,5,FALSE)</f>
        <v>Personal care</v>
      </c>
      <c r="G158" s="1"/>
      <c r="H158">
        <f t="shared" si="2"/>
        <v>157</v>
      </c>
    </row>
    <row r="159" spans="1:8" x14ac:dyDescent="0.25">
      <c r="A159" t="s">
        <v>319</v>
      </c>
      <c r="B159">
        <v>2</v>
      </c>
      <c r="C159">
        <f>(SUMIF(Table2[Item],Table1[[#This Row],[item_name]],Table2[Quantity])+Table1[[#This Row],[qtyat12th]])- SUMIF(Sales!$C$1887:C2661,Table1[[#This Row],[item_name]],Sales!$D$1887:D2661)- SUMIF(Table7[item/loan],Table1[[#This Row],[item_name]],Table7[qty_if_item])</f>
        <v>1</v>
      </c>
      <c r="D159">
        <v>160</v>
      </c>
      <c r="E159">
        <v>200</v>
      </c>
      <c r="F159" t="s">
        <v>102</v>
      </c>
      <c r="G159" s="1"/>
      <c r="H159">
        <f t="shared" si="2"/>
        <v>158</v>
      </c>
    </row>
    <row r="160" spans="1:8" x14ac:dyDescent="0.25">
      <c r="A160" t="s">
        <v>320</v>
      </c>
      <c r="B160">
        <v>4</v>
      </c>
      <c r="C160">
        <f>(SUMIF(Table2[Item],Table1[[#This Row],[item_name]],Table2[Quantity])+Table1[[#This Row],[qtyat12th]])- SUMIF(Sales!$C$1887:C2662,Table1[[#This Row],[item_name]],Sales!$D$1887:D2662)- SUMIF(Table7[item/loan],Table1[[#This Row],[item_name]],Table7[qty_if_item])</f>
        <v>4</v>
      </c>
      <c r="D160">
        <v>45</v>
      </c>
      <c r="E160">
        <v>60</v>
      </c>
      <c r="F160" t="s">
        <v>102</v>
      </c>
      <c r="G160" s="1"/>
      <c r="H160">
        <f t="shared" si="2"/>
        <v>159</v>
      </c>
    </row>
    <row r="161" spans="1:8" x14ac:dyDescent="0.25">
      <c r="A161" t="s">
        <v>321</v>
      </c>
      <c r="B161">
        <v>4</v>
      </c>
      <c r="C161">
        <f>(SUMIF(Table2[Item],Table1[[#This Row],[item_name]],Table2[Quantity])+Table1[[#This Row],[qtyat12th]])- SUMIF(Sales!$C$1887:C2663,Table1[[#This Row],[item_name]],Sales!$D$1887:D2663)- SUMIF(Table7[item/loan],Table1[[#This Row],[item_name]],Table7[qty_if_item])</f>
        <v>3</v>
      </c>
      <c r="D161">
        <f>250/6</f>
        <v>41.666666666666664</v>
      </c>
      <c r="E161">
        <v>50</v>
      </c>
      <c r="F161" t="s">
        <v>102</v>
      </c>
      <c r="G161" s="1"/>
      <c r="H161">
        <f t="shared" si="2"/>
        <v>160</v>
      </c>
    </row>
    <row r="162" spans="1:8" x14ac:dyDescent="0.25">
      <c r="A162" t="s">
        <v>322</v>
      </c>
      <c r="B162">
        <v>4</v>
      </c>
      <c r="C162">
        <f>(SUMIF(Table2[Item],Table1[[#This Row],[item_name]],Table2[Quantity])+Table1[[#This Row],[qtyat12th]])- SUMIF(Sales!$C$1887:C2664,Table1[[#This Row],[item_name]],Sales!$D$1887:D2664)- SUMIF(Table7[item/loan],Table1[[#This Row],[item_name]],Table7[qty_if_item])</f>
        <v>4</v>
      </c>
      <c r="D162">
        <v>160</v>
      </c>
      <c r="E162">
        <v>200</v>
      </c>
      <c r="F162" t="s">
        <v>102</v>
      </c>
      <c r="G162" s="1"/>
      <c r="H162">
        <f t="shared" si="2"/>
        <v>161</v>
      </c>
    </row>
    <row r="163" spans="1:8" x14ac:dyDescent="0.25">
      <c r="A163" t="s">
        <v>323</v>
      </c>
      <c r="B163">
        <v>6</v>
      </c>
      <c r="C163">
        <f>(SUMIF(Table2[Item],Table1[[#This Row],[item_name]],Table2[Quantity])+Table1[[#This Row],[qtyat12th]])- SUMIF(Sales!$C$1887:C2665,Table1[[#This Row],[item_name]],Sales!$D$1887:D2665)- SUMIF(Table7[item/loan],Table1[[#This Row],[item_name]],Table7[qty_if_item])</f>
        <v>6</v>
      </c>
      <c r="D163">
        <v>40</v>
      </c>
      <c r="E163">
        <v>50</v>
      </c>
      <c r="F163" t="s">
        <v>102</v>
      </c>
      <c r="G163" s="1"/>
      <c r="H163">
        <f t="shared" si="2"/>
        <v>162</v>
      </c>
    </row>
    <row r="164" spans="1:8" x14ac:dyDescent="0.25">
      <c r="A164" t="s">
        <v>324</v>
      </c>
      <c r="B164">
        <v>12</v>
      </c>
      <c r="C164">
        <f>(SUMIF(Table2[Item],Table1[[#This Row],[item_name]],Table2[Quantity])+Table1[[#This Row],[qtyat12th]])- SUMIF(Sales!$C$1887:C2666,Table1[[#This Row],[item_name]],Sales!$D$1887:D2666)- SUMIF(Table7[item/loan],Table1[[#This Row],[item_name]],Table7[qty_if_item])</f>
        <v>12</v>
      </c>
      <c r="D164">
        <f>180/12</f>
        <v>15</v>
      </c>
      <c r="E164">
        <v>30</v>
      </c>
      <c r="F164" t="s">
        <v>102</v>
      </c>
      <c r="G164" s="1"/>
      <c r="H164">
        <f t="shared" si="2"/>
        <v>163</v>
      </c>
    </row>
    <row r="165" spans="1:8" x14ac:dyDescent="0.25">
      <c r="A165" t="s">
        <v>325</v>
      </c>
      <c r="B165">
        <v>6</v>
      </c>
      <c r="C165">
        <f>(SUMIF(Table2[Item],Table1[[#This Row],[item_name]],Table2[Quantity])+Table1[[#This Row],[qtyat12th]])- SUMIF(Sales!$C$1887:C2667,Table1[[#This Row],[item_name]],Sales!$D$1887:D2667)- SUMIF(Table7[item/loan],Table1[[#This Row],[item_name]],Table7[qty_if_item])</f>
        <v>6</v>
      </c>
      <c r="D165">
        <f>280/12</f>
        <v>23.333333333333332</v>
      </c>
      <c r="E165">
        <v>30</v>
      </c>
      <c r="F165" t="s">
        <v>102</v>
      </c>
      <c r="G165" s="1"/>
      <c r="H165">
        <f t="shared" si="2"/>
        <v>164</v>
      </c>
    </row>
    <row r="166" spans="1:8" x14ac:dyDescent="0.25">
      <c r="A166" t="s">
        <v>326</v>
      </c>
      <c r="B166">
        <v>43</v>
      </c>
      <c r="C166">
        <f>(SUMIF(Table2[Item],Table1[[#This Row],[item_name]],Table2[Quantity])+Table1[[#This Row],[qtyat12th]])- SUMIF(Sales!$C$1887:C2668,Table1[[#This Row],[item_name]],Sales!$D$1887:D2668)- SUMIF(Table7[item/loan],Table1[[#This Row],[item_name]],Table7[qty_if_item])</f>
        <v>43</v>
      </c>
      <c r="D166">
        <v>5</v>
      </c>
      <c r="E166">
        <v>10</v>
      </c>
      <c r="F166" t="s">
        <v>102</v>
      </c>
      <c r="G166" s="1"/>
      <c r="H166">
        <f t="shared" si="2"/>
        <v>165</v>
      </c>
    </row>
    <row r="167" spans="1:8" x14ac:dyDescent="0.25">
      <c r="A167" t="s">
        <v>327</v>
      </c>
      <c r="B167">
        <v>20</v>
      </c>
      <c r="C167">
        <f>(SUMIF(Table2[Item],Table1[[#This Row],[item_name]],Table2[Quantity])+Table1[[#This Row],[qtyat12th]])- SUMIF(Sales!$C$1887:C2669,Table1[[#This Row],[item_name]],Sales!$D$1887:D2669)- SUMIF(Table7[item/loan],Table1[[#This Row],[item_name]],Table7[qty_if_item])</f>
        <v>19</v>
      </c>
      <c r="D167">
        <v>12</v>
      </c>
      <c r="E167">
        <v>20</v>
      </c>
      <c r="F167" t="s">
        <v>102</v>
      </c>
      <c r="G167" s="1"/>
      <c r="H167">
        <f t="shared" si="2"/>
        <v>166</v>
      </c>
    </row>
    <row r="168" spans="1:8" x14ac:dyDescent="0.25">
      <c r="A168" t="s">
        <v>235</v>
      </c>
      <c r="B168">
        <v>6</v>
      </c>
      <c r="C168">
        <f>(SUMIF(Table2[Item],Table1[[#This Row],[item_name]],Table2[Quantity])+Table1[[#This Row],[qtyat12th]])- SUMIF(Sales!$C$1887:C2670,Table1[[#This Row],[item_name]],Sales!$D$1887:D2670)- SUMIF(Table7[item/loan],Table1[[#This Row],[item_name]],Table7[qty_if_item])</f>
        <v>6</v>
      </c>
      <c r="D168">
        <f>VLOOKUP(A168,Inventory!A:H,3,FALSE)</f>
        <v>30</v>
      </c>
      <c r="E168">
        <f>VLOOKUP(A168,Inventory!A:H,4,FALSE)</f>
        <v>50</v>
      </c>
      <c r="F168" t="s">
        <v>102</v>
      </c>
      <c r="G168" s="1"/>
      <c r="H168">
        <f t="shared" si="2"/>
        <v>167</v>
      </c>
    </row>
    <row r="169" spans="1:8" x14ac:dyDescent="0.25">
      <c r="A169" t="s">
        <v>328</v>
      </c>
      <c r="B169">
        <v>3</v>
      </c>
      <c r="C169">
        <f>(SUMIF(Table2[Item],Table1[[#This Row],[item_name]],Table2[Quantity])+Table1[[#This Row],[qtyat12th]])- SUMIF(Sales!$C$1887:C2671,Table1[[#This Row],[item_name]],Sales!$D$1887:D2671)- SUMIF(Table7[item/loan],Table1[[#This Row],[item_name]],Table7[qty_if_item])</f>
        <v>3</v>
      </c>
      <c r="D169">
        <v>69</v>
      </c>
      <c r="E169">
        <v>100</v>
      </c>
      <c r="F169" t="s">
        <v>102</v>
      </c>
      <c r="G169" s="1"/>
      <c r="H169">
        <f t="shared" si="2"/>
        <v>168</v>
      </c>
    </row>
    <row r="170" spans="1:8" x14ac:dyDescent="0.25">
      <c r="A170" t="s">
        <v>329</v>
      </c>
      <c r="B170">
        <v>5</v>
      </c>
      <c r="C170">
        <f>(SUMIF(Table2[Item],Table1[[#This Row],[item_name]],Table2[Quantity])+Table1[[#This Row],[qtyat12th]])- SUMIF(Sales!$C$1887:C2672,Table1[[#This Row],[item_name]],Sales!$D$1887:D2672)- SUMIF(Table7[item/loan],Table1[[#This Row],[item_name]],Table7[qty_if_item])</f>
        <v>4</v>
      </c>
      <c r="D170">
        <f>VLOOKUP(A170,Inventory!A:H,3,FALSE)</f>
        <v>37.5</v>
      </c>
      <c r="E170">
        <f>VLOOKUP(A170,Inventory!A:H,4,FALSE)</f>
        <v>50</v>
      </c>
      <c r="F170" t="str">
        <f>VLOOKUP(A170,Inventory!A:H,5,FALSE)</f>
        <v>personal care</v>
      </c>
      <c r="G170" s="1"/>
      <c r="H170">
        <f t="shared" si="2"/>
        <v>169</v>
      </c>
    </row>
    <row r="171" spans="1:8" x14ac:dyDescent="0.25">
      <c r="A171" t="s">
        <v>330</v>
      </c>
      <c r="B171">
        <v>3</v>
      </c>
      <c r="C171">
        <f>(SUMIF(Table2[Item],Table1[[#This Row],[item_name]],Table2[Quantity])+Table1[[#This Row],[qtyat12th]])- SUMIF(Sales!$C$1887:C2673,Table1[[#This Row],[item_name]],Sales!$D$1887:D2673)- SUMIF(Table7[item/loan],Table1[[#This Row],[item_name]],Table7[qty_if_item])</f>
        <v>3</v>
      </c>
      <c r="D171">
        <v>45</v>
      </c>
      <c r="E171">
        <v>60</v>
      </c>
      <c r="F171" t="s">
        <v>102</v>
      </c>
      <c r="G171" s="1"/>
      <c r="H171">
        <f t="shared" si="2"/>
        <v>170</v>
      </c>
    </row>
    <row r="172" spans="1:8" x14ac:dyDescent="0.25">
      <c r="A172" t="s">
        <v>150</v>
      </c>
      <c r="B172">
        <v>16</v>
      </c>
      <c r="C172">
        <f>(SUMIF(Table2[Item],Table1[[#This Row],[item_name]],Table2[Quantity])+Table1[[#This Row],[qtyat12th]])- SUMIF(Sales!$C$1887:C2674,Table1[[#This Row],[item_name]],Sales!$D$1887:D2674)- SUMIF(Table7[item/loan],Table1[[#This Row],[item_name]],Table7[qty_if_item])</f>
        <v>13</v>
      </c>
      <c r="D172">
        <f>VLOOKUP(A172,Inventory!A:H,3,FALSE)</f>
        <v>3</v>
      </c>
      <c r="E172">
        <f>VLOOKUP(A172,Inventory!A:H,4,FALSE)</f>
        <v>10</v>
      </c>
      <c r="F172" t="str">
        <f>VLOOKUP(A172,Inventory!A:H,5,FALSE)</f>
        <v>Shopping Bag</v>
      </c>
      <c r="G172" s="1"/>
      <c r="H172">
        <f t="shared" si="2"/>
        <v>171</v>
      </c>
    </row>
    <row r="173" spans="1:8" x14ac:dyDescent="0.25">
      <c r="A173" t="s">
        <v>152</v>
      </c>
      <c r="B173">
        <v>28</v>
      </c>
      <c r="C173">
        <f>(SUMIF(Table2[Item],Table1[[#This Row],[item_name]],Table2[Quantity])+Table1[[#This Row],[qtyat12th]])- SUMIF(Sales!$C$1887:C2675,Table1[[#This Row],[item_name]],Sales!$D$1887:D2675)- SUMIF(Table7[item/loan],Table1[[#This Row],[item_name]],Table7[qty_if_item])</f>
        <v>28</v>
      </c>
      <c r="D173">
        <f>VLOOKUP(A173,Inventory!A:H,3,FALSE)</f>
        <v>5</v>
      </c>
      <c r="E173">
        <f>VLOOKUP(A173,Inventory!A:H,4,FALSE)</f>
        <v>20</v>
      </c>
      <c r="F173" t="str">
        <f>VLOOKUP(A173,Inventory!A:H,5,FALSE)</f>
        <v>Shopping Bag</v>
      </c>
      <c r="G173" s="1"/>
      <c r="H173">
        <f t="shared" si="2"/>
        <v>172</v>
      </c>
    </row>
    <row r="174" spans="1:8" x14ac:dyDescent="0.25">
      <c r="A174" t="s">
        <v>148</v>
      </c>
      <c r="B174">
        <v>0</v>
      </c>
      <c r="C174">
        <f>(SUMIF(Table2[Item],Table1[[#This Row],[item_name]],Table2[Quantity])+Table1[[#This Row],[qtyat12th]])- SUMIF(Sales!$C$1887:C2676,Table1[[#This Row],[item_name]],Sales!$D$1887:D2676)- SUMIF(Table7[item/loan],Table1[[#This Row],[item_name]],Table7[qty_if_item])</f>
        <v>0</v>
      </c>
      <c r="D174">
        <f>VLOOKUP(A174,Inventory!A:H,3,FALSE)</f>
        <v>4.166666666666667</v>
      </c>
      <c r="E174">
        <f>VLOOKUP(A174,Inventory!A:H,4,FALSE)</f>
        <v>5</v>
      </c>
      <c r="F174" t="str">
        <f>VLOOKUP(A174,Inventory!A:H,5,FALSE)</f>
        <v>Snack</v>
      </c>
      <c r="G174" s="1"/>
      <c r="H174">
        <f t="shared" si="2"/>
        <v>173</v>
      </c>
    </row>
    <row r="175" spans="1:8" x14ac:dyDescent="0.25">
      <c r="A175" t="s">
        <v>197</v>
      </c>
      <c r="B175">
        <v>0</v>
      </c>
      <c r="C175">
        <f>(SUMIF(Table2[Item],Table1[[#This Row],[item_name]],Table2[Quantity])+Table1[[#This Row],[qtyat12th]])- SUMIF(Sales!$C$1887:C2677,Table1[[#This Row],[item_name]],Sales!$D$1887:D2677)- SUMIF(Table7[item/loan],Table1[[#This Row],[item_name]],Table7[qty_if_item])</f>
        <v>42</v>
      </c>
      <c r="D175">
        <f>VLOOKUP(A175,Inventory!A:H,3,FALSE)</f>
        <v>8.3333333333333339</v>
      </c>
      <c r="E175">
        <f>VLOOKUP(A175,Inventory!A:H,4,FALSE)</f>
        <v>10</v>
      </c>
      <c r="F175" t="str">
        <f>VLOOKUP(A175,Inventory!A:H,5,FALSE)</f>
        <v>Snack</v>
      </c>
      <c r="G175" s="1"/>
      <c r="H175">
        <f t="shared" si="2"/>
        <v>174</v>
      </c>
    </row>
    <row r="176" spans="1:8" x14ac:dyDescent="0.25">
      <c r="A176" t="s">
        <v>232</v>
      </c>
      <c r="B176">
        <v>9</v>
      </c>
      <c r="C176">
        <f>(SUMIF(Table2[Item],Table1[[#This Row],[item_name]],Table2[Quantity])+Table1[[#This Row],[qtyat12th]])- SUMIF(Sales!$C$1887:C2678,Table1[[#This Row],[item_name]],Sales!$D$1887:D2678)- SUMIF(Table7[item/loan],Table1[[#This Row],[item_name]],Table7[qty_if_item])</f>
        <v>24</v>
      </c>
      <c r="D176">
        <f>VLOOKUP(A176,Inventory!A:H,3,FALSE)</f>
        <v>8.3333333333333339</v>
      </c>
      <c r="E176">
        <f>VLOOKUP(A176,Inventory!A:H,4,FALSE)</f>
        <v>10</v>
      </c>
      <c r="F176" t="str">
        <f>VLOOKUP(A176,Inventory!A:H,5,FALSE)</f>
        <v>Snack</v>
      </c>
      <c r="G176" s="1">
        <v>45523</v>
      </c>
      <c r="H176">
        <f t="shared" si="2"/>
        <v>175</v>
      </c>
    </row>
    <row r="177" spans="1:8" x14ac:dyDescent="0.25">
      <c r="A177" t="s">
        <v>274</v>
      </c>
      <c r="B177">
        <v>47</v>
      </c>
      <c r="C177">
        <f>(SUMIF(Table2[Item],Table1[[#This Row],[item_name]],Table2[Quantity])+Table1[[#This Row],[qtyat12th]])- SUMIF(Sales!$C$1887:C2679,Table1[[#This Row],[item_name]],Sales!$D$1887:D2679)- SUMIF(Table7[item/loan],Table1[[#This Row],[item_name]],Table7[qty_if_item])</f>
        <v>91</v>
      </c>
      <c r="D177">
        <f>430/50</f>
        <v>8.6</v>
      </c>
      <c r="E177">
        <v>15</v>
      </c>
      <c r="F177" t="s">
        <v>45</v>
      </c>
      <c r="G177" s="1"/>
      <c r="H177">
        <f t="shared" si="2"/>
        <v>176</v>
      </c>
    </row>
    <row r="178" spans="1:8" x14ac:dyDescent="0.25">
      <c r="A178" t="s">
        <v>44</v>
      </c>
      <c r="B178">
        <v>14</v>
      </c>
      <c r="C178">
        <f>(SUMIF(Table2[Item],Table1[[#This Row],[item_name]],Table2[Quantity])+Table1[[#This Row],[qtyat12th]])- SUMIF(Sales!$C$1887:C2680,Table1[[#This Row],[item_name]],Sales!$D$1887:D2680)- SUMIF(Table7[item/loan],Table1[[#This Row],[item_name]],Table7[qty_if_item])</f>
        <v>11</v>
      </c>
      <c r="D178">
        <f>VLOOKUP(A178,Inventory!A:H,3,FALSE)</f>
        <v>8.8000000000000007</v>
      </c>
      <c r="E178">
        <f>VLOOKUP(A178,Inventory!A:H,4,FALSE)</f>
        <v>15</v>
      </c>
      <c r="F178" t="str">
        <f>VLOOKUP(A178,Inventory!A:H,5,FALSE)</f>
        <v>Snacks</v>
      </c>
      <c r="G178" s="1"/>
      <c r="H178">
        <f t="shared" si="2"/>
        <v>177</v>
      </c>
    </row>
    <row r="179" spans="1:8" x14ac:dyDescent="0.25">
      <c r="A179" t="s">
        <v>46</v>
      </c>
      <c r="B179">
        <v>24</v>
      </c>
      <c r="C179">
        <f>(SUMIF(Table2[Item],Table1[[#This Row],[item_name]],Table2[Quantity])+Table1[[#This Row],[qtyat12th]])- SUMIF(Sales!$C$1887:C2681,Table1[[#This Row],[item_name]],Sales!$D$1887:D2681)- SUMIF(Table7[item/loan],Table1[[#This Row],[item_name]],Table7[qty_if_item])</f>
        <v>74</v>
      </c>
      <c r="D179">
        <f>VLOOKUP(A179,Inventory!A:H,3,FALSE)</f>
        <v>8.8000000000000007</v>
      </c>
      <c r="E179">
        <f>VLOOKUP(A179,Inventory!A:H,4,FALSE)</f>
        <v>15</v>
      </c>
      <c r="F179" t="str">
        <f>VLOOKUP(A179,Inventory!A:H,5,FALSE)</f>
        <v>Snacks</v>
      </c>
      <c r="G179" s="1"/>
      <c r="H179">
        <f t="shared" si="2"/>
        <v>178</v>
      </c>
    </row>
    <row r="180" spans="1:8" x14ac:dyDescent="0.25">
      <c r="A180" t="s">
        <v>47</v>
      </c>
      <c r="B180">
        <v>29</v>
      </c>
      <c r="C180">
        <f>(SUMIF(Table2[Item],Table1[[#This Row],[item_name]],Table2[Quantity])+Table1[[#This Row],[qtyat12th]])- SUMIF(Sales!$C$1887:C2682,Table1[[#This Row],[item_name]],Sales!$D$1887:D2682)- SUMIF(Table7[item/loan],Table1[[#This Row],[item_name]],Table7[qty_if_item])</f>
        <v>20</v>
      </c>
      <c r="D180">
        <f>VLOOKUP(A180,Inventory!A:H,3,FALSE)</f>
        <v>8.6</v>
      </c>
      <c r="E180">
        <f>VLOOKUP(A180,Inventory!A:H,4,FALSE)</f>
        <v>15</v>
      </c>
      <c r="F180" t="str">
        <f>VLOOKUP(A180,Inventory!A:H,5,FALSE)</f>
        <v>Snacks</v>
      </c>
      <c r="G180" s="1"/>
      <c r="H180">
        <f t="shared" si="2"/>
        <v>179</v>
      </c>
    </row>
    <row r="181" spans="1:8" x14ac:dyDescent="0.25">
      <c r="A181" t="s">
        <v>48</v>
      </c>
      <c r="B181">
        <v>0</v>
      </c>
      <c r="C181">
        <f>(SUMIF(Table2[Item],Table1[[#This Row],[item_name]],Table2[Quantity])+Table1[[#This Row],[qtyat12th]])- SUMIF(Sales!$C$1887:C2683,Table1[[#This Row],[item_name]],Sales!$D$1887:D2683)- SUMIF(Table7[item/loan],Table1[[#This Row],[item_name]],Table7[qty_if_item])</f>
        <v>0</v>
      </c>
      <c r="D181">
        <f>VLOOKUP(A181,Inventory!A:H,3,FALSE)</f>
        <v>8.6</v>
      </c>
      <c r="E181">
        <f>VLOOKUP(A181,Inventory!A:H,4,FALSE)</f>
        <v>15</v>
      </c>
      <c r="F181" t="str">
        <f>VLOOKUP(A181,Inventory!A:H,5,FALSE)</f>
        <v>Snacks</v>
      </c>
      <c r="G181" s="1"/>
      <c r="H181">
        <f t="shared" si="2"/>
        <v>180</v>
      </c>
    </row>
    <row r="182" spans="1:8" x14ac:dyDescent="0.25">
      <c r="A182" t="s">
        <v>49</v>
      </c>
      <c r="B182">
        <v>10</v>
      </c>
      <c r="C182">
        <f>(SUMIF(Table2[Item],Table1[[#This Row],[item_name]],Table2[Quantity])+Table1[[#This Row],[qtyat12th]])- SUMIF(Sales!$C$1887:C2684,Table1[[#This Row],[item_name]],Sales!$D$1887:D2684)- SUMIF(Table7[item/loan],Table1[[#This Row],[item_name]],Table7[qty_if_item])</f>
        <v>21</v>
      </c>
      <c r="D182">
        <f>VLOOKUP(A182,Inventory!A:H,3,FALSE)</f>
        <v>22.916666666666668</v>
      </c>
      <c r="E182">
        <f>VLOOKUP(A182,Inventory!A:H,4,FALSE)</f>
        <v>30</v>
      </c>
      <c r="F182" t="str">
        <f>VLOOKUP(A182,Inventory!A:H,5,FALSE)</f>
        <v>Snacks</v>
      </c>
      <c r="G182" s="1"/>
      <c r="H182">
        <f t="shared" si="2"/>
        <v>181</v>
      </c>
    </row>
    <row r="183" spans="1:8" x14ac:dyDescent="0.25">
      <c r="A183" t="s">
        <v>277</v>
      </c>
      <c r="B183">
        <v>6</v>
      </c>
      <c r="C183">
        <f>(SUMIF(Table2[Item],Table1[[#This Row],[item_name]],Table2[Quantity])+Table1[[#This Row],[qtyat12th]])- SUMIF(Sales!$C$1887:C2685,Table1[[#This Row],[item_name]],Sales!$D$1887:D2685)- SUMIF(Table7[item/loan],Table1[[#This Row],[item_name]],Table7[qty_if_item])</f>
        <v>6</v>
      </c>
      <c r="D183">
        <f>550/24</f>
        <v>22.916666666666668</v>
      </c>
      <c r="E183">
        <v>30</v>
      </c>
      <c r="F183" t="s">
        <v>45</v>
      </c>
      <c r="G183" s="1"/>
      <c r="H183">
        <f t="shared" si="2"/>
        <v>182</v>
      </c>
    </row>
    <row r="184" spans="1:8" x14ac:dyDescent="0.25">
      <c r="A184" t="s">
        <v>50</v>
      </c>
      <c r="B184">
        <v>9</v>
      </c>
      <c r="C184">
        <f>(SUMIF(Table2[Item],Table1[[#This Row],[item_name]],Table2[Quantity])+Table1[[#This Row],[qtyat12th]])- SUMIF(Sales!$C$1887:C2686,Table1[[#This Row],[item_name]],Sales!$D$1887:D2686)- SUMIF(Table7[item/loan],Table1[[#This Row],[item_name]],Table7[qty_if_item])</f>
        <v>15</v>
      </c>
      <c r="D184">
        <f>VLOOKUP(A184,Inventory!A:H,3,FALSE)</f>
        <v>22.916666666666668</v>
      </c>
      <c r="E184">
        <f>VLOOKUP(A184,Inventory!A:H,4,FALSE)</f>
        <v>30</v>
      </c>
      <c r="F184" t="str">
        <f>VLOOKUP(A184,Inventory!A:H,5,FALSE)</f>
        <v>Snacks</v>
      </c>
      <c r="G184" s="1"/>
      <c r="H184">
        <f t="shared" si="2"/>
        <v>183</v>
      </c>
    </row>
    <row r="185" spans="1:8" x14ac:dyDescent="0.25">
      <c r="A185" t="s">
        <v>51</v>
      </c>
      <c r="B185">
        <v>20</v>
      </c>
      <c r="C185">
        <f>(SUMIF(Table2[Item],Table1[[#This Row],[item_name]],Table2[Quantity])+Table1[[#This Row],[qtyat12th]])- SUMIF(Sales!$C$1887:C2687,Table1[[#This Row],[item_name]],Sales!$D$1887:D2687)- SUMIF(Table7[item/loan],Table1[[#This Row],[item_name]],Table7[qty_if_item])</f>
        <v>16</v>
      </c>
      <c r="D185">
        <f>VLOOKUP(A185,Inventory!A:H,3,FALSE)</f>
        <v>3.75</v>
      </c>
      <c r="E185">
        <f>VLOOKUP(A185,Inventory!A:H,4,FALSE)</f>
        <v>5</v>
      </c>
      <c r="F185" t="str">
        <f>VLOOKUP(A185,Inventory!A:H,5,FALSE)</f>
        <v>Snacks</v>
      </c>
      <c r="G185" s="1"/>
      <c r="H185">
        <f t="shared" si="2"/>
        <v>184</v>
      </c>
    </row>
    <row r="186" spans="1:8" x14ac:dyDescent="0.25">
      <c r="A186" t="s">
        <v>52</v>
      </c>
      <c r="B186">
        <v>6</v>
      </c>
      <c r="C186">
        <f>(SUMIF(Table2[Item],Table1[[#This Row],[item_name]],Table2[Quantity])+Table1[[#This Row],[qtyat12th]])- SUMIF(Sales!$C$1887:C2688,Table1[[#This Row],[item_name]],Sales!$D$1887:D2688)- SUMIF(Table7[item/loan],Table1[[#This Row],[item_name]],Table7[qty_if_item])</f>
        <v>6</v>
      </c>
      <c r="D186">
        <f>VLOOKUP(A186,Inventory!A:H,3,FALSE)</f>
        <v>15.833333333333334</v>
      </c>
      <c r="E186">
        <f>VLOOKUP(A186,Inventory!A:H,4,FALSE)</f>
        <v>30</v>
      </c>
      <c r="F186" t="str">
        <f>VLOOKUP(A186,Inventory!A:H,5,FALSE)</f>
        <v>Snacks</v>
      </c>
      <c r="G186" s="1"/>
      <c r="H186">
        <f t="shared" si="2"/>
        <v>185</v>
      </c>
    </row>
    <row r="187" spans="1:8" x14ac:dyDescent="0.25">
      <c r="A187" t="s">
        <v>53</v>
      </c>
      <c r="B187">
        <v>8</v>
      </c>
      <c r="C187">
        <f>(SUMIF(Table2[Item],Table1[[#This Row],[item_name]],Table2[Quantity])+Table1[[#This Row],[qtyat12th]])- SUMIF(Sales!$C$1887:C2689,Table1[[#This Row],[item_name]],Sales!$D$1887:D2689)- SUMIF(Table7[item/loan],Table1[[#This Row],[item_name]],Table7[qty_if_item])</f>
        <v>34</v>
      </c>
      <c r="D187">
        <f>VLOOKUP(A187,Inventory!A:H,3,FALSE)</f>
        <v>10.666666666666666</v>
      </c>
      <c r="E187">
        <f>VLOOKUP(A187,Inventory!A:H,4,FALSE)</f>
        <v>20</v>
      </c>
      <c r="F187" t="str">
        <f>VLOOKUP(A187,Inventory!A:H,5,FALSE)</f>
        <v>Snacks</v>
      </c>
      <c r="G187" s="1"/>
      <c r="H187">
        <f t="shared" si="2"/>
        <v>186</v>
      </c>
    </row>
    <row r="188" spans="1:8" x14ac:dyDescent="0.25">
      <c r="A188" t="s">
        <v>54</v>
      </c>
      <c r="B188">
        <v>25</v>
      </c>
      <c r="C188">
        <f>(SUMIF(Table2[Item],Table1[[#This Row],[item_name]],Table2[Quantity])+Table1[[#This Row],[qtyat12th]])- SUMIF(Sales!$C$1887:C2690,Table1[[#This Row],[item_name]],Sales!$D$1887:D2690)- SUMIF(Table7[item/loan],Table1[[#This Row],[item_name]],Table7[qty_if_item])</f>
        <v>15</v>
      </c>
      <c r="D188">
        <f>VLOOKUP(A188,Inventory!A:H,3,FALSE)</f>
        <v>25</v>
      </c>
      <c r="E188">
        <f>VLOOKUP(A188,Inventory!A:H,4,FALSE)</f>
        <v>35</v>
      </c>
      <c r="F188" t="str">
        <f>VLOOKUP(A188,Inventory!A:H,5,FALSE)</f>
        <v>Snacks</v>
      </c>
      <c r="G188" s="1"/>
      <c r="H188">
        <f t="shared" si="2"/>
        <v>187</v>
      </c>
    </row>
    <row r="189" spans="1:8" x14ac:dyDescent="0.25">
      <c r="A189" t="s">
        <v>55</v>
      </c>
      <c r="B189">
        <v>8</v>
      </c>
      <c r="C189">
        <f>(SUMIF(Table2[Item],Table1[[#This Row],[item_name]],Table2[Quantity])+Table1[[#This Row],[qtyat12th]])- SUMIF(Sales!$C$1887:C2691,Table1[[#This Row],[item_name]],Sales!$D$1887:D2691)- SUMIF(Table7[item/loan],Table1[[#This Row],[item_name]],Table7[qty_if_item])</f>
        <v>0</v>
      </c>
      <c r="D189">
        <f>VLOOKUP(A189,Inventory!A:H,3,FALSE)</f>
        <v>25</v>
      </c>
      <c r="E189">
        <f>VLOOKUP(A189,Inventory!A:H,4,FALSE)</f>
        <v>35</v>
      </c>
      <c r="F189" t="str">
        <f>VLOOKUP(A189,Inventory!A:H,5,FALSE)</f>
        <v>Snacks</v>
      </c>
      <c r="G189" s="1"/>
      <c r="H189">
        <f t="shared" si="2"/>
        <v>188</v>
      </c>
    </row>
    <row r="190" spans="1:8" x14ac:dyDescent="0.25">
      <c r="A190" t="s">
        <v>56</v>
      </c>
      <c r="B190">
        <v>13</v>
      </c>
      <c r="C190">
        <f>(SUMIF(Table2[Item],Table1[[#This Row],[item_name]],Table2[Quantity])+Table1[[#This Row],[qtyat12th]])- SUMIF(Sales!$C$1887:C2692,Table1[[#This Row],[item_name]],Sales!$D$1887:D2692)- SUMIF(Table7[item/loan],Table1[[#This Row],[item_name]],Table7[qty_if_item])</f>
        <v>38</v>
      </c>
      <c r="D190">
        <f>VLOOKUP(A190,Inventory!A:H,3,FALSE)</f>
        <v>9.3333333333333339</v>
      </c>
      <c r="E190">
        <f>VLOOKUP(A190,Inventory!A:H,4,FALSE)</f>
        <v>15</v>
      </c>
      <c r="F190" t="str">
        <f>VLOOKUP(A190,Inventory!A:H,5,FALSE)</f>
        <v>Snacks</v>
      </c>
      <c r="G190" s="1"/>
      <c r="H190">
        <f t="shared" si="2"/>
        <v>189</v>
      </c>
    </row>
    <row r="191" spans="1:8" x14ac:dyDescent="0.25">
      <c r="A191" t="s">
        <v>57</v>
      </c>
      <c r="B191">
        <v>65</v>
      </c>
      <c r="C191">
        <f>(SUMIF(Table2[Item],Table1[[#This Row],[item_name]],Table2[Quantity])+Table1[[#This Row],[qtyat12th]])- SUMIF(Sales!$C$1887:C2693,Table1[[#This Row],[item_name]],Sales!$D$1887:D2693)- SUMIF(Table7[item/loan],Table1[[#This Row],[item_name]],Table7[qty_if_item])</f>
        <v>193</v>
      </c>
      <c r="D191">
        <f>VLOOKUP(A191,Inventory!A:H,3,FALSE)</f>
        <v>4.166666666666667</v>
      </c>
      <c r="E191">
        <f>VLOOKUP(A191,Inventory!A:H,4,FALSE)</f>
        <v>5</v>
      </c>
      <c r="F191" t="str">
        <f>VLOOKUP(A191,Inventory!A:H,5,FALSE)</f>
        <v>Snacks</v>
      </c>
      <c r="G191" s="1"/>
      <c r="H191">
        <f t="shared" si="2"/>
        <v>190</v>
      </c>
    </row>
    <row r="192" spans="1:8" x14ac:dyDescent="0.25">
      <c r="A192" t="s">
        <v>58</v>
      </c>
      <c r="B192">
        <v>31</v>
      </c>
      <c r="C192">
        <f>(SUMIF(Table2[Item],Table1[[#This Row],[item_name]],Table2[Quantity])+Table1[[#This Row],[qtyat12th]])- SUMIF(Sales!$C$1887:C2694,Table1[[#This Row],[item_name]],Sales!$D$1887:D2694)- SUMIF(Table7[item/loan],Table1[[#This Row],[item_name]],Table7[qty_if_item])</f>
        <v>77</v>
      </c>
      <c r="D192">
        <f>VLOOKUP(A192,Inventory!A:H,3,FALSE)</f>
        <v>4.333333333333333</v>
      </c>
      <c r="E192">
        <f>VLOOKUP(A192,Inventory!A:H,4,FALSE)</f>
        <v>5</v>
      </c>
      <c r="F192" t="str">
        <f>VLOOKUP(A192,Inventory!A:H,5,FALSE)</f>
        <v>Snacks</v>
      </c>
      <c r="G192" s="1"/>
      <c r="H192">
        <f t="shared" si="2"/>
        <v>191</v>
      </c>
    </row>
    <row r="193" spans="1:8" x14ac:dyDescent="0.25">
      <c r="A193" t="s">
        <v>59</v>
      </c>
      <c r="B193">
        <v>61</v>
      </c>
      <c r="C193">
        <f>(SUMIF(Table2[Item],Table1[[#This Row],[item_name]],Table2[Quantity])+Table1[[#This Row],[qtyat12th]])- SUMIF(Sales!$C$1887:C2695,Table1[[#This Row],[item_name]],Sales!$D$1887:D2695)- SUMIF(Table7[item/loan],Table1[[#This Row],[item_name]],Table7[qty_if_item])</f>
        <v>277</v>
      </c>
      <c r="D193">
        <f>VLOOKUP(A193,Inventory!A:H,3,FALSE)</f>
        <v>4.333333333333333</v>
      </c>
      <c r="E193">
        <f>VLOOKUP(A193,Inventory!A:H,4,FALSE)</f>
        <v>5</v>
      </c>
      <c r="F193" t="str">
        <f>VLOOKUP(A193,Inventory!A:H,5,FALSE)</f>
        <v>Snacks</v>
      </c>
      <c r="G193" s="1"/>
      <c r="H193">
        <f t="shared" si="2"/>
        <v>192</v>
      </c>
    </row>
    <row r="194" spans="1:8" x14ac:dyDescent="0.25">
      <c r="A194" t="s">
        <v>60</v>
      </c>
      <c r="B194">
        <v>1</v>
      </c>
      <c r="C194">
        <f>(SUMIF(Table2[Item],Table1[[#This Row],[item_name]],Table2[Quantity])+Table1[[#This Row],[qtyat12th]])- SUMIF(Sales!$C$1887:C2696,Table1[[#This Row],[item_name]],Sales!$D$1887:D2696)- SUMIF(Table7[item/loan],Table1[[#This Row],[item_name]],Table7[qty_if_item])</f>
        <v>8</v>
      </c>
      <c r="D194">
        <f>VLOOKUP(A194,Inventory!A:H,3,FALSE)</f>
        <v>90</v>
      </c>
      <c r="E194">
        <f>VLOOKUP(A194,Inventory!A:H,4,FALSE)</f>
        <v>100</v>
      </c>
      <c r="F194" t="str">
        <f>VLOOKUP(A194,Inventory!A:H,5,FALSE)</f>
        <v>Snacks</v>
      </c>
      <c r="G194" s="1"/>
      <c r="H194">
        <f t="shared" si="2"/>
        <v>193</v>
      </c>
    </row>
    <row r="195" spans="1:8" x14ac:dyDescent="0.25">
      <c r="A195" t="s">
        <v>61</v>
      </c>
      <c r="B195">
        <v>3</v>
      </c>
      <c r="C195">
        <f>(SUMIF(Table2[Item],Table1[[#This Row],[item_name]],Table2[Quantity])+Table1[[#This Row],[qtyat12th]])- SUMIF(Sales!$C$1887:C2697,Table1[[#This Row],[item_name]],Sales!$D$1887:D2697)- SUMIF(Table7[item/loan],Table1[[#This Row],[item_name]],Table7[qty_if_item])</f>
        <v>32</v>
      </c>
      <c r="D195">
        <f>VLOOKUP(A195,Inventory!A:H,3,FALSE)</f>
        <v>45</v>
      </c>
      <c r="E195">
        <f>VLOOKUP(A195,Inventory!A:H,4,FALSE)</f>
        <v>50</v>
      </c>
      <c r="F195" t="str">
        <f>VLOOKUP(A195,Inventory!A:H,5,FALSE)</f>
        <v>Snacks</v>
      </c>
      <c r="G195" s="1"/>
      <c r="H195">
        <f t="shared" si="2"/>
        <v>194</v>
      </c>
    </row>
    <row r="196" spans="1:8" x14ac:dyDescent="0.25">
      <c r="A196" t="s">
        <v>62</v>
      </c>
      <c r="B196">
        <v>1</v>
      </c>
      <c r="C196">
        <f>(SUMIF(Table2[Item],Table1[[#This Row],[item_name]],Table2[Quantity])+Table1[[#This Row],[qtyat12th]])- SUMIF(Sales!$C$1887:C2698,Table1[[#This Row],[item_name]],Sales!$D$1887:D2698)- SUMIF(Table7[item/loan],Table1[[#This Row],[item_name]],Table7[qty_if_item])</f>
        <v>1</v>
      </c>
      <c r="D196">
        <f>VLOOKUP(A196,Inventory!A:H,3,FALSE)</f>
        <v>28.333333333333332</v>
      </c>
      <c r="E196">
        <f>VLOOKUP(A196,Inventory!A:H,4,FALSE)</f>
        <v>35</v>
      </c>
      <c r="F196" t="str">
        <f>VLOOKUP(A196,Inventory!A:H,5,FALSE)</f>
        <v>Snacks</v>
      </c>
      <c r="G196" s="1"/>
      <c r="H196">
        <f t="shared" ref="H196:H259" si="3">1+H195</f>
        <v>195</v>
      </c>
    </row>
    <row r="197" spans="1:8" x14ac:dyDescent="0.25">
      <c r="A197" t="s">
        <v>63</v>
      </c>
      <c r="B197">
        <v>2</v>
      </c>
      <c r="C197">
        <f>(SUMIF(Table2[Item],Table1[[#This Row],[item_name]],Table2[Quantity])+Table1[[#This Row],[qtyat12th]])- SUMIF(Sales!$C$1887:C2699,Table1[[#This Row],[item_name]],Sales!$D$1887:D2699)- SUMIF(Table7[item/loan],Table1[[#This Row],[item_name]],Table7[qty_if_item])</f>
        <v>7</v>
      </c>
      <c r="D197">
        <f>VLOOKUP(A197,Inventory!A:H,3,FALSE)</f>
        <v>50</v>
      </c>
      <c r="E197">
        <f>VLOOKUP(A197,Inventory!A:H,4,FALSE)</f>
        <v>60</v>
      </c>
      <c r="F197" t="str">
        <f>VLOOKUP(A197,Inventory!A:H,5,FALSE)</f>
        <v>Snacks</v>
      </c>
      <c r="G197" s="1"/>
      <c r="H197">
        <f t="shared" si="3"/>
        <v>196</v>
      </c>
    </row>
    <row r="198" spans="1:8" x14ac:dyDescent="0.25">
      <c r="A198" t="s">
        <v>64</v>
      </c>
      <c r="B198">
        <v>17</v>
      </c>
      <c r="C198">
        <f>(SUMIF(Table2[Item],Table1[[#This Row],[item_name]],Table2[Quantity])+Table1[[#This Row],[qtyat12th]])- SUMIF(Sales!$C$1887:C2700,Table1[[#This Row],[item_name]],Sales!$D$1887:D2700)- SUMIF(Table7[item/loan],Table1[[#This Row],[item_name]],Table7[qty_if_item])</f>
        <v>107</v>
      </c>
      <c r="D198">
        <f>VLOOKUP(A198,Inventory!A:H,3,FALSE)</f>
        <v>4.166666666666667</v>
      </c>
      <c r="E198">
        <f>VLOOKUP(A198,Inventory!A:H,4,FALSE)</f>
        <v>5</v>
      </c>
      <c r="F198" t="str">
        <f>VLOOKUP(A198,Inventory!A:H,5,FALSE)</f>
        <v>Snacks</v>
      </c>
      <c r="G198" s="1"/>
      <c r="H198">
        <f t="shared" si="3"/>
        <v>197</v>
      </c>
    </row>
    <row r="199" spans="1:8" x14ac:dyDescent="0.25">
      <c r="A199" t="s">
        <v>65</v>
      </c>
      <c r="B199">
        <v>0</v>
      </c>
      <c r="C199">
        <f>(SUMIF(Table2[Item],Table1[[#This Row],[item_name]],Table2[Quantity])+Table1[[#This Row],[qtyat12th]])- SUMIF(Sales!$C$1887:C2701,Table1[[#This Row],[item_name]],Sales!$D$1887:D2701)- SUMIF(Table7[item/loan],Table1[[#This Row],[item_name]],Table7[qty_if_item])</f>
        <v>459</v>
      </c>
      <c r="D199">
        <f>VLOOKUP(A199,Inventory!A:H,3,FALSE)</f>
        <v>8.3333333333333339</v>
      </c>
      <c r="E199">
        <f>VLOOKUP(A199,Inventory!A:H,4,FALSE)</f>
        <v>10</v>
      </c>
      <c r="F199" t="str">
        <f>VLOOKUP(A199,Inventory!A:H,5,FALSE)</f>
        <v>Snacks</v>
      </c>
      <c r="G199" s="1"/>
      <c r="H199">
        <f t="shared" si="3"/>
        <v>198</v>
      </c>
    </row>
    <row r="200" spans="1:8" x14ac:dyDescent="0.25">
      <c r="A200" t="s">
        <v>66</v>
      </c>
      <c r="B200">
        <v>3</v>
      </c>
      <c r="C200">
        <f>(SUMIF(Table2[Item],Table1[[#This Row],[item_name]],Table2[Quantity])+Table1[[#This Row],[qtyat12th]])- SUMIF(Sales!$C$1887:C2702,Table1[[#This Row],[item_name]],Sales!$D$1887:D2702)- SUMIF(Table7[item/loan],Table1[[#This Row],[item_name]],Table7[qty_if_item])</f>
        <v>180</v>
      </c>
      <c r="D200">
        <f>VLOOKUP(A200,Inventory!A:H,3,FALSE)</f>
        <v>8.3333333333333339</v>
      </c>
      <c r="E200">
        <f>VLOOKUP(A200,Inventory!A:H,4,FALSE)</f>
        <v>10</v>
      </c>
      <c r="F200" t="str">
        <f>VLOOKUP(A200,Inventory!A:H,5,FALSE)</f>
        <v>Snacks</v>
      </c>
      <c r="G200" s="1"/>
      <c r="H200">
        <f t="shared" si="3"/>
        <v>199</v>
      </c>
    </row>
    <row r="201" spans="1:8" x14ac:dyDescent="0.25">
      <c r="A201" t="s">
        <v>145</v>
      </c>
      <c r="B201">
        <v>2</v>
      </c>
      <c r="C201">
        <f>(SUMIF(Table2[Item],Table1[[#This Row],[item_name]],Table2[Quantity])+Table1[[#This Row],[qtyat12th]])- SUMIF(Sales!$C$1887:C2703,Table1[[#This Row],[item_name]],Sales!$D$1887:D2703)- SUMIF(Table7[item/loan],Table1[[#This Row],[item_name]],Table7[qty_if_item])</f>
        <v>4</v>
      </c>
      <c r="D201">
        <f>VLOOKUP(A201,Inventory!A:H,3,FALSE)</f>
        <v>8.3333333333333339</v>
      </c>
      <c r="E201">
        <f>VLOOKUP(A201,Inventory!A:H,4,FALSE)</f>
        <v>10</v>
      </c>
      <c r="F201" t="str">
        <f>VLOOKUP(A201,Inventory!A:H,5,FALSE)</f>
        <v>Snacks</v>
      </c>
      <c r="G201" s="1"/>
      <c r="H201">
        <f t="shared" si="3"/>
        <v>200</v>
      </c>
    </row>
    <row r="202" spans="1:8" x14ac:dyDescent="0.25">
      <c r="A202" t="s">
        <v>220</v>
      </c>
      <c r="B202">
        <v>18</v>
      </c>
      <c r="C202">
        <f>(SUMIF(Table2[Item],Table1[[#This Row],[item_name]],Table2[Quantity])+Table1[[#This Row],[qtyat12th]])- SUMIF(Sales!$C$1887:C2704,Table1[[#This Row],[item_name]],Sales!$D$1887:D2704)- SUMIF(Table7[item/loan],Table1[[#This Row],[item_name]],Table7[qty_if_item])</f>
        <v>83</v>
      </c>
      <c r="D202">
        <f>VLOOKUP(A202,Inventory!A:H,3,FALSE)</f>
        <v>9</v>
      </c>
      <c r="E202">
        <f>VLOOKUP(A202,Inventory!A:H,4,FALSE)</f>
        <v>15</v>
      </c>
      <c r="F202" t="str">
        <f>VLOOKUP(A202,Inventory!A:H,5,FALSE)</f>
        <v>Snacks</v>
      </c>
      <c r="G202" s="1">
        <v>45687</v>
      </c>
      <c r="H202">
        <f t="shared" si="3"/>
        <v>201</v>
      </c>
    </row>
    <row r="203" spans="1:8" x14ac:dyDescent="0.25">
      <c r="A203" t="s">
        <v>221</v>
      </c>
      <c r="B203">
        <v>6</v>
      </c>
      <c r="C203">
        <f>(SUMIF(Table2[Item],Table1[[#This Row],[item_name]],Table2[Quantity])+Table1[[#This Row],[qtyat12th]])- SUMIF(Sales!$C$1887:C2705,Table1[[#This Row],[item_name]],Sales!$D$1887:D2705)- SUMIF(Table7[item/loan],Table1[[#This Row],[item_name]],Table7[qty_if_item])</f>
        <v>5</v>
      </c>
      <c r="D203">
        <f>VLOOKUP(A203,Inventory!A:H,3,FALSE)</f>
        <v>50</v>
      </c>
      <c r="E203">
        <f>VLOOKUP(A203,Inventory!A:H,4,FALSE)</f>
        <v>70</v>
      </c>
      <c r="F203" t="str">
        <f>VLOOKUP(A203,Inventory!A:H,5,FALSE)</f>
        <v>Snacks</v>
      </c>
      <c r="G203" s="1">
        <v>45728</v>
      </c>
      <c r="H203">
        <f t="shared" si="3"/>
        <v>202</v>
      </c>
    </row>
    <row r="204" spans="1:8" x14ac:dyDescent="0.25">
      <c r="A204" t="s">
        <v>12</v>
      </c>
      <c r="B204">
        <v>2</v>
      </c>
      <c r="C204">
        <f>(SUMIF(Table2[Item],Table1[[#This Row],[item_name]],Table2[Quantity])+Table1[[#This Row],[qtyat12th]])- SUMIF(Sales!$C$1887:C2706,Table1[[#This Row],[item_name]],Sales!$D$1887:D2706)- SUMIF(Table7[item/loan],Table1[[#This Row],[item_name]],Table7[qty_if_item])</f>
        <v>25</v>
      </c>
      <c r="D204">
        <f>VLOOKUP(A204,Inventory!A:H,3,FALSE)</f>
        <v>176.66666666666666</v>
      </c>
      <c r="E204">
        <f>VLOOKUP(A204,Inventory!A:H,4,FALSE)</f>
        <v>200</v>
      </c>
      <c r="F204" t="str">
        <f>VLOOKUP(A204,Inventory!A:H,5,FALSE)</f>
        <v>Soft Drinks</v>
      </c>
      <c r="G204" s="1"/>
      <c r="H204">
        <f t="shared" si="3"/>
        <v>203</v>
      </c>
    </row>
    <row r="205" spans="1:8" x14ac:dyDescent="0.25">
      <c r="A205" t="s">
        <v>13</v>
      </c>
      <c r="B205">
        <v>16</v>
      </c>
      <c r="C205">
        <f>(SUMIF(Table2[Item],Table1[[#This Row],[item_name]],Table2[Quantity])+Table1[[#This Row],[qtyat12th]])- SUMIF(Sales!$C$1887:C2707,Table1[[#This Row],[item_name]],Sales!$D$1887:D2707)- SUMIF(Table7[item/loan],Table1[[#This Row],[item_name]],Table7[qty_if_item])</f>
        <v>36</v>
      </c>
      <c r="D205">
        <f>VLOOKUP(A205,Inventory!A:H,3,FALSE)</f>
        <v>112.5</v>
      </c>
      <c r="E205">
        <f>VLOOKUP(A205,Inventory!A:H,4,FALSE)</f>
        <v>130</v>
      </c>
      <c r="F205" t="str">
        <f>VLOOKUP(A205,Inventory!A:H,5,FALSE)</f>
        <v>Soft Drinks</v>
      </c>
      <c r="G205" s="1"/>
      <c r="H205">
        <f t="shared" si="3"/>
        <v>204</v>
      </c>
    </row>
    <row r="206" spans="1:8" x14ac:dyDescent="0.25">
      <c r="A206" t="s">
        <v>14</v>
      </c>
      <c r="B206">
        <v>25</v>
      </c>
      <c r="C206">
        <f>(SUMIF(Table2[Item],Table1[[#This Row],[item_name]],Table2[Quantity])+Table1[[#This Row],[qtyat12th]])- SUMIF(Sales!$C$1887:C2708,Table1[[#This Row],[item_name]],Sales!$D$1887:D2708)- SUMIF(Table7[item/loan],Table1[[#This Row],[item_name]],Table7[qty_if_item])</f>
        <v>46</v>
      </c>
      <c r="D206">
        <f>VLOOKUP(A206,Inventory!A:H,3,FALSE)</f>
        <v>60.416666666666664</v>
      </c>
      <c r="E206">
        <f>VLOOKUP(A206,Inventory!A:H,4,FALSE)</f>
        <v>70</v>
      </c>
      <c r="F206" t="str">
        <f>VLOOKUP(A206,Inventory!A:H,5,FALSE)</f>
        <v>Soft Drinks</v>
      </c>
      <c r="G206" s="1"/>
      <c r="H206">
        <f t="shared" si="3"/>
        <v>205</v>
      </c>
    </row>
    <row r="207" spans="1:8" x14ac:dyDescent="0.25">
      <c r="A207" t="s">
        <v>15</v>
      </c>
      <c r="B207">
        <v>25</v>
      </c>
      <c r="C207">
        <f>(SUMIF(Table2[Item],Table1[[#This Row],[item_name]],Table2[Quantity])+Table1[[#This Row],[qtyat12th]])- SUMIF(Sales!$C$1887:C2709,Table1[[#This Row],[item_name]],Sales!$D$1887:D2709)- SUMIF(Table7[item/loan],Table1[[#This Row],[item_name]],Table7[qty_if_item])</f>
        <v>44</v>
      </c>
      <c r="D207">
        <f>VLOOKUP(A207,Inventory!A:H,3,FALSE)</f>
        <v>41.666666666666664</v>
      </c>
      <c r="E207">
        <f>VLOOKUP(A207,Inventory!A:H,4,FALSE)</f>
        <v>50</v>
      </c>
      <c r="F207" t="str">
        <f>VLOOKUP(A207,Inventory!A:H,5,FALSE)</f>
        <v>Soft Drinks</v>
      </c>
      <c r="G207" s="1"/>
      <c r="H207">
        <f t="shared" si="3"/>
        <v>206</v>
      </c>
    </row>
    <row r="208" spans="1:8" x14ac:dyDescent="0.25">
      <c r="A208" t="s">
        <v>16</v>
      </c>
      <c r="B208">
        <v>15</v>
      </c>
      <c r="C208">
        <f>(SUMIF(Table2[Item],Table1[[#This Row],[item_name]],Table2[Quantity])+Table1[[#This Row],[qtyat12th]])- SUMIF(Sales!$C$1887:C2710,Table1[[#This Row],[item_name]],Sales!$D$1887:D2710)- SUMIF(Table7[item/loan],Table1[[#This Row],[item_name]],Table7[qty_if_item])</f>
        <v>36</v>
      </c>
      <c r="D208">
        <f>VLOOKUP(A208,Inventory!A:H,3,FALSE)</f>
        <v>62.5</v>
      </c>
      <c r="E208">
        <f>VLOOKUP(A208,Inventory!A:H,4,FALSE)</f>
        <v>85</v>
      </c>
      <c r="F208" t="str">
        <f>VLOOKUP(A208,Inventory!A:H,5,FALSE)</f>
        <v>Soft Drinks</v>
      </c>
      <c r="G208" s="1"/>
      <c r="H208">
        <f t="shared" si="3"/>
        <v>207</v>
      </c>
    </row>
    <row r="209" spans="1:8" x14ac:dyDescent="0.25">
      <c r="A209" t="s">
        <v>17</v>
      </c>
      <c r="B209">
        <v>13</v>
      </c>
      <c r="C209">
        <f>(SUMIF(Table2[Item],Table1[[#This Row],[item_name]],Table2[Quantity])+Table1[[#This Row],[qtyat12th]])- SUMIF(Sales!$C$1887:C2711,Table1[[#This Row],[item_name]],Sales!$D$1887:D2711)- SUMIF(Table7[item/loan],Table1[[#This Row],[item_name]],Table7[qty_if_item])</f>
        <v>13</v>
      </c>
      <c r="D209">
        <f>VLOOKUP(A209,Inventory!A:H,3,FALSE)</f>
        <v>70.833333333333329</v>
      </c>
      <c r="E209">
        <f>VLOOKUP(A209,Inventory!A:H,4,FALSE)</f>
        <v>85</v>
      </c>
      <c r="F209" t="str">
        <f>VLOOKUP(A209,Inventory!A:H,5,FALSE)</f>
        <v>Soft Drinks</v>
      </c>
      <c r="G209" s="1"/>
      <c r="H209">
        <f t="shared" si="3"/>
        <v>208</v>
      </c>
    </row>
    <row r="210" spans="1:8" x14ac:dyDescent="0.25">
      <c r="A210" t="s">
        <v>19</v>
      </c>
      <c r="B210">
        <v>0</v>
      </c>
      <c r="C210">
        <f>(SUMIF(Table2[Item],Table1[[#This Row],[item_name]],Table2[Quantity])+Table1[[#This Row],[qtyat12th]])- SUMIF(Sales!$C$1887:C2712,Table1[[#This Row],[item_name]],Sales!$D$1887:D2712)- SUMIF(Table7[item/loan],Table1[[#This Row],[item_name]],Table7[qty_if_item])</f>
        <v>0</v>
      </c>
      <c r="D210">
        <f>VLOOKUP(A210,Inventory!A:H,3,FALSE)</f>
        <v>45.833333333333336</v>
      </c>
      <c r="E210">
        <f>VLOOKUP(A210,Inventory!A:H,4,FALSE)</f>
        <v>60</v>
      </c>
      <c r="F210" t="str">
        <f>VLOOKUP(A210,Inventory!A:H,5,FALSE)</f>
        <v>Soft Drinks</v>
      </c>
      <c r="G210" s="1"/>
      <c r="H210">
        <f t="shared" si="3"/>
        <v>209</v>
      </c>
    </row>
    <row r="211" spans="1:8" x14ac:dyDescent="0.25">
      <c r="A211" t="s">
        <v>20</v>
      </c>
      <c r="B211">
        <v>13</v>
      </c>
      <c r="C211">
        <f>(SUMIF(Table2[Item],Table1[[#This Row],[item_name]],Table2[Quantity])+Table1[[#This Row],[qtyat12th]])- SUMIF(Sales!$C$1887:C2713,Table1[[#This Row],[item_name]],Sales!$D$1887:D2713)- SUMIF(Table7[item/loan],Table1[[#This Row],[item_name]],Table7[qty_if_item])</f>
        <v>85</v>
      </c>
      <c r="D211">
        <f>VLOOKUP(A211,Inventory!A:H,3,FALSE)</f>
        <v>54.166666666666664</v>
      </c>
      <c r="E211">
        <f>VLOOKUP(A211,Inventory!A:H,4,FALSE)</f>
        <v>70</v>
      </c>
      <c r="F211" t="str">
        <f>VLOOKUP(A211,Inventory!A:H,5,FALSE)</f>
        <v>Soft Drinks</v>
      </c>
      <c r="G211" s="1"/>
      <c r="H211">
        <f t="shared" si="3"/>
        <v>210</v>
      </c>
    </row>
    <row r="212" spans="1:8" x14ac:dyDescent="0.25">
      <c r="A212" t="s">
        <v>21</v>
      </c>
      <c r="B212">
        <v>48</v>
      </c>
      <c r="C212">
        <f>(SUMIF(Table2[Item],Table1[[#This Row],[item_name]],Table2[Quantity])+Table1[[#This Row],[qtyat12th]])- SUMIF(Sales!$C$1887:C2714,Table1[[#This Row],[item_name]],Sales!$D$1887:D2714)- SUMIF(Table7[item/loan],Table1[[#This Row],[item_name]],Table7[qty_if_item])</f>
        <v>87</v>
      </c>
      <c r="D212">
        <f>VLOOKUP(A212,Inventory!A:H,3,FALSE)</f>
        <v>32.5</v>
      </c>
      <c r="E212">
        <f>VLOOKUP(A212,Inventory!A:H,4,FALSE)</f>
        <v>40</v>
      </c>
      <c r="F212" t="str">
        <f>VLOOKUP(A212,Inventory!A:H,5,FALSE)</f>
        <v>Soft Drinks</v>
      </c>
      <c r="G212" s="1"/>
      <c r="H212">
        <f t="shared" si="3"/>
        <v>211</v>
      </c>
    </row>
    <row r="213" spans="1:8" x14ac:dyDescent="0.25">
      <c r="A213" t="s">
        <v>22</v>
      </c>
      <c r="B213">
        <f>51-2</f>
        <v>49</v>
      </c>
      <c r="C213">
        <f>(SUMIF(Table2[Item],Table1[[#This Row],[item_name]],Table2[Quantity])+Table1[[#This Row],[qtyat12th]])- SUMIF(Sales!$C$1887:C2715,Table1[[#This Row],[item_name]],Sales!$D$1887:D2715)- SUMIF(Table7[item/loan],Table1[[#This Row],[item_name]],Table7[qty_if_item])</f>
        <v>108</v>
      </c>
      <c r="D213">
        <f>VLOOKUP(A213,Inventory!A:H,3,FALSE)</f>
        <v>50</v>
      </c>
      <c r="E213">
        <f>VLOOKUP(A213,Inventory!A:H,4,FALSE)</f>
        <v>55</v>
      </c>
      <c r="F213" t="str">
        <f>VLOOKUP(A213,Inventory!A:H,5,FALSE)</f>
        <v>Soft Drinks</v>
      </c>
      <c r="G213" s="1"/>
      <c r="H213">
        <f t="shared" si="3"/>
        <v>212</v>
      </c>
    </row>
    <row r="214" spans="1:8" x14ac:dyDescent="0.25">
      <c r="A214" t="s">
        <v>23</v>
      </c>
      <c r="B214">
        <v>1</v>
      </c>
      <c r="C214">
        <f>(SUMIF(Table2[Item],Table1[[#This Row],[item_name]],Table2[Quantity])+Table1[[#This Row],[qtyat12th]])- SUMIF(Sales!$C$1887:C2716,Table1[[#This Row],[item_name]],Sales!$D$1887:D2716)- SUMIF(Table7[item/loan],Table1[[#This Row],[item_name]],Table7[qty_if_item])</f>
        <v>25</v>
      </c>
      <c r="D214">
        <f>VLOOKUP(A214,Inventory!A:H,3,FALSE)</f>
        <v>15</v>
      </c>
      <c r="E214">
        <f>VLOOKUP(A214,Inventory!A:H,4,FALSE)</f>
        <v>20</v>
      </c>
      <c r="F214" t="str">
        <f>VLOOKUP(A214,Inventory!A:H,5,FALSE)</f>
        <v>Soft Drinks</v>
      </c>
      <c r="G214" s="1"/>
      <c r="H214">
        <f t="shared" si="3"/>
        <v>213</v>
      </c>
    </row>
    <row r="215" spans="1:8" x14ac:dyDescent="0.25">
      <c r="A215" t="s">
        <v>199</v>
      </c>
      <c r="B215">
        <v>6</v>
      </c>
      <c r="C215">
        <f>(SUMIF(Table2[Item],Table1[[#This Row],[item_name]],Table2[Quantity])+Table1[[#This Row],[qtyat12th]])- SUMIF(Sales!$C$1887:C2717,Table1[[#This Row],[item_name]],Sales!$D$1887:D2717)- SUMIF(Table7[item/loan],Table1[[#This Row],[item_name]],Table7[qty_if_item])</f>
        <v>16</v>
      </c>
      <c r="D215">
        <f>VLOOKUP(A215,Inventory!A:H,3,FALSE)</f>
        <v>58.333333333333336</v>
      </c>
      <c r="E215">
        <f>VLOOKUP(A215,Inventory!A:H,4,FALSE)</f>
        <v>70</v>
      </c>
      <c r="F215" t="s">
        <v>295</v>
      </c>
      <c r="G215" s="1"/>
      <c r="H215">
        <f t="shared" si="3"/>
        <v>214</v>
      </c>
    </row>
    <row r="216" spans="1:8" x14ac:dyDescent="0.25">
      <c r="A216" t="s">
        <v>200</v>
      </c>
      <c r="B216">
        <v>3</v>
      </c>
      <c r="C216">
        <f>(SUMIF(Table2[Item],Table1[[#This Row],[item_name]],Table2[Quantity])+Table1[[#This Row],[qtyat12th]])- SUMIF(Sales!$C$1887:C2718,Table1[[#This Row],[item_name]],Sales!$D$1887:D2718)- SUMIF(Table7[item/loan],Table1[[#This Row],[item_name]],Table7[qty_if_item])</f>
        <v>3</v>
      </c>
      <c r="D216">
        <f>VLOOKUP(A216,Inventory!A:H,3,FALSE)</f>
        <v>250</v>
      </c>
      <c r="E216">
        <f>VLOOKUP(A216,Inventory!A:H,4,FALSE)</f>
        <v>350</v>
      </c>
      <c r="F216" t="s">
        <v>295</v>
      </c>
      <c r="G216" s="1"/>
      <c r="H216">
        <f t="shared" si="3"/>
        <v>215</v>
      </c>
    </row>
    <row r="217" spans="1:8" x14ac:dyDescent="0.25">
      <c r="A217" t="s">
        <v>155</v>
      </c>
      <c r="B217">
        <v>30</v>
      </c>
      <c r="C217">
        <f>(SUMIF(Table2[Item],Table1[[#This Row],[item_name]],Table2[Quantity])+Table1[[#This Row],[qtyat12th]])- SUMIF(Sales!$C$1887:C2719,Table1[[#This Row],[item_name]],Sales!$D$1887:D2719)- SUMIF(Table7[item/loan],Table1[[#This Row],[item_name]],Table7[qty_if_item])</f>
        <v>30</v>
      </c>
      <c r="D217">
        <f>VLOOKUP(A217,Inventory!A:H,3,FALSE)</f>
        <v>7.5</v>
      </c>
      <c r="E217">
        <f>VLOOKUP(A217,Inventory!A:H,4,FALSE)</f>
        <v>10</v>
      </c>
      <c r="F217" t="str">
        <f>VLOOKUP(A217,Inventory!A:H,5,FALSE)</f>
        <v>Stationery</v>
      </c>
      <c r="G217" s="1"/>
      <c r="H217">
        <f t="shared" si="3"/>
        <v>216</v>
      </c>
    </row>
    <row r="218" spans="1:8" x14ac:dyDescent="0.25">
      <c r="A218" t="s">
        <v>178</v>
      </c>
      <c r="B218">
        <v>36</v>
      </c>
      <c r="C218">
        <f>(SUMIF(Table2[Item],Table1[[#This Row],[item_name]],Table2[Quantity])+Table1[[#This Row],[qtyat12th]])- SUMIF(Sales!$C$1887:C2720,Table1[[#This Row],[item_name]],Sales!$D$1887:D2720)- SUMIF(Table7[item/loan],Table1[[#This Row],[item_name]],Table7[qty_if_item])</f>
        <v>35</v>
      </c>
      <c r="D218">
        <f>VLOOKUP(A218,Inventory!A:H,3,FALSE)</f>
        <v>10</v>
      </c>
      <c r="E218">
        <f>VLOOKUP(A218,Inventory!A:H,4,FALSE)</f>
        <v>15</v>
      </c>
      <c r="F218" t="s">
        <v>156</v>
      </c>
      <c r="G218" s="1"/>
      <c r="H218">
        <f t="shared" si="3"/>
        <v>217</v>
      </c>
    </row>
    <row r="219" spans="1:8" x14ac:dyDescent="0.25">
      <c r="A219" t="s">
        <v>181</v>
      </c>
      <c r="B219">
        <v>27</v>
      </c>
      <c r="C219">
        <f>(SUMIF(Table2[Item],Table1[[#This Row],[item_name]],Table2[Quantity])+Table1[[#This Row],[qtyat12th]])- SUMIF(Sales!$C$1887:C2721,Table1[[#This Row],[item_name]],Sales!$D$1887:D2721)- SUMIF(Table7[item/loan],Table1[[#This Row],[item_name]],Table7[qty_if_item])</f>
        <v>27</v>
      </c>
      <c r="D219">
        <f>VLOOKUP(A219,Inventory!A:H,3,FALSE)</f>
        <v>9.375</v>
      </c>
      <c r="E219">
        <f>VLOOKUP(A219,Inventory!A:H,4,FALSE)</f>
        <v>15</v>
      </c>
      <c r="F219" t="s">
        <v>156</v>
      </c>
      <c r="G219" s="1"/>
      <c r="H219">
        <f t="shared" si="3"/>
        <v>218</v>
      </c>
    </row>
    <row r="220" spans="1:8" x14ac:dyDescent="0.25">
      <c r="A220" t="s">
        <v>189</v>
      </c>
      <c r="B220">
        <v>8</v>
      </c>
      <c r="C220">
        <f>(SUMIF(Table2[Item],Table1[[#This Row],[item_name]],Table2[Quantity])+Table1[[#This Row],[qtyat12th]])- SUMIF(Sales!$C$1887:C2722,Table1[[#This Row],[item_name]],Sales!$D$1887:D2722)- SUMIF(Table7[item/loan],Table1[[#This Row],[item_name]],Table7[qty_if_item])</f>
        <v>8</v>
      </c>
      <c r="D220">
        <f>VLOOKUP(A220,Inventory!A:H,3,FALSE)</f>
        <v>23.333333333333332</v>
      </c>
      <c r="E220">
        <f>VLOOKUP(A220,Inventory!A:H,4,FALSE)</f>
        <v>30</v>
      </c>
      <c r="F220" t="s">
        <v>156</v>
      </c>
      <c r="G220" s="1"/>
      <c r="H220">
        <f t="shared" si="3"/>
        <v>219</v>
      </c>
    </row>
    <row r="221" spans="1:8" x14ac:dyDescent="0.25">
      <c r="A221" t="s">
        <v>190</v>
      </c>
      <c r="B221">
        <v>83</v>
      </c>
      <c r="C221">
        <f>(SUMIF(Table2[Item],Table1[[#This Row],[item_name]],Table2[Quantity])+Table1[[#This Row],[qtyat12th]])- SUMIF(Sales!$C$1887:C2723,Table1[[#This Row],[item_name]],Sales!$D$1887:D2723)- SUMIF(Table7[item/loan],Table1[[#This Row],[item_name]],Table7[qty_if_item])</f>
        <v>83</v>
      </c>
      <c r="D221">
        <f>VLOOKUP(A221,Inventory!A:H,3,FALSE)</f>
        <v>2</v>
      </c>
      <c r="E221">
        <f>VLOOKUP(A221,Inventory!A:H,4,FALSE)</f>
        <v>5</v>
      </c>
      <c r="F221" t="s">
        <v>156</v>
      </c>
      <c r="G221" s="1"/>
      <c r="H221">
        <f t="shared" si="3"/>
        <v>220</v>
      </c>
    </row>
    <row r="222" spans="1:8" x14ac:dyDescent="0.25">
      <c r="A222" t="s">
        <v>191</v>
      </c>
      <c r="B222">
        <v>59</v>
      </c>
      <c r="C222">
        <f>(SUMIF(Table2[Item],Table1[[#This Row],[item_name]],Table2[Quantity])+Table1[[#This Row],[qtyat12th]])- SUMIF(Sales!$C$1887:C2724,Table1[[#This Row],[item_name]],Sales!$D$1887:D2724)- SUMIF(Table7[item/loan],Table1[[#This Row],[item_name]],Table7[qty_if_item])</f>
        <v>59</v>
      </c>
      <c r="D222">
        <f>VLOOKUP(A222,Inventory!A:H,3,FALSE)</f>
        <v>5.6</v>
      </c>
      <c r="E222">
        <f>VLOOKUP(A222,Inventory!A:H,4,FALSE)</f>
        <v>10</v>
      </c>
      <c r="F222" t="str">
        <f>VLOOKUP(A222,Inventory!A:H,5,FALSE)</f>
        <v>Stationery</v>
      </c>
      <c r="G222" s="1"/>
      <c r="H222">
        <f t="shared" si="3"/>
        <v>221</v>
      </c>
    </row>
    <row r="223" spans="1:8" x14ac:dyDescent="0.25">
      <c r="A223" t="s">
        <v>196</v>
      </c>
      <c r="B223">
        <v>3</v>
      </c>
      <c r="C223">
        <f>(SUMIF(Table2[Item],Table1[[#This Row],[item_name]],Table2[Quantity])+Table1[[#This Row],[qtyat12th]])- SUMIF(Sales!$C$1887:C2725,Table1[[#This Row],[item_name]],Sales!$D$1887:D2725)- SUMIF(Table7[item/loan],Table1[[#This Row],[item_name]],Table7[qty_if_item])</f>
        <v>3</v>
      </c>
      <c r="D223">
        <f>VLOOKUP(A223,Inventory!A:H,3,FALSE)</f>
        <v>15</v>
      </c>
      <c r="E223">
        <f>VLOOKUP(A223,Inventory!A:H,4,FALSE)</f>
        <v>30</v>
      </c>
      <c r="F223" t="s">
        <v>156</v>
      </c>
      <c r="G223" s="1"/>
      <c r="H223">
        <f t="shared" si="3"/>
        <v>222</v>
      </c>
    </row>
    <row r="224" spans="1:8" x14ac:dyDescent="0.25">
      <c r="A224" t="s">
        <v>331</v>
      </c>
      <c r="B224">
        <v>46</v>
      </c>
      <c r="C224">
        <f>(SUMIF(Table2[Item],Table1[[#This Row],[item_name]],Table2[Quantity])+Table1[[#This Row],[qtyat12th]])- SUMIF(Sales!$C$1887:C2726,Table1[[#This Row],[item_name]],Sales!$D$1887:D2726)- SUMIF(Table7[item/loan],Table1[[#This Row],[item_name]],Table7[qty_if_item])</f>
        <v>45</v>
      </c>
      <c r="D224">
        <f>250/50</f>
        <v>5</v>
      </c>
      <c r="E224">
        <v>10</v>
      </c>
      <c r="F224" t="s">
        <v>156</v>
      </c>
      <c r="G224" s="1"/>
      <c r="H224">
        <f t="shared" si="3"/>
        <v>223</v>
      </c>
    </row>
    <row r="225" spans="1:8" x14ac:dyDescent="0.25">
      <c r="A225" t="s">
        <v>332</v>
      </c>
      <c r="B225">
        <v>48</v>
      </c>
      <c r="C225">
        <f>(SUMIF(Table2[Item],Table1[[#This Row],[item_name]],Table2[Quantity])+Table1[[#This Row],[qtyat12th]])- SUMIF(Sales!$C$1887:C2727,Table1[[#This Row],[item_name]],Sales!$D$1887:D2727)- SUMIF(Table7[item/loan],Table1[[#This Row],[item_name]],Table7[qty_if_item])</f>
        <v>48</v>
      </c>
      <c r="D225">
        <f>250/50</f>
        <v>5</v>
      </c>
      <c r="E225">
        <v>10</v>
      </c>
      <c r="F225" t="s">
        <v>156</v>
      </c>
      <c r="G225" s="1"/>
      <c r="H225">
        <f t="shared" si="3"/>
        <v>224</v>
      </c>
    </row>
    <row r="226" spans="1:8" x14ac:dyDescent="0.25">
      <c r="A226" t="s">
        <v>333</v>
      </c>
      <c r="B226">
        <v>26</v>
      </c>
      <c r="C226">
        <f>(SUMIF(Table2[Item],Table1[[#This Row],[item_name]],Table2[Quantity])+Table1[[#This Row],[qtyat12th]])- SUMIF(Sales!$C$1887:C2728,Table1[[#This Row],[item_name]],Sales!$D$1887:D2728)- SUMIF(Table7[item/loan],Table1[[#This Row],[item_name]],Table7[qty_if_item])</f>
        <v>26</v>
      </c>
      <c r="D226">
        <f>250/50</f>
        <v>5</v>
      </c>
      <c r="E226">
        <v>10</v>
      </c>
      <c r="F226" t="s">
        <v>156</v>
      </c>
      <c r="G226" s="1"/>
      <c r="H226">
        <f t="shared" si="3"/>
        <v>225</v>
      </c>
    </row>
    <row r="227" spans="1:8" x14ac:dyDescent="0.25">
      <c r="A227" t="s">
        <v>225</v>
      </c>
      <c r="B227">
        <v>25</v>
      </c>
      <c r="C227">
        <f>(SUMIF(Table2[Item],Table1[[#This Row],[item_name]],Table2[Quantity])+Table1[[#This Row],[qtyat12th]])- SUMIF(Sales!$C$1887:C2729,Table1[[#This Row],[item_name]],Sales!$D$1887:D2729)- SUMIF(Table7[item/loan],Table1[[#This Row],[item_name]],Table7[qty_if_item])</f>
        <v>25</v>
      </c>
      <c r="D227">
        <f>VLOOKUP(A227,Inventory!A:H,3,FALSE)</f>
        <v>10</v>
      </c>
      <c r="E227">
        <f>VLOOKUP(A227,Inventory!A:H,4,FALSE)</f>
        <v>15</v>
      </c>
      <c r="F227" t="s">
        <v>156</v>
      </c>
      <c r="G227" s="1"/>
      <c r="H227">
        <f t="shared" si="3"/>
        <v>226</v>
      </c>
    </row>
    <row r="228" spans="1:8" x14ac:dyDescent="0.25">
      <c r="A228" t="s">
        <v>230</v>
      </c>
      <c r="B228">
        <v>71</v>
      </c>
      <c r="C228">
        <f>(SUMIF(Table2[Item],Table1[[#This Row],[item_name]],Table2[Quantity])+Table1[[#This Row],[qtyat12th]])- SUMIF(Sales!$C$1887:C2730,Table1[[#This Row],[item_name]],Sales!$D$1887:D2730)- SUMIF(Table7[item/loan],Table1[[#This Row],[item_name]],Table7[qty_if_item])</f>
        <v>71</v>
      </c>
      <c r="D228">
        <f>VLOOKUP(A228,Inventory!A:H,3,FALSE)</f>
        <v>5</v>
      </c>
      <c r="E228">
        <f>VLOOKUP(A228,Inventory!A:H,4,FALSE)</f>
        <v>15</v>
      </c>
      <c r="F228" t="str">
        <f>VLOOKUP(A228,Inventory!A:H,5,FALSE)</f>
        <v>Stationery</v>
      </c>
      <c r="G228" s="1"/>
      <c r="H228">
        <f t="shared" si="3"/>
        <v>227</v>
      </c>
    </row>
    <row r="229" spans="1:8" x14ac:dyDescent="0.25">
      <c r="A229" t="s">
        <v>67</v>
      </c>
      <c r="B229">
        <v>16</v>
      </c>
      <c r="C229">
        <f>(SUMIF(Table2[Item],Table1[[#This Row],[item_name]],Table2[Quantity])+Table1[[#This Row],[qtyat12th]])- SUMIF(Sales!$C$1887:C2731,Table1[[#This Row],[item_name]],Sales!$D$1887:D2731)- SUMIF(Table7[item/loan],Table1[[#This Row],[item_name]],Table7[qty_if_item])</f>
        <v>59</v>
      </c>
      <c r="D229">
        <f>VLOOKUP(A229,Inventory!A:H,3,FALSE)</f>
        <v>5</v>
      </c>
      <c r="E229">
        <f>VLOOKUP(A229,Inventory!A:H,4,FALSE)</f>
        <v>10</v>
      </c>
      <c r="F229" t="str">
        <f>VLOOKUP(A229,Inventory!A:H,5,FALSE)</f>
        <v>Sweets</v>
      </c>
      <c r="G229" s="1"/>
      <c r="H229">
        <f t="shared" si="3"/>
        <v>228</v>
      </c>
    </row>
    <row r="230" spans="1:8" x14ac:dyDescent="0.25">
      <c r="A230" t="s">
        <v>69</v>
      </c>
      <c r="B230">
        <v>36</v>
      </c>
      <c r="C230">
        <f>(SUMIF(Table2[Item],Table1[[#This Row],[item_name]],Table2[Quantity])+Table1[[#This Row],[qtyat12th]])- SUMIF(Sales!$C$1887:C2732,Table1[[#This Row],[item_name]],Sales!$D$1887:D2732)- SUMIF(Table7[item/loan],Table1[[#This Row],[item_name]],Table7[qty_if_item])</f>
        <v>30</v>
      </c>
      <c r="D230">
        <f>VLOOKUP(A230,Inventory!A:H,3,FALSE)</f>
        <v>5</v>
      </c>
      <c r="E230">
        <f>VLOOKUP(A230,Inventory!A:H,4,FALSE)</f>
        <v>10</v>
      </c>
      <c r="F230" t="str">
        <f>VLOOKUP(A230,Inventory!A:H,5,FALSE)</f>
        <v>Sweets</v>
      </c>
      <c r="G230" s="1"/>
      <c r="H230">
        <f t="shared" si="3"/>
        <v>229</v>
      </c>
    </row>
    <row r="231" spans="1:8" x14ac:dyDescent="0.25">
      <c r="A231" t="s">
        <v>70</v>
      </c>
      <c r="B231">
        <f>54*2</f>
        <v>108</v>
      </c>
      <c r="C231">
        <f>(SUMIF(Table2[Item],Table1[[#This Row],[item_name]],Table2[Quantity])+Table1[[#This Row],[qtyat12th]])- SUMIF(Sales!$C$1887:C2733,Table1[[#This Row],[item_name]],Sales!$D$1887:D2733)- SUMIF(Table7[item/loan],Table1[[#This Row],[item_name]],Table7[qty_if_item])</f>
        <v>241</v>
      </c>
      <c r="D231">
        <f>VLOOKUP(A231,Inventory!A:H,3,FALSE)</f>
        <v>1.2</v>
      </c>
      <c r="E231">
        <f>VLOOKUP(A231,Inventory!A:H,4,FALSE)</f>
        <v>2.5</v>
      </c>
      <c r="F231" t="str">
        <f>VLOOKUP(A231,Inventory!A:H,5,FALSE)</f>
        <v>Sweets</v>
      </c>
      <c r="G231" s="1"/>
      <c r="H231">
        <f t="shared" si="3"/>
        <v>230</v>
      </c>
    </row>
    <row r="232" spans="1:8" x14ac:dyDescent="0.25">
      <c r="A232" t="s">
        <v>71</v>
      </c>
      <c r="B232">
        <f>44*2</f>
        <v>88</v>
      </c>
      <c r="C232">
        <f>(SUMIF(Table2[Item],Table1[[#This Row],[item_name]],Table2[Quantity])+Table1[[#This Row],[qtyat12th]])- SUMIF(Sales!$C$1887:C2734,Table1[[#This Row],[item_name]],Sales!$D$1887:D2734)- SUMIF(Table7[item/loan],Table1[[#This Row],[item_name]],Table7[qty_if_item])</f>
        <v>226</v>
      </c>
      <c r="D232">
        <f>VLOOKUP(A232,Inventory!A:H,3,FALSE)</f>
        <v>1.2</v>
      </c>
      <c r="E232">
        <f>VLOOKUP(A232,Inventory!A:H,4,FALSE)</f>
        <v>2.5</v>
      </c>
      <c r="F232" t="str">
        <f>VLOOKUP(A232,Inventory!A:H,5,FALSE)</f>
        <v>Sweets</v>
      </c>
      <c r="G232" s="1"/>
      <c r="H232">
        <f t="shared" si="3"/>
        <v>231</v>
      </c>
    </row>
    <row r="233" spans="1:8" x14ac:dyDescent="0.25">
      <c r="A233" t="s">
        <v>72</v>
      </c>
      <c r="B233">
        <v>24</v>
      </c>
      <c r="C233">
        <f>(SUMIF(Table2[Item],Table1[[#This Row],[item_name]],Table2[Quantity])+Table1[[#This Row],[qtyat12th]])- SUMIF(Sales!$C$1887:C2735,Table1[[#This Row],[item_name]],Sales!$D$1887:D2735)- SUMIF(Table7[item/loan],Table1[[#This Row],[item_name]],Table7[qty_if_item])</f>
        <v>49</v>
      </c>
      <c r="D233">
        <f>VLOOKUP(A233,Inventory!A:H,3,FALSE)</f>
        <v>2.4</v>
      </c>
      <c r="E233">
        <f>VLOOKUP(A233,Inventory!A:H,4,FALSE)</f>
        <v>5</v>
      </c>
      <c r="F233" t="str">
        <f>VLOOKUP(A233,Inventory!A:H,5,FALSE)</f>
        <v>Sweets</v>
      </c>
      <c r="G233" s="1"/>
      <c r="H233">
        <f t="shared" si="3"/>
        <v>232</v>
      </c>
    </row>
    <row r="234" spans="1:8" x14ac:dyDescent="0.25">
      <c r="A234" t="s">
        <v>73</v>
      </c>
      <c r="B234">
        <f>19*2</f>
        <v>38</v>
      </c>
      <c r="C234">
        <f>(SUMIF(Table2[Item],Table1[[#This Row],[item_name]],Table2[Quantity])+Table1[[#This Row],[qtyat12th]])- SUMIF(Sales!$C$1887:C2736,Table1[[#This Row],[item_name]],Sales!$D$1887:D2736)- SUMIF(Table7[item/loan],Table1[[#This Row],[item_name]],Table7[qty_if_item])</f>
        <v>242</v>
      </c>
      <c r="D234">
        <f>VLOOKUP(A234,Inventory!A:H,3,FALSE)</f>
        <v>6</v>
      </c>
      <c r="E234">
        <f>VLOOKUP(A234,Inventory!A:H,4,FALSE)</f>
        <v>10</v>
      </c>
      <c r="F234" t="str">
        <f>VLOOKUP(A234,Inventory!A:H,5,FALSE)</f>
        <v>Sweets</v>
      </c>
      <c r="G234" s="1"/>
      <c r="H234">
        <f t="shared" si="3"/>
        <v>233</v>
      </c>
    </row>
    <row r="235" spans="1:8" x14ac:dyDescent="0.25">
      <c r="A235" t="s">
        <v>74</v>
      </c>
      <c r="B235">
        <v>36</v>
      </c>
      <c r="C235">
        <f>(SUMIF(Table2[Item],Table1[[#This Row],[item_name]],Table2[Quantity])+Table1[[#This Row],[qtyat12th]])- SUMIF(Sales!$C$1887:C2737,Table1[[#This Row],[item_name]],Sales!$D$1887:D2737)- SUMIF(Table7[item/loan],Table1[[#This Row],[item_name]],Table7[qty_if_item])</f>
        <v>29</v>
      </c>
      <c r="D235">
        <f>VLOOKUP(A235,Inventory!A:H,3,FALSE)</f>
        <v>4</v>
      </c>
      <c r="E235">
        <f>VLOOKUP(A235,Inventory!A:H,4,FALSE)</f>
        <v>5</v>
      </c>
      <c r="F235" t="str">
        <f>VLOOKUP(A235,Inventory!A:H,5,FALSE)</f>
        <v>Sweets</v>
      </c>
      <c r="G235" s="1"/>
      <c r="H235">
        <f t="shared" si="3"/>
        <v>234</v>
      </c>
    </row>
    <row r="236" spans="1:8" x14ac:dyDescent="0.25">
      <c r="A236" t="s">
        <v>75</v>
      </c>
      <c r="B236">
        <f>38*2</f>
        <v>76</v>
      </c>
      <c r="C236">
        <f>(SUMIF(Table2[Item],Table1[[#This Row],[item_name]],Table2[Quantity])+Table1[[#This Row],[qtyat12th]])- SUMIF(Sales!$C$1887:C2738,Table1[[#This Row],[item_name]],Sales!$D$1887:D2738)- SUMIF(Table7[item/loan],Table1[[#This Row],[item_name]],Table7[qty_if_item])</f>
        <v>137</v>
      </c>
      <c r="D236">
        <f>VLOOKUP(A236,Inventory!A:H,3,FALSE)</f>
        <v>1.8</v>
      </c>
      <c r="E236">
        <f>VLOOKUP(A236,Inventory!A:H,4,FALSE)</f>
        <v>2.5</v>
      </c>
      <c r="F236" t="str">
        <f>VLOOKUP(A236,Inventory!A:H,5,FALSE)</f>
        <v>Sweets</v>
      </c>
      <c r="G236" s="1"/>
      <c r="H236">
        <f t="shared" si="3"/>
        <v>235</v>
      </c>
    </row>
    <row r="237" spans="1:8" x14ac:dyDescent="0.25">
      <c r="A237" t="s">
        <v>76</v>
      </c>
      <c r="B237">
        <v>0</v>
      </c>
      <c r="C237">
        <f>(SUMIF(Table2[Item],Table1[[#This Row],[item_name]],Table2[Quantity])+Table1[[#This Row],[qtyat12th]])- SUMIF(Sales!$C$1887:C2739,Table1[[#This Row],[item_name]],Sales!$D$1887:D2739)- SUMIF(Table7[item/loan],Table1[[#This Row],[item_name]],Table7[qty_if_item])</f>
        <v>0</v>
      </c>
      <c r="D237">
        <f>VLOOKUP(A237,Inventory!A:H,3,FALSE)</f>
        <v>15</v>
      </c>
      <c r="E237">
        <f>VLOOKUP(A237,Inventory!A:H,4,FALSE)</f>
        <v>20</v>
      </c>
      <c r="F237" t="str">
        <f>VLOOKUP(A237,Inventory!A:H,5,FALSE)</f>
        <v>Sweets</v>
      </c>
      <c r="G237" s="1"/>
      <c r="H237">
        <f t="shared" si="3"/>
        <v>236</v>
      </c>
    </row>
    <row r="238" spans="1:8" x14ac:dyDescent="0.25">
      <c r="A238" t="s">
        <v>77</v>
      </c>
      <c r="B238">
        <v>66</v>
      </c>
      <c r="C238">
        <f>(SUMIF(Table2[Item],Table1[[#This Row],[item_name]],Table2[Quantity])+Table1[[#This Row],[qtyat12th]])- SUMIF(Sales!$C$1887:C2740,Table1[[#This Row],[item_name]],Sales!$D$1887:D2740)- SUMIF(Table7[item/loan],Table1[[#This Row],[item_name]],Table7[qty_if_item])</f>
        <v>112</v>
      </c>
      <c r="D238">
        <f>VLOOKUP(A238,Inventory!A:H,3,FALSE)</f>
        <v>1.5</v>
      </c>
      <c r="E238">
        <f>VLOOKUP(A238,Inventory!A:H,4,FALSE)</f>
        <v>5</v>
      </c>
      <c r="F238" t="str">
        <f>VLOOKUP(A238,Inventory!A:H,5,FALSE)</f>
        <v>Sweets</v>
      </c>
      <c r="G238" s="1"/>
      <c r="H238">
        <f t="shared" si="3"/>
        <v>237</v>
      </c>
    </row>
    <row r="239" spans="1:8" x14ac:dyDescent="0.25">
      <c r="A239" t="s">
        <v>78</v>
      </c>
      <c r="B239">
        <v>442</v>
      </c>
      <c r="C239">
        <f>(SUMIF(Table2[Item],Table1[[#This Row],[item_name]],Table2[Quantity])+Table1[[#This Row],[qtyat12th]])- SUMIF(Sales!$C$1887:C2741,Table1[[#This Row],[item_name]],Sales!$D$1887:D2741)- SUMIF(Table7[item/loan],Table1[[#This Row],[item_name]],Table7[qty_if_item])</f>
        <v>415</v>
      </c>
      <c r="D239">
        <f>VLOOKUP(A239,Inventory!A:H,3,FALSE)</f>
        <v>0.7</v>
      </c>
      <c r="E239">
        <f>VLOOKUP(A239,Inventory!A:H,4,FALSE)</f>
        <v>1</v>
      </c>
      <c r="F239" t="str">
        <f>VLOOKUP(A239,Inventory!A:H,5,FALSE)</f>
        <v>Sweets</v>
      </c>
      <c r="G239" s="1"/>
      <c r="H239">
        <f t="shared" si="3"/>
        <v>238</v>
      </c>
    </row>
    <row r="240" spans="1:8" x14ac:dyDescent="0.25">
      <c r="A240" t="s">
        <v>79</v>
      </c>
      <c r="B240">
        <v>115</v>
      </c>
      <c r="C240">
        <f>(SUMIF(Table2[Item],Table1[[#This Row],[item_name]],Table2[Quantity])+Table1[[#This Row],[qtyat12th]])- SUMIF(Sales!$C$1887:C2742,Table1[[#This Row],[item_name]],Sales!$D$1887:D2742)- SUMIF(Table7[item/loan],Table1[[#This Row],[item_name]],Table7[qty_if_item])</f>
        <v>165</v>
      </c>
      <c r="D240">
        <f>VLOOKUP(A240,Inventory!A:H,3,FALSE)</f>
        <v>3.5</v>
      </c>
      <c r="E240">
        <f>VLOOKUP(A240,Inventory!A:H,4,FALSE)</f>
        <v>5</v>
      </c>
      <c r="F240" t="str">
        <f>VLOOKUP(A240,Inventory!A:H,5,FALSE)</f>
        <v>Sweets</v>
      </c>
      <c r="G240" s="1"/>
      <c r="H240">
        <f t="shared" si="3"/>
        <v>239</v>
      </c>
    </row>
    <row r="241" spans="1:8" x14ac:dyDescent="0.25">
      <c r="A241" t="s">
        <v>80</v>
      </c>
      <c r="B241">
        <v>13</v>
      </c>
      <c r="C241">
        <f>(SUMIF(Table2[Item],Table1[[#This Row],[item_name]],Table2[Quantity])+Table1[[#This Row],[qtyat12th]])- SUMIF(Sales!$C$1887:C2743,Table1[[#This Row],[item_name]],Sales!$D$1887:D2743)- SUMIF(Table7[item/loan],Table1[[#This Row],[item_name]],Table7[qty_if_item])</f>
        <v>7</v>
      </c>
      <c r="D241">
        <f>VLOOKUP(A241,Inventory!A:H,3,FALSE)</f>
        <v>15</v>
      </c>
      <c r="E241">
        <f>VLOOKUP(A241,Inventory!A:H,4,FALSE)</f>
        <v>20</v>
      </c>
      <c r="F241" t="str">
        <f>VLOOKUP(A241,Inventory!A:H,5,FALSE)</f>
        <v>Sweets</v>
      </c>
      <c r="G241" s="1"/>
      <c r="H241">
        <f t="shared" si="3"/>
        <v>240</v>
      </c>
    </row>
    <row r="242" spans="1:8" x14ac:dyDescent="0.25">
      <c r="A242" t="s">
        <v>141</v>
      </c>
      <c r="B242">
        <v>119</v>
      </c>
      <c r="C242">
        <f>(SUMIF(Table2[Item],Table1[[#This Row],[item_name]],Table2[Quantity])+Table1[[#This Row],[qtyat12th]])- SUMIF(Sales!$C$1887:C2744,Table1[[#This Row],[item_name]],Sales!$D$1887:D2744)- SUMIF(Table7[item/loan],Table1[[#This Row],[item_name]],Table7[qty_if_item])</f>
        <v>251</v>
      </c>
      <c r="D242">
        <v>7.5</v>
      </c>
      <c r="E242">
        <f>VLOOKUP(A242,Inventory!A:H,4,FALSE)</f>
        <v>15</v>
      </c>
      <c r="F242" t="str">
        <f>VLOOKUP(A242,Inventory!A:H,5,FALSE)</f>
        <v>Sweets</v>
      </c>
      <c r="G242" s="1"/>
      <c r="H242">
        <f t="shared" si="3"/>
        <v>241</v>
      </c>
    </row>
    <row r="243" spans="1:8" x14ac:dyDescent="0.25">
      <c r="A243" t="s">
        <v>619</v>
      </c>
      <c r="B243">
        <v>59</v>
      </c>
      <c r="C243">
        <f>(SUMIF(Table2[Item],Table1[[#This Row],[item_name]],Table2[Quantity])+Table1[[#This Row],[qtyat12th]])- SUMIF(Sales!$C$1887:C2745,Table1[[#This Row],[item_name]],Sales!$D$1887:D2745)- SUMIF(Table7[item/loan],Table1[[#This Row],[item_name]],Table7[qty_if_item])</f>
        <v>49</v>
      </c>
      <c r="D243">
        <f>VLOOKUP(A242,Inventory!A:H,3,FALSE)</f>
        <v>7.5</v>
      </c>
      <c r="E243">
        <v>10</v>
      </c>
      <c r="F243" t="s">
        <v>334</v>
      </c>
      <c r="G243" s="1"/>
      <c r="H243">
        <f t="shared" si="3"/>
        <v>242</v>
      </c>
    </row>
    <row r="244" spans="1:8" x14ac:dyDescent="0.25">
      <c r="A244" t="s">
        <v>8</v>
      </c>
      <c r="B244">
        <v>5</v>
      </c>
      <c r="C244">
        <f>(SUMIF(Table2[Item],Table1[[#This Row],[item_name]],Table2[Quantity])+Table1[[#This Row],[qtyat12th]])- SUMIF(Sales!$C$1887:C2746,Table1[[#This Row],[item_name]],Sales!$D$1887:D2746)- SUMIF(Table7[item/loan],Table1[[#This Row],[item_name]],Table7[qty_if_item])</f>
        <v>24</v>
      </c>
      <c r="D244">
        <f>VLOOKUP(A244,Inventory!A:H,3,FALSE)</f>
        <v>75</v>
      </c>
      <c r="E244">
        <f>VLOOKUP(A244,Inventory!A:H,4,FALSE)</f>
        <v>120</v>
      </c>
      <c r="F244" t="s">
        <v>335</v>
      </c>
      <c r="G244" s="1"/>
      <c r="H244">
        <f t="shared" si="3"/>
        <v>243</v>
      </c>
    </row>
    <row r="245" spans="1:8" x14ac:dyDescent="0.25">
      <c r="A245" t="s">
        <v>10</v>
      </c>
      <c r="B245">
        <v>7</v>
      </c>
      <c r="C245">
        <f>(SUMIF(Table2[Item],Table1[[#This Row],[item_name]],Table2[Quantity])+Table1[[#This Row],[qtyat12th]])- SUMIF(Sales!$C$1887:C2747,Table1[[#This Row],[item_name]],Sales!$D$1887:D2747)- SUMIF(Table7[item/loan],Table1[[#This Row],[item_name]],Table7[qty_if_item])</f>
        <v>18</v>
      </c>
      <c r="D245">
        <f>VLOOKUP(A245,Inventory!A:H,3,FALSE)</f>
        <v>25</v>
      </c>
      <c r="E245">
        <f>VLOOKUP(A245,Inventory!A:H,4,FALSE)</f>
        <v>70</v>
      </c>
      <c r="F245" t="s">
        <v>335</v>
      </c>
      <c r="G245" s="1"/>
      <c r="H245">
        <f t="shared" si="3"/>
        <v>244</v>
      </c>
    </row>
    <row r="246" spans="1:8" x14ac:dyDescent="0.25">
      <c r="A246" t="s">
        <v>11</v>
      </c>
      <c r="B246">
        <v>26</v>
      </c>
      <c r="C246">
        <f>(SUMIF(Table2[Item],Table1[[#This Row],[item_name]],Table2[Quantity])+Table1[[#This Row],[qtyat12th]])- SUMIF(Sales!$C$1887:C2748,Table1[[#This Row],[item_name]],Sales!$D$1887:D2748)- SUMIF(Table7[item/loan],Table1[[#This Row],[item_name]],Table7[qty_if_item])</f>
        <v>49</v>
      </c>
      <c r="D246">
        <f>VLOOKUP(A246,Inventory!A:H,3,FALSE)</f>
        <v>12.5</v>
      </c>
      <c r="E246">
        <f>VLOOKUP(A246,Inventory!A:H,4,FALSE)</f>
        <v>30</v>
      </c>
      <c r="F246" t="s">
        <v>335</v>
      </c>
      <c r="G246" s="1"/>
      <c r="H246">
        <f t="shared" si="3"/>
        <v>245</v>
      </c>
    </row>
    <row r="247" spans="1:8" x14ac:dyDescent="0.25">
      <c r="A247" t="s">
        <v>336</v>
      </c>
      <c r="B247">
        <v>1</v>
      </c>
      <c r="C247">
        <f>(SUMIF(Table2[Item],Table1[[#This Row],[item_name]],Table2[Quantity])+Table1[[#This Row],[qtyat12th]])- SUMIF(Sales!$C$1887:C2749,Table1[[#This Row],[item_name]],Sales!$D$1887:D2749)- SUMIF(Table7[item/loan],Table1[[#This Row],[item_name]],Table7[qty_if_item])</f>
        <v>5</v>
      </c>
      <c r="D247">
        <v>70</v>
      </c>
      <c r="E247">
        <v>100</v>
      </c>
      <c r="F247" t="s">
        <v>151</v>
      </c>
      <c r="G247" s="1"/>
      <c r="H247">
        <f t="shared" si="3"/>
        <v>246</v>
      </c>
    </row>
    <row r="248" spans="1:8" x14ac:dyDescent="0.25">
      <c r="A248" t="s">
        <v>337</v>
      </c>
      <c r="B248">
        <v>12</v>
      </c>
      <c r="C248">
        <f>(SUMIF(Table2[Item],Table1[[#This Row],[item_name]],Table2[Quantity])+Table1[[#This Row],[qtyat12th]])- SUMIF(Sales!$C$1887:C2750,Table1[[#This Row],[item_name]],Sales!$D$1887:D2750)- SUMIF(Table7[item/loan],Table1[[#This Row],[item_name]],Table7[qty_if_item])</f>
        <v>31</v>
      </c>
      <c r="D248">
        <v>125</v>
      </c>
      <c r="E248">
        <v>160</v>
      </c>
      <c r="F248" t="s">
        <v>82</v>
      </c>
      <c r="G248" s="1"/>
      <c r="H248">
        <f t="shared" si="3"/>
        <v>247</v>
      </c>
    </row>
    <row r="249" spans="1:8" x14ac:dyDescent="0.25">
      <c r="A249" t="s">
        <v>338</v>
      </c>
      <c r="B249">
        <v>5</v>
      </c>
      <c r="C249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5</v>
      </c>
      <c r="D249">
        <v>50</v>
      </c>
      <c r="E249">
        <v>70</v>
      </c>
      <c r="F249" s="1" t="s">
        <v>102</v>
      </c>
      <c r="G249" s="1"/>
      <c r="H249">
        <f t="shared" si="3"/>
        <v>248</v>
      </c>
    </row>
    <row r="250" spans="1:8" x14ac:dyDescent="0.25">
      <c r="A250" t="s">
        <v>339</v>
      </c>
      <c r="B250">
        <v>2</v>
      </c>
      <c r="C250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2</v>
      </c>
      <c r="D250">
        <v>0</v>
      </c>
      <c r="E250">
        <v>50</v>
      </c>
      <c r="F250" s="1" t="s">
        <v>340</v>
      </c>
      <c r="G250" s="1"/>
      <c r="H250">
        <f t="shared" si="3"/>
        <v>249</v>
      </c>
    </row>
    <row r="251" spans="1:8" x14ac:dyDescent="0.25">
      <c r="A251" t="s">
        <v>341</v>
      </c>
      <c r="B251">
        <v>100</v>
      </c>
      <c r="C251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100</v>
      </c>
      <c r="D251">
        <v>0.5</v>
      </c>
      <c r="E251">
        <v>1</v>
      </c>
      <c r="F251" s="1" t="s">
        <v>134</v>
      </c>
      <c r="G251" s="1"/>
      <c r="H251">
        <f t="shared" si="3"/>
        <v>250</v>
      </c>
    </row>
    <row r="252" spans="1:8" x14ac:dyDescent="0.25">
      <c r="A252" t="s">
        <v>342</v>
      </c>
      <c r="B252">
        <v>0</v>
      </c>
      <c r="C252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12</v>
      </c>
      <c r="D252">
        <f>230/12</f>
        <v>19.166666666666668</v>
      </c>
      <c r="E252">
        <v>30</v>
      </c>
      <c r="F252" s="1" t="s">
        <v>102</v>
      </c>
      <c r="G252" s="1"/>
      <c r="H252">
        <f t="shared" si="3"/>
        <v>251</v>
      </c>
    </row>
    <row r="253" spans="1:8" x14ac:dyDescent="0.25">
      <c r="A253" t="s">
        <v>343</v>
      </c>
      <c r="B253">
        <v>0</v>
      </c>
      <c r="C253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6</v>
      </c>
      <c r="D253">
        <v>50</v>
      </c>
      <c r="E253">
        <v>70</v>
      </c>
      <c r="F253" s="1" t="s">
        <v>172</v>
      </c>
      <c r="G253" s="1"/>
      <c r="H253">
        <f t="shared" si="3"/>
        <v>252</v>
      </c>
    </row>
    <row r="254" spans="1:8" x14ac:dyDescent="0.25">
      <c r="A254" t="s">
        <v>344</v>
      </c>
      <c r="B254">
        <v>0</v>
      </c>
      <c r="C254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12</v>
      </c>
      <c r="D254">
        <f>112/12</f>
        <v>9.3333333333333339</v>
      </c>
      <c r="E254">
        <v>15</v>
      </c>
      <c r="F254" s="1" t="s">
        <v>32</v>
      </c>
      <c r="G254" s="1"/>
      <c r="H254">
        <f t="shared" si="3"/>
        <v>253</v>
      </c>
    </row>
    <row r="255" spans="1:8" x14ac:dyDescent="0.25">
      <c r="A255" t="s">
        <v>345</v>
      </c>
      <c r="B255">
        <v>9</v>
      </c>
      <c r="C255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9</v>
      </c>
      <c r="D255">
        <f>250/12</f>
        <v>20.833333333333332</v>
      </c>
      <c r="E255">
        <v>30</v>
      </c>
      <c r="F255" s="1" t="s">
        <v>156</v>
      </c>
      <c r="G255" s="1"/>
      <c r="H255">
        <f t="shared" si="3"/>
        <v>254</v>
      </c>
    </row>
    <row r="256" spans="1:8" x14ac:dyDescent="0.25">
      <c r="A256" t="str">
        <f>'Purchases from 13th Aug 2024'!C198</f>
        <v>Family bisquit</v>
      </c>
      <c r="B256">
        <v>36</v>
      </c>
      <c r="C256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54</v>
      </c>
      <c r="D256">
        <f>420/18</f>
        <v>23.333333333333332</v>
      </c>
      <c r="E256">
        <v>35</v>
      </c>
      <c r="F256" s="1" t="s">
        <v>45</v>
      </c>
      <c r="G256" s="1"/>
      <c r="H256">
        <f t="shared" si="3"/>
        <v>255</v>
      </c>
    </row>
    <row r="257" spans="1:8" x14ac:dyDescent="0.25">
      <c r="A257" t="str">
        <f>'Purchases from 13th Aug 2024'!C151</f>
        <v>Jamaa soap</v>
      </c>
      <c r="C257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3</v>
      </c>
      <c r="D257">
        <f>'Purchases from 13th Aug 2024'!F151</f>
        <v>180</v>
      </c>
      <c r="E257">
        <v>250</v>
      </c>
      <c r="F257" s="1" t="s">
        <v>124</v>
      </c>
      <c r="G257" s="1"/>
      <c r="H257">
        <f t="shared" si="3"/>
        <v>256</v>
      </c>
    </row>
    <row r="258" spans="1:8" x14ac:dyDescent="0.25">
      <c r="A258" t="str">
        <f>'Purchases from 13th Aug 2024'!C204</f>
        <v>Sunlight 25g</v>
      </c>
      <c r="C258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12</v>
      </c>
      <c r="D258">
        <f>'Purchases from 13th Aug 2024'!F204</f>
        <v>8.3333333333333339</v>
      </c>
      <c r="E258">
        <v>15</v>
      </c>
      <c r="F258" s="1" t="s">
        <v>124</v>
      </c>
      <c r="G258" s="1"/>
      <c r="H258">
        <f t="shared" si="3"/>
        <v>257</v>
      </c>
    </row>
    <row r="259" spans="1:8" x14ac:dyDescent="0.25">
      <c r="A259" t="s">
        <v>346</v>
      </c>
      <c r="B259">
        <v>2</v>
      </c>
      <c r="C259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2</v>
      </c>
      <c r="D259">
        <v>69</v>
      </c>
      <c r="E259">
        <v>100</v>
      </c>
      <c r="F259" s="1" t="s">
        <v>102</v>
      </c>
      <c r="G259" s="1"/>
      <c r="H259">
        <f t="shared" si="3"/>
        <v>258</v>
      </c>
    </row>
    <row r="260" spans="1:8" x14ac:dyDescent="0.25">
      <c r="A260" t="s">
        <v>582</v>
      </c>
      <c r="C260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0</v>
      </c>
      <c r="D260">
        <v>12.4</v>
      </c>
      <c r="E260">
        <v>20</v>
      </c>
      <c r="F260" s="1" t="s">
        <v>102</v>
      </c>
      <c r="G260" s="1"/>
      <c r="H260">
        <f t="shared" ref="H260:H262" si="4">1+H259</f>
        <v>259</v>
      </c>
    </row>
    <row r="261" spans="1:8" x14ac:dyDescent="0.25">
      <c r="A261" t="s">
        <v>583</v>
      </c>
      <c r="C261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12</v>
      </c>
      <c r="D261">
        <f>280/10</f>
        <v>28</v>
      </c>
      <c r="E261">
        <v>50</v>
      </c>
      <c r="F261" s="1" t="s">
        <v>156</v>
      </c>
      <c r="G261" s="1"/>
      <c r="H261">
        <f t="shared" si="4"/>
        <v>260</v>
      </c>
    </row>
    <row r="262" spans="1:8" x14ac:dyDescent="0.25">
      <c r="A262" t="s">
        <v>584</v>
      </c>
      <c r="C262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0</v>
      </c>
      <c r="D262">
        <f>280/12</f>
        <v>23.333333333333332</v>
      </c>
      <c r="E262">
        <v>35</v>
      </c>
      <c r="F262" s="1" t="s">
        <v>87</v>
      </c>
      <c r="G262" s="1"/>
      <c r="H262">
        <f t="shared" si="4"/>
        <v>261</v>
      </c>
    </row>
    <row r="263" spans="1:8" x14ac:dyDescent="0.25">
      <c r="A263" t="s">
        <v>585</v>
      </c>
      <c r="C263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0</v>
      </c>
      <c r="D263">
        <v>10</v>
      </c>
      <c r="E263">
        <v>20</v>
      </c>
      <c r="F263" s="1" t="s">
        <v>102</v>
      </c>
      <c r="G263" s="1"/>
    </row>
    <row r="264" spans="1:8" x14ac:dyDescent="0.25">
      <c r="A264" t="str">
        <f>'Purchases from 13th Aug 2024'!C234</f>
        <v>Afia 1ltr</v>
      </c>
      <c r="C264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6</v>
      </c>
      <c r="D264">
        <f>VLOOKUP(Table1[[#This Row],[item_name]],Table2[[#Headers],[#Data],[Item]:[if_credit_amt]],4,FALSE)</f>
        <v>120.83333333333333</v>
      </c>
      <c r="E264">
        <v>150</v>
      </c>
      <c r="F264" s="1" t="s">
        <v>9</v>
      </c>
      <c r="G264" s="1"/>
    </row>
    <row r="265" spans="1:8" x14ac:dyDescent="0.25">
      <c r="A265" t="str">
        <f>'Purchases from 13th Aug 2024'!C132</f>
        <v>Bisquit milk</v>
      </c>
      <c r="C265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60</v>
      </c>
      <c r="D265">
        <f>VLOOKUP(Table1[[#This Row],[item_name]],Table2[[#Headers],[#Data],[Item]:[if_credit_amt]],4,FALSE)</f>
        <v>3.9166666666666665</v>
      </c>
      <c r="E265">
        <v>5</v>
      </c>
      <c r="F265" s="1" t="s">
        <v>45</v>
      </c>
      <c r="G265" s="1"/>
    </row>
    <row r="266" spans="1:8" x14ac:dyDescent="0.25">
      <c r="A266" t="str">
        <f>'Purchases from 13th Aug 2024'!C252</f>
        <v>Zenta Bar Soap</v>
      </c>
      <c r="C266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4</v>
      </c>
      <c r="D266">
        <f>VLOOKUP(Table1[[#This Row],[item_name]],Table2[[#Headers],[#Data],[Item]:[if_credit_amt]],4,FALSE)</f>
        <v>160</v>
      </c>
      <c r="E266">
        <v>250</v>
      </c>
      <c r="F266" s="1" t="s">
        <v>124</v>
      </c>
      <c r="G266" s="1"/>
    </row>
    <row r="267" spans="1:8" x14ac:dyDescent="0.25">
      <c r="A267" t="str">
        <f>'Purchases from 13th Aug 2024'!C262</f>
        <v>Ting Ting</v>
      </c>
      <c r="C267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50</v>
      </c>
      <c r="D267">
        <f>VLOOKUP(Table1[[#This Row],[item_name]],Table2[[#Headers],[#Data],[Item]:[if_credit_amt]],4,FALSE)</f>
        <v>4.0599999999999996</v>
      </c>
      <c r="E267">
        <v>5</v>
      </c>
      <c r="F267" s="1" t="s">
        <v>68</v>
      </c>
      <c r="G267" s="1"/>
    </row>
    <row r="268" spans="1:8" x14ac:dyDescent="0.25">
      <c r="A268" t="str">
        <f>'Purchases from 13th Aug 2024'!C285</f>
        <v>Heart cake</v>
      </c>
      <c r="C268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6</v>
      </c>
      <c r="D268">
        <f>VLOOKUP(Table1[[#This Row],[item_name]],Table2[[#Headers],[#Data],[Item]:[if_credit_amt]],4,FALSE)</f>
        <v>8.3333333333333339</v>
      </c>
      <c r="E268">
        <v>10</v>
      </c>
      <c r="F268" s="1" t="s">
        <v>45</v>
      </c>
      <c r="G268" s="1"/>
    </row>
    <row r="269" spans="1:8" x14ac:dyDescent="0.25">
      <c r="A269" t="str">
        <f>'Purchases from 13th Aug 2024'!C286</f>
        <v>Sweet cake</v>
      </c>
      <c r="C269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6</v>
      </c>
      <c r="D269">
        <f>VLOOKUP(Table1[[#This Row],[item_name]],Table2[[#Headers],[#Data],[Item]:[if_credit_amt]],4,FALSE)</f>
        <v>8.3333333333333339</v>
      </c>
      <c r="E269">
        <v>10</v>
      </c>
      <c r="F269" s="1" t="s">
        <v>45</v>
      </c>
      <c r="G269" s="1"/>
    </row>
    <row r="270" spans="1:8" x14ac:dyDescent="0.25">
      <c r="A270" t="str">
        <f>'Purchases from 13th Aug 2024'!C295</f>
        <v>Milk Bisquit</v>
      </c>
      <c r="C270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60</v>
      </c>
      <c r="D270">
        <f>VLOOKUP(Table1[[#This Row],[item_name]],Table2[[#Headers],[#Data],[Item]:[if_credit_amt]],4,FALSE)</f>
        <v>4.166666666666667</v>
      </c>
      <c r="E270">
        <v>5</v>
      </c>
      <c r="F270" s="1" t="s">
        <v>45</v>
      </c>
      <c r="G270" s="1"/>
    </row>
    <row r="271" spans="1:8" x14ac:dyDescent="0.25">
      <c r="A271" t="str">
        <f>'Purchases from 13th Aug 2024'!C296</f>
        <v>Star Cream Bisquit</v>
      </c>
      <c r="C271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60</v>
      </c>
      <c r="D271">
        <f>VLOOKUP(Table1[[#This Row],[item_name]],Table2[[#Headers],[#Data],[Item]:[if_credit_amt]],4,FALSE)</f>
        <v>4.2333333333333334</v>
      </c>
      <c r="E271">
        <v>5</v>
      </c>
      <c r="F271" s="1" t="s">
        <v>45</v>
      </c>
      <c r="G271" s="1"/>
    </row>
    <row r="272" spans="1:8" x14ac:dyDescent="0.25">
      <c r="A272" t="str">
        <f>'Purchases from 13th Aug 2024'!C369</f>
        <v>Soko Maize 1kg</v>
      </c>
      <c r="C272">
        <f>IFERROR((INDEX('Purchases from 13th Aug 2024'!$A$2:$M$462,MATCH(Table1[[#This Row],[item_name]],'Purchases from 13th Aug 2024'!$C$2:$C$462,0),4)+Table1[[#This Row],[qtyat12th]]),Table1[[#This Row],[qtyat12th]])- IFERROR(INDEX(Sales!$A$1887:$L$2400,MATCH(Table1[[#This Row],[item_name]],Sales!$C$1887:$C$2400,0),4),0)</f>
        <v>24</v>
      </c>
      <c r="D272">
        <f>VLOOKUP(Table1[[#This Row],[item_name]],Table2[[#Headers],[#Data],[Item]:[if_credit_amt]],4,FALSE)</f>
        <v>60.625</v>
      </c>
      <c r="E272">
        <v>90</v>
      </c>
      <c r="F272" s="1" t="s">
        <v>82</v>
      </c>
      <c r="G272" s="1"/>
    </row>
  </sheetData>
  <sortState xmlns:xlrd2="http://schemas.microsoft.com/office/spreadsheetml/2017/richdata2" ref="A2:G246">
    <sortCondition ref="F2:F246"/>
  </sortState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5B39C-CE46-4814-9DDB-5C4700BCA8CF}">
  <dimension ref="A1:M463"/>
  <sheetViews>
    <sheetView topLeftCell="A442" workbookViewId="0">
      <selection activeCell="E453" sqref="E453"/>
    </sheetView>
  </sheetViews>
  <sheetFormatPr defaultRowHeight="15" x14ac:dyDescent="0.25"/>
  <cols>
    <col min="1" max="1" width="10.7109375" bestFit="1" customWidth="1"/>
    <col min="3" max="3" width="25" bestFit="1" customWidth="1"/>
    <col min="4" max="4" width="10.85546875" customWidth="1"/>
    <col min="5" max="5" width="13.7109375" customWidth="1"/>
    <col min="6" max="6" width="10.5703125" customWidth="1"/>
    <col min="7" max="7" width="5.5703125" bestFit="1" customWidth="1"/>
    <col min="8" max="8" width="13" customWidth="1"/>
    <col min="9" max="9" width="20.28515625" customWidth="1"/>
    <col min="10" max="10" width="22.28515625" customWidth="1"/>
    <col min="11" max="11" width="17.42578125" customWidth="1"/>
    <col min="12" max="12" width="16.5703125" customWidth="1"/>
    <col min="13" max="13" width="15" customWidth="1"/>
  </cols>
  <sheetData>
    <row r="1" spans="1:13" x14ac:dyDescent="0.25">
      <c r="A1" t="s">
        <v>347</v>
      </c>
      <c r="B1" t="s">
        <v>238</v>
      </c>
      <c r="C1" t="s">
        <v>348</v>
      </c>
      <c r="D1" t="s">
        <v>349</v>
      </c>
      <c r="E1" t="s">
        <v>350</v>
      </c>
      <c r="F1" t="s">
        <v>2</v>
      </c>
      <c r="G1" t="s">
        <v>602</v>
      </c>
      <c r="H1" t="s">
        <v>351</v>
      </c>
      <c r="I1" t="s">
        <v>352</v>
      </c>
      <c r="J1" t="s">
        <v>353</v>
      </c>
      <c r="K1" t="s">
        <v>354</v>
      </c>
      <c r="L1" t="s">
        <v>355</v>
      </c>
      <c r="M1" t="s">
        <v>356</v>
      </c>
    </row>
    <row r="2" spans="1:13" x14ac:dyDescent="0.25">
      <c r="A2" s="1">
        <f>DATE(2024,8,13)</f>
        <v>45517</v>
      </c>
      <c r="C2" t="str">
        <f>'Inventory as of 12th Aug 2024'!A33</f>
        <v>BB Bread 400g</v>
      </c>
      <c r="D2">
        <v>5</v>
      </c>
      <c r="E2">
        <v>300</v>
      </c>
      <c r="F2">
        <f>E2/D2</f>
        <v>60</v>
      </c>
      <c r="G2" t="b">
        <f>IFERROR(IF(VLOOKUP(Table2[[#This Row],[Item]],'Inventory as of 12th Aug 2024'!A:H,1,)=Table2[[#This Row],[Item]],TRUE,FALSE),FALSE)</f>
        <v>1</v>
      </c>
      <c r="H2" t="s">
        <v>247</v>
      </c>
    </row>
    <row r="3" spans="1:13" x14ac:dyDescent="0.25">
      <c r="A3" s="1">
        <f t="shared" ref="A3:A5" si="0">DATE(2024,8,13)</f>
        <v>45517</v>
      </c>
      <c r="C3" t="str">
        <f>'Inventory as of 12th Aug 2024'!A9</f>
        <v>Kinangop Fresh Milk 500ml</v>
      </c>
      <c r="D3">
        <v>5</v>
      </c>
      <c r="E3">
        <v>275</v>
      </c>
      <c r="F3">
        <f>E3/D3</f>
        <v>55</v>
      </c>
      <c r="G3" t="b">
        <f>IFERROR(IF(VLOOKUP(Table2[[#This Row],[Item]],'Inventory as of 12th Aug 2024'!A:H,1,)=Table2[[#This Row],[Item]],TRUE,FALSE),FALSE)</f>
        <v>1</v>
      </c>
      <c r="H3" t="s">
        <v>247</v>
      </c>
    </row>
    <row r="4" spans="1:13" x14ac:dyDescent="0.25">
      <c r="A4" s="1">
        <f t="shared" si="0"/>
        <v>45517</v>
      </c>
      <c r="C4" t="str">
        <f>'Inventory as of 12th Aug 2024'!A8</f>
        <v>eggs</v>
      </c>
      <c r="D4">
        <v>300</v>
      </c>
      <c r="E4">
        <v>4400</v>
      </c>
      <c r="F4">
        <f>E4/D4</f>
        <v>14.666666666666666</v>
      </c>
      <c r="G4" t="b">
        <f>IFERROR(IF(VLOOKUP(Table2[[#This Row],[Item]],'Inventory as of 12th Aug 2024'!A:H,1,)=Table2[[#This Row],[Item]],TRUE,FALSE),FALSE)</f>
        <v>1</v>
      </c>
      <c r="H4" t="s">
        <v>357</v>
      </c>
      <c r="I4">
        <v>2000</v>
      </c>
      <c r="J4">
        <v>2400</v>
      </c>
      <c r="K4" t="s">
        <v>358</v>
      </c>
    </row>
    <row r="5" spans="1:13" x14ac:dyDescent="0.25">
      <c r="A5" s="1">
        <f t="shared" si="0"/>
        <v>45517</v>
      </c>
      <c r="C5" t="str">
        <f>'Inventory as of 12th Aug 2024'!A37</f>
        <v>Festive Bread 400g</v>
      </c>
      <c r="D5">
        <v>5</v>
      </c>
      <c r="E5">
        <v>60</v>
      </c>
      <c r="F5">
        <f>E5/D5</f>
        <v>12</v>
      </c>
      <c r="G5" t="b">
        <f>IFERROR(IF(VLOOKUP(Table2[[#This Row],[Item]],'Inventory as of 12th Aug 2024'!A:H,1,)=Table2[[#This Row],[Item]],TRUE,FALSE),FALSE)</f>
        <v>1</v>
      </c>
      <c r="H5" t="s">
        <v>247</v>
      </c>
    </row>
    <row r="6" spans="1:13" x14ac:dyDescent="0.25">
      <c r="A6" s="1">
        <f>DATE(2024,8,14)</f>
        <v>45518</v>
      </c>
      <c r="C6" t="str">
        <f>'Inventory as of 12th Aug 2024'!A33</f>
        <v>BB Bread 400g</v>
      </c>
      <c r="D6">
        <v>5</v>
      </c>
      <c r="E6">
        <v>300</v>
      </c>
      <c r="F6">
        <f t="shared" ref="F6:F12" si="1">E6/D6</f>
        <v>60</v>
      </c>
      <c r="G6" t="b">
        <f>IFERROR(IF(VLOOKUP(Table2[[#This Row],[Item]],'Inventory as of 12th Aug 2024'!A:H,1,)=Table2[[#This Row],[Item]],TRUE,FALSE),FALSE)</f>
        <v>1</v>
      </c>
      <c r="H6" t="s">
        <v>247</v>
      </c>
    </row>
    <row r="7" spans="1:13" x14ac:dyDescent="0.25">
      <c r="A7" s="1">
        <f t="shared" ref="A7:A13" si="2">DATE(2024,8,14)</f>
        <v>45518</v>
      </c>
      <c r="C7" t="str">
        <f>'Inventory as of 12th Aug 2024'!A9</f>
        <v>Kinangop Fresh Milk 500ml</v>
      </c>
      <c r="D7">
        <v>5</v>
      </c>
      <c r="E7">
        <v>275</v>
      </c>
      <c r="F7">
        <f t="shared" si="1"/>
        <v>55</v>
      </c>
      <c r="G7" t="b">
        <f>IFERROR(IF(VLOOKUP(Table2[[#This Row],[Item]],'Inventory as of 12th Aug 2024'!A:H,1,)=Table2[[#This Row],[Item]],TRUE,FALSE),FALSE)</f>
        <v>1</v>
      </c>
      <c r="H7" t="s">
        <v>247</v>
      </c>
    </row>
    <row r="8" spans="1:13" x14ac:dyDescent="0.25">
      <c r="A8" s="1">
        <f t="shared" si="2"/>
        <v>45518</v>
      </c>
      <c r="C8" t="str">
        <f>'Inventory as of 12th Aug 2024'!A37</f>
        <v>Festive Bread 400g</v>
      </c>
      <c r="D8">
        <v>4</v>
      </c>
      <c r="E8">
        <v>240</v>
      </c>
      <c r="F8">
        <f t="shared" si="1"/>
        <v>60</v>
      </c>
      <c r="G8" t="b">
        <f>IFERROR(IF(VLOOKUP(Table2[[#This Row],[Item]],'Inventory as of 12th Aug 2024'!A:H,1,)=Table2[[#This Row],[Item]],TRUE,FALSE),FALSE)</f>
        <v>1</v>
      </c>
      <c r="H8" t="s">
        <v>357</v>
      </c>
      <c r="I8">
        <v>400</v>
      </c>
      <c r="J8">
        <v>800</v>
      </c>
      <c r="K8" t="s">
        <v>358</v>
      </c>
    </row>
    <row r="9" spans="1:13" x14ac:dyDescent="0.25">
      <c r="A9" s="1">
        <f t="shared" si="2"/>
        <v>45518</v>
      </c>
      <c r="C9" t="str">
        <f>'Inventory as of 12th Aug 2024'!A36</f>
        <v>Festive 800g</v>
      </c>
      <c r="D9">
        <v>2</v>
      </c>
      <c r="E9">
        <v>240</v>
      </c>
      <c r="F9">
        <f t="shared" si="1"/>
        <v>120</v>
      </c>
      <c r="G9" t="b">
        <f>IFERROR(IF(VLOOKUP(Table2[[#This Row],[Item]],'Inventory as of 12th Aug 2024'!A:H,1,)=Table2[[#This Row],[Item]],TRUE,FALSE),FALSE)</f>
        <v>1</v>
      </c>
      <c r="H9" t="s">
        <v>357</v>
      </c>
    </row>
    <row r="10" spans="1:13" x14ac:dyDescent="0.25">
      <c r="A10" s="1">
        <f t="shared" si="2"/>
        <v>45518</v>
      </c>
      <c r="C10" t="str">
        <f>'Inventory as of 12th Aug 2024'!A35</f>
        <v>Festive 600g</v>
      </c>
      <c r="D10">
        <v>2</v>
      </c>
      <c r="E10">
        <v>240</v>
      </c>
      <c r="F10">
        <f t="shared" si="1"/>
        <v>120</v>
      </c>
      <c r="G10" t="b">
        <f>IFERROR(IF(VLOOKUP(Table2[[#This Row],[Item]],'Inventory as of 12th Aug 2024'!A:H,1,)=Table2[[#This Row],[Item]],TRUE,FALSE),FALSE)</f>
        <v>1</v>
      </c>
      <c r="H10" t="s">
        <v>357</v>
      </c>
    </row>
    <row r="11" spans="1:13" x14ac:dyDescent="0.25">
      <c r="A11" s="1">
        <f t="shared" si="2"/>
        <v>45518</v>
      </c>
      <c r="C11" t="str">
        <f>'Inventory as of 12th Aug 2024'!A195</f>
        <v>Ring Cake</v>
      </c>
      <c r="D11">
        <v>4</v>
      </c>
      <c r="E11">
        <v>180</v>
      </c>
      <c r="F11">
        <f t="shared" si="1"/>
        <v>45</v>
      </c>
      <c r="G11" t="b">
        <f>IFERROR(IF(VLOOKUP(Table2[[#This Row],[Item]],'Inventory as of 12th Aug 2024'!A:H,1,)=Table2[[#This Row],[Item]],TRUE,FALSE),FALSE)</f>
        <v>1</v>
      </c>
      <c r="H11" t="s">
        <v>357</v>
      </c>
    </row>
    <row r="12" spans="1:13" x14ac:dyDescent="0.25">
      <c r="A12" s="1">
        <f t="shared" si="2"/>
        <v>45518</v>
      </c>
      <c r="C12" t="str">
        <f>'Inventory as of 12th Aug 2024'!A194</f>
        <v>Half pound cake</v>
      </c>
      <c r="D12">
        <v>4</v>
      </c>
      <c r="E12">
        <v>360</v>
      </c>
      <c r="F12">
        <f t="shared" si="1"/>
        <v>90</v>
      </c>
      <c r="G12" t="b">
        <f>IFERROR(IF(VLOOKUP(Table2[[#This Row],[Item]],'Inventory as of 12th Aug 2024'!A:H,1,)=Table2[[#This Row],[Item]],TRUE,FALSE),FALSE)</f>
        <v>1</v>
      </c>
      <c r="H12" t="s">
        <v>357</v>
      </c>
    </row>
    <row r="13" spans="1:13" x14ac:dyDescent="0.25">
      <c r="A13" s="1">
        <f t="shared" si="2"/>
        <v>45518</v>
      </c>
      <c r="C13" t="str">
        <f>'Inventory as of 12th Aug 2024'!A199</f>
        <v>Kdf</v>
      </c>
      <c r="D13">
        <v>24</v>
      </c>
      <c r="E13">
        <v>200</v>
      </c>
      <c r="F13">
        <f>E13/D13</f>
        <v>8.3333333333333339</v>
      </c>
      <c r="G13" t="b">
        <f>IFERROR(IF(VLOOKUP(Table2[[#This Row],[Item]],'Inventory as of 12th Aug 2024'!A:H,1,)=Table2[[#This Row],[Item]],TRUE,FALSE),FALSE)</f>
        <v>1</v>
      </c>
      <c r="H13" t="s">
        <v>247</v>
      </c>
      <c r="I13">
        <v>200</v>
      </c>
    </row>
    <row r="14" spans="1:13" x14ac:dyDescent="0.25">
      <c r="A14" s="1">
        <f>DATE(2024,8,16)</f>
        <v>45520</v>
      </c>
      <c r="C14" t="str">
        <f>'Inventory as of 12th Aug 2024'!A33</f>
        <v>BB Bread 400g</v>
      </c>
      <c r="D14">
        <v>5</v>
      </c>
      <c r="E14">
        <v>300</v>
      </c>
      <c r="F14">
        <f t="shared" ref="F14:F77" si="3">E14/D14</f>
        <v>60</v>
      </c>
      <c r="G14" t="b">
        <f>IFERROR(IF(VLOOKUP(Table2[[#This Row],[Item]],'Inventory as of 12th Aug 2024'!A:H,1,)=Table2[[#This Row],[Item]],TRUE,FALSE),FALSE)</f>
        <v>1</v>
      </c>
      <c r="H14" t="s">
        <v>247</v>
      </c>
    </row>
    <row r="15" spans="1:13" x14ac:dyDescent="0.25">
      <c r="A15" s="1">
        <f t="shared" ref="A15:A18" si="4">DATE(2024,8,16)</f>
        <v>45520</v>
      </c>
      <c r="C15" t="str">
        <f>'Inventory as of 12th Aug 2024'!A9</f>
        <v>Kinangop Fresh Milk 500ml</v>
      </c>
      <c r="D15">
        <v>5</v>
      </c>
      <c r="E15">
        <v>275</v>
      </c>
      <c r="F15">
        <f t="shared" si="3"/>
        <v>55</v>
      </c>
      <c r="G15" t="b">
        <f>IFERROR(IF(VLOOKUP(Table2[[#This Row],[Item]],'Inventory as of 12th Aug 2024'!A:H,1,)=Table2[[#This Row],[Item]],TRUE,FALSE),FALSE)</f>
        <v>1</v>
      </c>
      <c r="H15" t="s">
        <v>247</v>
      </c>
    </row>
    <row r="16" spans="1:13" x14ac:dyDescent="0.25">
      <c r="A16" s="1">
        <f t="shared" si="4"/>
        <v>45520</v>
      </c>
      <c r="C16" t="str">
        <f>'Inventory as of 12th Aug 2024'!A35</f>
        <v>Festive 600g</v>
      </c>
      <c r="D16">
        <v>2</v>
      </c>
      <c r="E16">
        <v>180</v>
      </c>
      <c r="F16">
        <f t="shared" si="3"/>
        <v>90</v>
      </c>
      <c r="G16" t="b">
        <f>IFERROR(IF(VLOOKUP(Table2[[#This Row],[Item]],'Inventory as of 12th Aug 2024'!A:H,1,)=Table2[[#This Row],[Item]],TRUE,FALSE),FALSE)</f>
        <v>1</v>
      </c>
      <c r="H16" t="s">
        <v>247</v>
      </c>
    </row>
    <row r="17" spans="1:13" x14ac:dyDescent="0.25">
      <c r="A17" s="1">
        <f t="shared" si="4"/>
        <v>45520</v>
      </c>
      <c r="C17" t="str">
        <f>'Inventory as of 12th Aug 2024'!A37</f>
        <v>Festive Bread 400g</v>
      </c>
      <c r="D17">
        <v>4</v>
      </c>
      <c r="E17">
        <v>240</v>
      </c>
      <c r="F17">
        <f t="shared" si="3"/>
        <v>60</v>
      </c>
      <c r="G17" t="b">
        <f>IFERROR(IF(VLOOKUP(Table2[[#This Row],[Item]],'Inventory as of 12th Aug 2024'!A:H,1,)=Table2[[#This Row],[Item]],TRUE,FALSE),FALSE)</f>
        <v>1</v>
      </c>
      <c r="H17" t="s">
        <v>247</v>
      </c>
    </row>
    <row r="18" spans="1:13" x14ac:dyDescent="0.25">
      <c r="A18" s="1">
        <f t="shared" si="4"/>
        <v>45520</v>
      </c>
      <c r="C18" t="str">
        <f>'Inventory as of 12th Aug 2024'!A12</f>
        <v>Kienyeji  Eggs</v>
      </c>
      <c r="D18">
        <v>4</v>
      </c>
      <c r="E18">
        <v>80</v>
      </c>
      <c r="F18">
        <f t="shared" si="3"/>
        <v>20</v>
      </c>
      <c r="G18" t="b">
        <f>IFERROR(IF(VLOOKUP(Table2[[#This Row],[Item]],'Inventory as of 12th Aug 2024'!A:H,1,)=Table2[[#This Row],[Item]],TRUE,FALSE),FALSE)</f>
        <v>1</v>
      </c>
      <c r="H18" t="s">
        <v>359</v>
      </c>
      <c r="L18" t="s">
        <v>360</v>
      </c>
      <c r="M18">
        <f>Table2[[#This Row],[Total_Spent]]</f>
        <v>80</v>
      </c>
    </row>
    <row r="19" spans="1:13" x14ac:dyDescent="0.25">
      <c r="A19" s="1">
        <f>DATE(2024,8,17)</f>
        <v>45521</v>
      </c>
      <c r="C19" t="str">
        <f>'Inventory as of 12th Aug 2024'!A35</f>
        <v>Festive 600g</v>
      </c>
      <c r="D19">
        <v>4</v>
      </c>
      <c r="E19">
        <v>360</v>
      </c>
      <c r="F19">
        <f t="shared" si="3"/>
        <v>90</v>
      </c>
      <c r="G19" t="b">
        <f>IFERROR(IF(VLOOKUP(Table2[[#This Row],[Item]],'Inventory as of 12th Aug 2024'!A:H,1,)=Table2[[#This Row],[Item]],TRUE,FALSE),FALSE)</f>
        <v>1</v>
      </c>
      <c r="H19" t="s">
        <v>247</v>
      </c>
    </row>
    <row r="20" spans="1:13" x14ac:dyDescent="0.25">
      <c r="A20" s="1">
        <f t="shared" ref="A20:A32" si="5">DATE(2024,8,17)</f>
        <v>45521</v>
      </c>
      <c r="C20" t="str">
        <f>'Inventory as of 12th Aug 2024'!A37</f>
        <v>Festive Bread 400g</v>
      </c>
      <c r="D20">
        <v>2</v>
      </c>
      <c r="E20">
        <v>120</v>
      </c>
      <c r="F20">
        <f t="shared" si="3"/>
        <v>60</v>
      </c>
      <c r="G20" t="b">
        <f>IFERROR(IF(VLOOKUP(Table2[[#This Row],[Item]],'Inventory as of 12th Aug 2024'!A:H,1,)=Table2[[#This Row],[Item]],TRUE,FALSE),FALSE)</f>
        <v>1</v>
      </c>
      <c r="H20" t="s">
        <v>247</v>
      </c>
    </row>
    <row r="21" spans="1:13" x14ac:dyDescent="0.25">
      <c r="A21" s="1">
        <f t="shared" si="5"/>
        <v>45521</v>
      </c>
      <c r="C21" t="str">
        <f>'Inventory as of 12th Aug 2024'!A15</f>
        <v>1ltr Brookside Lala Natural</v>
      </c>
      <c r="D21">
        <v>3</v>
      </c>
      <c r="E21">
        <v>490</v>
      </c>
      <c r="F21">
        <f t="shared" si="3"/>
        <v>163.33333333333334</v>
      </c>
      <c r="G21" t="b">
        <f>IFERROR(IF(VLOOKUP(Table2[[#This Row],[Item]],'Inventory as of 12th Aug 2024'!A:H,1,)=Table2[[#This Row],[Item]],TRUE,FALSE),FALSE)</f>
        <v>1</v>
      </c>
      <c r="H21" t="s">
        <v>361</v>
      </c>
    </row>
    <row r="22" spans="1:13" x14ac:dyDescent="0.25">
      <c r="A22" s="1">
        <f t="shared" si="5"/>
        <v>45521</v>
      </c>
      <c r="C22" t="str">
        <f>'Inventory as of 12th Aug 2024'!A24</f>
        <v>Brookside Lala Natural</v>
      </c>
      <c r="D22">
        <v>4</v>
      </c>
      <c r="E22">
        <f>87*4</f>
        <v>348</v>
      </c>
      <c r="F22">
        <f t="shared" si="3"/>
        <v>87</v>
      </c>
      <c r="G22" t="b">
        <f>IFERROR(IF(VLOOKUP(Table2[[#This Row],[Item]],'Inventory as of 12th Aug 2024'!A:H,1,)=Table2[[#This Row],[Item]],TRUE,FALSE),FALSE)</f>
        <v>1</v>
      </c>
      <c r="H22" t="s">
        <v>361</v>
      </c>
    </row>
    <row r="23" spans="1:13" x14ac:dyDescent="0.25">
      <c r="A23" s="1">
        <f t="shared" si="5"/>
        <v>45521</v>
      </c>
      <c r="C23" t="str">
        <f>'Inventory as of 12th Aug 2024'!A25</f>
        <v>Brookside Lala Sweetened</v>
      </c>
      <c r="D23">
        <v>4</v>
      </c>
      <c r="E23">
        <f>93*4</f>
        <v>372</v>
      </c>
      <c r="F23">
        <f t="shared" si="3"/>
        <v>93</v>
      </c>
      <c r="G23" t="b">
        <f>IFERROR(IF(VLOOKUP(Table2[[#This Row],[Item]],'Inventory as of 12th Aug 2024'!A:H,1,)=Table2[[#This Row],[Item]],TRUE,FALSE),FALSE)</f>
        <v>1</v>
      </c>
      <c r="H23" t="s">
        <v>361</v>
      </c>
    </row>
    <row r="24" spans="1:13" x14ac:dyDescent="0.25">
      <c r="A24" s="1">
        <f t="shared" si="5"/>
        <v>45521</v>
      </c>
      <c r="C24" t="str">
        <f>'Inventory as of 12th Aug 2024'!A58</f>
        <v>Safari</v>
      </c>
      <c r="D24">
        <v>100</v>
      </c>
      <c r="E24">
        <v>1050</v>
      </c>
      <c r="F24">
        <f t="shared" si="3"/>
        <v>10.5</v>
      </c>
      <c r="G24" t="b">
        <f>IFERROR(IF(VLOOKUP(Table2[[#This Row],[Item]],'Inventory as of 12th Aug 2024'!A:H,1,)=Table2[[#This Row],[Item]],TRUE,FALSE),FALSE)</f>
        <v>1</v>
      </c>
      <c r="H24" t="s">
        <v>361</v>
      </c>
    </row>
    <row r="25" spans="1:13" x14ac:dyDescent="0.25">
      <c r="A25" s="1">
        <f t="shared" si="5"/>
        <v>45521</v>
      </c>
      <c r="C25" t="str">
        <f>'Inventory as of 12th Aug 2024'!A156</f>
        <v>Kortex pads</v>
      </c>
      <c r="D25">
        <v>5</v>
      </c>
      <c r="E25">
        <v>565</v>
      </c>
      <c r="F25">
        <f t="shared" si="3"/>
        <v>113</v>
      </c>
      <c r="G25" t="b">
        <f>IFERROR(IF(VLOOKUP(Table2[[#This Row],[Item]],'Inventory as of 12th Aug 2024'!A:H,1,)=Table2[[#This Row],[Item]],TRUE,FALSE),FALSE)</f>
        <v>1</v>
      </c>
      <c r="H25" t="s">
        <v>361</v>
      </c>
    </row>
    <row r="26" spans="1:13" x14ac:dyDescent="0.25">
      <c r="A26" s="1">
        <f t="shared" si="5"/>
        <v>45521</v>
      </c>
      <c r="C26" t="str">
        <f>'Inventory as of 12th Aug 2024'!A138</f>
        <v>Softcare pads</v>
      </c>
      <c r="D26">
        <v>6</v>
      </c>
      <c r="E26">
        <v>408</v>
      </c>
      <c r="F26">
        <f t="shared" si="3"/>
        <v>68</v>
      </c>
      <c r="G26" t="b">
        <f>IFERROR(IF(VLOOKUP(Table2[[#This Row],[Item]],'Inventory as of 12th Aug 2024'!A:H,1,)=Table2[[#This Row],[Item]],TRUE,FALSE),FALSE)</f>
        <v>1</v>
      </c>
      <c r="H26" t="s">
        <v>361</v>
      </c>
    </row>
    <row r="27" spans="1:13" x14ac:dyDescent="0.25">
      <c r="A27" s="1">
        <f t="shared" si="5"/>
        <v>45521</v>
      </c>
      <c r="C27" t="str">
        <f>'Inventory as of 12th Aug 2024'!A190</f>
        <v>Goodday Cookies</v>
      </c>
      <c r="D27">
        <v>36</v>
      </c>
      <c r="E27">
        <v>261</v>
      </c>
      <c r="F27">
        <f t="shared" si="3"/>
        <v>7.25</v>
      </c>
      <c r="G27" t="b">
        <f>IFERROR(IF(VLOOKUP(Table2[[#This Row],[Item]],'Inventory as of 12th Aug 2024'!A:H,1,)=Table2[[#This Row],[Item]],TRUE,FALSE),FALSE)</f>
        <v>1</v>
      </c>
      <c r="H27" t="s">
        <v>361</v>
      </c>
    </row>
    <row r="28" spans="1:13" x14ac:dyDescent="0.25">
      <c r="A28" s="1">
        <f t="shared" si="5"/>
        <v>45521</v>
      </c>
      <c r="C28" t="str">
        <f>'Inventory as of 12th Aug 2024'!A229</f>
        <v>Fresh green</v>
      </c>
      <c r="D28">
        <v>50</v>
      </c>
      <c r="E28">
        <v>242</v>
      </c>
      <c r="F28">
        <f t="shared" si="3"/>
        <v>4.84</v>
      </c>
      <c r="G28" t="b">
        <f>IFERROR(IF(VLOOKUP(Table2[[#This Row],[Item]],'Inventory as of 12th Aug 2024'!A:H,1,)=Table2[[#This Row],[Item]],TRUE,FALSE),FALSE)</f>
        <v>1</v>
      </c>
      <c r="H28" t="s">
        <v>361</v>
      </c>
    </row>
    <row r="29" spans="1:13" x14ac:dyDescent="0.25">
      <c r="A29" s="1">
        <f t="shared" si="5"/>
        <v>45521</v>
      </c>
      <c r="C29" t="str">
        <f>'Inventory as of 12th Aug 2024'!A234</f>
        <v>Bigdaddy</v>
      </c>
      <c r="D29">
        <v>50</v>
      </c>
      <c r="E29">
        <v>288</v>
      </c>
      <c r="F29">
        <f t="shared" si="3"/>
        <v>5.76</v>
      </c>
      <c r="G29" t="b">
        <f>IFERROR(IF(VLOOKUP(Table2[[#This Row],[Item]],'Inventory as of 12th Aug 2024'!A:H,1,)=Table2[[#This Row],[Item]],TRUE,FALSE),FALSE)</f>
        <v>1</v>
      </c>
      <c r="H29" t="s">
        <v>361</v>
      </c>
    </row>
    <row r="30" spans="1:13" x14ac:dyDescent="0.25">
      <c r="A30" s="1">
        <f t="shared" si="5"/>
        <v>45521</v>
      </c>
      <c r="C30" t="str">
        <f>'Inventory as of 12th Aug 2024'!A202</f>
        <v>funtime snacks</v>
      </c>
      <c r="D30">
        <v>30</v>
      </c>
      <c r="E30">
        <v>270</v>
      </c>
      <c r="F30">
        <f t="shared" si="3"/>
        <v>9</v>
      </c>
      <c r="G30" t="b">
        <f>IFERROR(IF(VLOOKUP(Table2[[#This Row],[Item]],'Inventory as of 12th Aug 2024'!A:H,1,)=Table2[[#This Row],[Item]],TRUE,FALSE),FALSE)</f>
        <v>1</v>
      </c>
      <c r="H30" t="s">
        <v>361</v>
      </c>
    </row>
    <row r="31" spans="1:13" x14ac:dyDescent="0.25">
      <c r="A31" s="1">
        <f t="shared" si="5"/>
        <v>45521</v>
      </c>
      <c r="C31" t="str">
        <f>'Inventory as of 12th Aug 2024'!A244</f>
        <v>5ltrs water</v>
      </c>
      <c r="D31">
        <v>8</v>
      </c>
      <c r="E31">
        <v>600</v>
      </c>
      <c r="F31">
        <f t="shared" si="3"/>
        <v>75</v>
      </c>
      <c r="G31" t="b">
        <f>IFERROR(IF(VLOOKUP(Table2[[#This Row],[Item]],'Inventory as of 12th Aug 2024'!A:H,1,)=Table2[[#This Row],[Item]],TRUE,FALSE),FALSE)</f>
        <v>1</v>
      </c>
      <c r="H31" t="s">
        <v>361</v>
      </c>
    </row>
    <row r="32" spans="1:13" x14ac:dyDescent="0.25">
      <c r="A32" s="1">
        <f t="shared" si="5"/>
        <v>45521</v>
      </c>
      <c r="C32" t="str">
        <f>'Inventory as of 12th Aug 2024'!A46</f>
        <v>Tukuza 1kg</v>
      </c>
      <c r="D32">
        <v>12</v>
      </c>
      <c r="E32">
        <v>730</v>
      </c>
      <c r="F32">
        <f t="shared" si="3"/>
        <v>60.833333333333336</v>
      </c>
      <c r="G32" t="b">
        <f>IFERROR(IF(VLOOKUP(Table2[[#This Row],[Item]],'Inventory as of 12th Aug 2024'!A:H,1,)=Table2[[#This Row],[Item]],TRUE,FALSE),FALSE)</f>
        <v>1</v>
      </c>
      <c r="H32" t="s">
        <v>361</v>
      </c>
    </row>
    <row r="33" spans="1:11" x14ac:dyDescent="0.25">
      <c r="A33" s="1">
        <f>DATE(2024,8,19)</f>
        <v>45523</v>
      </c>
      <c r="C33" t="str">
        <f>'Inventory as of 12th Aug 2024'!A87</f>
        <v>Menengai Bar 1kg</v>
      </c>
      <c r="D33">
        <v>4</v>
      </c>
      <c r="E33">
        <v>760</v>
      </c>
      <c r="F33">
        <f t="shared" si="3"/>
        <v>190</v>
      </c>
      <c r="G33" t="b">
        <f>IFERROR(IF(VLOOKUP(Table2[[#This Row],[Item]],'Inventory as of 12th Aug 2024'!A:H,1,)=Table2[[#This Row],[Item]],TRUE,FALSE),FALSE)</f>
        <v>1</v>
      </c>
      <c r="H33" t="s">
        <v>361</v>
      </c>
      <c r="K33" t="s">
        <v>362</v>
      </c>
    </row>
    <row r="34" spans="1:11" x14ac:dyDescent="0.25">
      <c r="A34" s="1">
        <f>DATE(2024,8,19)</f>
        <v>45523</v>
      </c>
      <c r="C34" t="str">
        <f>'Inventory as of 12th Aug 2024'!A149</f>
        <v>Arimis small</v>
      </c>
      <c r="D34">
        <v>12</v>
      </c>
      <c r="E34">
        <v>380</v>
      </c>
      <c r="F34">
        <f t="shared" si="3"/>
        <v>31.666666666666668</v>
      </c>
      <c r="G34" t="b">
        <f>IFERROR(IF(VLOOKUP(Table2[[#This Row],[Item]],'Inventory as of 12th Aug 2024'!A:H,1,)=Table2[[#This Row],[Item]],TRUE,FALSE),FALSE)</f>
        <v>1</v>
      </c>
      <c r="H34" t="s">
        <v>361</v>
      </c>
      <c r="K34" t="s">
        <v>362</v>
      </c>
    </row>
    <row r="35" spans="1:11" x14ac:dyDescent="0.25">
      <c r="A35" s="1">
        <f t="shared" ref="A35:A45" si="6">DATE(2024,8,19)</f>
        <v>45523</v>
      </c>
      <c r="C35" t="str">
        <f>'Inventory as of 12th Aug 2024'!A17</f>
        <v>Brookside milk 500ml</v>
      </c>
      <c r="D35">
        <v>24</v>
      </c>
      <c r="E35">
        <v>1416</v>
      </c>
      <c r="F35">
        <f t="shared" si="3"/>
        <v>59</v>
      </c>
      <c r="G35" t="b">
        <f>IFERROR(IF(VLOOKUP(Table2[[#This Row],[Item]],'Inventory as of 12th Aug 2024'!A:H,1,)=Table2[[#This Row],[Item]],TRUE,FALSE),FALSE)</f>
        <v>1</v>
      </c>
      <c r="H35" t="s">
        <v>361</v>
      </c>
      <c r="K35" t="s">
        <v>363</v>
      </c>
    </row>
    <row r="36" spans="1:11" x14ac:dyDescent="0.25">
      <c r="A36" s="1">
        <f t="shared" si="6"/>
        <v>45523</v>
      </c>
      <c r="C36" t="str">
        <f>'Inventory as of 12th Aug 2024'!A5</f>
        <v>Airtel 20 Credit</v>
      </c>
      <c r="D36">
        <v>10</v>
      </c>
      <c r="E36">
        <v>185</v>
      </c>
      <c r="F36">
        <f t="shared" si="3"/>
        <v>18.5</v>
      </c>
      <c r="G36" t="b">
        <f>IFERROR(IF(VLOOKUP(Table2[[#This Row],[Item]],'Inventory as of 12th Aug 2024'!A:H,1,)=Table2[[#This Row],[Item]],TRUE,FALSE),FALSE)</f>
        <v>1</v>
      </c>
      <c r="H36" t="s">
        <v>361</v>
      </c>
      <c r="K36" t="s">
        <v>362</v>
      </c>
    </row>
    <row r="37" spans="1:11" x14ac:dyDescent="0.25">
      <c r="A37" s="1">
        <f t="shared" si="6"/>
        <v>45523</v>
      </c>
      <c r="C37" t="str">
        <f>'Inventory as of 12th Aug 2024'!A6</f>
        <v>Airtel 10 Credit</v>
      </c>
      <c r="D37">
        <v>10</v>
      </c>
      <c r="E37">
        <v>87</v>
      </c>
      <c r="F37">
        <f t="shared" si="3"/>
        <v>8.6999999999999993</v>
      </c>
      <c r="G37" t="b">
        <f>IFERROR(IF(VLOOKUP(Table2[[#This Row],[Item]],'Inventory as of 12th Aug 2024'!A:H,1,)=Table2[[#This Row],[Item]],TRUE,FALSE),FALSE)</f>
        <v>1</v>
      </c>
      <c r="H37" t="s">
        <v>361</v>
      </c>
      <c r="K37" t="s">
        <v>362</v>
      </c>
    </row>
    <row r="38" spans="1:11" x14ac:dyDescent="0.25">
      <c r="A38" s="1">
        <f t="shared" si="6"/>
        <v>45523</v>
      </c>
      <c r="C38" t="str">
        <f>'Inventory as of 12th Aug 2024'!A7</f>
        <v>Airtel 50 Credit</v>
      </c>
      <c r="D38">
        <v>10</v>
      </c>
      <c r="E38">
        <v>480</v>
      </c>
      <c r="F38">
        <f t="shared" si="3"/>
        <v>48</v>
      </c>
      <c r="G38" t="b">
        <f>IFERROR(IF(VLOOKUP(Table2[[#This Row],[Item]],'Inventory as of 12th Aug 2024'!A:H,1,)=Table2[[#This Row],[Item]],TRUE,FALSE),FALSE)</f>
        <v>1</v>
      </c>
      <c r="H38" t="s">
        <v>361</v>
      </c>
      <c r="K38" t="s">
        <v>362</v>
      </c>
    </row>
    <row r="39" spans="1:11" x14ac:dyDescent="0.25">
      <c r="A39" s="1">
        <f t="shared" si="6"/>
        <v>45523</v>
      </c>
      <c r="C39" t="str">
        <f>'Inventory as of 12th Aug 2024'!A2</f>
        <v>Safaricom 20 Credit</v>
      </c>
      <c r="D39">
        <v>10</v>
      </c>
      <c r="E39">
        <v>185</v>
      </c>
      <c r="F39">
        <f t="shared" si="3"/>
        <v>18.5</v>
      </c>
      <c r="G39" t="b">
        <f>IFERROR(IF(VLOOKUP(Table2[[#This Row],[Item]],'Inventory as of 12th Aug 2024'!A:H,1,)=Table2[[#This Row],[Item]],TRUE,FALSE),FALSE)</f>
        <v>1</v>
      </c>
      <c r="H39" t="s">
        <v>361</v>
      </c>
      <c r="K39" t="s">
        <v>362</v>
      </c>
    </row>
    <row r="40" spans="1:11" x14ac:dyDescent="0.25">
      <c r="A40" s="1">
        <f t="shared" si="6"/>
        <v>45523</v>
      </c>
      <c r="C40" t="str">
        <f>'Inventory as of 12th Aug 2024'!A3</f>
        <v>Safaricom 10 Credit</v>
      </c>
      <c r="D40">
        <v>10</v>
      </c>
      <c r="E40">
        <v>87</v>
      </c>
      <c r="F40">
        <f t="shared" si="3"/>
        <v>8.6999999999999993</v>
      </c>
      <c r="G40" t="b">
        <f>IFERROR(IF(VLOOKUP(Table2[[#This Row],[Item]],'Inventory as of 12th Aug 2024'!A:H,1,)=Table2[[#This Row],[Item]],TRUE,FALSE),FALSE)</f>
        <v>1</v>
      </c>
      <c r="H40" t="s">
        <v>361</v>
      </c>
      <c r="K40" t="s">
        <v>362</v>
      </c>
    </row>
    <row r="41" spans="1:11" x14ac:dyDescent="0.25">
      <c r="A41" s="1">
        <f t="shared" si="6"/>
        <v>45523</v>
      </c>
      <c r="C41" t="str">
        <f>'Inventory as of 12th Aug 2024'!A4</f>
        <v>Safaricom 50 Credit</v>
      </c>
      <c r="D41">
        <v>10</v>
      </c>
      <c r="E41">
        <v>480</v>
      </c>
      <c r="F41">
        <f t="shared" si="3"/>
        <v>48</v>
      </c>
      <c r="G41" t="b">
        <f>IFERROR(IF(VLOOKUP(Table2[[#This Row],[Item]],'Inventory as of 12th Aug 2024'!A:H,1,)=Table2[[#This Row],[Item]],TRUE,FALSE),FALSE)</f>
        <v>1</v>
      </c>
      <c r="H41" t="s">
        <v>361</v>
      </c>
      <c r="K41" t="s">
        <v>362</v>
      </c>
    </row>
    <row r="42" spans="1:11" x14ac:dyDescent="0.25">
      <c r="A42" s="1">
        <f t="shared" si="6"/>
        <v>45523</v>
      </c>
      <c r="C42" t="str">
        <f>'Inventory as of 12th Aug 2024'!A19</f>
        <v>Dairy Fresh v</v>
      </c>
      <c r="D42">
        <v>12</v>
      </c>
      <c r="E42">
        <v>816</v>
      </c>
      <c r="F42">
        <f t="shared" si="3"/>
        <v>68</v>
      </c>
      <c r="G42" t="b">
        <f>IFERROR(IF(VLOOKUP(Table2[[#This Row],[Item]],'Inventory as of 12th Aug 2024'!A:H,1,)=Table2[[#This Row],[Item]],TRUE,FALSE),FALSE)</f>
        <v>1</v>
      </c>
      <c r="H42" t="s">
        <v>361</v>
      </c>
      <c r="K42" t="s">
        <v>363</v>
      </c>
    </row>
    <row r="43" spans="1:11" x14ac:dyDescent="0.25">
      <c r="A43" s="1">
        <f t="shared" si="6"/>
        <v>45523</v>
      </c>
      <c r="C43" t="str">
        <f>'Inventory as of 12th Aug 2024'!A91</f>
        <v>Tomatoes</v>
      </c>
      <c r="D43">
        <v>42</v>
      </c>
      <c r="E43">
        <v>200</v>
      </c>
      <c r="F43">
        <f t="shared" si="3"/>
        <v>4.7619047619047619</v>
      </c>
      <c r="G43" t="b">
        <f>IFERROR(IF(VLOOKUP(Table2[[#This Row],[Item]],'Inventory as of 12th Aug 2024'!A:H,1,)=Table2[[#This Row],[Item]],TRUE,FALSE),FALSE)</f>
        <v>1</v>
      </c>
      <c r="H43" t="s">
        <v>361</v>
      </c>
      <c r="K43" t="s">
        <v>358</v>
      </c>
    </row>
    <row r="44" spans="1:11" x14ac:dyDescent="0.25">
      <c r="A44" s="1">
        <f t="shared" si="6"/>
        <v>45523</v>
      </c>
      <c r="C44" t="str">
        <f>'Inventory as of 12th Aug 2024'!A93</f>
        <v>Dhania</v>
      </c>
      <c r="D44">
        <v>9</v>
      </c>
      <c r="E44">
        <v>30</v>
      </c>
      <c r="F44">
        <f t="shared" si="3"/>
        <v>3.3333333333333335</v>
      </c>
      <c r="G44" t="b">
        <f>IFERROR(IF(VLOOKUP(Table2[[#This Row],[Item]],'Inventory as of 12th Aug 2024'!A:H,1,)=Table2[[#This Row],[Item]],TRUE,FALSE),FALSE)</f>
        <v>1</v>
      </c>
      <c r="H44" t="s">
        <v>361</v>
      </c>
      <c r="K44" t="s">
        <v>358</v>
      </c>
    </row>
    <row r="45" spans="1:11" x14ac:dyDescent="0.25">
      <c r="A45" s="1">
        <f t="shared" si="6"/>
        <v>45523</v>
      </c>
      <c r="C45" t="str">
        <f>'Inventory as of 12th Aug 2024'!A33</f>
        <v>BB Bread 400g</v>
      </c>
      <c r="D45">
        <v>4</v>
      </c>
      <c r="E45">
        <v>240</v>
      </c>
      <c r="F45">
        <f t="shared" si="3"/>
        <v>60</v>
      </c>
      <c r="G45" t="b">
        <f>IFERROR(IF(VLOOKUP(Table2[[#This Row],[Item]],'Inventory as of 12th Aug 2024'!A:H,1,)=Table2[[#This Row],[Item]],TRUE,FALSE),FALSE)</f>
        <v>1</v>
      </c>
      <c r="H45" t="s">
        <v>247</v>
      </c>
    </row>
    <row r="46" spans="1:11" x14ac:dyDescent="0.25">
      <c r="A46" s="1">
        <f>DATE(2024,8,15)</f>
        <v>45519</v>
      </c>
      <c r="C46" t="str">
        <f>'Inventory as of 12th Aug 2024'!A95</f>
        <v>waru</v>
      </c>
      <c r="D46">
        <f>60/5</f>
        <v>12</v>
      </c>
      <c r="E46">
        <v>500</v>
      </c>
      <c r="F46">
        <f t="shared" si="3"/>
        <v>41.666666666666664</v>
      </c>
      <c r="G46" t="b">
        <f>IFERROR(IF(VLOOKUP(Table2[[#This Row],[Item]],'Inventory as of 12th Aug 2024'!A:H,1,)=Table2[[#This Row],[Item]],TRUE,FALSE),FALSE)</f>
        <v>1</v>
      </c>
      <c r="H46" t="s">
        <v>361</v>
      </c>
      <c r="K46" t="s">
        <v>362</v>
      </c>
    </row>
    <row r="47" spans="1:11" x14ac:dyDescent="0.25">
      <c r="A47" s="1">
        <f t="shared" ref="A47:A48" si="7">DATE(2024,8,15)</f>
        <v>45519</v>
      </c>
      <c r="C47" t="str">
        <f>'Inventory as of 12th Aug 2024'!A49</f>
        <v>Ndengu</v>
      </c>
      <c r="D47">
        <v>8</v>
      </c>
      <c r="E47">
        <f>125*8</f>
        <v>1000</v>
      </c>
      <c r="F47">
        <f t="shared" si="3"/>
        <v>125</v>
      </c>
      <c r="G47" t="b">
        <f>IFERROR(IF(VLOOKUP(Table2[[#This Row],[Item]],'Inventory as of 12th Aug 2024'!A:H,1,)=Table2[[#This Row],[Item]],TRUE,FALSE),FALSE)</f>
        <v>1</v>
      </c>
      <c r="H47" t="s">
        <v>361</v>
      </c>
      <c r="K47" t="s">
        <v>362</v>
      </c>
    </row>
    <row r="48" spans="1:11" x14ac:dyDescent="0.25">
      <c r="A48" s="1">
        <f t="shared" si="7"/>
        <v>45519</v>
      </c>
      <c r="C48" t="str">
        <f>'Inventory as of 12th Aug 2024'!A16</f>
        <v>Mt kenya milk 500ml</v>
      </c>
      <c r="D48">
        <v>36</v>
      </c>
      <c r="E48">
        <f>867*2</f>
        <v>1734</v>
      </c>
      <c r="F48">
        <f t="shared" si="3"/>
        <v>48.166666666666664</v>
      </c>
      <c r="G48" t="b">
        <f>IFERROR(IF(VLOOKUP(Table2[[#This Row],[Item]],'Inventory as of 12th Aug 2024'!A:H,1,)=Table2[[#This Row],[Item]],TRUE,FALSE),FALSE)</f>
        <v>1</v>
      </c>
      <c r="H48" t="s">
        <v>361</v>
      </c>
      <c r="K48" t="s">
        <v>363</v>
      </c>
    </row>
    <row r="49" spans="1:13" x14ac:dyDescent="0.25">
      <c r="A49" s="1">
        <f>DATE(2024,8,20)</f>
        <v>45524</v>
      </c>
      <c r="C49" t="str">
        <f>'Inventory as of 12th Aug 2024'!A33</f>
        <v>BB Bread 400g</v>
      </c>
      <c r="D49">
        <v>2</v>
      </c>
      <c r="E49">
        <v>120</v>
      </c>
      <c r="F49">
        <f t="shared" si="3"/>
        <v>60</v>
      </c>
      <c r="G49" t="b">
        <f>IFERROR(IF(VLOOKUP(Table2[[#This Row],[Item]],'Inventory as of 12th Aug 2024'!A:H,1,)=Table2[[#This Row],[Item]],TRUE,FALSE),FALSE)</f>
        <v>1</v>
      </c>
      <c r="H49" t="s">
        <v>247</v>
      </c>
    </row>
    <row r="50" spans="1:13" x14ac:dyDescent="0.25">
      <c r="A50" s="1">
        <f t="shared" ref="A50:A54" si="8">DATE(2024,8,20)</f>
        <v>45524</v>
      </c>
      <c r="C50" t="str">
        <f>'Inventory as of 12th Aug 2024'!A37</f>
        <v>Festive Bread 400g</v>
      </c>
      <c r="D50">
        <v>5</v>
      </c>
      <c r="E50">
        <v>300</v>
      </c>
      <c r="F50">
        <f t="shared" si="3"/>
        <v>60</v>
      </c>
      <c r="G50" t="b">
        <f>IFERROR(IF(VLOOKUP(Table2[[#This Row],[Item]],'Inventory as of 12th Aug 2024'!A:H,1,)=Table2[[#This Row],[Item]],TRUE,FALSE),FALSE)</f>
        <v>1</v>
      </c>
      <c r="H50" t="s">
        <v>247</v>
      </c>
    </row>
    <row r="51" spans="1:13" x14ac:dyDescent="0.25">
      <c r="A51" s="1">
        <f t="shared" si="8"/>
        <v>45524</v>
      </c>
      <c r="C51" t="str">
        <f>'Inventory as of 12th Aug 2024'!A35</f>
        <v>Festive 600g</v>
      </c>
      <c r="D51">
        <v>4</v>
      </c>
      <c r="E51">
        <v>360</v>
      </c>
      <c r="F51">
        <f t="shared" si="3"/>
        <v>90</v>
      </c>
      <c r="G51" t="b">
        <f>IFERROR(IF(VLOOKUP(Table2[[#This Row],[Item]],'Inventory as of 12th Aug 2024'!A:H,1,)=Table2[[#This Row],[Item]],TRUE,FALSE),FALSE)</f>
        <v>1</v>
      </c>
      <c r="H51" t="s">
        <v>247</v>
      </c>
    </row>
    <row r="52" spans="1:13" x14ac:dyDescent="0.25">
      <c r="A52" s="1">
        <f t="shared" si="8"/>
        <v>45524</v>
      </c>
      <c r="C52" t="str">
        <f>'Inventory as of 12th Aug 2024'!A36</f>
        <v>Festive 800g</v>
      </c>
      <c r="D52">
        <v>2</v>
      </c>
      <c r="E52">
        <v>240</v>
      </c>
      <c r="F52">
        <f t="shared" si="3"/>
        <v>120</v>
      </c>
      <c r="G52" t="b">
        <f>IFERROR(IF(VLOOKUP(Table2[[#This Row],[Item]],'Inventory as of 12th Aug 2024'!A:H,1,)=Table2[[#This Row],[Item]],TRUE,FALSE),FALSE)</f>
        <v>1</v>
      </c>
      <c r="H52" t="s">
        <v>247</v>
      </c>
    </row>
    <row r="53" spans="1:13" x14ac:dyDescent="0.25">
      <c r="A53" s="1">
        <f t="shared" si="8"/>
        <v>45524</v>
      </c>
      <c r="C53" t="str">
        <f>'Inventory as of 12th Aug 2024'!A194</f>
        <v>Half pound cake</v>
      </c>
      <c r="D53">
        <v>1</v>
      </c>
      <c r="E53">
        <v>90</v>
      </c>
      <c r="F53">
        <f t="shared" si="3"/>
        <v>90</v>
      </c>
      <c r="G53" t="b">
        <f>IFERROR(IF(VLOOKUP(Table2[[#This Row],[Item]],'Inventory as of 12th Aug 2024'!A:H,1,)=Table2[[#This Row],[Item]],TRUE,FALSE),FALSE)</f>
        <v>1</v>
      </c>
      <c r="H53" t="s">
        <v>247</v>
      </c>
    </row>
    <row r="54" spans="1:13" x14ac:dyDescent="0.25">
      <c r="A54" s="1">
        <f t="shared" si="8"/>
        <v>45524</v>
      </c>
      <c r="C54" t="str">
        <f>'Inventory as of 12th Aug 2024'!A194</f>
        <v>Half pound cake</v>
      </c>
      <c r="D54">
        <v>2</v>
      </c>
      <c r="E54">
        <v>180</v>
      </c>
      <c r="F54">
        <f t="shared" si="3"/>
        <v>90</v>
      </c>
      <c r="G54" t="b">
        <f>IFERROR(IF(VLOOKUP(Table2[[#This Row],[Item]],'Inventory as of 12th Aug 2024'!A:H,1,)=Table2[[#This Row],[Item]],TRUE,FALSE),FALSE)</f>
        <v>1</v>
      </c>
      <c r="H54" t="s">
        <v>361</v>
      </c>
      <c r="K54" t="s">
        <v>358</v>
      </c>
    </row>
    <row r="55" spans="1:13" x14ac:dyDescent="0.25">
      <c r="A55" s="1">
        <f>DATE(2024,8,21)</f>
        <v>45525</v>
      </c>
      <c r="C55" t="str">
        <f>'Inventory as of 12th Aug 2024'!A37</f>
        <v>Festive Bread 400g</v>
      </c>
      <c r="D55">
        <v>12</v>
      </c>
      <c r="E55">
        <v>720</v>
      </c>
      <c r="F55">
        <f t="shared" si="3"/>
        <v>60</v>
      </c>
      <c r="G55" t="b">
        <f>IFERROR(IF(VLOOKUP(Table2[[#This Row],[Item]],'Inventory as of 12th Aug 2024'!A:H,1,)=Table2[[#This Row],[Item]],TRUE,FALSE),FALSE)</f>
        <v>1</v>
      </c>
      <c r="H55" t="s">
        <v>247</v>
      </c>
    </row>
    <row r="56" spans="1:13" x14ac:dyDescent="0.25">
      <c r="A56" s="1">
        <f t="shared" ref="A56" si="9">DATE(2024,8,21)</f>
        <v>45525</v>
      </c>
      <c r="C56" t="str">
        <f>'Inventory as of 12th Aug 2024'!A33</f>
        <v>BB Bread 400g</v>
      </c>
      <c r="D56">
        <v>4</v>
      </c>
      <c r="E56">
        <v>240</v>
      </c>
      <c r="F56">
        <f t="shared" si="3"/>
        <v>60</v>
      </c>
      <c r="G56" t="b">
        <f>IFERROR(IF(VLOOKUP(Table2[[#This Row],[Item]],'Inventory as of 12th Aug 2024'!A:H,1,)=Table2[[#This Row],[Item]],TRUE,FALSE),FALSE)</f>
        <v>1</v>
      </c>
      <c r="H56" t="s">
        <v>247</v>
      </c>
    </row>
    <row r="57" spans="1:13" x14ac:dyDescent="0.25">
      <c r="A57" s="17" t="s">
        <v>364</v>
      </c>
      <c r="B57" s="18"/>
      <c r="C57" s="18" t="s">
        <v>27</v>
      </c>
      <c r="D57" s="18">
        <v>6</v>
      </c>
      <c r="E57" s="18">
        <v>834</v>
      </c>
      <c r="F57">
        <f t="shared" si="3"/>
        <v>139</v>
      </c>
      <c r="G57" t="b">
        <f>IFERROR(IF(VLOOKUP(Table2[[#This Row],[Item]],'Inventory as of 12th Aug 2024'!A:H,1,)=Table2[[#This Row],[Item]],TRUE,FALSE),FALSE)</f>
        <v>1</v>
      </c>
      <c r="H57" s="18" t="s">
        <v>361</v>
      </c>
      <c r="I57" s="18"/>
      <c r="J57" s="18"/>
      <c r="K57" s="18" t="s">
        <v>363</v>
      </c>
      <c r="L57" s="18"/>
      <c r="M57" s="19"/>
    </row>
    <row r="58" spans="1:13" x14ac:dyDescent="0.25">
      <c r="A58" s="20" t="s">
        <v>364</v>
      </c>
      <c r="B58" s="21"/>
      <c r="C58" s="21" t="s">
        <v>154</v>
      </c>
      <c r="D58" s="21">
        <v>12</v>
      </c>
      <c r="E58" s="21">
        <v>720</v>
      </c>
      <c r="F58">
        <f t="shared" si="3"/>
        <v>60</v>
      </c>
      <c r="G58" t="b">
        <f>IFERROR(IF(VLOOKUP(Table2[[#This Row],[Item]],'Inventory as of 12th Aug 2024'!A:H,1,)=Table2[[#This Row],[Item]],TRUE,FALSE),FALSE)</f>
        <v>1</v>
      </c>
      <c r="H58" s="21" t="s">
        <v>247</v>
      </c>
      <c r="I58" s="21"/>
      <c r="J58" s="21"/>
      <c r="K58" s="21"/>
      <c r="L58" s="21"/>
      <c r="M58" s="22"/>
    </row>
    <row r="59" spans="1:13" x14ac:dyDescent="0.25">
      <c r="A59" s="17" t="s">
        <v>365</v>
      </c>
      <c r="B59" s="18"/>
      <c r="C59" s="18" t="str">
        <f>'Inventory as of 12th Aug 2024'!A37</f>
        <v>Festive Bread 400g</v>
      </c>
      <c r="D59" s="18">
        <v>6</v>
      </c>
      <c r="E59" s="18">
        <v>360</v>
      </c>
      <c r="F59">
        <f t="shared" si="3"/>
        <v>60</v>
      </c>
      <c r="G59" t="b">
        <f>IFERROR(IF(VLOOKUP(Table2[[#This Row],[Item]],'Inventory as of 12th Aug 2024'!A:H,1,)=Table2[[#This Row],[Item]],TRUE,FALSE),FALSE)</f>
        <v>1</v>
      </c>
      <c r="H59" s="21" t="s">
        <v>247</v>
      </c>
      <c r="I59" s="18"/>
      <c r="J59" s="18"/>
      <c r="K59" s="18"/>
      <c r="L59" s="18"/>
      <c r="M59" s="19"/>
    </row>
    <row r="60" spans="1:13" x14ac:dyDescent="0.25">
      <c r="A60" s="30">
        <v>45527</v>
      </c>
      <c r="B60" s="21"/>
      <c r="C60" s="21" t="str">
        <f>'Inventory as of 12th Aug 2024'!A35</f>
        <v>Festive 600g</v>
      </c>
      <c r="D60" s="21">
        <v>2</v>
      </c>
      <c r="E60" s="21">
        <v>180</v>
      </c>
      <c r="F60">
        <f t="shared" si="3"/>
        <v>90</v>
      </c>
      <c r="G60" t="b">
        <f>IFERROR(IF(VLOOKUP(Table2[[#This Row],[Item]],'Inventory as of 12th Aug 2024'!A:H,1,)=Table2[[#This Row],[Item]],TRUE,FALSE),FALSE)</f>
        <v>1</v>
      </c>
      <c r="H60" s="21" t="s">
        <v>247</v>
      </c>
      <c r="I60" s="21"/>
      <c r="J60" s="21"/>
      <c r="K60" s="21"/>
      <c r="L60" s="21"/>
      <c r="M60" s="22"/>
    </row>
    <row r="61" spans="1:13" x14ac:dyDescent="0.25">
      <c r="A61" s="30">
        <v>45527</v>
      </c>
      <c r="C61" t="str">
        <f>'Inventory as of 12th Aug 2024'!A36</f>
        <v>Festive 800g</v>
      </c>
      <c r="D61">
        <v>2</v>
      </c>
      <c r="E61">
        <v>240</v>
      </c>
      <c r="F61">
        <f t="shared" si="3"/>
        <v>120</v>
      </c>
      <c r="G61" t="b">
        <f>IFERROR(IF(VLOOKUP(Table2[[#This Row],[Item]],'Inventory as of 12th Aug 2024'!A:H,1,)=Table2[[#This Row],[Item]],TRUE,FALSE),FALSE)</f>
        <v>1</v>
      </c>
      <c r="H61" s="21" t="s">
        <v>247</v>
      </c>
    </row>
    <row r="62" spans="1:13" x14ac:dyDescent="0.25">
      <c r="A62" s="30">
        <v>45527</v>
      </c>
      <c r="C62" t="str">
        <f>'Inventory as of 12th Aug 2024'!A33</f>
        <v>BB Bread 400g</v>
      </c>
      <c r="D62">
        <v>6</v>
      </c>
      <c r="E62">
        <v>360</v>
      </c>
      <c r="F62">
        <f t="shared" si="3"/>
        <v>60</v>
      </c>
      <c r="G62" t="b">
        <f>IFERROR(IF(VLOOKUP(Table2[[#This Row],[Item]],'Inventory as of 12th Aug 2024'!A:H,1,)=Table2[[#This Row],[Item]],TRUE,FALSE),FALSE)</f>
        <v>1</v>
      </c>
      <c r="H62" s="21" t="s">
        <v>247</v>
      </c>
    </row>
    <row r="63" spans="1:13" x14ac:dyDescent="0.25">
      <c r="A63" s="30">
        <v>45527</v>
      </c>
      <c r="C63" t="str">
        <f>'Inventory as of 12th Aug 2024'!A247</f>
        <v>nylon papers</v>
      </c>
      <c r="D63">
        <v>5</v>
      </c>
      <c r="E63">
        <v>350</v>
      </c>
      <c r="F63">
        <f t="shared" si="3"/>
        <v>70</v>
      </c>
      <c r="G63" t="b">
        <f>IFERROR(IF(VLOOKUP(Table2[[#This Row],[Item]],'Inventory as of 12th Aug 2024'!A:H,1,)=Table2[[#This Row],[Item]],TRUE,FALSE),FALSE)</f>
        <v>1</v>
      </c>
      <c r="H63" t="s">
        <v>247</v>
      </c>
    </row>
    <row r="64" spans="1:13" x14ac:dyDescent="0.25">
      <c r="A64" s="30">
        <v>45527</v>
      </c>
      <c r="C64" t="str">
        <f>'Inventory as of 12th Aug 2024'!A91</f>
        <v>Tomatoes</v>
      </c>
      <c r="D64">
        <v>60</v>
      </c>
      <c r="E64">
        <v>300</v>
      </c>
      <c r="F64">
        <f t="shared" si="3"/>
        <v>5</v>
      </c>
      <c r="G64" t="b">
        <f>IFERROR(IF(VLOOKUP(Table2[[#This Row],[Item]],'Inventory as of 12th Aug 2024'!A:H,1,)=Table2[[#This Row],[Item]],TRUE,FALSE),FALSE)</f>
        <v>1</v>
      </c>
      <c r="H64" t="s">
        <v>361</v>
      </c>
      <c r="K64" t="s">
        <v>363</v>
      </c>
    </row>
    <row r="65" spans="1:11" x14ac:dyDescent="0.25">
      <c r="A65" s="30">
        <v>45527</v>
      </c>
      <c r="C65" t="str">
        <f>'Inventory as of 12th Aug 2024'!A90</f>
        <v>Onion</v>
      </c>
      <c r="D65">
        <v>40</v>
      </c>
      <c r="E65">
        <v>200</v>
      </c>
      <c r="F65">
        <f t="shared" si="3"/>
        <v>5</v>
      </c>
      <c r="G65" t="b">
        <f>IFERROR(IF(VLOOKUP(Table2[[#This Row],[Item]],'Inventory as of 12th Aug 2024'!A:H,1,)=Table2[[#This Row],[Item]],TRUE,FALSE),FALSE)</f>
        <v>1</v>
      </c>
      <c r="H65" t="s">
        <v>361</v>
      </c>
      <c r="K65" t="s">
        <v>363</v>
      </c>
    </row>
    <row r="66" spans="1:11" x14ac:dyDescent="0.25">
      <c r="A66" s="30">
        <v>45527</v>
      </c>
      <c r="C66" t="str">
        <f>'Inventory as of 12th Aug 2024'!A97</f>
        <v>Garlic</v>
      </c>
      <c r="D66">
        <v>2</v>
      </c>
      <c r="E66">
        <v>40</v>
      </c>
      <c r="F66">
        <f t="shared" si="3"/>
        <v>20</v>
      </c>
      <c r="G66" t="b">
        <f>IFERROR(IF(VLOOKUP(Table2[[#This Row],[Item]],'Inventory as of 12th Aug 2024'!A:H,1,)=Table2[[#This Row],[Item]],TRUE,FALSE),FALSE)</f>
        <v>1</v>
      </c>
      <c r="H66" t="s">
        <v>361</v>
      </c>
      <c r="K66" t="s">
        <v>363</v>
      </c>
    </row>
    <row r="67" spans="1:11" x14ac:dyDescent="0.25">
      <c r="A67" s="30">
        <v>45528</v>
      </c>
      <c r="C67" t="str">
        <f>'Inventory as of 12th Aug 2024'!A200</f>
        <v>Ngumu</v>
      </c>
      <c r="D67">
        <v>24</v>
      </c>
      <c r="E67">
        <v>200</v>
      </c>
      <c r="F67">
        <f t="shared" si="3"/>
        <v>8.3333333333333339</v>
      </c>
      <c r="G67" t="b">
        <f>IFERROR(IF(VLOOKUP(Table2[[#This Row],[Item]],'Inventory as of 12th Aug 2024'!A:H,1,)=Table2[[#This Row],[Item]],TRUE,FALSE),FALSE)</f>
        <v>1</v>
      </c>
      <c r="H67" t="s">
        <v>247</v>
      </c>
    </row>
    <row r="68" spans="1:11" x14ac:dyDescent="0.25">
      <c r="A68" s="30">
        <v>45528</v>
      </c>
      <c r="C68" t="str">
        <f>'Inventory as of 12th Aug 2024'!A199</f>
        <v>Kdf</v>
      </c>
      <c r="D68">
        <v>24</v>
      </c>
      <c r="E68">
        <v>200</v>
      </c>
      <c r="F68">
        <f t="shared" si="3"/>
        <v>8.3333333333333339</v>
      </c>
      <c r="G68" t="b">
        <f>IFERROR(IF(VLOOKUP(Table2[[#This Row],[Item]],'Inventory as of 12th Aug 2024'!A:H,1,)=Table2[[#This Row],[Item]],TRUE,FALSE),FALSE)</f>
        <v>1</v>
      </c>
      <c r="H68" t="s">
        <v>247</v>
      </c>
    </row>
    <row r="69" spans="1:11" x14ac:dyDescent="0.25">
      <c r="A69" s="30">
        <v>45528</v>
      </c>
      <c r="C69" t="str">
        <f>'Inventory as of 12th Aug 2024'!A198</f>
        <v>Mandazi</v>
      </c>
      <c r="D69">
        <v>24</v>
      </c>
      <c r="E69">
        <v>100</v>
      </c>
      <c r="F69">
        <f t="shared" si="3"/>
        <v>4.166666666666667</v>
      </c>
      <c r="G69" t="b">
        <f>IFERROR(IF(VLOOKUP(Table2[[#This Row],[Item]],'Inventory as of 12th Aug 2024'!A:H,1,)=Table2[[#This Row],[Item]],TRUE,FALSE),FALSE)</f>
        <v>1</v>
      </c>
      <c r="H69" t="s">
        <v>247</v>
      </c>
    </row>
    <row r="70" spans="1:11" x14ac:dyDescent="0.25">
      <c r="A70" s="30">
        <v>45528</v>
      </c>
      <c r="C70" t="str">
        <f>'Inventory as of 12th Aug 2024'!A201</f>
        <v>Scones</v>
      </c>
      <c r="D70">
        <v>6</v>
      </c>
      <c r="E70">
        <v>50</v>
      </c>
      <c r="F70">
        <f t="shared" si="3"/>
        <v>8.3333333333333339</v>
      </c>
      <c r="G70" t="b">
        <f>IFERROR(IF(VLOOKUP(Table2[[#This Row],[Item]],'Inventory as of 12th Aug 2024'!A:H,1,)=Table2[[#This Row],[Item]],TRUE,FALSE),FALSE)</f>
        <v>1</v>
      </c>
      <c r="H70" t="s">
        <v>247</v>
      </c>
    </row>
    <row r="71" spans="1:11" x14ac:dyDescent="0.25">
      <c r="A71" s="30">
        <v>45528</v>
      </c>
      <c r="C71" t="str">
        <f>'Inventory as of 12th Aug 2024'!A33</f>
        <v>BB Bread 400g</v>
      </c>
      <c r="D71">
        <v>6</v>
      </c>
      <c r="E71">
        <v>360</v>
      </c>
      <c r="F71">
        <f t="shared" si="3"/>
        <v>60</v>
      </c>
      <c r="G71" t="b">
        <f>IFERROR(IF(VLOOKUP(Table2[[#This Row],[Item]],'Inventory as of 12th Aug 2024'!A:H,1,)=Table2[[#This Row],[Item]],TRUE,FALSE),FALSE)</f>
        <v>1</v>
      </c>
      <c r="H71" t="s">
        <v>247</v>
      </c>
    </row>
    <row r="72" spans="1:11" x14ac:dyDescent="0.25">
      <c r="A72" s="30">
        <v>45528</v>
      </c>
      <c r="C72" t="str">
        <f>'Inventory as of 12th Aug 2024'!A37</f>
        <v>Festive Bread 400g</v>
      </c>
      <c r="D72">
        <v>5</v>
      </c>
      <c r="E72">
        <v>300</v>
      </c>
      <c r="F72">
        <f t="shared" si="3"/>
        <v>60</v>
      </c>
      <c r="G72" t="b">
        <f>IFERROR(IF(VLOOKUP(Table2[[#This Row],[Item]],'Inventory as of 12th Aug 2024'!A:H,1,)=Table2[[#This Row],[Item]],TRUE,FALSE),FALSE)</f>
        <v>1</v>
      </c>
      <c r="H72" t="s">
        <v>247</v>
      </c>
    </row>
    <row r="73" spans="1:11" x14ac:dyDescent="0.25">
      <c r="A73" s="30">
        <v>45528</v>
      </c>
      <c r="C73" t="str">
        <f>'Inventory as of 12th Aug 2024'!A35</f>
        <v>Festive 600g</v>
      </c>
      <c r="D73">
        <v>2</v>
      </c>
      <c r="E73">
        <v>180</v>
      </c>
      <c r="F73">
        <f t="shared" si="3"/>
        <v>90</v>
      </c>
      <c r="G73" t="b">
        <f>IFERROR(IF(VLOOKUP(Table2[[#This Row],[Item]],'Inventory as of 12th Aug 2024'!A:H,1,)=Table2[[#This Row],[Item]],TRUE,FALSE),FALSE)</f>
        <v>1</v>
      </c>
      <c r="H73" t="s">
        <v>247</v>
      </c>
    </row>
    <row r="74" spans="1:11" x14ac:dyDescent="0.25">
      <c r="A74" s="30">
        <v>45528</v>
      </c>
      <c r="C74" t="str">
        <f>'Inventory as of 12th Aug 2024'!A36</f>
        <v>Festive 800g</v>
      </c>
      <c r="D74">
        <v>2</v>
      </c>
      <c r="E74">
        <v>240</v>
      </c>
      <c r="F74">
        <f t="shared" si="3"/>
        <v>120</v>
      </c>
      <c r="G74" t="b">
        <f>IFERROR(IF(VLOOKUP(Table2[[#This Row],[Item]],'Inventory as of 12th Aug 2024'!A:H,1,)=Table2[[#This Row],[Item]],TRUE,FALSE),FALSE)</f>
        <v>1</v>
      </c>
      <c r="H74" t="s">
        <v>247</v>
      </c>
    </row>
    <row r="75" spans="1:11" x14ac:dyDescent="0.25">
      <c r="A75" s="30">
        <v>45528</v>
      </c>
      <c r="C75" t="str">
        <f>'Inventory as of 12th Aug 2024'!A252</f>
        <v>Toothbrush Children</v>
      </c>
      <c r="D75">
        <v>12</v>
      </c>
      <c r="E75">
        <v>230</v>
      </c>
      <c r="F75">
        <f t="shared" si="3"/>
        <v>19.166666666666668</v>
      </c>
      <c r="G75" t="b">
        <f>IFERROR(IF(VLOOKUP(Table2[[#This Row],[Item]],'Inventory as of 12th Aug 2024'!A:H,1,)=Table2[[#This Row],[Item]],TRUE,FALSE),FALSE)</f>
        <v>1</v>
      </c>
      <c r="H75" t="s">
        <v>361</v>
      </c>
      <c r="K75" t="s">
        <v>358</v>
      </c>
    </row>
    <row r="76" spans="1:11" x14ac:dyDescent="0.25">
      <c r="A76" s="30">
        <v>45528</v>
      </c>
      <c r="C76" t="str">
        <f>'Inventory as of 12th Aug 2024'!A233</f>
        <v>Lollipop</v>
      </c>
      <c r="D76">
        <v>50</v>
      </c>
      <c r="E76">
        <v>180</v>
      </c>
      <c r="F76">
        <f t="shared" si="3"/>
        <v>3.6</v>
      </c>
      <c r="G76" t="b">
        <f>IFERROR(IF(VLOOKUP(Table2[[#This Row],[Item]],'Inventory as of 12th Aug 2024'!A:H,1,)=Table2[[#This Row],[Item]],TRUE,FALSE),FALSE)</f>
        <v>1</v>
      </c>
      <c r="H76" t="s">
        <v>361</v>
      </c>
      <c r="K76" t="s">
        <v>358</v>
      </c>
    </row>
    <row r="77" spans="1:11" x14ac:dyDescent="0.25">
      <c r="A77" s="30">
        <v>45528</v>
      </c>
      <c r="C77" t="str">
        <f>'Inventory as of 12th Aug 2024'!A253</f>
        <v>Laundry Brush Big</v>
      </c>
      <c r="D77">
        <v>6</v>
      </c>
      <c r="E77">
        <v>300</v>
      </c>
      <c r="F77">
        <f t="shared" si="3"/>
        <v>50</v>
      </c>
      <c r="G77" t="b">
        <f>IFERROR(IF(VLOOKUP(Table2[[#This Row],[Item]],'Inventory as of 12th Aug 2024'!A:H,1,)=Table2[[#This Row],[Item]],TRUE,FALSE),FALSE)</f>
        <v>1</v>
      </c>
      <c r="H77" t="s">
        <v>361</v>
      </c>
      <c r="K77" t="s">
        <v>358</v>
      </c>
    </row>
    <row r="78" spans="1:11" x14ac:dyDescent="0.25">
      <c r="A78" s="30">
        <v>45528</v>
      </c>
      <c r="C78" t="str">
        <f>'Inventory as of 12th Aug 2024'!A193</f>
        <v>Ginger Bisquit</v>
      </c>
      <c r="D78">
        <v>60</v>
      </c>
      <c r="E78">
        <v>260</v>
      </c>
      <c r="F78">
        <f t="shared" ref="F78:F141" si="10">E78/D78</f>
        <v>4.333333333333333</v>
      </c>
      <c r="G78" t="b">
        <f>IFERROR(IF(VLOOKUP(Table2[[#This Row],[Item]],'Inventory as of 12th Aug 2024'!A:H,1,)=Table2[[#This Row],[Item]],TRUE,FALSE),FALSE)</f>
        <v>1</v>
      </c>
      <c r="H78" t="s">
        <v>361</v>
      </c>
      <c r="K78" t="s">
        <v>362</v>
      </c>
    </row>
    <row r="79" spans="1:11" x14ac:dyDescent="0.25">
      <c r="A79" s="30">
        <v>45528</v>
      </c>
      <c r="C79" t="str">
        <f>'Inventory as of 12th Aug 2024'!A231</f>
        <v>Patco</v>
      </c>
      <c r="D79">
        <v>100</v>
      </c>
      <c r="E79">
        <v>150</v>
      </c>
      <c r="F79">
        <f t="shared" si="10"/>
        <v>1.5</v>
      </c>
      <c r="G79" t="b">
        <f>IFERROR(IF(VLOOKUP(Table2[[#This Row],[Item]],'Inventory as of 12th Aug 2024'!A:H,1,)=Table2[[#This Row],[Item]],TRUE,FALSE),FALSE)</f>
        <v>1</v>
      </c>
      <c r="H79" t="s">
        <v>361</v>
      </c>
      <c r="K79" t="s">
        <v>362</v>
      </c>
    </row>
    <row r="80" spans="1:11" x14ac:dyDescent="0.25">
      <c r="A80" s="30">
        <v>45528</v>
      </c>
      <c r="C80" t="str">
        <f>'Inventory as of 12th Aug 2024'!A232</f>
        <v>coo</v>
      </c>
      <c r="D80">
        <v>100</v>
      </c>
      <c r="E80">
        <v>120</v>
      </c>
      <c r="F80">
        <f t="shared" si="10"/>
        <v>1.2</v>
      </c>
      <c r="G80" t="b">
        <f>IFERROR(IF(VLOOKUP(Table2[[#This Row],[Item]],'Inventory as of 12th Aug 2024'!A:H,1,)=Table2[[#This Row],[Item]],TRUE,FALSE),FALSE)</f>
        <v>1</v>
      </c>
      <c r="H80" t="s">
        <v>361</v>
      </c>
      <c r="K80" t="s">
        <v>362</v>
      </c>
    </row>
    <row r="81" spans="1:11" x14ac:dyDescent="0.25">
      <c r="A81" s="30">
        <v>45528</v>
      </c>
      <c r="C81" t="str">
        <f>'Inventory as of 12th Aug 2024'!A74</f>
        <v>Freshfry</v>
      </c>
      <c r="D81">
        <v>5</v>
      </c>
      <c r="E81">
        <v>1400</v>
      </c>
      <c r="F81">
        <f t="shared" si="10"/>
        <v>280</v>
      </c>
      <c r="G81" t="b">
        <f>IFERROR(IF(VLOOKUP(Table2[[#This Row],[Item]],'Inventory as of 12th Aug 2024'!A:H,1,)=Table2[[#This Row],[Item]],TRUE,FALSE),FALSE)</f>
        <v>1</v>
      </c>
      <c r="H81" t="s">
        <v>361</v>
      </c>
      <c r="K81" t="s">
        <v>362</v>
      </c>
    </row>
    <row r="82" spans="1:11" x14ac:dyDescent="0.25">
      <c r="A82" s="30">
        <v>45528</v>
      </c>
      <c r="C82" t="str">
        <f>'Inventory as of 12th Aug 2024'!A214</f>
        <v>smash juice</v>
      </c>
      <c r="D82">
        <v>24</v>
      </c>
      <c r="E82">
        <v>350</v>
      </c>
      <c r="F82">
        <f t="shared" si="10"/>
        <v>14.583333333333334</v>
      </c>
      <c r="G82" t="b">
        <f>IFERROR(IF(VLOOKUP(Table2[[#This Row],[Item]],'Inventory as of 12th Aug 2024'!A:H,1,)=Table2[[#This Row],[Item]],TRUE,FALSE),FALSE)</f>
        <v>1</v>
      </c>
      <c r="H82" t="s">
        <v>361</v>
      </c>
      <c r="K82" t="s">
        <v>358</v>
      </c>
    </row>
    <row r="83" spans="1:11" x14ac:dyDescent="0.25">
      <c r="A83" s="30">
        <v>45528</v>
      </c>
      <c r="C83" t="str">
        <f>'Inventory as of 12th Aug 2024'!A135</f>
        <v>Bella Tissue</v>
      </c>
      <c r="D83">
        <v>10</v>
      </c>
      <c r="E83">
        <v>350</v>
      </c>
      <c r="F83">
        <f t="shared" si="10"/>
        <v>35</v>
      </c>
      <c r="G83" t="b">
        <f>IFERROR(IF(VLOOKUP(Table2[[#This Row],[Item]],'Inventory as of 12th Aug 2024'!A:H,1,)=Table2[[#This Row],[Item]],TRUE,FALSE),FALSE)</f>
        <v>1</v>
      </c>
      <c r="H83" t="s">
        <v>361</v>
      </c>
      <c r="K83" t="s">
        <v>362</v>
      </c>
    </row>
    <row r="84" spans="1:11" x14ac:dyDescent="0.25">
      <c r="A84" s="30">
        <v>45528</v>
      </c>
      <c r="C84" t="str">
        <f>'Inventory as of 12th Aug 2024'!A236</f>
        <v>Gomba</v>
      </c>
      <c r="D84">
        <v>100</v>
      </c>
      <c r="E84">
        <v>130</v>
      </c>
      <c r="F84">
        <f t="shared" si="10"/>
        <v>1.3</v>
      </c>
      <c r="G84" t="b">
        <f>IFERROR(IF(VLOOKUP(Table2[[#This Row],[Item]],'Inventory as of 12th Aug 2024'!A:H,1,)=Table2[[#This Row],[Item]],TRUE,FALSE),FALSE)</f>
        <v>1</v>
      </c>
      <c r="H84" t="s">
        <v>361</v>
      </c>
      <c r="K84" t="s">
        <v>363</v>
      </c>
    </row>
    <row r="85" spans="1:11" x14ac:dyDescent="0.25">
      <c r="A85" s="30">
        <v>45528</v>
      </c>
      <c r="C85" t="str">
        <f>'Inventory as of 12th Aug 2024'!A138</f>
        <v>Softcare pads</v>
      </c>
      <c r="D85">
        <v>6</v>
      </c>
      <c r="E85">
        <f>68*6</f>
        <v>408</v>
      </c>
      <c r="F85">
        <f t="shared" si="10"/>
        <v>68</v>
      </c>
      <c r="G85" t="b">
        <f>IFERROR(IF(VLOOKUP(Table2[[#This Row],[Item]],'Inventory as of 12th Aug 2024'!A:H,1,)=Table2[[#This Row],[Item]],TRUE,FALSE),FALSE)</f>
        <v>1</v>
      </c>
      <c r="H85" t="s">
        <v>361</v>
      </c>
      <c r="K85" t="s">
        <v>363</v>
      </c>
    </row>
    <row r="86" spans="1:11" x14ac:dyDescent="0.25">
      <c r="A86" s="30">
        <v>45528</v>
      </c>
      <c r="C86" t="str">
        <f>'Inventory as of 12th Aug 2024'!A68</f>
        <v>Royco cubes</v>
      </c>
      <c r="D86">
        <v>120</v>
      </c>
      <c r="E86">
        <f>122*3</f>
        <v>366</v>
      </c>
      <c r="F86">
        <f t="shared" si="10"/>
        <v>3.05</v>
      </c>
      <c r="G86" t="b">
        <f>IFERROR(IF(VLOOKUP(Table2[[#This Row],[Item]],'Inventory as of 12th Aug 2024'!A:H,1,)=Table2[[#This Row],[Item]],TRUE,FALSE),FALSE)</f>
        <v>1</v>
      </c>
      <c r="H86" t="s">
        <v>361</v>
      </c>
      <c r="K86" t="s">
        <v>363</v>
      </c>
    </row>
    <row r="87" spans="1:11" x14ac:dyDescent="0.25">
      <c r="A87" s="30">
        <v>45528</v>
      </c>
      <c r="C87" t="str">
        <f>'Inventory as of 12th Aug 2024'!A234</f>
        <v>Bigdaddy</v>
      </c>
      <c r="D87">
        <v>50</v>
      </c>
      <c r="E87">
        <v>288</v>
      </c>
      <c r="F87">
        <f t="shared" si="10"/>
        <v>5.76</v>
      </c>
      <c r="G87" t="b">
        <f>IFERROR(IF(VLOOKUP(Table2[[#This Row],[Item]],'Inventory as of 12th Aug 2024'!A:H,1,)=Table2[[#This Row],[Item]],TRUE,FALSE),FALSE)</f>
        <v>1</v>
      </c>
      <c r="H87" t="s">
        <v>361</v>
      </c>
      <c r="K87" t="s">
        <v>363</v>
      </c>
    </row>
    <row r="88" spans="1:11" x14ac:dyDescent="0.25">
      <c r="A88" s="30">
        <v>45528</v>
      </c>
      <c r="C88" t="str">
        <f>'Inventory as of 12th Aug 2024'!A211</f>
        <v>predator</v>
      </c>
      <c r="D88">
        <v>12</v>
      </c>
      <c r="E88">
        <v>635</v>
      </c>
      <c r="F88">
        <f t="shared" si="10"/>
        <v>52.916666666666664</v>
      </c>
      <c r="G88" t="b">
        <f>IFERROR(IF(VLOOKUP(Table2[[#This Row],[Item]],'Inventory as of 12th Aug 2024'!A:H,1,)=Table2[[#This Row],[Item]],TRUE,FALSE),FALSE)</f>
        <v>1</v>
      </c>
      <c r="H88" t="s">
        <v>361</v>
      </c>
      <c r="K88" t="s">
        <v>363</v>
      </c>
    </row>
    <row r="89" spans="1:11" x14ac:dyDescent="0.25">
      <c r="A89" s="30">
        <v>45528</v>
      </c>
      <c r="C89" t="str">
        <f>'Inventory as of 12th Aug 2024'!A10</f>
        <v>Mt Kenya milk 200ml</v>
      </c>
      <c r="D89">
        <v>21</v>
      </c>
      <c r="E89">
        <v>482</v>
      </c>
      <c r="F89">
        <f t="shared" si="10"/>
        <v>22.952380952380953</v>
      </c>
      <c r="G89" t="b">
        <f>IFERROR(IF(VLOOKUP(Table2[[#This Row],[Item]],'Inventory as of 12th Aug 2024'!A:H,1,)=Table2[[#This Row],[Item]],TRUE,FALSE),FALSE)</f>
        <v>1</v>
      </c>
      <c r="H89" t="s">
        <v>361</v>
      </c>
      <c r="K89" t="s">
        <v>363</v>
      </c>
    </row>
    <row r="90" spans="1:11" x14ac:dyDescent="0.25">
      <c r="A90" s="30">
        <v>45528</v>
      </c>
      <c r="C90" t="str">
        <f>'Inventory as of 12th Aug 2024'!A31</f>
        <v>Drinking Chocolate 20g</v>
      </c>
      <c r="D90">
        <v>12</v>
      </c>
      <c r="E90">
        <v>130</v>
      </c>
      <c r="F90">
        <f t="shared" si="10"/>
        <v>10.833333333333334</v>
      </c>
      <c r="G90" t="b">
        <f>IFERROR(IF(VLOOKUP(Table2[[#This Row],[Item]],'Inventory as of 12th Aug 2024'!A:H,1,)=Table2[[#This Row],[Item]],TRUE,FALSE),FALSE)</f>
        <v>1</v>
      </c>
      <c r="H90" t="s">
        <v>361</v>
      </c>
      <c r="K90" t="s">
        <v>362</v>
      </c>
    </row>
    <row r="91" spans="1:11" x14ac:dyDescent="0.25">
      <c r="A91" s="30">
        <v>45530</v>
      </c>
      <c r="C91" t="str">
        <f>'Inventory as of 12th Aug 2024'!A33</f>
        <v>BB Bread 400g</v>
      </c>
      <c r="D91">
        <v>6</v>
      </c>
      <c r="E91">
        <v>300</v>
      </c>
      <c r="F91">
        <f t="shared" si="10"/>
        <v>50</v>
      </c>
      <c r="G91" t="b">
        <f>IFERROR(IF(VLOOKUP(Table2[[#This Row],[Item]],'Inventory as of 12th Aug 2024'!A:H,1,)=Table2[[#This Row],[Item]],TRUE,FALSE),FALSE)</f>
        <v>1</v>
      </c>
      <c r="H91" t="s">
        <v>247</v>
      </c>
    </row>
    <row r="92" spans="1:11" x14ac:dyDescent="0.25">
      <c r="A92" s="30">
        <v>45530</v>
      </c>
      <c r="C92" t="str">
        <f>'Inventory as of 12th Aug 2024'!A37</f>
        <v>Festive Bread 400g</v>
      </c>
      <c r="D92">
        <v>4</v>
      </c>
      <c r="E92">
        <v>240</v>
      </c>
      <c r="F92">
        <f t="shared" si="10"/>
        <v>60</v>
      </c>
      <c r="G92" t="b">
        <f>IFERROR(IF(VLOOKUP(Table2[[#This Row],[Item]],'Inventory as of 12th Aug 2024'!A:H,1,)=Table2[[#This Row],[Item]],TRUE,FALSE),FALSE)</f>
        <v>1</v>
      </c>
      <c r="H92" t="s">
        <v>247</v>
      </c>
    </row>
    <row r="93" spans="1:11" x14ac:dyDescent="0.25">
      <c r="A93" s="30">
        <v>45530</v>
      </c>
      <c r="C93" t="str">
        <f>'Inventory as of 12th Aug 2024'!A35</f>
        <v>Festive 600g</v>
      </c>
      <c r="D93">
        <v>2</v>
      </c>
      <c r="E93">
        <v>240</v>
      </c>
      <c r="F93">
        <f t="shared" si="10"/>
        <v>120</v>
      </c>
      <c r="G93" t="b">
        <f>IFERROR(IF(VLOOKUP(Table2[[#This Row],[Item]],'Inventory as of 12th Aug 2024'!A:H,1,)=Table2[[#This Row],[Item]],TRUE,FALSE),FALSE)</f>
        <v>1</v>
      </c>
      <c r="H93" t="s">
        <v>247</v>
      </c>
    </row>
    <row r="94" spans="1:11" x14ac:dyDescent="0.25">
      <c r="A94" s="30">
        <v>45530</v>
      </c>
      <c r="C94" t="str">
        <f>'Inventory as of 12th Aug 2024'!A36</f>
        <v>Festive 800g</v>
      </c>
      <c r="D94">
        <v>2</v>
      </c>
      <c r="E94">
        <v>180</v>
      </c>
      <c r="F94">
        <f t="shared" si="10"/>
        <v>90</v>
      </c>
      <c r="G94" t="b">
        <f>IFERROR(IF(VLOOKUP(Table2[[#This Row],[Item]],'Inventory as of 12th Aug 2024'!A:H,1,)=Table2[[#This Row],[Item]],TRUE,FALSE),FALSE)</f>
        <v>1</v>
      </c>
      <c r="H94" t="s">
        <v>247</v>
      </c>
    </row>
    <row r="95" spans="1:11" x14ac:dyDescent="0.25">
      <c r="A95" s="30">
        <v>45531</v>
      </c>
      <c r="C95" t="str">
        <f>'Inventory as of 12th Aug 2024'!A16</f>
        <v>Mt kenya milk 500ml</v>
      </c>
      <c r="D95">
        <v>36</v>
      </c>
      <c r="E95">
        <v>1748</v>
      </c>
      <c r="F95">
        <f t="shared" si="10"/>
        <v>48.555555555555557</v>
      </c>
      <c r="G95" t="b">
        <f>IFERROR(IF(VLOOKUP(Table2[[#This Row],[Item]],'Inventory as of 12th Aug 2024'!A:H,1,)=Table2[[#This Row],[Item]],TRUE,FALSE),FALSE)</f>
        <v>1</v>
      </c>
      <c r="H95" t="s">
        <v>361</v>
      </c>
      <c r="K95" t="s">
        <v>363</v>
      </c>
    </row>
    <row r="96" spans="1:11" x14ac:dyDescent="0.25">
      <c r="A96" s="30">
        <v>45531</v>
      </c>
      <c r="C96" t="str">
        <f>'Inventory as of 12th Aug 2024'!A42</f>
        <v>Indomie chicken</v>
      </c>
      <c r="D96">
        <v>40</v>
      </c>
      <c r="E96">
        <v>1500</v>
      </c>
      <c r="F96">
        <f t="shared" si="10"/>
        <v>37.5</v>
      </c>
      <c r="G96" t="b">
        <f>IFERROR(IF(VLOOKUP(Table2[[#This Row],[Item]],'Inventory as of 12th Aug 2024'!A:H,1,)=Table2[[#This Row],[Item]],TRUE,FALSE),FALSE)</f>
        <v>1</v>
      </c>
      <c r="H96" t="s">
        <v>361</v>
      </c>
      <c r="K96" t="s">
        <v>363</v>
      </c>
    </row>
    <row r="97" spans="1:11" x14ac:dyDescent="0.25">
      <c r="A97" s="30">
        <v>45531</v>
      </c>
      <c r="C97" t="str">
        <f>'Inventory as of 12th Aug 2024'!A194</f>
        <v>Half pound cake</v>
      </c>
      <c r="D97">
        <v>2</v>
      </c>
      <c r="E97">
        <v>180</v>
      </c>
      <c r="F97">
        <f t="shared" si="10"/>
        <v>90</v>
      </c>
      <c r="G97" t="b">
        <f>IFERROR(IF(VLOOKUP(Table2[[#This Row],[Item]],'Inventory as of 12th Aug 2024'!A:H,1,)=Table2[[#This Row],[Item]],TRUE,FALSE),FALSE)</f>
        <v>1</v>
      </c>
      <c r="H97" t="s">
        <v>247</v>
      </c>
    </row>
    <row r="98" spans="1:11" x14ac:dyDescent="0.25">
      <c r="A98" s="30">
        <v>45531</v>
      </c>
      <c r="C98" t="str">
        <f>'Inventory as of 12th Aug 2024'!A33</f>
        <v>BB Bread 400g</v>
      </c>
      <c r="D98">
        <v>6</v>
      </c>
      <c r="E98">
        <v>360</v>
      </c>
      <c r="F98">
        <f t="shared" si="10"/>
        <v>60</v>
      </c>
      <c r="G98" t="b">
        <f>IFERROR(IF(VLOOKUP(Table2[[#This Row],[Item]],'Inventory as of 12th Aug 2024'!A:H,1,)=Table2[[#This Row],[Item]],TRUE,FALSE),FALSE)</f>
        <v>1</v>
      </c>
      <c r="H98" t="s">
        <v>247</v>
      </c>
    </row>
    <row r="99" spans="1:11" x14ac:dyDescent="0.25">
      <c r="A99" s="30">
        <v>45531</v>
      </c>
      <c r="C99" t="str">
        <f>'Inventory as of 12th Aug 2024'!A35</f>
        <v>Festive 600g</v>
      </c>
      <c r="D99">
        <v>2</v>
      </c>
      <c r="E99">
        <v>180</v>
      </c>
      <c r="F99">
        <f t="shared" si="10"/>
        <v>90</v>
      </c>
      <c r="G99" t="b">
        <f>IFERROR(IF(VLOOKUP(Table2[[#This Row],[Item]],'Inventory as of 12th Aug 2024'!A:H,1,)=Table2[[#This Row],[Item]],TRUE,FALSE),FALSE)</f>
        <v>1</v>
      </c>
      <c r="H99" t="s">
        <v>247</v>
      </c>
    </row>
    <row r="100" spans="1:11" x14ac:dyDescent="0.25">
      <c r="A100" s="30">
        <v>45531</v>
      </c>
      <c r="C100" t="str">
        <f>'Inventory as of 12th Aug 2024'!A37</f>
        <v>Festive Bread 400g</v>
      </c>
      <c r="D100">
        <v>6</v>
      </c>
      <c r="E100">
        <v>360</v>
      </c>
      <c r="F100">
        <f t="shared" si="10"/>
        <v>60</v>
      </c>
      <c r="G100" t="b">
        <f>IFERROR(IF(VLOOKUP(Table2[[#This Row],[Item]],'Inventory as of 12th Aug 2024'!A:H,1,)=Table2[[#This Row],[Item]],TRUE,FALSE),FALSE)</f>
        <v>1</v>
      </c>
      <c r="H100" t="s">
        <v>247</v>
      </c>
    </row>
    <row r="101" spans="1:11" x14ac:dyDescent="0.25">
      <c r="A101" s="30">
        <v>45532</v>
      </c>
      <c r="C101" t="str">
        <f>'Inventory as of 12th Aug 2024'!A33</f>
        <v>BB Bread 400g</v>
      </c>
      <c r="D101">
        <v>6</v>
      </c>
      <c r="E101">
        <v>360</v>
      </c>
      <c r="F101">
        <f t="shared" si="10"/>
        <v>60</v>
      </c>
      <c r="G101" t="b">
        <f>IFERROR(IF(VLOOKUP(Table2[[#This Row],[Item]],'Inventory as of 12th Aug 2024'!A:H,1,)=Table2[[#This Row],[Item]],TRUE,FALSE),FALSE)</f>
        <v>1</v>
      </c>
      <c r="H101" t="s">
        <v>247</v>
      </c>
    </row>
    <row r="102" spans="1:11" x14ac:dyDescent="0.25">
      <c r="A102" s="30">
        <v>45532</v>
      </c>
      <c r="C102" t="str">
        <f>'Inventory as of 12th Aug 2024'!A37</f>
        <v>Festive Bread 400g</v>
      </c>
      <c r="D102">
        <v>6</v>
      </c>
      <c r="E102">
        <v>360</v>
      </c>
      <c r="F102">
        <f t="shared" si="10"/>
        <v>60</v>
      </c>
      <c r="G102" t="b">
        <f>IFERROR(IF(VLOOKUP(Table2[[#This Row],[Item]],'Inventory as of 12th Aug 2024'!A:H,1,)=Table2[[#This Row],[Item]],TRUE,FALSE),FALSE)</f>
        <v>1</v>
      </c>
      <c r="H102" t="s">
        <v>247</v>
      </c>
    </row>
    <row r="103" spans="1:11" x14ac:dyDescent="0.25">
      <c r="A103" s="30">
        <v>45532</v>
      </c>
      <c r="C103" t="str">
        <f>'Inventory as of 12th Aug 2024'!A36</f>
        <v>Festive 800g</v>
      </c>
      <c r="D103">
        <v>2</v>
      </c>
      <c r="E103">
        <v>240</v>
      </c>
      <c r="F103">
        <f t="shared" si="10"/>
        <v>120</v>
      </c>
      <c r="G103" t="b">
        <f>IFERROR(IF(VLOOKUP(Table2[[#This Row],[Item]],'Inventory as of 12th Aug 2024'!A:H,1,)=Table2[[#This Row],[Item]],TRUE,FALSE),FALSE)</f>
        <v>1</v>
      </c>
      <c r="H103" t="s">
        <v>247</v>
      </c>
    </row>
    <row r="104" spans="1:11" x14ac:dyDescent="0.25">
      <c r="A104" s="30">
        <f>DATE(2024,8,28)</f>
        <v>45532</v>
      </c>
      <c r="C104" t="str">
        <f>'Inventory as of 12th Aug 2024'!A47</f>
        <v>Pembe 2kg</v>
      </c>
      <c r="D104">
        <v>12</v>
      </c>
      <c r="E104">
        <v>1468</v>
      </c>
      <c r="F104">
        <f t="shared" si="10"/>
        <v>122.33333333333333</v>
      </c>
      <c r="G104" t="b">
        <f>IFERROR(IF(VLOOKUP(Table2[[#This Row],[Item]],'Inventory as of 12th Aug 2024'!A:H,1,)=Table2[[#This Row],[Item]],TRUE,FALSE),FALSE)</f>
        <v>1</v>
      </c>
      <c r="H104" t="s">
        <v>361</v>
      </c>
      <c r="K104" t="s">
        <v>363</v>
      </c>
    </row>
    <row r="105" spans="1:11" x14ac:dyDescent="0.25">
      <c r="A105" s="30">
        <f t="shared" ref="A105:A107" si="11">DATE(2024,8,28)</f>
        <v>45532</v>
      </c>
      <c r="C105" t="str">
        <f>'Inventory as of 12th Aug 2024'!A18</f>
        <v>Crown Gold Milk 500ml</v>
      </c>
      <c r="D105">
        <v>12</v>
      </c>
      <c r="E105">
        <v>648</v>
      </c>
      <c r="F105">
        <f t="shared" si="10"/>
        <v>54</v>
      </c>
      <c r="G105" t="b">
        <f>IFERROR(IF(VLOOKUP(Table2[[#This Row],[Item]],'Inventory as of 12th Aug 2024'!A:H,1,)=Table2[[#This Row],[Item]],TRUE,FALSE),FALSE)</f>
        <v>1</v>
      </c>
      <c r="H105" t="s">
        <v>361</v>
      </c>
      <c r="K105" t="s">
        <v>363</v>
      </c>
    </row>
    <row r="106" spans="1:11" x14ac:dyDescent="0.25">
      <c r="A106" s="30">
        <f t="shared" si="11"/>
        <v>45532</v>
      </c>
      <c r="C106" t="str">
        <f>'Inventory as of 12th Aug 2024'!A27</f>
        <v>Nescafe 1.5g</v>
      </c>
      <c r="D106">
        <v>12</v>
      </c>
      <c r="E106">
        <v>112</v>
      </c>
      <c r="F106">
        <f t="shared" si="10"/>
        <v>9.3333333333333339</v>
      </c>
      <c r="G106" t="b">
        <f>IFERROR(IF(VLOOKUP(Table2[[#This Row],[Item]],'Inventory as of 12th Aug 2024'!A:H,1,)=Table2[[#This Row],[Item]],TRUE,FALSE),FALSE)</f>
        <v>1</v>
      </c>
      <c r="H106" t="s">
        <v>361</v>
      </c>
      <c r="K106" t="s">
        <v>363</v>
      </c>
    </row>
    <row r="107" spans="1:11" x14ac:dyDescent="0.25">
      <c r="A107" s="30">
        <f t="shared" si="11"/>
        <v>45532</v>
      </c>
      <c r="C107" t="str">
        <f>'Inventory as of 12th Aug 2024'!A254</f>
        <v>Maccofee</v>
      </c>
      <c r="D107">
        <v>12</v>
      </c>
      <c r="E107">
        <v>112</v>
      </c>
      <c r="F107">
        <f t="shared" si="10"/>
        <v>9.3333333333333339</v>
      </c>
      <c r="G107" t="b">
        <f>IFERROR(IF(VLOOKUP(Table2[[#This Row],[Item]],'Inventory as of 12th Aug 2024'!A:H,1,)=Table2[[#This Row],[Item]],TRUE,FALSE),FALSE)</f>
        <v>1</v>
      </c>
      <c r="H107" t="s">
        <v>361</v>
      </c>
      <c r="K107" t="s">
        <v>363</v>
      </c>
    </row>
    <row r="108" spans="1:11" x14ac:dyDescent="0.25">
      <c r="A108" s="30">
        <f>DATE(2024,8,29)</f>
        <v>45533</v>
      </c>
      <c r="C108" t="str">
        <f>'Inventory as of 12th Aug 2024'!A9</f>
        <v>Kinangop Fresh Milk 500ml</v>
      </c>
      <c r="D108">
        <v>5</v>
      </c>
      <c r="E108">
        <v>275</v>
      </c>
      <c r="F108">
        <f t="shared" si="10"/>
        <v>55</v>
      </c>
      <c r="G108" t="b">
        <f>IFERROR(IF(VLOOKUP(Table2[[#This Row],[Item]],'Inventory as of 12th Aug 2024'!A:H,1,)=Table2[[#This Row],[Item]],TRUE,FALSE),FALSE)</f>
        <v>1</v>
      </c>
      <c r="H108" t="s">
        <v>247</v>
      </c>
    </row>
    <row r="109" spans="1:11" x14ac:dyDescent="0.25">
      <c r="A109" s="30">
        <f>DATE(2024,8,29)</f>
        <v>45533</v>
      </c>
      <c r="C109" t="str">
        <f>'Inventory as of 12th Aug 2024'!A33</f>
        <v>BB Bread 400g</v>
      </c>
      <c r="D109">
        <v>4</v>
      </c>
      <c r="E109">
        <v>240</v>
      </c>
      <c r="F109">
        <f t="shared" si="10"/>
        <v>60</v>
      </c>
      <c r="G109" t="b">
        <f>IFERROR(IF(VLOOKUP(Table2[[#This Row],[Item]],'Inventory as of 12th Aug 2024'!A:H,1,)=Table2[[#This Row],[Item]],TRUE,FALSE),FALSE)</f>
        <v>1</v>
      </c>
      <c r="H109" t="s">
        <v>247</v>
      </c>
    </row>
    <row r="110" spans="1:11" x14ac:dyDescent="0.25">
      <c r="A110" s="30">
        <f t="shared" ref="A110:A111" si="12">DATE(2024,8,29)</f>
        <v>45533</v>
      </c>
      <c r="C110" t="str">
        <f>'Inventory as of 12th Aug 2024'!A37</f>
        <v>Festive Bread 400g</v>
      </c>
      <c r="D110">
        <v>2</v>
      </c>
      <c r="E110">
        <v>120</v>
      </c>
      <c r="F110">
        <f t="shared" si="10"/>
        <v>60</v>
      </c>
      <c r="G110" t="b">
        <f>IFERROR(IF(VLOOKUP(Table2[[#This Row],[Item]],'Inventory as of 12th Aug 2024'!A:H,1,)=Table2[[#This Row],[Item]],TRUE,FALSE),FALSE)</f>
        <v>1</v>
      </c>
      <c r="H110" t="s">
        <v>247</v>
      </c>
    </row>
    <row r="111" spans="1:11" x14ac:dyDescent="0.25">
      <c r="A111" s="30">
        <f t="shared" si="12"/>
        <v>45533</v>
      </c>
      <c r="C111" t="str">
        <f>'Inventory as of 12th Aug 2024'!A35</f>
        <v>Festive 600g</v>
      </c>
      <c r="D111">
        <v>2</v>
      </c>
      <c r="E111">
        <v>180</v>
      </c>
      <c r="F111">
        <f t="shared" si="10"/>
        <v>90</v>
      </c>
      <c r="G111" t="b">
        <f>IFERROR(IF(VLOOKUP(Table2[[#This Row],[Item]],'Inventory as of 12th Aug 2024'!A:H,1,)=Table2[[#This Row],[Item]],TRUE,FALSE),FALSE)</f>
        <v>1</v>
      </c>
      <c r="H111" t="s">
        <v>247</v>
      </c>
    </row>
    <row r="112" spans="1:11" x14ac:dyDescent="0.25">
      <c r="A112" s="30">
        <f>DATE(2024,8,30)</f>
        <v>45534</v>
      </c>
      <c r="C112" t="str">
        <f>'Inventory as of 12th Aug 2024'!A33</f>
        <v>BB Bread 400g</v>
      </c>
      <c r="D112">
        <v>4</v>
      </c>
      <c r="E112">
        <v>240</v>
      </c>
      <c r="F112">
        <f t="shared" si="10"/>
        <v>60</v>
      </c>
      <c r="G112" t="b">
        <f>IFERROR(IF(VLOOKUP(Table2[[#This Row],[Item]],'Inventory as of 12th Aug 2024'!A:H,1,)=Table2[[#This Row],[Item]],TRUE,FALSE),FALSE)</f>
        <v>1</v>
      </c>
      <c r="H112" t="s">
        <v>247</v>
      </c>
    </row>
    <row r="113" spans="1:11" x14ac:dyDescent="0.25">
      <c r="A113" s="30">
        <f t="shared" ref="A113:A119" si="13">DATE(2024,8,30)</f>
        <v>45534</v>
      </c>
      <c r="C113" t="str">
        <f>'Inventory as of 12th Aug 2024'!A37</f>
        <v>Festive Bread 400g</v>
      </c>
      <c r="D113">
        <v>6</v>
      </c>
      <c r="E113">
        <v>360</v>
      </c>
      <c r="F113">
        <f t="shared" si="10"/>
        <v>60</v>
      </c>
      <c r="G113" t="b">
        <f>IFERROR(IF(VLOOKUP(Table2[[#This Row],[Item]],'Inventory as of 12th Aug 2024'!A:H,1,)=Table2[[#This Row],[Item]],TRUE,FALSE),FALSE)</f>
        <v>1</v>
      </c>
      <c r="H113" t="s">
        <v>247</v>
      </c>
    </row>
    <row r="114" spans="1:11" x14ac:dyDescent="0.25">
      <c r="A114" s="30">
        <f t="shared" si="13"/>
        <v>45534</v>
      </c>
      <c r="C114" t="str">
        <f>'Inventory as of 12th Aug 2024'!A36</f>
        <v>Festive 800g</v>
      </c>
      <c r="D114">
        <v>2</v>
      </c>
      <c r="E114">
        <v>240</v>
      </c>
      <c r="F114">
        <f t="shared" si="10"/>
        <v>120</v>
      </c>
      <c r="G114" t="b">
        <f>IFERROR(IF(VLOOKUP(Table2[[#This Row],[Item]],'Inventory as of 12th Aug 2024'!A:H,1,)=Table2[[#This Row],[Item]],TRUE,FALSE),FALSE)</f>
        <v>1</v>
      </c>
      <c r="H114" t="s">
        <v>247</v>
      </c>
    </row>
    <row r="115" spans="1:11" x14ac:dyDescent="0.25">
      <c r="A115" s="30">
        <f t="shared" si="13"/>
        <v>45534</v>
      </c>
      <c r="C115" t="str">
        <f>'Inventory as of 12th Aug 2024'!A198</f>
        <v>Mandazi</v>
      </c>
      <c r="D115">
        <v>24</v>
      </c>
      <c r="E115">
        <v>100</v>
      </c>
      <c r="F115">
        <f t="shared" si="10"/>
        <v>4.166666666666667</v>
      </c>
      <c r="G115" t="b">
        <f>IFERROR(IF(VLOOKUP(Table2[[#This Row],[Item]],'Inventory as of 12th Aug 2024'!A:H,1,)=Table2[[#This Row],[Item]],TRUE,FALSE),FALSE)</f>
        <v>1</v>
      </c>
    </row>
    <row r="116" spans="1:11" x14ac:dyDescent="0.25">
      <c r="A116" s="30">
        <f t="shared" si="13"/>
        <v>45534</v>
      </c>
      <c r="C116" t="str">
        <f>'Inventory as of 12th Aug 2024'!A176</f>
        <v>Queen cake</v>
      </c>
      <c r="D116">
        <v>12</v>
      </c>
      <c r="E116">
        <v>100</v>
      </c>
      <c r="F116">
        <f t="shared" si="10"/>
        <v>8.3333333333333339</v>
      </c>
      <c r="G116" t="b">
        <f>IFERROR(IF(VLOOKUP(Table2[[#This Row],[Item]],'Inventory as of 12th Aug 2024'!A:H,1,)=Table2[[#This Row],[Item]],TRUE,FALSE),FALSE)</f>
        <v>1</v>
      </c>
    </row>
    <row r="117" spans="1:11" x14ac:dyDescent="0.25">
      <c r="A117" s="30">
        <f t="shared" si="13"/>
        <v>45534</v>
      </c>
      <c r="C117" t="str">
        <f>'Inventory as of 12th Aug 2024'!A199</f>
        <v>Kdf</v>
      </c>
      <c r="D117">
        <v>12</v>
      </c>
      <c r="E117">
        <v>100</v>
      </c>
      <c r="F117">
        <f t="shared" si="10"/>
        <v>8.3333333333333339</v>
      </c>
      <c r="G117" t="b">
        <f>IFERROR(IF(VLOOKUP(Table2[[#This Row],[Item]],'Inventory as of 12th Aug 2024'!A:H,1,)=Table2[[#This Row],[Item]],TRUE,FALSE),FALSE)</f>
        <v>1</v>
      </c>
    </row>
    <row r="118" spans="1:11" x14ac:dyDescent="0.25">
      <c r="A118" s="30">
        <f t="shared" si="13"/>
        <v>45534</v>
      </c>
      <c r="C118" t="str">
        <f>'Inventory as of 12th Aug 2024'!A200</f>
        <v>Ngumu</v>
      </c>
      <c r="D118">
        <v>24</v>
      </c>
      <c r="E118">
        <v>200</v>
      </c>
      <c r="F118">
        <f t="shared" si="10"/>
        <v>8.3333333333333339</v>
      </c>
      <c r="G118" t="b">
        <f>IFERROR(IF(VLOOKUP(Table2[[#This Row],[Item]],'Inventory as of 12th Aug 2024'!A:H,1,)=Table2[[#This Row],[Item]],TRUE,FALSE),FALSE)</f>
        <v>1</v>
      </c>
    </row>
    <row r="119" spans="1:11" x14ac:dyDescent="0.25">
      <c r="A119" s="30">
        <f t="shared" si="13"/>
        <v>45534</v>
      </c>
      <c r="C119" t="str">
        <f>'Inventory as of 12th Aug 2024'!A197</f>
        <v>Canned cookies</v>
      </c>
      <c r="D119">
        <v>1</v>
      </c>
      <c r="E119">
        <v>50</v>
      </c>
      <c r="F119">
        <f t="shared" si="10"/>
        <v>50</v>
      </c>
      <c r="G119" t="b">
        <f>IFERROR(IF(VLOOKUP(Table2[[#This Row],[Item]],'Inventory as of 12th Aug 2024'!A:H,1,)=Table2[[#This Row],[Item]],TRUE,FALSE),FALSE)</f>
        <v>1</v>
      </c>
    </row>
    <row r="120" spans="1:11" x14ac:dyDescent="0.25">
      <c r="A120" s="30">
        <f>DATE(2024,8,31)</f>
        <v>45535</v>
      </c>
      <c r="C120" t="str">
        <f>'Inventory as of 12th Aug 2024'!A33</f>
        <v>BB Bread 400g</v>
      </c>
      <c r="D120">
        <v>6</v>
      </c>
      <c r="E120">
        <v>360</v>
      </c>
      <c r="F120">
        <f t="shared" si="10"/>
        <v>60</v>
      </c>
      <c r="G120" t="b">
        <f>IFERROR(IF(VLOOKUP(Table2[[#This Row],[Item]],'Inventory as of 12th Aug 2024'!A:H,1,)=Table2[[#This Row],[Item]],TRUE,FALSE),FALSE)</f>
        <v>1</v>
      </c>
      <c r="H120" t="s">
        <v>247</v>
      </c>
    </row>
    <row r="121" spans="1:11" x14ac:dyDescent="0.25">
      <c r="A121" s="30">
        <f t="shared" ref="A121:A125" si="14">DATE(2024,8,31)</f>
        <v>45535</v>
      </c>
      <c r="C121" t="str">
        <f>'Inventory as of 12th Aug 2024'!A37</f>
        <v>Festive Bread 400g</v>
      </c>
      <c r="D121">
        <v>4</v>
      </c>
      <c r="E121">
        <v>240</v>
      </c>
      <c r="F121">
        <f t="shared" si="10"/>
        <v>60</v>
      </c>
      <c r="G121" t="b">
        <f>IFERROR(IF(VLOOKUP(Table2[[#This Row],[Item]],'Inventory as of 12th Aug 2024'!A:H,1,)=Table2[[#This Row],[Item]],TRUE,FALSE),FALSE)</f>
        <v>1</v>
      </c>
      <c r="H121" t="s">
        <v>247</v>
      </c>
    </row>
    <row r="122" spans="1:11" x14ac:dyDescent="0.25">
      <c r="A122" s="30">
        <f t="shared" si="14"/>
        <v>45535</v>
      </c>
      <c r="C122" t="str">
        <f>'Inventory as of 12th Aug 2024'!A35</f>
        <v>Festive 600g</v>
      </c>
      <c r="D122">
        <v>2</v>
      </c>
      <c r="E122">
        <v>180</v>
      </c>
      <c r="F122">
        <f t="shared" si="10"/>
        <v>90</v>
      </c>
      <c r="G122" t="b">
        <f>IFERROR(IF(VLOOKUP(Table2[[#This Row],[Item]],'Inventory as of 12th Aug 2024'!A:H,1,)=Table2[[#This Row],[Item]],TRUE,FALSE),FALSE)</f>
        <v>1</v>
      </c>
      <c r="H122" t="s">
        <v>247</v>
      </c>
    </row>
    <row r="123" spans="1:11" x14ac:dyDescent="0.25">
      <c r="A123" s="30">
        <f t="shared" si="14"/>
        <v>45535</v>
      </c>
      <c r="C123" t="str">
        <f>'Inventory as of 12th Aug 2024'!A97</f>
        <v>Garlic</v>
      </c>
      <c r="D123">
        <v>5</v>
      </c>
      <c r="E123">
        <v>100</v>
      </c>
      <c r="F123">
        <f t="shared" si="10"/>
        <v>20</v>
      </c>
      <c r="G123" t="b">
        <f>IFERROR(IF(VLOOKUP(Table2[[#This Row],[Item]],'Inventory as of 12th Aug 2024'!A:H,1,)=Table2[[#This Row],[Item]],TRUE,FALSE),FALSE)</f>
        <v>1</v>
      </c>
      <c r="H123" t="s">
        <v>361</v>
      </c>
      <c r="K123" t="s">
        <v>358</v>
      </c>
    </row>
    <row r="124" spans="1:11" x14ac:dyDescent="0.25">
      <c r="A124" s="30">
        <f t="shared" si="14"/>
        <v>45535</v>
      </c>
      <c r="C124" t="str">
        <f>'Inventory as of 12th Aug 2024'!A92</f>
        <v>Banana</v>
      </c>
      <c r="D124">
        <v>12</v>
      </c>
      <c r="E124">
        <v>80</v>
      </c>
      <c r="F124">
        <f t="shared" si="10"/>
        <v>6.666666666666667</v>
      </c>
      <c r="G124" t="b">
        <f>IFERROR(IF(VLOOKUP(Table2[[#This Row],[Item]],'Inventory as of 12th Aug 2024'!A:H,1,)=Table2[[#This Row],[Item]],TRUE,FALSE),FALSE)</f>
        <v>1</v>
      </c>
      <c r="H124" t="s">
        <v>361</v>
      </c>
      <c r="K124" t="s">
        <v>358</v>
      </c>
    </row>
    <row r="125" spans="1:11" x14ac:dyDescent="0.25">
      <c r="A125" s="30">
        <f t="shared" si="14"/>
        <v>45535</v>
      </c>
      <c r="C125" t="str">
        <f>'Inventory as of 12th Aug 2024'!A98</f>
        <v>Ginger</v>
      </c>
      <c r="D125">
        <v>7</v>
      </c>
      <c r="E125">
        <v>70</v>
      </c>
      <c r="F125">
        <f t="shared" si="10"/>
        <v>10</v>
      </c>
      <c r="G125" t="b">
        <f>IFERROR(IF(VLOOKUP(Table2[[#This Row],[Item]],'Inventory as of 12th Aug 2024'!A:H,1,)=Table2[[#This Row],[Item]],TRUE,FALSE),FALSE)</f>
        <v>1</v>
      </c>
      <c r="H125" t="s">
        <v>361</v>
      </c>
      <c r="K125" t="s">
        <v>358</v>
      </c>
    </row>
    <row r="126" spans="1:11" x14ac:dyDescent="0.25">
      <c r="A126" s="30">
        <f>DATE(2024,9,2)</f>
        <v>45537</v>
      </c>
      <c r="C126" t="str">
        <f>'Inventory as of 12th Aug 2024'!A33</f>
        <v>BB Bread 400g</v>
      </c>
      <c r="D126">
        <v>4</v>
      </c>
      <c r="E126">
        <v>240</v>
      </c>
      <c r="F126">
        <f t="shared" si="10"/>
        <v>60</v>
      </c>
      <c r="G126" t="b">
        <f>IFERROR(IF(VLOOKUP(Table2[[#This Row],[Item]],'Inventory as of 12th Aug 2024'!A:H,1,)=Table2[[#This Row],[Item]],TRUE,FALSE),FALSE)</f>
        <v>1</v>
      </c>
      <c r="H126" t="s">
        <v>247</v>
      </c>
    </row>
    <row r="127" spans="1:11" x14ac:dyDescent="0.25">
      <c r="A127" s="30">
        <f t="shared" ref="A127:A130" si="15">DATE(2024,9,2)</f>
        <v>45537</v>
      </c>
      <c r="C127" t="str">
        <f>'Inventory as of 12th Aug 2024'!A9</f>
        <v>Kinangop Fresh Milk 500ml</v>
      </c>
      <c r="D127">
        <v>5</v>
      </c>
      <c r="E127">
        <v>275</v>
      </c>
      <c r="F127">
        <f t="shared" si="10"/>
        <v>55</v>
      </c>
      <c r="G127" t="b">
        <f>IFERROR(IF(VLOOKUP(Table2[[#This Row],[Item]],'Inventory as of 12th Aug 2024'!A:H,1,)=Table2[[#This Row],[Item]],TRUE,FALSE),FALSE)</f>
        <v>1</v>
      </c>
      <c r="H127" t="s">
        <v>247</v>
      </c>
    </row>
    <row r="128" spans="1:11" x14ac:dyDescent="0.25">
      <c r="A128" s="30">
        <f t="shared" si="15"/>
        <v>45537</v>
      </c>
      <c r="C128" t="str">
        <f>'Inventory as of 12th Aug 2024'!A37</f>
        <v>Festive Bread 400g</v>
      </c>
      <c r="D128">
        <v>4</v>
      </c>
      <c r="E128">
        <v>240</v>
      </c>
      <c r="F128">
        <f t="shared" si="10"/>
        <v>60</v>
      </c>
      <c r="G128" t="b">
        <f>IFERROR(IF(VLOOKUP(Table2[[#This Row],[Item]],'Inventory as of 12th Aug 2024'!A:H,1,)=Table2[[#This Row],[Item]],TRUE,FALSE),FALSE)</f>
        <v>1</v>
      </c>
      <c r="H128" t="s">
        <v>247</v>
      </c>
    </row>
    <row r="129" spans="1:11" x14ac:dyDescent="0.25">
      <c r="A129" s="30">
        <f t="shared" si="15"/>
        <v>45537</v>
      </c>
      <c r="C129" t="str">
        <f>'Inventory as of 12th Aug 2024'!A36</f>
        <v>Festive 800g</v>
      </c>
      <c r="D129">
        <v>1</v>
      </c>
      <c r="E129">
        <v>120</v>
      </c>
      <c r="F129">
        <f t="shared" si="10"/>
        <v>120</v>
      </c>
      <c r="G129" t="b">
        <f>IFERROR(IF(VLOOKUP(Table2[[#This Row],[Item]],'Inventory as of 12th Aug 2024'!A:H,1,)=Table2[[#This Row],[Item]],TRUE,FALSE),FALSE)</f>
        <v>1</v>
      </c>
      <c r="H129" t="s">
        <v>247</v>
      </c>
    </row>
    <row r="130" spans="1:11" x14ac:dyDescent="0.25">
      <c r="A130" s="30">
        <f t="shared" si="15"/>
        <v>45537</v>
      </c>
      <c r="C130" t="str">
        <f>'Inventory as of 12th Aug 2024'!A35</f>
        <v>Festive 600g</v>
      </c>
      <c r="D130">
        <v>2</v>
      </c>
      <c r="E130">
        <v>180</v>
      </c>
      <c r="F130">
        <f t="shared" si="10"/>
        <v>90</v>
      </c>
      <c r="G130" t="b">
        <f>IFERROR(IF(VLOOKUP(Table2[[#This Row],[Item]],'Inventory as of 12th Aug 2024'!A:H,1,)=Table2[[#This Row],[Item]],TRUE,FALSE),FALSE)</f>
        <v>1</v>
      </c>
      <c r="H130" t="s">
        <v>247</v>
      </c>
    </row>
    <row r="131" spans="1:11" x14ac:dyDescent="0.25">
      <c r="A131" s="30">
        <f>DATE(2024,9,3)</f>
        <v>45538</v>
      </c>
      <c r="C131" t="str">
        <f>'Inventory as of 12th Aug 2024'!A135</f>
        <v>Bella Tissue</v>
      </c>
      <c r="D131">
        <v>10</v>
      </c>
      <c r="E131">
        <v>339</v>
      </c>
      <c r="F131">
        <f t="shared" si="10"/>
        <v>33.9</v>
      </c>
      <c r="G131" t="b">
        <f>IFERROR(IF(VLOOKUP(Table2[[#This Row],[Item]],'Inventory as of 12th Aug 2024'!A:H,1,)=Table2[[#This Row],[Item]],TRUE,FALSE),FALSE)</f>
        <v>1</v>
      </c>
      <c r="H131" t="s">
        <v>361</v>
      </c>
      <c r="K131" t="s">
        <v>363</v>
      </c>
    </row>
    <row r="132" spans="1:11" x14ac:dyDescent="0.25">
      <c r="A132" s="30">
        <f t="shared" ref="A132:A153" si="16">DATE(2024,9,3)</f>
        <v>45538</v>
      </c>
      <c r="C132" t="s">
        <v>366</v>
      </c>
      <c r="D132">
        <v>60</v>
      </c>
      <c r="E132">
        <v>235</v>
      </c>
      <c r="F132">
        <f t="shared" si="10"/>
        <v>3.9166666666666665</v>
      </c>
      <c r="G132" t="b">
        <f>IFERROR(IF(VLOOKUP(Table2[[#This Row],[Item]],'Inventory as of 12th Aug 2024'!A:H,1,)=Table2[[#This Row],[Item]],TRUE,FALSE),FALSE)</f>
        <v>1</v>
      </c>
      <c r="H132" t="s">
        <v>361</v>
      </c>
      <c r="K132" t="s">
        <v>363</v>
      </c>
    </row>
    <row r="133" spans="1:11" x14ac:dyDescent="0.25">
      <c r="A133" s="30">
        <f t="shared" si="16"/>
        <v>45538</v>
      </c>
      <c r="C133" t="str">
        <f>'Inventory as of 12th Aug 2024'!A192</f>
        <v>Lemon Bisquit</v>
      </c>
      <c r="D133">
        <v>60</v>
      </c>
      <c r="E133">
        <v>254</v>
      </c>
      <c r="F133">
        <f t="shared" si="10"/>
        <v>4.2333333333333334</v>
      </c>
      <c r="G133" t="b">
        <f>IFERROR(IF(VLOOKUP(Table2[[#This Row],[Item]],'Inventory as of 12th Aug 2024'!A:H,1,)=Table2[[#This Row],[Item]],TRUE,FALSE),FALSE)</f>
        <v>1</v>
      </c>
      <c r="H133" t="s">
        <v>361</v>
      </c>
      <c r="K133" t="s">
        <v>363</v>
      </c>
    </row>
    <row r="134" spans="1:11" x14ac:dyDescent="0.25">
      <c r="A134" s="30">
        <f t="shared" si="16"/>
        <v>45538</v>
      </c>
      <c r="C134" t="str">
        <f>'Inventory as of 12th Aug 2024'!A59</f>
        <v>kabras sugar 1kg</v>
      </c>
      <c r="D134">
        <v>20</v>
      </c>
      <c r="E134">
        <v>2539</v>
      </c>
      <c r="F134">
        <f t="shared" si="10"/>
        <v>126.95</v>
      </c>
      <c r="G134" t="b">
        <f>IFERROR(IF(VLOOKUP(Table2[[#This Row],[Item]],'Inventory as of 12th Aug 2024'!A:H,1,)=Table2[[#This Row],[Item]],TRUE,FALSE),FALSE)</f>
        <v>1</v>
      </c>
      <c r="H134" t="s">
        <v>361</v>
      </c>
      <c r="K134" t="s">
        <v>363</v>
      </c>
    </row>
    <row r="135" spans="1:11" x14ac:dyDescent="0.25">
      <c r="A135" s="30">
        <f t="shared" si="16"/>
        <v>45538</v>
      </c>
      <c r="C135" t="str">
        <f>'Inventory as of 12th Aug 2024'!A120</f>
        <v>Maramoja</v>
      </c>
      <c r="D135">
        <v>50</v>
      </c>
      <c r="E135">
        <v>360</v>
      </c>
      <c r="F135">
        <f t="shared" si="10"/>
        <v>7.2</v>
      </c>
      <c r="G135" t="b">
        <f>IFERROR(IF(VLOOKUP(Table2[[#This Row],[Item]],'Inventory as of 12th Aug 2024'!A:H,1,)=Table2[[#This Row],[Item]],TRUE,FALSE),FALSE)</f>
        <v>1</v>
      </c>
      <c r="H135" t="s">
        <v>361</v>
      </c>
      <c r="K135" t="s">
        <v>363</v>
      </c>
    </row>
    <row r="136" spans="1:11" x14ac:dyDescent="0.25">
      <c r="A136" s="30">
        <f t="shared" si="16"/>
        <v>45538</v>
      </c>
      <c r="C136" t="str">
        <f>'Inventory as of 12th Aug 2024'!A82</f>
        <v>ariel 10g</v>
      </c>
      <c r="D136">
        <v>12</v>
      </c>
      <c r="E136">
        <v>100</v>
      </c>
      <c r="F136">
        <f t="shared" si="10"/>
        <v>8.3333333333333339</v>
      </c>
      <c r="G136" t="b">
        <f>IFERROR(IF(VLOOKUP(Table2[[#This Row],[Item]],'Inventory as of 12th Aug 2024'!A:H,1,)=Table2[[#This Row],[Item]],TRUE,FALSE),FALSE)</f>
        <v>1</v>
      </c>
      <c r="H136" t="s">
        <v>361</v>
      </c>
      <c r="K136" t="s">
        <v>363</v>
      </c>
    </row>
    <row r="137" spans="1:11" x14ac:dyDescent="0.25">
      <c r="A137" s="30">
        <f t="shared" si="16"/>
        <v>45538</v>
      </c>
      <c r="C137" t="str">
        <f>'Inventory as of 12th Aug 2024'!A79</f>
        <v xml:space="preserve">Whitewash </v>
      </c>
      <c r="D137">
        <v>12</v>
      </c>
      <c r="E137">
        <v>358</v>
      </c>
      <c r="F137">
        <f t="shared" si="10"/>
        <v>29.833333333333332</v>
      </c>
      <c r="G137" t="b">
        <f>IFERROR(IF(VLOOKUP(Table2[[#This Row],[Item]],'Inventory as of 12th Aug 2024'!A:H,1,)=Table2[[#This Row],[Item]],TRUE,FALSE),FALSE)</f>
        <v>1</v>
      </c>
      <c r="H137" t="s">
        <v>361</v>
      </c>
      <c r="K137" t="s">
        <v>363</v>
      </c>
    </row>
    <row r="138" spans="1:11" x14ac:dyDescent="0.25">
      <c r="A138" s="30">
        <f t="shared" si="16"/>
        <v>45538</v>
      </c>
      <c r="C138" t="str">
        <f>'Inventory as of 12th Aug 2024'!A211</f>
        <v>predator</v>
      </c>
      <c r="D138">
        <v>12</v>
      </c>
      <c r="E138">
        <v>635</v>
      </c>
      <c r="F138">
        <f t="shared" si="10"/>
        <v>52.916666666666664</v>
      </c>
      <c r="G138" t="b">
        <f>IFERROR(IF(VLOOKUP(Table2[[#This Row],[Item]],'Inventory as of 12th Aug 2024'!A:H,1,)=Table2[[#This Row],[Item]],TRUE,FALSE),FALSE)</f>
        <v>1</v>
      </c>
      <c r="H138" t="s">
        <v>361</v>
      </c>
      <c r="K138" t="s">
        <v>363</v>
      </c>
    </row>
    <row r="139" spans="1:11" x14ac:dyDescent="0.25">
      <c r="A139" s="30">
        <f t="shared" si="16"/>
        <v>45538</v>
      </c>
      <c r="C139" t="str">
        <f>'Inventory as of 12th Aug 2024'!A193</f>
        <v>Ginger Bisquit</v>
      </c>
      <c r="D139">
        <v>60</v>
      </c>
      <c r="E139">
        <v>270</v>
      </c>
      <c r="F139">
        <f t="shared" si="10"/>
        <v>4.5</v>
      </c>
      <c r="G139" t="b">
        <f>IFERROR(IF(VLOOKUP(Table2[[#This Row],[Item]],'Inventory as of 12th Aug 2024'!A:H,1,)=Table2[[#This Row],[Item]],TRUE,FALSE),FALSE)</f>
        <v>1</v>
      </c>
      <c r="H139" t="s">
        <v>361</v>
      </c>
      <c r="K139" t="s">
        <v>367</v>
      </c>
    </row>
    <row r="140" spans="1:11" x14ac:dyDescent="0.25">
      <c r="A140" s="30">
        <f t="shared" si="16"/>
        <v>45538</v>
      </c>
      <c r="C140" t="str">
        <f>'Inventory as of 12th Aug 2024'!A191</f>
        <v>Nuvita Bisquit</v>
      </c>
      <c r="D140">
        <v>60</v>
      </c>
      <c r="E140">
        <v>250</v>
      </c>
      <c r="F140">
        <f t="shared" si="10"/>
        <v>4.166666666666667</v>
      </c>
      <c r="G140" t="b">
        <f>IFERROR(IF(VLOOKUP(Table2[[#This Row],[Item]],'Inventory as of 12th Aug 2024'!A:H,1,)=Table2[[#This Row],[Item]],TRUE,FALSE),FALSE)</f>
        <v>1</v>
      </c>
      <c r="H140" t="s">
        <v>361</v>
      </c>
      <c r="K140" t="s">
        <v>367</v>
      </c>
    </row>
    <row r="141" spans="1:11" x14ac:dyDescent="0.25">
      <c r="A141" s="30">
        <f t="shared" si="16"/>
        <v>45538</v>
      </c>
      <c r="C141" t="str">
        <f>'Inventory as of 12th Aug 2024'!A187</f>
        <v>Njugu</v>
      </c>
      <c r="D141">
        <v>15</v>
      </c>
      <c r="E141">
        <v>200</v>
      </c>
      <c r="F141">
        <f t="shared" si="10"/>
        <v>13.333333333333334</v>
      </c>
      <c r="G141" t="b">
        <f>IFERROR(IF(VLOOKUP(Table2[[#This Row],[Item]],'Inventory as of 12th Aug 2024'!A:H,1,)=Table2[[#This Row],[Item]],TRUE,FALSE),FALSE)</f>
        <v>1</v>
      </c>
      <c r="H141" t="s">
        <v>361</v>
      </c>
      <c r="K141" t="s">
        <v>367</v>
      </c>
    </row>
    <row r="142" spans="1:11" x14ac:dyDescent="0.25">
      <c r="A142" s="30">
        <f t="shared" si="16"/>
        <v>45538</v>
      </c>
      <c r="C142" t="str">
        <f>'Inventory as of 12th Aug 2024'!A16</f>
        <v>Mt kenya milk 500ml</v>
      </c>
      <c r="D142">
        <v>18</v>
      </c>
      <c r="E142">
        <v>880</v>
      </c>
      <c r="F142">
        <f t="shared" ref="F142:F205" si="17">E142/D142</f>
        <v>48.888888888888886</v>
      </c>
      <c r="G142" t="b">
        <f>IFERROR(IF(VLOOKUP(Table2[[#This Row],[Item]],'Inventory as of 12th Aug 2024'!A:H,1,)=Table2[[#This Row],[Item]],TRUE,FALSE),FALSE)</f>
        <v>1</v>
      </c>
      <c r="H142" t="s">
        <v>361</v>
      </c>
      <c r="K142" t="s">
        <v>367</v>
      </c>
    </row>
    <row r="143" spans="1:11" x14ac:dyDescent="0.25">
      <c r="A143" s="30">
        <f t="shared" si="16"/>
        <v>45538</v>
      </c>
      <c r="C143" t="str">
        <f>'Inventory as of 12th Aug 2024'!A10</f>
        <v>Mt Kenya milk 200ml</v>
      </c>
      <c r="D143">
        <v>21</v>
      </c>
      <c r="E143">
        <v>490</v>
      </c>
      <c r="F143">
        <f t="shared" si="17"/>
        <v>23.333333333333332</v>
      </c>
      <c r="G143" t="b">
        <f>IFERROR(IF(VLOOKUP(Table2[[#This Row],[Item]],'Inventory as of 12th Aug 2024'!A:H,1,)=Table2[[#This Row],[Item]],TRUE,FALSE),FALSE)</f>
        <v>1</v>
      </c>
      <c r="H143" t="s">
        <v>361</v>
      </c>
      <c r="K143" t="s">
        <v>367</v>
      </c>
    </row>
    <row r="144" spans="1:11" x14ac:dyDescent="0.25">
      <c r="A144" s="30">
        <f t="shared" si="16"/>
        <v>45538</v>
      </c>
      <c r="C144" t="str">
        <f>'Inventory as of 12th Aug 2024'!A211</f>
        <v>predator</v>
      </c>
      <c r="D144">
        <v>12</v>
      </c>
      <c r="E144">
        <v>650</v>
      </c>
      <c r="F144">
        <f t="shared" si="17"/>
        <v>54.166666666666664</v>
      </c>
      <c r="G144" t="b">
        <f>IFERROR(IF(VLOOKUP(Table2[[#This Row],[Item]],'Inventory as of 12th Aug 2024'!A:H,1,)=Table2[[#This Row],[Item]],TRUE,FALSE),FALSE)</f>
        <v>1</v>
      </c>
      <c r="H144" t="s">
        <v>361</v>
      </c>
      <c r="K144" t="s">
        <v>367</v>
      </c>
    </row>
    <row r="145" spans="1:11" x14ac:dyDescent="0.25">
      <c r="A145" s="30">
        <f t="shared" si="16"/>
        <v>45538</v>
      </c>
      <c r="C145" t="str">
        <f>'Inventory as of 12th Aug 2024'!A3</f>
        <v>Safaricom 10 Credit</v>
      </c>
      <c r="D145">
        <v>20</v>
      </c>
      <c r="E145">
        <v>170</v>
      </c>
      <c r="F145">
        <f t="shared" si="17"/>
        <v>8.5</v>
      </c>
      <c r="G145" t="b">
        <f>IFERROR(IF(VLOOKUP(Table2[[#This Row],[Item]],'Inventory as of 12th Aug 2024'!A:H,1,)=Table2[[#This Row],[Item]],TRUE,FALSE),FALSE)</f>
        <v>1</v>
      </c>
      <c r="H145" t="s">
        <v>361</v>
      </c>
      <c r="K145" t="s">
        <v>367</v>
      </c>
    </row>
    <row r="146" spans="1:11" x14ac:dyDescent="0.25">
      <c r="A146" s="30">
        <f t="shared" si="16"/>
        <v>45538</v>
      </c>
      <c r="C146" t="str">
        <f>'Inventory as of 12th Aug 2024'!A2</f>
        <v>Safaricom 20 Credit</v>
      </c>
      <c r="D146">
        <v>20</v>
      </c>
      <c r="E146">
        <v>384</v>
      </c>
      <c r="F146">
        <f t="shared" si="17"/>
        <v>19.2</v>
      </c>
      <c r="G146" t="b">
        <f>IFERROR(IF(VLOOKUP(Table2[[#This Row],[Item]],'Inventory as of 12th Aug 2024'!A:H,1,)=Table2[[#This Row],[Item]],TRUE,FALSE),FALSE)</f>
        <v>1</v>
      </c>
      <c r="H146" t="s">
        <v>361</v>
      </c>
      <c r="K146" t="s">
        <v>367</v>
      </c>
    </row>
    <row r="147" spans="1:11" x14ac:dyDescent="0.25">
      <c r="A147" s="30">
        <f t="shared" si="16"/>
        <v>45538</v>
      </c>
      <c r="C147" t="str">
        <f>'Inventory as of 12th Aug 2024'!A4</f>
        <v>Safaricom 50 Credit</v>
      </c>
      <c r="D147">
        <v>10</v>
      </c>
      <c r="E147">
        <v>480</v>
      </c>
      <c r="F147">
        <f t="shared" si="17"/>
        <v>48</v>
      </c>
      <c r="G147" t="b">
        <f>IFERROR(IF(VLOOKUP(Table2[[#This Row],[Item]],'Inventory as of 12th Aug 2024'!A:H,1,)=Table2[[#This Row],[Item]],TRUE,FALSE),FALSE)</f>
        <v>1</v>
      </c>
      <c r="H147" t="s">
        <v>361</v>
      </c>
      <c r="K147" t="s">
        <v>367</v>
      </c>
    </row>
    <row r="148" spans="1:11" x14ac:dyDescent="0.25">
      <c r="A148" s="30">
        <f t="shared" si="16"/>
        <v>45538</v>
      </c>
      <c r="C148" t="str">
        <f>'Inventory as of 12th Aug 2024'!A6</f>
        <v>Airtel 10 Credit</v>
      </c>
      <c r="D148">
        <v>20</v>
      </c>
      <c r="E148">
        <v>170</v>
      </c>
      <c r="F148">
        <f t="shared" si="17"/>
        <v>8.5</v>
      </c>
      <c r="G148" t="b">
        <f>IFERROR(IF(VLOOKUP(Table2[[#This Row],[Item]],'Inventory as of 12th Aug 2024'!A:H,1,)=Table2[[#This Row],[Item]],TRUE,FALSE),FALSE)</f>
        <v>1</v>
      </c>
      <c r="H148" t="s">
        <v>361</v>
      </c>
      <c r="K148" t="s">
        <v>367</v>
      </c>
    </row>
    <row r="149" spans="1:11" x14ac:dyDescent="0.25">
      <c r="A149" s="30">
        <f t="shared" si="16"/>
        <v>45538</v>
      </c>
      <c r="C149" t="str">
        <f>'Inventory as of 12th Aug 2024'!A5</f>
        <v>Airtel 20 Credit</v>
      </c>
      <c r="D149">
        <v>20</v>
      </c>
      <c r="E149">
        <v>384</v>
      </c>
      <c r="F149">
        <f t="shared" si="17"/>
        <v>19.2</v>
      </c>
      <c r="G149" t="b">
        <f>IFERROR(IF(VLOOKUP(Table2[[#This Row],[Item]],'Inventory as of 12th Aug 2024'!A:H,1,)=Table2[[#This Row],[Item]],TRUE,FALSE),FALSE)</f>
        <v>1</v>
      </c>
      <c r="H149" t="s">
        <v>361</v>
      </c>
      <c r="K149" t="s">
        <v>367</v>
      </c>
    </row>
    <row r="150" spans="1:11" x14ac:dyDescent="0.25">
      <c r="A150" s="30">
        <f t="shared" si="16"/>
        <v>45538</v>
      </c>
      <c r="C150" t="str">
        <f>'Inventory as of 12th Aug 2024'!A7</f>
        <v>Airtel 50 Credit</v>
      </c>
      <c r="D150">
        <v>10</v>
      </c>
      <c r="E150">
        <v>480</v>
      </c>
      <c r="F150">
        <f t="shared" si="17"/>
        <v>48</v>
      </c>
      <c r="G150" t="b">
        <f>IFERROR(IF(VLOOKUP(Table2[[#This Row],[Item]],'Inventory as of 12th Aug 2024'!A:H,1,)=Table2[[#This Row],[Item]],TRUE,FALSE),FALSE)</f>
        <v>1</v>
      </c>
      <c r="H150" t="s">
        <v>361</v>
      </c>
      <c r="K150" t="s">
        <v>367</v>
      </c>
    </row>
    <row r="151" spans="1:11" x14ac:dyDescent="0.25">
      <c r="A151" s="30">
        <f t="shared" si="16"/>
        <v>45538</v>
      </c>
      <c r="C151" t="s">
        <v>368</v>
      </c>
      <c r="D151">
        <v>3</v>
      </c>
      <c r="E151">
        <v>540</v>
      </c>
      <c r="F151">
        <f t="shared" si="17"/>
        <v>180</v>
      </c>
      <c r="G151" t="b">
        <f>IFERROR(IF(VLOOKUP(Table2[[#This Row],[Item]],'Inventory as of 12th Aug 2024'!A:H,1,)=Table2[[#This Row],[Item]],TRUE,FALSE),FALSE)</f>
        <v>1</v>
      </c>
      <c r="H151" t="s">
        <v>361</v>
      </c>
      <c r="K151" t="s">
        <v>367</v>
      </c>
    </row>
    <row r="152" spans="1:11" x14ac:dyDescent="0.25">
      <c r="A152" s="30">
        <f t="shared" si="16"/>
        <v>45538</v>
      </c>
      <c r="C152" t="str">
        <f>'Inventory as of 12th Aug 2024'!A87</f>
        <v>Menengai Bar 1kg</v>
      </c>
      <c r="D152">
        <v>4</v>
      </c>
      <c r="E152">
        <v>760</v>
      </c>
      <c r="F152">
        <f t="shared" si="17"/>
        <v>190</v>
      </c>
      <c r="G152" t="b">
        <f>IFERROR(IF(VLOOKUP(Table2[[#This Row],[Item]],'Inventory as of 12th Aug 2024'!A:H,1,)=Table2[[#This Row],[Item]],TRUE,FALSE),FALSE)</f>
        <v>1</v>
      </c>
      <c r="H152" t="s">
        <v>361</v>
      </c>
      <c r="K152" t="s">
        <v>367</v>
      </c>
    </row>
    <row r="153" spans="1:11" x14ac:dyDescent="0.25">
      <c r="A153" s="30">
        <f t="shared" si="16"/>
        <v>45538</v>
      </c>
      <c r="C153" t="s">
        <v>369</v>
      </c>
      <c r="D153">
        <v>18</v>
      </c>
      <c r="E153">
        <v>420</v>
      </c>
      <c r="F153">
        <f t="shared" si="17"/>
        <v>23.333333333333332</v>
      </c>
      <c r="G153" t="b">
        <f>IFERROR(IF(VLOOKUP(Table2[[#This Row],[Item]],'Inventory as of 12th Aug 2024'!A:H,1,)=Table2[[#This Row],[Item]],TRUE,FALSE),FALSE)</f>
        <v>1</v>
      </c>
      <c r="H153" t="s">
        <v>361</v>
      </c>
      <c r="K153" t="s">
        <v>367</v>
      </c>
    </row>
    <row r="154" spans="1:11" x14ac:dyDescent="0.25">
      <c r="A154" s="30">
        <f>DATE(2024,9,4)</f>
        <v>45539</v>
      </c>
      <c r="C154" t="str">
        <f>'Inventory as of 12th Aug 2024'!A33</f>
        <v>BB Bread 400g</v>
      </c>
      <c r="D154">
        <v>4</v>
      </c>
      <c r="E154">
        <v>240</v>
      </c>
      <c r="F154">
        <f t="shared" si="17"/>
        <v>60</v>
      </c>
      <c r="G154" t="b">
        <f>IFERROR(IF(VLOOKUP(Table2[[#This Row],[Item]],'Inventory as of 12th Aug 2024'!A:H,1,)=Table2[[#This Row],[Item]],TRUE,FALSE),FALSE)</f>
        <v>1</v>
      </c>
      <c r="H154" t="s">
        <v>247</v>
      </c>
    </row>
    <row r="155" spans="1:11" x14ac:dyDescent="0.25">
      <c r="A155" s="30">
        <f t="shared" ref="A155:A157" si="18">DATE(2024,9,4)</f>
        <v>45539</v>
      </c>
      <c r="C155" t="str">
        <f>'Inventory as of 12th Aug 2024'!A35</f>
        <v>Festive 600g</v>
      </c>
      <c r="D155">
        <v>2</v>
      </c>
      <c r="E155">
        <v>180</v>
      </c>
      <c r="F155">
        <f t="shared" si="17"/>
        <v>90</v>
      </c>
      <c r="G155" t="b">
        <f>IFERROR(IF(VLOOKUP(Table2[[#This Row],[Item]],'Inventory as of 12th Aug 2024'!A:H,1,)=Table2[[#This Row],[Item]],TRUE,FALSE),FALSE)</f>
        <v>1</v>
      </c>
      <c r="H155" t="s">
        <v>247</v>
      </c>
    </row>
    <row r="156" spans="1:11" x14ac:dyDescent="0.25">
      <c r="A156" s="30">
        <f t="shared" si="18"/>
        <v>45539</v>
      </c>
      <c r="C156" t="str">
        <f>'Inventory as of 12th Aug 2024'!A36</f>
        <v>Festive 800g</v>
      </c>
      <c r="D156">
        <v>2</v>
      </c>
      <c r="E156">
        <v>240</v>
      </c>
      <c r="F156">
        <f t="shared" si="17"/>
        <v>120</v>
      </c>
      <c r="G156" t="b">
        <f>IFERROR(IF(VLOOKUP(Table2[[#This Row],[Item]],'Inventory as of 12th Aug 2024'!A:H,1,)=Table2[[#This Row],[Item]],TRUE,FALSE),FALSE)</f>
        <v>1</v>
      </c>
      <c r="H156" t="s">
        <v>247</v>
      </c>
    </row>
    <row r="157" spans="1:11" x14ac:dyDescent="0.25">
      <c r="A157" s="30">
        <f t="shared" si="18"/>
        <v>45539</v>
      </c>
      <c r="C157" t="str">
        <f>'Inventory as of 12th Aug 2024'!A194</f>
        <v>Half pound cake</v>
      </c>
      <c r="D157">
        <v>3</v>
      </c>
      <c r="E157">
        <v>270</v>
      </c>
      <c r="F157">
        <f t="shared" si="17"/>
        <v>90</v>
      </c>
      <c r="G157" t="b">
        <f>IFERROR(IF(VLOOKUP(Table2[[#This Row],[Item]],'Inventory as of 12th Aug 2024'!A:H,1,)=Table2[[#This Row],[Item]],TRUE,FALSE),FALSE)</f>
        <v>1</v>
      </c>
      <c r="H157" t="s">
        <v>247</v>
      </c>
    </row>
    <row r="158" spans="1:11" x14ac:dyDescent="0.25">
      <c r="A158" s="30">
        <f>DATE(2024,9,5)</f>
        <v>45540</v>
      </c>
      <c r="C158" t="str">
        <f>'Inventory as of 12th Aug 2024'!A9</f>
        <v>Kinangop Fresh Milk 500ml</v>
      </c>
      <c r="D158">
        <v>5</v>
      </c>
      <c r="E158">
        <v>275</v>
      </c>
      <c r="F158">
        <f t="shared" si="17"/>
        <v>55</v>
      </c>
      <c r="G158" t="b">
        <f>IFERROR(IF(VLOOKUP(Table2[[#This Row],[Item]],'Inventory as of 12th Aug 2024'!A:H,1,)=Table2[[#This Row],[Item]],TRUE,FALSE),FALSE)</f>
        <v>1</v>
      </c>
      <c r="H158" t="s">
        <v>247</v>
      </c>
    </row>
    <row r="159" spans="1:11" x14ac:dyDescent="0.25">
      <c r="A159" s="30">
        <f>DATE(2024,9,6)</f>
        <v>45541</v>
      </c>
      <c r="C159" t="str">
        <f>'Inventory as of 12th Aug 2024'!A33</f>
        <v>BB Bread 400g</v>
      </c>
      <c r="D159">
        <v>6</v>
      </c>
      <c r="E159">
        <v>360</v>
      </c>
      <c r="F159">
        <f t="shared" si="17"/>
        <v>60</v>
      </c>
      <c r="G159" t="b">
        <f>IFERROR(IF(VLOOKUP(Table2[[#This Row],[Item]],'Inventory as of 12th Aug 2024'!A:H,1,)=Table2[[#This Row],[Item]],TRUE,FALSE),FALSE)</f>
        <v>1</v>
      </c>
      <c r="H159" t="s">
        <v>247</v>
      </c>
    </row>
    <row r="160" spans="1:11" x14ac:dyDescent="0.25">
      <c r="A160" s="30">
        <f t="shared" ref="A160:A162" si="19">DATE(2024,9,6)</f>
        <v>45541</v>
      </c>
      <c r="C160" t="str">
        <f>'Inventory as of 12th Aug 2024'!A37</f>
        <v>Festive Bread 400g</v>
      </c>
      <c r="D160">
        <v>4</v>
      </c>
      <c r="E160">
        <v>240</v>
      </c>
      <c r="F160">
        <f t="shared" si="17"/>
        <v>60</v>
      </c>
      <c r="G160" t="b">
        <f>IFERROR(IF(VLOOKUP(Table2[[#This Row],[Item]],'Inventory as of 12th Aug 2024'!A:H,1,)=Table2[[#This Row],[Item]],TRUE,FALSE),FALSE)</f>
        <v>1</v>
      </c>
      <c r="H160" t="s">
        <v>247</v>
      </c>
    </row>
    <row r="161" spans="1:11" x14ac:dyDescent="0.25">
      <c r="A161" s="30">
        <f t="shared" si="19"/>
        <v>45541</v>
      </c>
      <c r="C161" t="str">
        <f>'Inventory as of 12th Aug 2024'!A35</f>
        <v>Festive 600g</v>
      </c>
      <c r="D161">
        <v>2</v>
      </c>
      <c r="E161">
        <v>180</v>
      </c>
      <c r="F161">
        <f t="shared" si="17"/>
        <v>90</v>
      </c>
      <c r="G161" t="b">
        <f>IFERROR(IF(VLOOKUP(Table2[[#This Row],[Item]],'Inventory as of 12th Aug 2024'!A:H,1,)=Table2[[#This Row],[Item]],TRUE,FALSE),FALSE)</f>
        <v>1</v>
      </c>
      <c r="H161" t="s">
        <v>247</v>
      </c>
    </row>
    <row r="162" spans="1:11" x14ac:dyDescent="0.25">
      <c r="A162" s="30">
        <f t="shared" si="19"/>
        <v>45541</v>
      </c>
      <c r="C162" t="str">
        <f>'Inventory as of 12th Aug 2024'!A36</f>
        <v>Festive 800g</v>
      </c>
      <c r="D162">
        <v>2</v>
      </c>
      <c r="E162">
        <v>240</v>
      </c>
      <c r="F162">
        <f t="shared" si="17"/>
        <v>120</v>
      </c>
      <c r="G162" t="b">
        <f>IFERROR(IF(VLOOKUP(Table2[[#This Row],[Item]],'Inventory as of 12th Aug 2024'!A:H,1,)=Table2[[#This Row],[Item]],TRUE,FALSE),FALSE)</f>
        <v>1</v>
      </c>
      <c r="H162" t="s">
        <v>247</v>
      </c>
    </row>
    <row r="163" spans="1:11" x14ac:dyDescent="0.25">
      <c r="A163" s="30">
        <f>DATE(2024,9,7)</f>
        <v>45542</v>
      </c>
      <c r="C163" t="str">
        <f>'Inventory as of 12th Aug 2024'!A33</f>
        <v>BB Bread 400g</v>
      </c>
      <c r="D163">
        <v>4</v>
      </c>
      <c r="E163">
        <v>240</v>
      </c>
      <c r="F163">
        <f t="shared" si="17"/>
        <v>60</v>
      </c>
      <c r="G163" t="b">
        <f>IFERROR(IF(VLOOKUP(Table2[[#This Row],[Item]],'Inventory as of 12th Aug 2024'!A:H,1,)=Table2[[#This Row],[Item]],TRUE,FALSE),FALSE)</f>
        <v>1</v>
      </c>
      <c r="H163" t="s">
        <v>247</v>
      </c>
    </row>
    <row r="164" spans="1:11" x14ac:dyDescent="0.25">
      <c r="A164" s="30">
        <f t="shared" ref="A164:A167" si="20">DATE(2024,9,7)</f>
        <v>45542</v>
      </c>
      <c r="C164" t="str">
        <f>'Inventory as of 12th Aug 2024'!A37</f>
        <v>Festive Bread 400g</v>
      </c>
      <c r="D164">
        <v>11</v>
      </c>
      <c r="E164">
        <v>660</v>
      </c>
      <c r="F164">
        <f t="shared" si="17"/>
        <v>60</v>
      </c>
      <c r="G164" t="b">
        <f>IFERROR(IF(VLOOKUP(Table2[[#This Row],[Item]],'Inventory as of 12th Aug 2024'!A:H,1,)=Table2[[#This Row],[Item]],TRUE,FALSE),FALSE)</f>
        <v>1</v>
      </c>
      <c r="H164" t="s">
        <v>247</v>
      </c>
    </row>
    <row r="165" spans="1:11" x14ac:dyDescent="0.25">
      <c r="A165" s="30">
        <f t="shared" si="20"/>
        <v>45542</v>
      </c>
      <c r="C165" t="str">
        <f>'Inventory as of 12th Aug 2024'!A91</f>
        <v>Tomatoes</v>
      </c>
      <c r="D165">
        <v>80</v>
      </c>
      <c r="E165">
        <v>400</v>
      </c>
      <c r="F165">
        <f t="shared" si="17"/>
        <v>5</v>
      </c>
      <c r="G165" t="b">
        <f>IFERROR(IF(VLOOKUP(Table2[[#This Row],[Item]],'Inventory as of 12th Aug 2024'!A:H,1,)=Table2[[#This Row],[Item]],TRUE,FALSE),FALSE)</f>
        <v>1</v>
      </c>
      <c r="H165" t="s">
        <v>361</v>
      </c>
      <c r="K165" t="s">
        <v>363</v>
      </c>
    </row>
    <row r="166" spans="1:11" x14ac:dyDescent="0.25">
      <c r="A166" s="30">
        <f t="shared" si="20"/>
        <v>45542</v>
      </c>
      <c r="C166" t="str">
        <f>'Inventory as of 12th Aug 2024'!A90</f>
        <v>Onion</v>
      </c>
      <c r="D166">
        <v>50</v>
      </c>
      <c r="E166">
        <v>250</v>
      </c>
      <c r="F166">
        <f t="shared" si="17"/>
        <v>5</v>
      </c>
      <c r="G166" t="b">
        <f>IFERROR(IF(VLOOKUP(Table2[[#This Row],[Item]],'Inventory as of 12th Aug 2024'!A:H,1,)=Table2[[#This Row],[Item]],TRUE,FALSE),FALSE)</f>
        <v>1</v>
      </c>
      <c r="H166" t="s">
        <v>361</v>
      </c>
      <c r="K166" t="s">
        <v>363</v>
      </c>
    </row>
    <row r="167" spans="1:11" x14ac:dyDescent="0.25">
      <c r="A167" s="30">
        <f t="shared" si="20"/>
        <v>45542</v>
      </c>
      <c r="C167" t="str">
        <f>'Inventory as of 12th Aug 2024'!A92</f>
        <v>Banana</v>
      </c>
      <c r="D167">
        <v>22</v>
      </c>
      <c r="E167">
        <v>150</v>
      </c>
      <c r="F167">
        <f t="shared" si="17"/>
        <v>6.8181818181818183</v>
      </c>
      <c r="G167" t="b">
        <f>IFERROR(IF(VLOOKUP(Table2[[#This Row],[Item]],'Inventory as of 12th Aug 2024'!A:H,1,)=Table2[[#This Row],[Item]],TRUE,FALSE),FALSE)</f>
        <v>1</v>
      </c>
      <c r="H167" t="s">
        <v>361</v>
      </c>
      <c r="K167" t="s">
        <v>363</v>
      </c>
    </row>
    <row r="168" spans="1:11" x14ac:dyDescent="0.25">
      <c r="A168" s="30">
        <f>DATE(2024,9,9)</f>
        <v>45544</v>
      </c>
      <c r="C168" t="str">
        <f>'Inventory as of 12th Aug 2024'!A212</f>
        <v>soda 300ml glass</v>
      </c>
      <c r="D168">
        <v>24</v>
      </c>
      <c r="E168">
        <v>780</v>
      </c>
      <c r="F168">
        <f t="shared" si="17"/>
        <v>32.5</v>
      </c>
      <c r="G168" t="b">
        <f>IFERROR(IF(VLOOKUP(Table2[[#This Row],[Item]],'Inventory as of 12th Aug 2024'!A:H,1,)=Table2[[#This Row],[Item]],TRUE,FALSE),FALSE)</f>
        <v>1</v>
      </c>
      <c r="H168" t="s">
        <v>361</v>
      </c>
      <c r="K168" t="s">
        <v>363</v>
      </c>
    </row>
    <row r="169" spans="1:11" x14ac:dyDescent="0.25">
      <c r="A169" s="30">
        <f t="shared" ref="A169:A174" si="21">DATE(2024,9,9)</f>
        <v>45544</v>
      </c>
      <c r="C169" t="str">
        <f>'Inventory as of 12th Aug 2024'!A213</f>
        <v>soda 500ml glass</v>
      </c>
      <c r="D169">
        <v>48</v>
      </c>
      <c r="E169">
        <v>2400</v>
      </c>
      <c r="F169">
        <f t="shared" si="17"/>
        <v>50</v>
      </c>
      <c r="G169" t="b">
        <f>IFERROR(IF(VLOOKUP(Table2[[#This Row],[Item]],'Inventory as of 12th Aug 2024'!A:H,1,)=Table2[[#This Row],[Item]],TRUE,FALSE),FALSE)</f>
        <v>1</v>
      </c>
      <c r="H169" t="s">
        <v>361</v>
      </c>
      <c r="K169" t="s">
        <v>363</v>
      </c>
    </row>
    <row r="170" spans="1:11" x14ac:dyDescent="0.25">
      <c r="A170" s="30">
        <f t="shared" si="21"/>
        <v>45544</v>
      </c>
      <c r="C170" t="str">
        <f>'Inventory as of 12th Aug 2024'!A204</f>
        <v>soda 2lts</v>
      </c>
      <c r="D170">
        <v>6</v>
      </c>
      <c r="E170">
        <v>1005</v>
      </c>
      <c r="F170">
        <f t="shared" si="17"/>
        <v>167.5</v>
      </c>
      <c r="G170" t="b">
        <f>IFERROR(IF(VLOOKUP(Table2[[#This Row],[Item]],'Inventory as of 12th Aug 2024'!A:H,1,)=Table2[[#This Row],[Item]],TRUE,FALSE),FALSE)</f>
        <v>1</v>
      </c>
      <c r="H170" t="s">
        <v>361</v>
      </c>
      <c r="K170" t="s">
        <v>363</v>
      </c>
    </row>
    <row r="171" spans="1:11" x14ac:dyDescent="0.25">
      <c r="A171" s="30">
        <f t="shared" si="21"/>
        <v>45544</v>
      </c>
      <c r="C171" t="str">
        <f>'Inventory as of 12th Aug 2024'!A205</f>
        <v xml:space="preserve"> soda 1.25lts</v>
      </c>
      <c r="D171">
        <v>12</v>
      </c>
      <c r="E171">
        <v>1300</v>
      </c>
      <c r="F171">
        <f t="shared" si="17"/>
        <v>108.33333333333333</v>
      </c>
      <c r="G171" t="b">
        <f>IFERROR(IF(VLOOKUP(Table2[[#This Row],[Item]],'Inventory as of 12th Aug 2024'!A:H,1,)=Table2[[#This Row],[Item]],TRUE,FALSE),FALSE)</f>
        <v>1</v>
      </c>
      <c r="H171" t="s">
        <v>361</v>
      </c>
      <c r="K171" t="s">
        <v>363</v>
      </c>
    </row>
    <row r="172" spans="1:11" x14ac:dyDescent="0.25">
      <c r="A172" s="30">
        <f t="shared" si="21"/>
        <v>45544</v>
      </c>
      <c r="C172" t="str">
        <f>'Inventory as of 12th Aug 2024'!A208</f>
        <v>minutemaid 400ml</v>
      </c>
      <c r="D172">
        <v>12</v>
      </c>
      <c r="E172">
        <v>800</v>
      </c>
      <c r="F172">
        <f t="shared" si="17"/>
        <v>66.666666666666671</v>
      </c>
      <c r="G172" t="b">
        <f>IFERROR(IF(VLOOKUP(Table2[[#This Row],[Item]],'Inventory as of 12th Aug 2024'!A:H,1,)=Table2[[#This Row],[Item]],TRUE,FALSE),FALSE)</f>
        <v>1</v>
      </c>
      <c r="H172" t="s">
        <v>361</v>
      </c>
      <c r="K172" t="s">
        <v>363</v>
      </c>
    </row>
    <row r="173" spans="1:11" x14ac:dyDescent="0.25">
      <c r="A173" s="30">
        <f t="shared" si="21"/>
        <v>45544</v>
      </c>
      <c r="C173" t="str">
        <f>'Inventory as of 12th Aug 2024'!A199</f>
        <v>Kdf</v>
      </c>
      <c r="D173">
        <v>12</v>
      </c>
      <c r="E173">
        <v>100</v>
      </c>
      <c r="F173">
        <f t="shared" si="17"/>
        <v>8.3333333333333339</v>
      </c>
      <c r="G173" t="b">
        <f>IFERROR(IF(VLOOKUP(Table2[[#This Row],[Item]],'Inventory as of 12th Aug 2024'!A:H,1,)=Table2[[#This Row],[Item]],TRUE,FALSE),FALSE)</f>
        <v>1</v>
      </c>
      <c r="H173" t="s">
        <v>247</v>
      </c>
    </row>
    <row r="174" spans="1:11" x14ac:dyDescent="0.25">
      <c r="A174" s="30">
        <f t="shared" si="21"/>
        <v>45544</v>
      </c>
      <c r="C174" t="str">
        <f>'Inventory as of 12th Aug 2024'!A200</f>
        <v>Ngumu</v>
      </c>
      <c r="D174">
        <v>12</v>
      </c>
      <c r="E174">
        <v>100</v>
      </c>
      <c r="F174">
        <f t="shared" si="17"/>
        <v>8.3333333333333339</v>
      </c>
      <c r="G174" t="b">
        <f>IFERROR(IF(VLOOKUP(Table2[[#This Row],[Item]],'Inventory as of 12th Aug 2024'!A:H,1,)=Table2[[#This Row],[Item]],TRUE,FALSE),FALSE)</f>
        <v>1</v>
      </c>
      <c r="H174" t="s">
        <v>247</v>
      </c>
    </row>
    <row r="175" spans="1:11" x14ac:dyDescent="0.25">
      <c r="A175" s="30">
        <f>DATE(2024,9,10)</f>
        <v>45545</v>
      </c>
      <c r="C175" t="str">
        <f>'Inventory as of 12th Aug 2024'!A9</f>
        <v>Kinangop Fresh Milk 500ml</v>
      </c>
      <c r="D175">
        <v>5</v>
      </c>
      <c r="E175">
        <v>275</v>
      </c>
      <c r="F175">
        <f t="shared" si="17"/>
        <v>55</v>
      </c>
      <c r="G175" t="b">
        <f>IFERROR(IF(VLOOKUP(Table2[[#This Row],[Item]],'Inventory as of 12th Aug 2024'!A:H,1,)=Table2[[#This Row],[Item]],TRUE,FALSE),FALSE)</f>
        <v>1</v>
      </c>
      <c r="H175" t="s">
        <v>247</v>
      </c>
    </row>
    <row r="176" spans="1:11" x14ac:dyDescent="0.25">
      <c r="A176" s="30">
        <f>DATE(2024,9,11)</f>
        <v>45546</v>
      </c>
      <c r="C176" t="str">
        <f>'Inventory as of 12th Aug 2024'!A33</f>
        <v>BB Bread 400g</v>
      </c>
      <c r="D176">
        <v>6</v>
      </c>
      <c r="E176">
        <v>360</v>
      </c>
      <c r="F176">
        <f t="shared" si="17"/>
        <v>60</v>
      </c>
      <c r="G176" t="b">
        <f>IFERROR(IF(VLOOKUP(Table2[[#This Row],[Item]],'Inventory as of 12th Aug 2024'!A:H,1,)=Table2[[#This Row],[Item]],TRUE,FALSE),FALSE)</f>
        <v>1</v>
      </c>
      <c r="H176" t="s">
        <v>247</v>
      </c>
    </row>
    <row r="177" spans="1:11" x14ac:dyDescent="0.25">
      <c r="A177" s="30">
        <f t="shared" ref="A177:A179" si="22">DATE(2024,9,11)</f>
        <v>45546</v>
      </c>
      <c r="C177" t="str">
        <f>'Inventory as of 12th Aug 2024'!A199</f>
        <v>Kdf</v>
      </c>
      <c r="D177">
        <v>18</v>
      </c>
      <c r="E177">
        <v>150</v>
      </c>
      <c r="F177">
        <f t="shared" si="17"/>
        <v>8.3333333333333339</v>
      </c>
      <c r="G177" t="b">
        <f>IFERROR(IF(VLOOKUP(Table2[[#This Row],[Item]],'Inventory as of 12th Aug 2024'!A:H,1,)=Table2[[#This Row],[Item]],TRUE,FALSE),FALSE)</f>
        <v>1</v>
      </c>
      <c r="H177" t="s">
        <v>247</v>
      </c>
    </row>
    <row r="178" spans="1:11" x14ac:dyDescent="0.25">
      <c r="A178" s="30">
        <f t="shared" si="22"/>
        <v>45546</v>
      </c>
      <c r="C178" t="str">
        <f>'Inventory as of 12th Aug 2024'!A200</f>
        <v>Ngumu</v>
      </c>
      <c r="D178">
        <v>12</v>
      </c>
      <c r="E178">
        <v>100</v>
      </c>
      <c r="F178">
        <f t="shared" si="17"/>
        <v>8.3333333333333339</v>
      </c>
      <c r="G178" t="b">
        <f>IFERROR(IF(VLOOKUP(Table2[[#This Row],[Item]],'Inventory as of 12th Aug 2024'!A:H,1,)=Table2[[#This Row],[Item]],TRUE,FALSE),FALSE)</f>
        <v>1</v>
      </c>
      <c r="H178" t="s">
        <v>247</v>
      </c>
    </row>
    <row r="179" spans="1:11" x14ac:dyDescent="0.25">
      <c r="A179" s="30">
        <f t="shared" si="22"/>
        <v>45546</v>
      </c>
      <c r="C179" t="str">
        <f>'Inventory as of 12th Aug 2024'!A197</f>
        <v>Canned cookies</v>
      </c>
      <c r="D179">
        <v>2</v>
      </c>
      <c r="E179">
        <v>100</v>
      </c>
      <c r="F179">
        <f t="shared" si="17"/>
        <v>50</v>
      </c>
      <c r="G179" t="b">
        <f>IFERROR(IF(VLOOKUP(Table2[[#This Row],[Item]],'Inventory as of 12th Aug 2024'!A:H,1,)=Table2[[#This Row],[Item]],TRUE,FALSE),FALSE)</f>
        <v>1</v>
      </c>
      <c r="H179" t="s">
        <v>247</v>
      </c>
    </row>
    <row r="180" spans="1:11" x14ac:dyDescent="0.25">
      <c r="A180" s="30">
        <f>DATE(2024,9,12)</f>
        <v>45547</v>
      </c>
      <c r="C180" t="str">
        <f>'Inventory as of 12th Aug 2024'!A33</f>
        <v>BB Bread 400g</v>
      </c>
      <c r="D180">
        <v>4</v>
      </c>
      <c r="E180">
        <v>240</v>
      </c>
      <c r="F180">
        <f t="shared" si="17"/>
        <v>60</v>
      </c>
      <c r="G180" t="b">
        <f>IFERROR(IF(VLOOKUP(Table2[[#This Row],[Item]],'Inventory as of 12th Aug 2024'!A:H,1,)=Table2[[#This Row],[Item]],TRUE,FALSE),FALSE)</f>
        <v>1</v>
      </c>
      <c r="H180" t="s">
        <v>247</v>
      </c>
    </row>
    <row r="181" spans="1:11" x14ac:dyDescent="0.25">
      <c r="A181" s="30">
        <f t="shared" ref="A181:A183" si="23">DATE(2024,9,12)</f>
        <v>45547</v>
      </c>
      <c r="C181" t="str">
        <f>'Inventory as of 12th Aug 2024'!A37</f>
        <v>Festive Bread 400g</v>
      </c>
      <c r="D181">
        <v>4</v>
      </c>
      <c r="E181">
        <v>240</v>
      </c>
      <c r="F181">
        <f t="shared" si="17"/>
        <v>60</v>
      </c>
      <c r="G181" t="b">
        <f>IFERROR(IF(VLOOKUP(Table2[[#This Row],[Item]],'Inventory as of 12th Aug 2024'!A:H,1,)=Table2[[#This Row],[Item]],TRUE,FALSE),FALSE)</f>
        <v>1</v>
      </c>
      <c r="H181" t="s">
        <v>247</v>
      </c>
    </row>
    <row r="182" spans="1:11" x14ac:dyDescent="0.25">
      <c r="A182" s="30">
        <f t="shared" si="23"/>
        <v>45547</v>
      </c>
      <c r="C182" t="str">
        <f>'Inventory as of 12th Aug 2024'!A35</f>
        <v>Festive 600g</v>
      </c>
      <c r="D182">
        <v>2</v>
      </c>
      <c r="E182">
        <v>180</v>
      </c>
      <c r="F182">
        <f t="shared" si="17"/>
        <v>90</v>
      </c>
      <c r="G182" t="b">
        <f>IFERROR(IF(VLOOKUP(Table2[[#This Row],[Item]],'Inventory as of 12th Aug 2024'!A:H,1,)=Table2[[#This Row],[Item]],TRUE,FALSE),FALSE)</f>
        <v>1</v>
      </c>
      <c r="H182" t="s">
        <v>247</v>
      </c>
    </row>
    <row r="183" spans="1:11" x14ac:dyDescent="0.25">
      <c r="A183" s="30">
        <f t="shared" si="23"/>
        <v>45547</v>
      </c>
      <c r="C183" t="str">
        <f>'Inventory as of 12th Aug 2024'!A36</f>
        <v>Festive 800g</v>
      </c>
      <c r="D183">
        <v>2</v>
      </c>
      <c r="E183">
        <v>240</v>
      </c>
      <c r="F183">
        <f t="shared" si="17"/>
        <v>120</v>
      </c>
      <c r="G183" t="b">
        <f>IFERROR(IF(VLOOKUP(Table2[[#This Row],[Item]],'Inventory as of 12th Aug 2024'!A:H,1,)=Table2[[#This Row],[Item]],TRUE,FALSE),FALSE)</f>
        <v>1</v>
      </c>
      <c r="H183" t="s">
        <v>247</v>
      </c>
    </row>
    <row r="184" spans="1:11" x14ac:dyDescent="0.25">
      <c r="A184" s="30">
        <f>DATE(2024,9,13)</f>
        <v>45548</v>
      </c>
      <c r="C184" t="str">
        <f>'Inventory as of 12th Aug 2024'!A17</f>
        <v>Brookside milk 500ml</v>
      </c>
      <c r="D184">
        <v>24</v>
      </c>
      <c r="E184">
        <v>1416</v>
      </c>
      <c r="F184">
        <f t="shared" si="17"/>
        <v>59</v>
      </c>
      <c r="G184" t="b">
        <f>IFERROR(IF(VLOOKUP(Table2[[#This Row],[Item]],'Inventory as of 12th Aug 2024'!A:H,1,)=Table2[[#This Row],[Item]],TRUE,FALSE),FALSE)</f>
        <v>1</v>
      </c>
      <c r="H184" t="s">
        <v>247</v>
      </c>
    </row>
    <row r="185" spans="1:11" x14ac:dyDescent="0.25">
      <c r="A185" s="30">
        <f>DATE(2024,9,14)</f>
        <v>45549</v>
      </c>
      <c r="C185" t="str">
        <f>'Inventory as of 12th Aug 2024'!A33</f>
        <v>BB Bread 400g</v>
      </c>
      <c r="D185">
        <v>4</v>
      </c>
      <c r="E185">
        <v>240</v>
      </c>
      <c r="F185">
        <f t="shared" si="17"/>
        <v>60</v>
      </c>
      <c r="G185" t="b">
        <f>IFERROR(IF(VLOOKUP(Table2[[#This Row],[Item]],'Inventory as of 12th Aug 2024'!A:H,1,)=Table2[[#This Row],[Item]],TRUE,FALSE),FALSE)</f>
        <v>1</v>
      </c>
      <c r="H185" t="s">
        <v>247</v>
      </c>
    </row>
    <row r="186" spans="1:11" x14ac:dyDescent="0.25">
      <c r="A186" s="30">
        <f t="shared" ref="A186:A188" si="24">DATE(2024,9,14)</f>
        <v>45549</v>
      </c>
      <c r="C186" t="str">
        <f>'Inventory as of 12th Aug 2024'!A9</f>
        <v>Kinangop Fresh Milk 500ml</v>
      </c>
      <c r="D186">
        <v>4</v>
      </c>
      <c r="E186">
        <v>220</v>
      </c>
      <c r="F186">
        <f t="shared" si="17"/>
        <v>55</v>
      </c>
      <c r="G186" t="b">
        <f>IFERROR(IF(VLOOKUP(Table2[[#This Row],[Item]],'Inventory as of 12th Aug 2024'!A:H,1,)=Table2[[#This Row],[Item]],TRUE,FALSE),FALSE)</f>
        <v>1</v>
      </c>
      <c r="H186" t="s">
        <v>247</v>
      </c>
    </row>
    <row r="187" spans="1:11" x14ac:dyDescent="0.25">
      <c r="A187" s="30">
        <f t="shared" si="24"/>
        <v>45549</v>
      </c>
      <c r="C187" t="str">
        <f>'Inventory as of 12th Aug 2024'!A8</f>
        <v>eggs</v>
      </c>
      <c r="D187">
        <v>180</v>
      </c>
      <c r="E187">
        <v>2520</v>
      </c>
      <c r="F187">
        <f t="shared" si="17"/>
        <v>14</v>
      </c>
      <c r="G187" t="b">
        <f>IFERROR(IF(VLOOKUP(Table2[[#This Row],[Item]],'Inventory as of 12th Aug 2024'!A:H,1,)=Table2[[#This Row],[Item]],TRUE,FALSE),FALSE)</f>
        <v>1</v>
      </c>
      <c r="H187" t="s">
        <v>361</v>
      </c>
      <c r="K187" t="s">
        <v>358</v>
      </c>
    </row>
    <row r="188" spans="1:11" x14ac:dyDescent="0.25">
      <c r="A188" s="30">
        <f t="shared" si="24"/>
        <v>45549</v>
      </c>
      <c r="C188" t="str">
        <f>'Inventory as of 12th Aug 2024'!A242</f>
        <v>Icepop</v>
      </c>
      <c r="D188">
        <v>120</v>
      </c>
      <c r="E188">
        <v>900</v>
      </c>
      <c r="F188">
        <f t="shared" si="17"/>
        <v>7.5</v>
      </c>
      <c r="G188" t="b">
        <f>IFERROR(IF(VLOOKUP(Table2[[#This Row],[Item]],'Inventory as of 12th Aug 2024'!A:H,1,)=Table2[[#This Row],[Item]],TRUE,FALSE),FALSE)</f>
        <v>1</v>
      </c>
      <c r="H188" t="s">
        <v>361</v>
      </c>
      <c r="K188" t="s">
        <v>358</v>
      </c>
    </row>
    <row r="189" spans="1:11" x14ac:dyDescent="0.25">
      <c r="A189" s="30">
        <f>DATE(2024,9,15)</f>
        <v>45550</v>
      </c>
      <c r="C189" t="s">
        <v>370</v>
      </c>
      <c r="E189">
        <v>500</v>
      </c>
      <c r="F189" t="e">
        <f t="shared" si="17"/>
        <v>#DIV/0!</v>
      </c>
      <c r="G189" t="b">
        <f>IFERROR(IF(VLOOKUP(Table2[[#This Row],[Item]],'Inventory as of 12th Aug 2024'!A:H,1,)=Table2[[#This Row],[Item]],TRUE,FALSE),FALSE)</f>
        <v>0</v>
      </c>
      <c r="H189" t="s">
        <v>361</v>
      </c>
      <c r="K189" t="s">
        <v>367</v>
      </c>
    </row>
    <row r="190" spans="1:11" x14ac:dyDescent="0.25">
      <c r="A190" s="30">
        <f>DATE(2024,9,16)</f>
        <v>45551</v>
      </c>
      <c r="C190" t="str">
        <f>'Inventory as of 12th Aug 2024'!A33</f>
        <v>BB Bread 400g</v>
      </c>
      <c r="D190">
        <v>4</v>
      </c>
      <c r="E190">
        <v>240</v>
      </c>
      <c r="F190">
        <f t="shared" si="17"/>
        <v>60</v>
      </c>
      <c r="G190" t="b">
        <f>IFERROR(IF(VLOOKUP(Table2[[#This Row],[Item]],'Inventory as of 12th Aug 2024'!A:H,1,)=Table2[[#This Row],[Item]],TRUE,FALSE),FALSE)</f>
        <v>1</v>
      </c>
      <c r="H190" t="s">
        <v>247</v>
      </c>
    </row>
    <row r="191" spans="1:11" x14ac:dyDescent="0.25">
      <c r="A191" s="30">
        <f t="shared" ref="A191:A208" si="25">DATE(2024,9,16)</f>
        <v>45551</v>
      </c>
      <c r="C191" t="str">
        <f>'Inventory as of 12th Aug 2024'!A37</f>
        <v>Festive Bread 400g</v>
      </c>
      <c r="D191">
        <v>4</v>
      </c>
      <c r="E191">
        <v>240</v>
      </c>
      <c r="F191">
        <f t="shared" si="17"/>
        <v>60</v>
      </c>
      <c r="G191" t="b">
        <f>IFERROR(IF(VLOOKUP(Table2[[#This Row],[Item]],'Inventory as of 12th Aug 2024'!A:H,1,)=Table2[[#This Row],[Item]],TRUE,FALSE),FALSE)</f>
        <v>1</v>
      </c>
      <c r="H191" t="s">
        <v>247</v>
      </c>
    </row>
    <row r="192" spans="1:11" x14ac:dyDescent="0.25">
      <c r="A192" s="30">
        <f t="shared" si="25"/>
        <v>45551</v>
      </c>
      <c r="C192" t="str">
        <f>'Inventory as of 12th Aug 2024'!A35</f>
        <v>Festive 600g</v>
      </c>
      <c r="D192">
        <v>2</v>
      </c>
      <c r="E192">
        <v>180</v>
      </c>
      <c r="F192">
        <f t="shared" si="17"/>
        <v>90</v>
      </c>
      <c r="G192" t="b">
        <f>IFERROR(IF(VLOOKUP(Table2[[#This Row],[Item]],'Inventory as of 12th Aug 2024'!A:H,1,)=Table2[[#This Row],[Item]],TRUE,FALSE),FALSE)</f>
        <v>1</v>
      </c>
      <c r="H192" t="s">
        <v>247</v>
      </c>
    </row>
    <row r="193" spans="1:11" x14ac:dyDescent="0.25">
      <c r="A193" s="30">
        <f t="shared" si="25"/>
        <v>45551</v>
      </c>
      <c r="C193" t="str">
        <f>'Inventory as of 12th Aug 2024'!A36</f>
        <v>Festive 800g</v>
      </c>
      <c r="D193">
        <v>2</v>
      </c>
      <c r="E193">
        <v>240</v>
      </c>
      <c r="F193">
        <f t="shared" si="17"/>
        <v>120</v>
      </c>
      <c r="G193" t="b">
        <f>IFERROR(IF(VLOOKUP(Table2[[#This Row],[Item]],'Inventory as of 12th Aug 2024'!A:H,1,)=Table2[[#This Row],[Item]],TRUE,FALSE),FALSE)</f>
        <v>1</v>
      </c>
      <c r="H193" t="s">
        <v>247</v>
      </c>
    </row>
    <row r="194" spans="1:11" x14ac:dyDescent="0.25">
      <c r="A194" s="30">
        <f t="shared" si="25"/>
        <v>45551</v>
      </c>
      <c r="C194" t="str">
        <f>'Inventory as of 12th Aug 2024'!A9</f>
        <v>Kinangop Fresh Milk 500ml</v>
      </c>
      <c r="D194">
        <v>4</v>
      </c>
      <c r="E194">
        <v>220</v>
      </c>
      <c r="F194">
        <f t="shared" si="17"/>
        <v>55</v>
      </c>
      <c r="G194" t="b">
        <f>IFERROR(IF(VLOOKUP(Table2[[#This Row],[Item]],'Inventory as of 12th Aug 2024'!A:H,1,)=Table2[[#This Row],[Item]],TRUE,FALSE),FALSE)</f>
        <v>1</v>
      </c>
      <c r="H194" t="s">
        <v>247</v>
      </c>
    </row>
    <row r="195" spans="1:11" x14ac:dyDescent="0.25">
      <c r="A195" s="30">
        <f t="shared" si="25"/>
        <v>45551</v>
      </c>
      <c r="C195" t="str">
        <f>'Inventory as of 12th Aug 2024'!A42</f>
        <v>Indomie chicken</v>
      </c>
      <c r="D195">
        <v>40</v>
      </c>
      <c r="E195">
        <v>1520</v>
      </c>
      <c r="F195">
        <f t="shared" si="17"/>
        <v>38</v>
      </c>
      <c r="G195" t="b">
        <f>IFERROR(IF(VLOOKUP(Table2[[#This Row],[Item]],'Inventory as of 12th Aug 2024'!A:H,1,)=Table2[[#This Row],[Item]],TRUE,FALSE),FALSE)</f>
        <v>1</v>
      </c>
      <c r="H195" t="s">
        <v>361</v>
      </c>
      <c r="K195" t="s">
        <v>367</v>
      </c>
    </row>
    <row r="196" spans="1:11" x14ac:dyDescent="0.25">
      <c r="A196" s="30">
        <f t="shared" si="25"/>
        <v>45551</v>
      </c>
      <c r="C196" t="str">
        <f>'Inventory as of 12th Aug 2024'!A16</f>
        <v>Mt kenya milk 500ml</v>
      </c>
      <c r="D196">
        <v>36</v>
      </c>
      <c r="E196">
        <v>1760</v>
      </c>
      <c r="F196">
        <f t="shared" si="17"/>
        <v>48.888888888888886</v>
      </c>
      <c r="G196" t="b">
        <f>IFERROR(IF(VLOOKUP(Table2[[#This Row],[Item]],'Inventory as of 12th Aug 2024'!A:H,1,)=Table2[[#This Row],[Item]],TRUE,FALSE),FALSE)</f>
        <v>1</v>
      </c>
      <c r="H196" t="s">
        <v>361</v>
      </c>
      <c r="K196" t="s">
        <v>367</v>
      </c>
    </row>
    <row r="197" spans="1:11" x14ac:dyDescent="0.25">
      <c r="A197" s="30">
        <f t="shared" si="25"/>
        <v>45551</v>
      </c>
      <c r="C197" t="str">
        <f>'Inventory as of 12th Aug 2024'!A135</f>
        <v>Bella Tissue</v>
      </c>
      <c r="D197">
        <v>20</v>
      </c>
      <c r="E197">
        <v>700</v>
      </c>
      <c r="F197">
        <f t="shared" si="17"/>
        <v>35</v>
      </c>
      <c r="G197" t="b">
        <f>IFERROR(IF(VLOOKUP(Table2[[#This Row],[Item]],'Inventory as of 12th Aug 2024'!A:H,1,)=Table2[[#This Row],[Item]],TRUE,FALSE),FALSE)</f>
        <v>1</v>
      </c>
      <c r="H197" t="s">
        <v>361</v>
      </c>
      <c r="K197" t="s">
        <v>367</v>
      </c>
    </row>
    <row r="198" spans="1:11" x14ac:dyDescent="0.25">
      <c r="A198" s="30">
        <f t="shared" si="25"/>
        <v>45551</v>
      </c>
      <c r="C198" t="s">
        <v>369</v>
      </c>
      <c r="D198">
        <v>72</v>
      </c>
      <c r="E198">
        <v>1780</v>
      </c>
      <c r="F198">
        <f t="shared" si="17"/>
        <v>24.722222222222221</v>
      </c>
      <c r="G198" t="b">
        <f>IFERROR(IF(VLOOKUP(Table2[[#This Row],[Item]],'Inventory as of 12th Aug 2024'!A:H,1,)=Table2[[#This Row],[Item]],TRUE,FALSE),FALSE)</f>
        <v>1</v>
      </c>
      <c r="H198" t="s">
        <v>361</v>
      </c>
      <c r="K198" t="s">
        <v>367</v>
      </c>
    </row>
    <row r="199" spans="1:11" x14ac:dyDescent="0.25">
      <c r="A199" s="30">
        <f t="shared" si="25"/>
        <v>45551</v>
      </c>
      <c r="C199" t="str">
        <f>'Inventory as of 12th Aug 2024'!A6</f>
        <v>Airtel 10 Credit</v>
      </c>
      <c r="D199">
        <v>20</v>
      </c>
      <c r="E199">
        <v>170</v>
      </c>
      <c r="F199">
        <f t="shared" si="17"/>
        <v>8.5</v>
      </c>
      <c r="G199" t="b">
        <f>IFERROR(IF(VLOOKUP(Table2[[#This Row],[Item]],'Inventory as of 12th Aug 2024'!A:H,1,)=Table2[[#This Row],[Item]],TRUE,FALSE),FALSE)</f>
        <v>1</v>
      </c>
      <c r="H199" t="s">
        <v>361</v>
      </c>
      <c r="K199" t="s">
        <v>367</v>
      </c>
    </row>
    <row r="200" spans="1:11" x14ac:dyDescent="0.25">
      <c r="A200" s="30">
        <f t="shared" si="25"/>
        <v>45551</v>
      </c>
      <c r="C200" t="str">
        <f>'Inventory as of 12th Aug 2024'!A5</f>
        <v>Airtel 20 Credit</v>
      </c>
      <c r="D200">
        <v>20</v>
      </c>
      <c r="E200">
        <v>384</v>
      </c>
      <c r="F200">
        <f t="shared" si="17"/>
        <v>19.2</v>
      </c>
      <c r="G200" t="b">
        <f>IFERROR(IF(VLOOKUP(Table2[[#This Row],[Item]],'Inventory as of 12th Aug 2024'!A:H,1,)=Table2[[#This Row],[Item]],TRUE,FALSE),FALSE)</f>
        <v>1</v>
      </c>
      <c r="H200" t="s">
        <v>361</v>
      </c>
      <c r="K200" t="s">
        <v>367</v>
      </c>
    </row>
    <row r="201" spans="1:11" x14ac:dyDescent="0.25">
      <c r="A201" s="30">
        <f t="shared" si="25"/>
        <v>45551</v>
      </c>
      <c r="C201" t="str">
        <f>'Inventory as of 12th Aug 2024'!A7</f>
        <v>Airtel 50 Credit</v>
      </c>
      <c r="D201">
        <v>20</v>
      </c>
      <c r="E201">
        <v>960</v>
      </c>
      <c r="F201">
        <f t="shared" si="17"/>
        <v>48</v>
      </c>
      <c r="G201" t="b">
        <f>IFERROR(IF(VLOOKUP(Table2[[#This Row],[Item]],'Inventory as of 12th Aug 2024'!A:H,1,)=Table2[[#This Row],[Item]],TRUE,FALSE),FALSE)</f>
        <v>1</v>
      </c>
      <c r="H201" t="s">
        <v>361</v>
      </c>
      <c r="K201" t="s">
        <v>367</v>
      </c>
    </row>
    <row r="202" spans="1:11" x14ac:dyDescent="0.25">
      <c r="A202" s="30">
        <f t="shared" si="25"/>
        <v>45551</v>
      </c>
      <c r="C202" t="s">
        <v>371</v>
      </c>
      <c r="F202" t="e">
        <f t="shared" si="17"/>
        <v>#DIV/0!</v>
      </c>
      <c r="G202" t="b">
        <f>IFERROR(IF(VLOOKUP(Table2[[#This Row],[Item]],'Inventory as of 12th Aug 2024'!A:H,1,)=Table2[[#This Row],[Item]],TRUE,FALSE),FALSE)</f>
        <v>0</v>
      </c>
      <c r="H202" t="s">
        <v>361</v>
      </c>
      <c r="K202" t="s">
        <v>367</v>
      </c>
    </row>
    <row r="203" spans="1:11" x14ac:dyDescent="0.25">
      <c r="A203" s="30">
        <f t="shared" si="25"/>
        <v>45551</v>
      </c>
      <c r="C203" t="str">
        <f>'Inventory as of 12th Aug 2024'!A81</f>
        <v>ariel 75g</v>
      </c>
      <c r="D203">
        <v>12</v>
      </c>
      <c r="E203">
        <v>330</v>
      </c>
      <c r="F203">
        <f t="shared" si="17"/>
        <v>27.5</v>
      </c>
      <c r="G203" t="b">
        <f>IFERROR(IF(VLOOKUP(Table2[[#This Row],[Item]],'Inventory as of 12th Aug 2024'!A:H,1,)=Table2[[#This Row],[Item]],TRUE,FALSE),FALSE)</f>
        <v>1</v>
      </c>
      <c r="H203" t="s">
        <v>361</v>
      </c>
      <c r="K203" t="s">
        <v>367</v>
      </c>
    </row>
    <row r="204" spans="1:11" x14ac:dyDescent="0.25">
      <c r="A204" s="30">
        <f t="shared" si="25"/>
        <v>45551</v>
      </c>
      <c r="C204" t="s">
        <v>372</v>
      </c>
      <c r="D204">
        <v>12</v>
      </c>
      <c r="E204">
        <v>100</v>
      </c>
      <c r="F204">
        <f t="shared" si="17"/>
        <v>8.3333333333333339</v>
      </c>
      <c r="G204" t="b">
        <f>IFERROR(IF(VLOOKUP(Table2[[#This Row],[Item]],'Inventory as of 12th Aug 2024'!A:H,1,)=Table2[[#This Row],[Item]],TRUE,FALSE),FALSE)</f>
        <v>1</v>
      </c>
      <c r="H204" t="s">
        <v>361</v>
      </c>
      <c r="K204" t="s">
        <v>367</v>
      </c>
    </row>
    <row r="205" spans="1:11" x14ac:dyDescent="0.25">
      <c r="A205" s="30">
        <f t="shared" si="25"/>
        <v>45551</v>
      </c>
      <c r="C205" t="str">
        <f>'Inventory as of 12th Aug 2024'!A182</f>
        <v>T.Heat Potato crisps salted 25g</v>
      </c>
      <c r="D205">
        <v>12</v>
      </c>
      <c r="E205">
        <v>275</v>
      </c>
      <c r="F205">
        <f t="shared" si="17"/>
        <v>22.916666666666668</v>
      </c>
      <c r="G205" t="b">
        <f>IFERROR(IF(VLOOKUP(Table2[[#This Row],[Item]],'Inventory as of 12th Aug 2024'!A:H,1,)=Table2[[#This Row],[Item]],TRUE,FALSE),FALSE)</f>
        <v>1</v>
      </c>
      <c r="H205" t="s">
        <v>361</v>
      </c>
      <c r="K205" t="s">
        <v>367</v>
      </c>
    </row>
    <row r="206" spans="1:11" x14ac:dyDescent="0.25">
      <c r="A206" s="30">
        <f t="shared" si="25"/>
        <v>45551</v>
      </c>
      <c r="C206" t="str">
        <f>'Inventory as of 12th Aug 2024'!A184</f>
        <v>T.Heat Potato crisps vinegar and salt 25g</v>
      </c>
      <c r="D206">
        <v>6</v>
      </c>
      <c r="E206">
        <v>137.5</v>
      </c>
      <c r="F206">
        <f t="shared" ref="F206:F235" si="26">E206/D206</f>
        <v>22.916666666666668</v>
      </c>
      <c r="G206" t="b">
        <f>IFERROR(IF(VLOOKUP(Table2[[#This Row],[Item]],'Inventory as of 12th Aug 2024'!A:H,1,)=Table2[[#This Row],[Item]],TRUE,FALSE),FALSE)</f>
        <v>1</v>
      </c>
      <c r="H206" t="s">
        <v>361</v>
      </c>
      <c r="K206" t="s">
        <v>367</v>
      </c>
    </row>
    <row r="207" spans="1:11" x14ac:dyDescent="0.25">
      <c r="A207" s="30">
        <f t="shared" si="25"/>
        <v>45551</v>
      </c>
      <c r="C207" t="str">
        <f>'Inventory as of 12th Aug 2024'!A183</f>
        <v>T.Heat Potato crisps Tomato 25g</v>
      </c>
      <c r="D207">
        <v>6</v>
      </c>
      <c r="E207">
        <v>137.5</v>
      </c>
      <c r="F207">
        <f t="shared" si="26"/>
        <v>22.916666666666668</v>
      </c>
      <c r="G207" t="b">
        <f>IFERROR(IF(VLOOKUP(Table2[[#This Row],[Item]],'Inventory as of 12th Aug 2024'!A:H,1,)=Table2[[#This Row],[Item]],TRUE,FALSE),FALSE)</f>
        <v>1</v>
      </c>
      <c r="H207" t="s">
        <v>361</v>
      </c>
      <c r="K207" t="s">
        <v>367</v>
      </c>
    </row>
    <row r="208" spans="1:11" x14ac:dyDescent="0.25">
      <c r="A208" s="30">
        <f t="shared" si="25"/>
        <v>45551</v>
      </c>
      <c r="C208" t="str">
        <f>'Inventory as of 12th Aug 2024'!A92</f>
        <v>Banana</v>
      </c>
      <c r="D208">
        <v>24</v>
      </c>
      <c r="E208">
        <v>160</v>
      </c>
      <c r="F208">
        <f t="shared" si="26"/>
        <v>6.666666666666667</v>
      </c>
      <c r="G208" t="b">
        <f>IFERROR(IF(VLOOKUP(Table2[[#This Row],[Item]],'Inventory as of 12th Aug 2024'!A:H,1,)=Table2[[#This Row],[Item]],TRUE,FALSE),FALSE)</f>
        <v>1</v>
      </c>
      <c r="H208" t="s">
        <v>361</v>
      </c>
      <c r="K208" t="s">
        <v>358</v>
      </c>
    </row>
    <row r="209" spans="1:11" x14ac:dyDescent="0.25">
      <c r="A209" s="30">
        <f>DATE(2024,9,17)</f>
        <v>45552</v>
      </c>
      <c r="C209" t="str">
        <f>'Inventory as of 12th Aug 2024'!A33</f>
        <v>BB Bread 400g</v>
      </c>
      <c r="D209">
        <v>5</v>
      </c>
      <c r="E209">
        <v>300</v>
      </c>
      <c r="F209">
        <f t="shared" si="26"/>
        <v>60</v>
      </c>
      <c r="G209" t="b">
        <f>IFERROR(IF(VLOOKUP(Table2[[#This Row],[Item]],'Inventory as of 12th Aug 2024'!A:H,1,)=Table2[[#This Row],[Item]],TRUE,FALSE),FALSE)</f>
        <v>1</v>
      </c>
      <c r="H209" t="s">
        <v>247</v>
      </c>
    </row>
    <row r="210" spans="1:11" x14ac:dyDescent="0.25">
      <c r="A210" s="30">
        <f>DATE(2024,9,17)</f>
        <v>45552</v>
      </c>
      <c r="C210" t="str">
        <f>'Inventory as of 12th Aug 2024'!A37</f>
        <v>Festive Bread 400g</v>
      </c>
      <c r="D210">
        <v>4</v>
      </c>
      <c r="E210">
        <v>240</v>
      </c>
      <c r="F210">
        <f t="shared" si="26"/>
        <v>60</v>
      </c>
      <c r="G210" t="b">
        <f>IFERROR(IF(VLOOKUP(Table2[[#This Row],[Item]],'Inventory as of 12th Aug 2024'!A:H,1,)=Table2[[#This Row],[Item]],TRUE,FALSE),FALSE)</f>
        <v>1</v>
      </c>
      <c r="H210" t="s">
        <v>247</v>
      </c>
    </row>
    <row r="211" spans="1:11" x14ac:dyDescent="0.25">
      <c r="A211" s="30">
        <f>DATE(2024,9,18)</f>
        <v>45553</v>
      </c>
      <c r="C211" t="str">
        <f>'Inventory as of 12th Aug 2024'!A9</f>
        <v>Kinangop Fresh Milk 500ml</v>
      </c>
      <c r="D211">
        <v>4</v>
      </c>
      <c r="E211">
        <v>220</v>
      </c>
      <c r="F211">
        <f t="shared" si="26"/>
        <v>55</v>
      </c>
      <c r="G211" t="b">
        <f>IFERROR(IF(VLOOKUP(Table2[[#This Row],[Item]],'Inventory as of 12th Aug 2024'!A:H,1,)=Table2[[#This Row],[Item]],TRUE,FALSE),FALSE)</f>
        <v>1</v>
      </c>
      <c r="H211" t="s">
        <v>247</v>
      </c>
    </row>
    <row r="212" spans="1:11" x14ac:dyDescent="0.25">
      <c r="A212" s="30">
        <f t="shared" ref="A212:A216" si="27">DATE(2024,9,18)</f>
        <v>45553</v>
      </c>
      <c r="C212" t="str">
        <f>'Inventory as of 12th Aug 2024'!A199</f>
        <v>Kdf</v>
      </c>
      <c r="D212">
        <v>24</v>
      </c>
      <c r="E212">
        <v>200</v>
      </c>
      <c r="F212">
        <f t="shared" si="26"/>
        <v>8.3333333333333339</v>
      </c>
      <c r="G212" t="b">
        <f>IFERROR(IF(VLOOKUP(Table2[[#This Row],[Item]],'Inventory as of 12th Aug 2024'!A:H,1,)=Table2[[#This Row],[Item]],TRUE,FALSE),FALSE)</f>
        <v>1</v>
      </c>
      <c r="H212" t="s">
        <v>247</v>
      </c>
    </row>
    <row r="213" spans="1:11" x14ac:dyDescent="0.25">
      <c r="A213" s="30">
        <f t="shared" si="27"/>
        <v>45553</v>
      </c>
      <c r="C213" t="str">
        <f>'Inventory as of 12th Aug 2024'!A200</f>
        <v>Ngumu</v>
      </c>
      <c r="D213">
        <v>24</v>
      </c>
      <c r="E213">
        <v>200</v>
      </c>
      <c r="F213">
        <f t="shared" si="26"/>
        <v>8.3333333333333339</v>
      </c>
      <c r="G213" t="b">
        <f>IFERROR(IF(VLOOKUP(Table2[[#This Row],[Item]],'Inventory as of 12th Aug 2024'!A:H,1,)=Table2[[#This Row],[Item]],TRUE,FALSE),FALSE)</f>
        <v>1</v>
      </c>
      <c r="H213" t="s">
        <v>247</v>
      </c>
    </row>
    <row r="214" spans="1:11" x14ac:dyDescent="0.25">
      <c r="A214" s="30">
        <f t="shared" si="27"/>
        <v>45553</v>
      </c>
      <c r="C214" t="str">
        <f>'Inventory as of 12th Aug 2024'!A134</f>
        <v>Hanaan Tissue</v>
      </c>
      <c r="D214">
        <v>20</v>
      </c>
      <c r="E214">
        <v>860</v>
      </c>
      <c r="F214">
        <f t="shared" si="26"/>
        <v>43</v>
      </c>
      <c r="G214" t="b">
        <f>IFERROR(IF(VLOOKUP(Table2[[#This Row],[Item]],'Inventory as of 12th Aug 2024'!A:H,1,)=Table2[[#This Row],[Item]],TRUE,FALSE),FALSE)</f>
        <v>1</v>
      </c>
      <c r="H214" t="s">
        <v>361</v>
      </c>
      <c r="K214" t="s">
        <v>367</v>
      </c>
    </row>
    <row r="215" spans="1:11" x14ac:dyDescent="0.25">
      <c r="A215" s="30">
        <f t="shared" si="27"/>
        <v>45553</v>
      </c>
      <c r="C215" t="str">
        <f>'Inventory as of 12th Aug 2024'!A65</f>
        <v>Tomato sauce</v>
      </c>
      <c r="D215">
        <v>6</v>
      </c>
      <c r="E215">
        <v>300</v>
      </c>
      <c r="F215">
        <f t="shared" si="26"/>
        <v>50</v>
      </c>
      <c r="G215" t="b">
        <f>IFERROR(IF(VLOOKUP(Table2[[#This Row],[Item]],'Inventory as of 12th Aug 2024'!A:H,1,)=Table2[[#This Row],[Item]],TRUE,FALSE),FALSE)</f>
        <v>1</v>
      </c>
      <c r="H215" t="s">
        <v>361</v>
      </c>
      <c r="K215" t="s">
        <v>367</v>
      </c>
    </row>
    <row r="216" spans="1:11" x14ac:dyDescent="0.25">
      <c r="A216" s="30">
        <f t="shared" si="27"/>
        <v>45553</v>
      </c>
      <c r="C216" t="str">
        <f>'Inventory as of 12th Aug 2024'!A136</f>
        <v>Poa Pekee Tissue</v>
      </c>
      <c r="D216">
        <v>20</v>
      </c>
      <c r="E216">
        <v>360</v>
      </c>
      <c r="F216">
        <f t="shared" si="26"/>
        <v>18</v>
      </c>
      <c r="G216" t="b">
        <f>IFERROR(IF(VLOOKUP(Table2[[#This Row],[Item]],'Inventory as of 12th Aug 2024'!A:H,1,)=Table2[[#This Row],[Item]],TRUE,FALSE),FALSE)</f>
        <v>1</v>
      </c>
      <c r="H216" t="s">
        <v>361</v>
      </c>
      <c r="K216" t="s">
        <v>367</v>
      </c>
    </row>
    <row r="217" spans="1:11" x14ac:dyDescent="0.25">
      <c r="A217" s="30">
        <f>DATE(2024,9,20)</f>
        <v>45555</v>
      </c>
      <c r="C217" t="str">
        <f>'Inventory as of 12th Aug 2024'!A9</f>
        <v>Kinangop Fresh Milk 500ml</v>
      </c>
      <c r="D217">
        <v>5</v>
      </c>
      <c r="E217">
        <v>275</v>
      </c>
      <c r="F217">
        <f t="shared" si="26"/>
        <v>55</v>
      </c>
      <c r="G217" t="b">
        <f>IFERROR(IF(VLOOKUP(Table2[[#This Row],[Item]],'Inventory as of 12th Aug 2024'!A:H,1,)=Table2[[#This Row],[Item]],TRUE,FALSE),FALSE)</f>
        <v>1</v>
      </c>
      <c r="H217" t="s">
        <v>247</v>
      </c>
    </row>
    <row r="218" spans="1:11" x14ac:dyDescent="0.25">
      <c r="A218" s="30">
        <f t="shared" ref="A218:A219" si="28">DATE(2024,9,20)</f>
        <v>45555</v>
      </c>
      <c r="C218" t="str">
        <f>'Inventory as of 12th Aug 2024'!A33</f>
        <v>BB Bread 400g</v>
      </c>
      <c r="D218">
        <v>5</v>
      </c>
      <c r="E218">
        <v>300</v>
      </c>
      <c r="F218">
        <f t="shared" si="26"/>
        <v>60</v>
      </c>
      <c r="G218" t="b">
        <f>IFERROR(IF(VLOOKUP(Table2[[#This Row],[Item]],'Inventory as of 12th Aug 2024'!A:H,1,)=Table2[[#This Row],[Item]],TRUE,FALSE),FALSE)</f>
        <v>1</v>
      </c>
      <c r="H218" t="s">
        <v>247</v>
      </c>
    </row>
    <row r="219" spans="1:11" x14ac:dyDescent="0.25">
      <c r="A219" s="30">
        <f t="shared" si="28"/>
        <v>45555</v>
      </c>
      <c r="C219" t="str">
        <f>'Inventory as of 12th Aug 2024'!A92</f>
        <v>Banana</v>
      </c>
      <c r="D219">
        <v>18</v>
      </c>
      <c r="E219">
        <v>120</v>
      </c>
      <c r="F219">
        <f t="shared" si="26"/>
        <v>6.666666666666667</v>
      </c>
      <c r="G219" t="b">
        <f>IFERROR(IF(VLOOKUP(Table2[[#This Row],[Item]],'Inventory as of 12th Aug 2024'!A:H,1,)=Table2[[#This Row],[Item]],TRUE,FALSE),FALSE)</f>
        <v>1</v>
      </c>
      <c r="H219" t="s">
        <v>247</v>
      </c>
    </row>
    <row r="220" spans="1:11" x14ac:dyDescent="0.25">
      <c r="A220" s="30">
        <f>DATE(2024,9,21)</f>
        <v>45556</v>
      </c>
      <c r="C220" t="str">
        <f>'Inventory as of 12th Aug 2024'!A33</f>
        <v>BB Bread 400g</v>
      </c>
      <c r="D220">
        <v>5</v>
      </c>
      <c r="E220">
        <v>300</v>
      </c>
      <c r="F220">
        <f t="shared" si="26"/>
        <v>60</v>
      </c>
      <c r="G220" t="b">
        <f>IFERROR(IF(VLOOKUP(Table2[[#This Row],[Item]],'Inventory as of 12th Aug 2024'!A:H,1,)=Table2[[#This Row],[Item]],TRUE,FALSE),FALSE)</f>
        <v>1</v>
      </c>
      <c r="H220" t="s">
        <v>247</v>
      </c>
    </row>
    <row r="221" spans="1:11" x14ac:dyDescent="0.25">
      <c r="A221" s="30">
        <f t="shared" ref="A221:A223" si="29">DATE(2024,9,21)</f>
        <v>45556</v>
      </c>
      <c r="C221" t="str">
        <f>'Inventory as of 12th Aug 2024'!A37</f>
        <v>Festive Bread 400g</v>
      </c>
      <c r="D221">
        <v>4</v>
      </c>
      <c r="E221">
        <v>240</v>
      </c>
      <c r="F221">
        <f t="shared" si="26"/>
        <v>60</v>
      </c>
      <c r="G221" t="b">
        <f>IFERROR(IF(VLOOKUP(Table2[[#This Row],[Item]],'Inventory as of 12th Aug 2024'!A:H,1,)=Table2[[#This Row],[Item]],TRUE,FALSE),FALSE)</f>
        <v>1</v>
      </c>
      <c r="H221" t="s">
        <v>247</v>
      </c>
    </row>
    <row r="222" spans="1:11" x14ac:dyDescent="0.25">
      <c r="A222" s="30">
        <f t="shared" si="29"/>
        <v>45556</v>
      </c>
      <c r="C222" t="str">
        <f>'Inventory as of 12th Aug 2024'!A35</f>
        <v>Festive 600g</v>
      </c>
      <c r="D222">
        <v>2</v>
      </c>
      <c r="E222">
        <v>180</v>
      </c>
      <c r="F222">
        <f t="shared" si="26"/>
        <v>90</v>
      </c>
      <c r="G222" t="b">
        <f>IFERROR(IF(VLOOKUP(Table2[[#This Row],[Item]],'Inventory as of 12th Aug 2024'!A:H,1,)=Table2[[#This Row],[Item]],TRUE,FALSE),FALSE)</f>
        <v>1</v>
      </c>
      <c r="H222" t="s">
        <v>247</v>
      </c>
    </row>
    <row r="223" spans="1:11" x14ac:dyDescent="0.25">
      <c r="A223" s="30">
        <f t="shared" si="29"/>
        <v>45556</v>
      </c>
      <c r="C223" t="str">
        <f>'Inventory as of 12th Aug 2024'!A36</f>
        <v>Festive 800g</v>
      </c>
      <c r="D223">
        <v>2</v>
      </c>
      <c r="E223">
        <v>240</v>
      </c>
      <c r="F223">
        <f t="shared" si="26"/>
        <v>120</v>
      </c>
      <c r="G223" t="b">
        <f>IFERROR(IF(VLOOKUP(Table2[[#This Row],[Item]],'Inventory as of 12th Aug 2024'!A:H,1,)=Table2[[#This Row],[Item]],TRUE,FALSE),FALSE)</f>
        <v>1</v>
      </c>
      <c r="H223" t="s">
        <v>247</v>
      </c>
    </row>
    <row r="224" spans="1:11" x14ac:dyDescent="0.25">
      <c r="A224" s="30">
        <f>DATE(2024,9,23)</f>
        <v>45558</v>
      </c>
      <c r="C224" t="str">
        <f>'Inventory as of 12th Aug 2024'!A33</f>
        <v>BB Bread 400g</v>
      </c>
      <c r="D224">
        <v>4</v>
      </c>
      <c r="E224">
        <v>240</v>
      </c>
      <c r="F224">
        <f t="shared" si="26"/>
        <v>60</v>
      </c>
      <c r="G224" t="b">
        <f>IFERROR(IF(VLOOKUP(Table2[[#This Row],[Item]],'Inventory as of 12th Aug 2024'!A:H,1,)=Table2[[#This Row],[Item]],TRUE,FALSE),FALSE)</f>
        <v>1</v>
      </c>
      <c r="H224" t="s">
        <v>247</v>
      </c>
    </row>
    <row r="225" spans="1:11" x14ac:dyDescent="0.25">
      <c r="A225" s="30">
        <f t="shared" ref="A225:A235" si="30">DATE(2024,9,23)</f>
        <v>45558</v>
      </c>
      <c r="C225" t="str">
        <f>'Inventory as of 12th Aug 2024'!A9</f>
        <v>Kinangop Fresh Milk 500ml</v>
      </c>
      <c r="D225">
        <v>5</v>
      </c>
      <c r="E225">
        <v>275</v>
      </c>
      <c r="F225">
        <f t="shared" si="26"/>
        <v>55</v>
      </c>
      <c r="G225" t="b">
        <f>IFERROR(IF(VLOOKUP(Table2[[#This Row],[Item]],'Inventory as of 12th Aug 2024'!A:H,1,)=Table2[[#This Row],[Item]],TRUE,FALSE),FALSE)</f>
        <v>1</v>
      </c>
      <c r="H225" t="s">
        <v>247</v>
      </c>
    </row>
    <row r="226" spans="1:11" x14ac:dyDescent="0.25">
      <c r="A226" s="30">
        <f t="shared" si="30"/>
        <v>45558</v>
      </c>
      <c r="C226" t="str">
        <f>'Inventory as of 12th Aug 2024'!A37</f>
        <v>Festive Bread 400g</v>
      </c>
      <c r="D226">
        <v>4</v>
      </c>
      <c r="E226">
        <v>240</v>
      </c>
      <c r="F226">
        <f t="shared" si="26"/>
        <v>60</v>
      </c>
      <c r="G226" t="b">
        <f>IFERROR(IF(VLOOKUP(Table2[[#This Row],[Item]],'Inventory as of 12th Aug 2024'!A:H,1,)=Table2[[#This Row],[Item]],TRUE,FALSE),FALSE)</f>
        <v>1</v>
      </c>
      <c r="H226" t="s">
        <v>247</v>
      </c>
    </row>
    <row r="227" spans="1:11" x14ac:dyDescent="0.25">
      <c r="A227" s="30">
        <f t="shared" si="30"/>
        <v>45558</v>
      </c>
      <c r="C227" t="str">
        <f>'Inventory as of 12th Aug 2024'!A35</f>
        <v>Festive 600g</v>
      </c>
      <c r="D227">
        <v>1</v>
      </c>
      <c r="E227">
        <v>90</v>
      </c>
      <c r="F227">
        <f t="shared" si="26"/>
        <v>90</v>
      </c>
      <c r="G227" t="b">
        <f>IFERROR(IF(VLOOKUP(Table2[[#This Row],[Item]],'Inventory as of 12th Aug 2024'!A:H,1,)=Table2[[#This Row],[Item]],TRUE,FALSE),FALSE)</f>
        <v>1</v>
      </c>
      <c r="H227" t="s">
        <v>247</v>
      </c>
    </row>
    <row r="228" spans="1:11" x14ac:dyDescent="0.25">
      <c r="A228" s="30">
        <f t="shared" si="30"/>
        <v>45558</v>
      </c>
      <c r="C228" t="str">
        <f>'Inventory as of 12th Aug 2024'!A175</f>
        <v>Coconut Cakes</v>
      </c>
      <c r="D228">
        <v>36</v>
      </c>
      <c r="E228">
        <v>300</v>
      </c>
      <c r="F228">
        <f t="shared" si="26"/>
        <v>8.3333333333333339</v>
      </c>
      <c r="G228" t="b">
        <f>IFERROR(IF(VLOOKUP(Table2[[#This Row],[Item]],'Inventory as of 12th Aug 2024'!A:H,1,)=Table2[[#This Row],[Item]],TRUE,FALSE),FALSE)</f>
        <v>1</v>
      </c>
      <c r="H228" t="s">
        <v>361</v>
      </c>
      <c r="K228" t="s">
        <v>358</v>
      </c>
    </row>
    <row r="229" spans="1:11" x14ac:dyDescent="0.25">
      <c r="A229" s="30">
        <f t="shared" si="30"/>
        <v>45558</v>
      </c>
      <c r="C229" t="str">
        <f>'Inventory as of 12th Aug 2024'!A234</f>
        <v>Bigdaddy</v>
      </c>
      <c r="D229">
        <v>50</v>
      </c>
      <c r="E229">
        <v>288</v>
      </c>
      <c r="F229">
        <f t="shared" si="26"/>
        <v>5.76</v>
      </c>
      <c r="G229" t="b">
        <f>IFERROR(IF(VLOOKUP(Table2[[#This Row],[Item]],'Inventory as of 12th Aug 2024'!A:H,1,)=Table2[[#This Row],[Item]],TRUE,FALSE),FALSE)</f>
        <v>1</v>
      </c>
      <c r="H229" t="s">
        <v>247</v>
      </c>
    </row>
    <row r="230" spans="1:11" x14ac:dyDescent="0.25">
      <c r="A230" s="30">
        <f t="shared" si="30"/>
        <v>45558</v>
      </c>
      <c r="C230" t="str">
        <f>'Inventory as of 12th Aug 2024'!A10</f>
        <v>Mt Kenya milk 200ml</v>
      </c>
      <c r="D230">
        <v>21</v>
      </c>
      <c r="E230">
        <v>479</v>
      </c>
      <c r="F230">
        <f t="shared" si="26"/>
        <v>22.80952380952381</v>
      </c>
      <c r="G230" t="b">
        <f>IFERROR(IF(VLOOKUP(Table2[[#This Row],[Item]],'Inventory as of 12th Aug 2024'!A:H,1,)=Table2[[#This Row],[Item]],TRUE,FALSE),FALSE)</f>
        <v>1</v>
      </c>
      <c r="H230" t="s">
        <v>247</v>
      </c>
    </row>
    <row r="231" spans="1:11" x14ac:dyDescent="0.25">
      <c r="A231" s="30">
        <f t="shared" si="30"/>
        <v>45558</v>
      </c>
      <c r="C231" t="str">
        <f>'Inventory as of 12th Aug 2024'!A138</f>
        <v>Softcare pads</v>
      </c>
      <c r="D231">
        <v>12</v>
      </c>
      <c r="E231">
        <f>68*12</f>
        <v>816</v>
      </c>
      <c r="F231">
        <f t="shared" si="26"/>
        <v>68</v>
      </c>
      <c r="G231" t="b">
        <f>IFERROR(IF(VLOOKUP(Table2[[#This Row],[Item]],'Inventory as of 12th Aug 2024'!A:H,1,)=Table2[[#This Row],[Item]],TRUE,FALSE),FALSE)</f>
        <v>1</v>
      </c>
      <c r="H231" t="s">
        <v>247</v>
      </c>
    </row>
    <row r="232" spans="1:11" x14ac:dyDescent="0.25">
      <c r="A232" s="30">
        <f t="shared" si="30"/>
        <v>45558</v>
      </c>
      <c r="C232" t="str">
        <f>'Inventory as of 12th Aug 2024'!A193</f>
        <v>Ginger Bisquit</v>
      </c>
      <c r="D232">
        <v>60</v>
      </c>
      <c r="E232">
        <v>250</v>
      </c>
      <c r="F232">
        <f>Table2[[#This Row],[Total_Spent]]/Table2[[#This Row],[Quantity]]</f>
        <v>4.166666666666667</v>
      </c>
      <c r="G232" t="b">
        <f>IFERROR(IF(VLOOKUP(Table2[[#This Row],[Item]],'Inventory as of 12th Aug 2024'!A:H,1,)=Table2[[#This Row],[Item]],TRUE,FALSE),FALSE)</f>
        <v>1</v>
      </c>
      <c r="H232" t="s">
        <v>247</v>
      </c>
    </row>
    <row r="233" spans="1:11" x14ac:dyDescent="0.25">
      <c r="A233" s="30">
        <f t="shared" si="30"/>
        <v>45558</v>
      </c>
      <c r="C233" t="str">
        <f>'Inventory as of 12th Aug 2024'!A248</f>
        <v>Soko Maize meal</v>
      </c>
      <c r="D233">
        <v>12</v>
      </c>
      <c r="E233">
        <v>1445</v>
      </c>
      <c r="F233">
        <f>Table2[[#This Row],[Total_Spent]]/Table2[[#This Row],[Quantity]]</f>
        <v>120.41666666666667</v>
      </c>
      <c r="G233" t="b">
        <f>IFERROR(IF(VLOOKUP(Table2[[#This Row],[Item]],'Inventory as of 12th Aug 2024'!A:H,1,)=Table2[[#This Row],[Item]],TRUE,FALSE),FALSE)</f>
        <v>1</v>
      </c>
      <c r="H233" t="s">
        <v>247</v>
      </c>
    </row>
    <row r="234" spans="1:11" x14ac:dyDescent="0.25">
      <c r="A234" s="30">
        <f t="shared" si="30"/>
        <v>45558</v>
      </c>
      <c r="C234" t="s">
        <v>581</v>
      </c>
      <c r="D234">
        <v>6</v>
      </c>
      <c r="E234">
        <v>725</v>
      </c>
      <c r="F234">
        <f t="shared" si="26"/>
        <v>120.83333333333333</v>
      </c>
      <c r="G234" t="b">
        <f>IFERROR(IF(VLOOKUP(Table2[[#This Row],[Item]],'Inventory as of 12th Aug 2024'!A:H,1,)=Table2[[#This Row],[Item]],TRUE,FALSE),FALSE)</f>
        <v>1</v>
      </c>
      <c r="H234" t="s">
        <v>247</v>
      </c>
    </row>
    <row r="235" spans="1:11" x14ac:dyDescent="0.25">
      <c r="A235" s="30">
        <f t="shared" si="30"/>
        <v>45558</v>
      </c>
      <c r="C235" t="str">
        <f>'Inventory as of 12th Aug 2024'!A16</f>
        <v>Mt kenya milk 500ml</v>
      </c>
      <c r="D235">
        <v>36</v>
      </c>
      <c r="E235">
        <f>849*2</f>
        <v>1698</v>
      </c>
      <c r="F235">
        <f t="shared" si="26"/>
        <v>47.166666666666664</v>
      </c>
      <c r="G235" t="b">
        <f>IFERROR(IF(VLOOKUP(Table2[[#This Row],[Item]],'Inventory as of 12th Aug 2024'!A:H,1,)=Table2[[#This Row],[Item]],TRUE,FALSE),FALSE)</f>
        <v>1</v>
      </c>
      <c r="H235" t="s">
        <v>247</v>
      </c>
    </row>
    <row r="236" spans="1:11" x14ac:dyDescent="0.25">
      <c r="A236" s="30">
        <f>DATE(2024,9,24)</f>
        <v>45559</v>
      </c>
      <c r="C236" t="str">
        <f>'Inventory as of 12th Aug 2024'!A58</f>
        <v>Safari</v>
      </c>
      <c r="D236">
        <v>120</v>
      </c>
      <c r="E236">
        <v>1260</v>
      </c>
      <c r="F236">
        <f t="shared" ref="F236" si="31">E236/D236</f>
        <v>10.5</v>
      </c>
      <c r="G236" t="b">
        <f>IFERROR(IF(VLOOKUP(Table2[[#This Row],[Item]],'Inventory as of 12th Aug 2024'!A:H,1,)=Table2[[#This Row],[Item]],TRUE,FALSE),FALSE)</f>
        <v>1</v>
      </c>
      <c r="H236" t="s">
        <v>361</v>
      </c>
      <c r="K236" t="s">
        <v>367</v>
      </c>
    </row>
    <row r="237" spans="1:11" x14ac:dyDescent="0.25">
      <c r="A237" s="30">
        <f t="shared" ref="A237:A238" si="32">DATE(2024,9,24)</f>
        <v>45559</v>
      </c>
      <c r="C237" t="str">
        <f>'Inventory as of 12th Aug 2024'!A57</f>
        <v>Sportsman</v>
      </c>
      <c r="D237">
        <v>40</v>
      </c>
      <c r="E237">
        <v>700</v>
      </c>
      <c r="F237">
        <f t="shared" ref="F237:F300" si="33">E237/D237</f>
        <v>17.5</v>
      </c>
      <c r="G237" t="b">
        <f>IFERROR(IF(VLOOKUP(Table2[[#This Row],[Item]],'Inventory as of 12th Aug 2024'!A:H,1,)=Table2[[#This Row],[Item]],TRUE,FALSE),FALSE)</f>
        <v>1</v>
      </c>
      <c r="H237" t="s">
        <v>361</v>
      </c>
      <c r="K237" t="s">
        <v>367</v>
      </c>
    </row>
    <row r="238" spans="1:11" x14ac:dyDescent="0.25">
      <c r="A238" s="30">
        <f t="shared" si="32"/>
        <v>45559</v>
      </c>
      <c r="C238" t="str">
        <f>'Inventory as of 12th Aug 2024'!A91</f>
        <v>Tomatoes</v>
      </c>
      <c r="D238">
        <v>60</v>
      </c>
      <c r="E238">
        <v>300</v>
      </c>
      <c r="F238">
        <f t="shared" si="33"/>
        <v>5</v>
      </c>
      <c r="G238" t="b">
        <f>IFERROR(IF(VLOOKUP(Table2[[#This Row],[Item]],'Inventory as of 12th Aug 2024'!A:H,1,)=Table2[[#This Row],[Item]],TRUE,FALSE),FALSE)</f>
        <v>1</v>
      </c>
      <c r="H238" t="s">
        <v>361</v>
      </c>
      <c r="K238" t="s">
        <v>367</v>
      </c>
    </row>
    <row r="239" spans="1:11" x14ac:dyDescent="0.25">
      <c r="A239" s="30">
        <f>DATE(2024,9,25)</f>
        <v>45560</v>
      </c>
      <c r="C239" t="str">
        <f>'Inventory as of 12th Aug 2024'!A33</f>
        <v>BB Bread 400g</v>
      </c>
      <c r="D239">
        <v>5</v>
      </c>
      <c r="E239">
        <v>300</v>
      </c>
      <c r="F239">
        <f t="shared" si="33"/>
        <v>60</v>
      </c>
      <c r="G239" t="b">
        <f>IFERROR(IF(VLOOKUP(Table2[[#This Row],[Item]],'Inventory as of 12th Aug 2024'!A:H,1,)=Table2[[#This Row],[Item]],TRUE,FALSE),FALSE)</f>
        <v>1</v>
      </c>
      <c r="H239" t="s">
        <v>247</v>
      </c>
    </row>
    <row r="240" spans="1:11" x14ac:dyDescent="0.25">
      <c r="A240" s="30">
        <f t="shared" ref="A240:A243" si="34">DATE(2024,9,25)</f>
        <v>45560</v>
      </c>
      <c r="C240" t="str">
        <f>'Inventory as of 12th Aug 2024'!A199</f>
        <v>Kdf</v>
      </c>
      <c r="D240">
        <v>18</v>
      </c>
      <c r="E240">
        <v>150</v>
      </c>
      <c r="F240">
        <f t="shared" si="33"/>
        <v>8.3333333333333339</v>
      </c>
      <c r="G240" t="b">
        <f>IFERROR(IF(VLOOKUP(Table2[[#This Row],[Item]],'Inventory as of 12th Aug 2024'!A:H,1,)=Table2[[#This Row],[Item]],TRUE,FALSE),FALSE)</f>
        <v>1</v>
      </c>
      <c r="H240" t="s">
        <v>247</v>
      </c>
    </row>
    <row r="241" spans="1:11" x14ac:dyDescent="0.25">
      <c r="A241" s="30">
        <f t="shared" si="34"/>
        <v>45560</v>
      </c>
      <c r="C241" t="str">
        <f>'Inventory as of 12th Aug 2024'!A198</f>
        <v>Mandazi</v>
      </c>
      <c r="D241">
        <v>36</v>
      </c>
      <c r="E241">
        <v>150</v>
      </c>
      <c r="F241">
        <f t="shared" si="33"/>
        <v>4.166666666666667</v>
      </c>
      <c r="G241" t="b">
        <f>IFERROR(IF(VLOOKUP(Table2[[#This Row],[Item]],'Inventory as of 12th Aug 2024'!A:H,1,)=Table2[[#This Row],[Item]],TRUE,FALSE),FALSE)</f>
        <v>1</v>
      </c>
      <c r="H241" t="s">
        <v>247</v>
      </c>
    </row>
    <row r="242" spans="1:11" x14ac:dyDescent="0.25">
      <c r="A242" s="30">
        <f t="shared" si="34"/>
        <v>45560</v>
      </c>
      <c r="C242" t="str">
        <f>'Inventory as of 12th Aug 2024'!A37</f>
        <v>Festive Bread 400g</v>
      </c>
      <c r="D242">
        <v>4</v>
      </c>
      <c r="E242">
        <v>240</v>
      </c>
      <c r="F242">
        <f t="shared" si="33"/>
        <v>60</v>
      </c>
      <c r="G242" t="b">
        <f>IFERROR(IF(VLOOKUP(Table2[[#This Row],[Item]],'Inventory as of 12th Aug 2024'!A:H,1,)=Table2[[#This Row],[Item]],TRUE,FALSE),FALSE)</f>
        <v>1</v>
      </c>
      <c r="H242" t="s">
        <v>247</v>
      </c>
    </row>
    <row r="243" spans="1:11" x14ac:dyDescent="0.25">
      <c r="A243" s="30">
        <f t="shared" si="34"/>
        <v>45560</v>
      </c>
      <c r="C243" t="str">
        <f>'Inventory as of 12th Aug 2024'!A35</f>
        <v>Festive 600g</v>
      </c>
      <c r="D243">
        <v>2</v>
      </c>
      <c r="E243">
        <v>180</v>
      </c>
      <c r="F243">
        <f t="shared" si="33"/>
        <v>90</v>
      </c>
      <c r="G243" t="b">
        <f>IFERROR(IF(VLOOKUP(Table2[[#This Row],[Item]],'Inventory as of 12th Aug 2024'!A:H,1,)=Table2[[#This Row],[Item]],TRUE,FALSE),FALSE)</f>
        <v>1</v>
      </c>
      <c r="H243" t="s">
        <v>247</v>
      </c>
    </row>
    <row r="244" spans="1:11" x14ac:dyDescent="0.25">
      <c r="A244" s="30">
        <f>DATE(2024,9,26)</f>
        <v>45561</v>
      </c>
      <c r="C244" t="str">
        <f>'Inventory as of 12th Aug 2024'!A9</f>
        <v>Kinangop Fresh Milk 500ml</v>
      </c>
      <c r="D244">
        <v>5</v>
      </c>
      <c r="E244">
        <v>275</v>
      </c>
      <c r="F244">
        <f t="shared" si="33"/>
        <v>55</v>
      </c>
      <c r="G244" t="b">
        <f>IFERROR(IF(VLOOKUP(Table2[[#This Row],[Item]],'Inventory as of 12th Aug 2024'!A:H,1,)=Table2[[#This Row],[Item]],TRUE,FALSE),FALSE)</f>
        <v>1</v>
      </c>
      <c r="H244" t="s">
        <v>247</v>
      </c>
    </row>
    <row r="245" spans="1:11" x14ac:dyDescent="0.25">
      <c r="A245" s="30">
        <f t="shared" ref="A245:A252" si="35">DATE(2024,9,26)</f>
        <v>45561</v>
      </c>
      <c r="C245" t="str">
        <f>'Inventory as of 12th Aug 2024'!A85</f>
        <v>Downy lavender</v>
      </c>
      <c r="D245">
        <v>24</v>
      </c>
      <c r="E245">
        <v>400</v>
      </c>
      <c r="F245">
        <f t="shared" si="33"/>
        <v>16.666666666666668</v>
      </c>
      <c r="G245" t="b">
        <f>IFERROR(IF(VLOOKUP(Table2[[#This Row],[Item]],'Inventory as of 12th Aug 2024'!A:H,1,)=Table2[[#This Row],[Item]],TRUE,FALSE),FALSE)</f>
        <v>1</v>
      </c>
      <c r="H245" t="s">
        <v>361</v>
      </c>
      <c r="K245" t="s">
        <v>367</v>
      </c>
    </row>
    <row r="246" spans="1:11" x14ac:dyDescent="0.25">
      <c r="A246" s="30">
        <f t="shared" si="35"/>
        <v>45561</v>
      </c>
      <c r="C246" t="str">
        <f>'Inventory as of 12th Aug 2024'!A215</f>
        <v>Blueband 100g</v>
      </c>
      <c r="D246">
        <v>12</v>
      </c>
      <c r="E246">
        <v>650</v>
      </c>
      <c r="F246">
        <f t="shared" si="33"/>
        <v>54.166666666666664</v>
      </c>
      <c r="G246" t="b">
        <f>IFERROR(IF(VLOOKUP(Table2[[#This Row],[Item]],'Inventory as of 12th Aug 2024'!A:H,1,)=Table2[[#This Row],[Item]],TRUE,FALSE),FALSE)</f>
        <v>1</v>
      </c>
      <c r="H246" t="s">
        <v>361</v>
      </c>
      <c r="K246" t="s">
        <v>367</v>
      </c>
    </row>
    <row r="247" spans="1:11" x14ac:dyDescent="0.25">
      <c r="A247" s="30">
        <f t="shared" si="35"/>
        <v>45561</v>
      </c>
      <c r="C247" t="str">
        <f>'Inventory as of 12th Aug 2024'!A231</f>
        <v>Patco</v>
      </c>
      <c r="D247">
        <v>100</v>
      </c>
      <c r="E247">
        <v>140</v>
      </c>
      <c r="F247">
        <f t="shared" si="33"/>
        <v>1.4</v>
      </c>
      <c r="G247" t="b">
        <f>IFERROR(IF(VLOOKUP(Table2[[#This Row],[Item]],'Inventory as of 12th Aug 2024'!A:H,1,)=Table2[[#This Row],[Item]],TRUE,FALSE),FALSE)</f>
        <v>1</v>
      </c>
      <c r="H247" t="s">
        <v>361</v>
      </c>
      <c r="K247" t="s">
        <v>367</v>
      </c>
    </row>
    <row r="248" spans="1:11" x14ac:dyDescent="0.25">
      <c r="A248" s="30">
        <f t="shared" si="35"/>
        <v>45561</v>
      </c>
      <c r="C248" t="str">
        <f>'Inventory as of 12th Aug 2024'!A232</f>
        <v>coo</v>
      </c>
      <c r="D248">
        <v>100</v>
      </c>
      <c r="E248">
        <v>130</v>
      </c>
      <c r="F248">
        <f t="shared" si="33"/>
        <v>1.3</v>
      </c>
      <c r="G248" t="b">
        <f>IFERROR(IF(VLOOKUP(Table2[[#This Row],[Item]],'Inventory as of 12th Aug 2024'!A:H,1,)=Table2[[#This Row],[Item]],TRUE,FALSE),FALSE)</f>
        <v>1</v>
      </c>
      <c r="H248" t="s">
        <v>361</v>
      </c>
      <c r="K248" t="s">
        <v>367</v>
      </c>
    </row>
    <row r="249" spans="1:11" x14ac:dyDescent="0.25">
      <c r="A249" s="30">
        <f t="shared" si="35"/>
        <v>45561</v>
      </c>
      <c r="C249" t="str">
        <f>'Inventory as of 12th Aug 2024'!A92</f>
        <v>Banana</v>
      </c>
      <c r="D249">
        <v>19</v>
      </c>
      <c r="E249">
        <v>125</v>
      </c>
      <c r="F249">
        <f t="shared" si="33"/>
        <v>6.5789473684210522</v>
      </c>
      <c r="G249" t="b">
        <f>IFERROR(IF(VLOOKUP(Table2[[#This Row],[Item]],'Inventory as of 12th Aug 2024'!A:H,1,)=Table2[[#This Row],[Item]],TRUE,FALSE),FALSE)</f>
        <v>1</v>
      </c>
      <c r="H249" t="s">
        <v>361</v>
      </c>
      <c r="K249" t="s">
        <v>358</v>
      </c>
    </row>
    <row r="250" spans="1:11" x14ac:dyDescent="0.25">
      <c r="A250" s="30">
        <f t="shared" si="35"/>
        <v>45561</v>
      </c>
      <c r="C250" t="str">
        <f>'Inventory as of 12th Aug 2024'!A90</f>
        <v>Onion</v>
      </c>
      <c r="D250">
        <v>100</v>
      </c>
      <c r="E250">
        <v>400</v>
      </c>
      <c r="F250">
        <f t="shared" si="33"/>
        <v>4</v>
      </c>
      <c r="G250" t="b">
        <f>IFERROR(IF(VLOOKUP(Table2[[#This Row],[Item]],'Inventory as of 12th Aug 2024'!A:H,1,)=Table2[[#This Row],[Item]],TRUE,FALSE),FALSE)</f>
        <v>1</v>
      </c>
      <c r="H250" t="s">
        <v>361</v>
      </c>
      <c r="K250" t="s">
        <v>363</v>
      </c>
    </row>
    <row r="251" spans="1:11" x14ac:dyDescent="0.25">
      <c r="A251" s="30">
        <f t="shared" si="35"/>
        <v>45561</v>
      </c>
      <c r="C251" t="str">
        <f>'Inventory as of 12th Aug 2024'!A91</f>
        <v>Tomatoes</v>
      </c>
      <c r="D251">
        <v>40</v>
      </c>
      <c r="E251">
        <v>200</v>
      </c>
      <c r="F251">
        <f t="shared" si="33"/>
        <v>5</v>
      </c>
      <c r="G251" t="b">
        <f>IFERROR(IF(VLOOKUP(Table2[[#This Row],[Item]],'Inventory as of 12th Aug 2024'!A:H,1,)=Table2[[#This Row],[Item]],TRUE,FALSE),FALSE)</f>
        <v>1</v>
      </c>
      <c r="H251" t="s">
        <v>361</v>
      </c>
      <c r="K251" t="s">
        <v>363</v>
      </c>
    </row>
    <row r="252" spans="1:11" x14ac:dyDescent="0.25">
      <c r="A252" s="30">
        <f t="shared" si="35"/>
        <v>45561</v>
      </c>
      <c r="C252" t="s">
        <v>603</v>
      </c>
      <c r="D252">
        <v>4</v>
      </c>
      <c r="E252">
        <f>160*4</f>
        <v>640</v>
      </c>
      <c r="F252">
        <f t="shared" si="33"/>
        <v>160</v>
      </c>
      <c r="G252" t="b">
        <f>IFERROR(IF(VLOOKUP(Table2[[#This Row],[Item]],'Inventory as of 12th Aug 2024'!A:H,1,)=Table2[[#This Row],[Item]],TRUE,FALSE),FALSE)</f>
        <v>1</v>
      </c>
      <c r="H252" t="s">
        <v>361</v>
      </c>
      <c r="K252" t="s">
        <v>367</v>
      </c>
    </row>
    <row r="253" spans="1:11" x14ac:dyDescent="0.25">
      <c r="A253" s="30">
        <f>DATE(2024,9,27)</f>
        <v>45562</v>
      </c>
      <c r="C253" t="str">
        <f>'Inventory as of 12th Aug 2024'!A33</f>
        <v>BB Bread 400g</v>
      </c>
      <c r="D253">
        <v>3</v>
      </c>
      <c r="E253">
        <v>300</v>
      </c>
      <c r="F253">
        <f t="shared" si="33"/>
        <v>100</v>
      </c>
      <c r="G253" t="b">
        <f>IF(VLOOKUP(Table2[[#This Row],[Item]],'Inventory as of 12th Aug 2024'!A:H,1,)=Table2[[#This Row],[Item]],TRUE,FALSE)</f>
        <v>1</v>
      </c>
      <c r="H253" t="s">
        <v>247</v>
      </c>
    </row>
    <row r="254" spans="1:11" x14ac:dyDescent="0.25">
      <c r="A254" s="30">
        <f t="shared" ref="A254:A256" si="36">DATE(2024,9,27)</f>
        <v>45562</v>
      </c>
      <c r="C254" t="str">
        <f>'Inventory as of 12th Aug 2024'!A37</f>
        <v>Festive Bread 400g</v>
      </c>
      <c r="D254">
        <v>4</v>
      </c>
      <c r="E254">
        <v>240</v>
      </c>
      <c r="F254">
        <f t="shared" si="33"/>
        <v>60</v>
      </c>
      <c r="G254" t="b">
        <f>IF(VLOOKUP(Table2[[#This Row],[Item]],'Inventory as of 12th Aug 2024'!A:H,1,)=Table2[[#This Row],[Item]],TRUE,FALSE)</f>
        <v>1</v>
      </c>
      <c r="H254" t="s">
        <v>247</v>
      </c>
    </row>
    <row r="255" spans="1:11" x14ac:dyDescent="0.25">
      <c r="A255" s="30">
        <f t="shared" si="36"/>
        <v>45562</v>
      </c>
      <c r="C255" t="str">
        <f>'Inventory as of 12th Aug 2024'!A35</f>
        <v>Festive 600g</v>
      </c>
      <c r="D255">
        <v>3</v>
      </c>
      <c r="E255">
        <v>270</v>
      </c>
      <c r="F255">
        <f t="shared" si="33"/>
        <v>90</v>
      </c>
      <c r="G255" t="b">
        <f>IF(VLOOKUP(Table2[[#This Row],[Item]],'Inventory as of 12th Aug 2024'!A:H,1,)=Table2[[#This Row],[Item]],TRUE,FALSE)</f>
        <v>1</v>
      </c>
      <c r="H255" t="s">
        <v>247</v>
      </c>
    </row>
    <row r="256" spans="1:11" x14ac:dyDescent="0.25">
      <c r="A256" s="30">
        <f t="shared" si="36"/>
        <v>45562</v>
      </c>
      <c r="C256" t="str">
        <f>'Inventory as of 12th Aug 2024'!A195</f>
        <v>Ring Cake</v>
      </c>
      <c r="D256">
        <v>30</v>
      </c>
      <c r="E256">
        <v>225</v>
      </c>
      <c r="F256">
        <f t="shared" si="33"/>
        <v>7.5</v>
      </c>
      <c r="G256" t="b">
        <f>IF(VLOOKUP(Table2[[#This Row],[Item]],'Inventory as of 12th Aug 2024'!A:H,1,)=Table2[[#This Row],[Item]],TRUE,FALSE)</f>
        <v>1</v>
      </c>
      <c r="H256" t="s">
        <v>247</v>
      </c>
    </row>
    <row r="257" spans="1:11" x14ac:dyDescent="0.25">
      <c r="A257" s="30">
        <f>DATE(2024,9,28)</f>
        <v>45563</v>
      </c>
      <c r="C257" t="str">
        <f>'Inventory as of 12th Aug 2024'!A33</f>
        <v>BB Bread 400g</v>
      </c>
      <c r="D257">
        <v>5</v>
      </c>
      <c r="E257">
        <v>300</v>
      </c>
      <c r="F257">
        <f t="shared" si="33"/>
        <v>60</v>
      </c>
      <c r="G257" t="b">
        <f>IF(VLOOKUP(Table2[[#This Row],[Item]],'Inventory as of 12th Aug 2024'!A:H,1,)=Table2[[#This Row],[Item]],TRUE,FALSE)</f>
        <v>1</v>
      </c>
      <c r="H257" t="s">
        <v>247</v>
      </c>
    </row>
    <row r="258" spans="1:11" x14ac:dyDescent="0.25">
      <c r="A258" s="30">
        <f>DATE(2024,9,28)</f>
        <v>45563</v>
      </c>
      <c r="C258" t="str">
        <f>'Inventory as of 12th Aug 2024'!A37</f>
        <v>Festive Bread 400g</v>
      </c>
      <c r="D258">
        <v>6</v>
      </c>
      <c r="E258">
        <v>360</v>
      </c>
      <c r="F258">
        <f t="shared" si="33"/>
        <v>60</v>
      </c>
      <c r="G258" t="b">
        <f>IF(VLOOKUP(Table2[[#This Row],[Item]],'Inventory as of 12th Aug 2024'!A:H,1,)=Table2[[#This Row],[Item]],TRUE,FALSE)</f>
        <v>1</v>
      </c>
      <c r="H258" t="s">
        <v>247</v>
      </c>
    </row>
    <row r="259" spans="1:11" x14ac:dyDescent="0.25">
      <c r="A259" s="30">
        <f>DATE(2024,9,29)</f>
        <v>45564</v>
      </c>
      <c r="C259" t="str">
        <f>'Inventory as of 12th Aug 2024'!A120</f>
        <v>Maramoja</v>
      </c>
      <c r="D259">
        <v>50</v>
      </c>
      <c r="E259">
        <v>355</v>
      </c>
      <c r="F259">
        <f t="shared" si="33"/>
        <v>7.1</v>
      </c>
      <c r="G259" t="b">
        <f>IF(VLOOKUP(Table2[[#This Row],[Item]],'Inventory as of 12th Aug 2024'!A:H,1,)=Table2[[#This Row],[Item]],TRUE,FALSE)</f>
        <v>1</v>
      </c>
      <c r="H259" t="s">
        <v>361</v>
      </c>
      <c r="K259" t="s">
        <v>363</v>
      </c>
    </row>
    <row r="260" spans="1:11" x14ac:dyDescent="0.25">
      <c r="A260" s="30">
        <f t="shared" ref="A260:A262" si="37">DATE(2024,9,29)</f>
        <v>45564</v>
      </c>
      <c r="C260" t="str">
        <f>'Inventory as of 12th Aug 2024'!A16</f>
        <v>Mt kenya milk 500ml</v>
      </c>
      <c r="D260">
        <v>36</v>
      </c>
      <c r="E260">
        <v>1710</v>
      </c>
      <c r="F260">
        <f t="shared" si="33"/>
        <v>47.5</v>
      </c>
      <c r="G260" t="b">
        <f>IF(VLOOKUP(Table2[[#This Row],[Item]],'Inventory as of 12th Aug 2024'!A:H,1,)=Table2[[#This Row],[Item]],TRUE,FALSE)</f>
        <v>1</v>
      </c>
      <c r="H260" t="s">
        <v>361</v>
      </c>
      <c r="K260" t="s">
        <v>363</v>
      </c>
    </row>
    <row r="261" spans="1:11" x14ac:dyDescent="0.25">
      <c r="A261" s="30">
        <f t="shared" si="37"/>
        <v>45564</v>
      </c>
      <c r="C261" t="str">
        <f>'Inventory as of 12th Aug 2024'!A10</f>
        <v>Mt Kenya milk 200ml</v>
      </c>
      <c r="D261">
        <v>21</v>
      </c>
      <c r="E261">
        <v>479</v>
      </c>
      <c r="F261">
        <f t="shared" si="33"/>
        <v>22.80952380952381</v>
      </c>
      <c r="G261" t="b">
        <f>IF(VLOOKUP(Table2[[#This Row],[Item]],'Inventory as of 12th Aug 2024'!A:H,1,)=Table2[[#This Row],[Item]],TRUE,FALSE)</f>
        <v>1</v>
      </c>
      <c r="H261" t="s">
        <v>361</v>
      </c>
      <c r="K261" t="s">
        <v>363</v>
      </c>
    </row>
    <row r="262" spans="1:11" x14ac:dyDescent="0.25">
      <c r="A262" s="30">
        <f t="shared" si="37"/>
        <v>45564</v>
      </c>
      <c r="C262" t="s">
        <v>604</v>
      </c>
      <c r="D262">
        <v>50</v>
      </c>
      <c r="E262">
        <v>203</v>
      </c>
      <c r="F262">
        <f t="shared" si="33"/>
        <v>4.0599999999999996</v>
      </c>
      <c r="G262" t="b">
        <f>IF(VLOOKUP(Table2[[#This Row],[Item]],'Inventory as of 12th Aug 2024'!A:H,1,)=Table2[[#This Row],[Item]],TRUE,FALSE)</f>
        <v>1</v>
      </c>
      <c r="H262" t="s">
        <v>361</v>
      </c>
      <c r="K262" t="s">
        <v>363</v>
      </c>
    </row>
    <row r="263" spans="1:11" x14ac:dyDescent="0.25">
      <c r="A263" s="30">
        <f>DATE(2024,9,30)</f>
        <v>45565</v>
      </c>
      <c r="C263" t="str">
        <f>'Inventory as of 12th Aug 2024'!A9</f>
        <v>Kinangop Fresh Milk 500ml</v>
      </c>
      <c r="D263">
        <v>5</v>
      </c>
      <c r="E263">
        <v>275</v>
      </c>
      <c r="F263">
        <f t="shared" si="33"/>
        <v>55</v>
      </c>
      <c r="G263" t="b">
        <f>IF(VLOOKUP(Table2[[#This Row],[Item]],'Inventory as of 12th Aug 2024'!A:H,1,)=Table2[[#This Row],[Item]],TRUE,FALSE)</f>
        <v>1</v>
      </c>
      <c r="H263" t="s">
        <v>247</v>
      </c>
    </row>
    <row r="264" spans="1:11" x14ac:dyDescent="0.25">
      <c r="A264" s="30">
        <f>DATE(2024,9,30)</f>
        <v>45565</v>
      </c>
      <c r="C264" t="str">
        <f>'Inventory as of 12th Aug 2024'!A33</f>
        <v>BB Bread 400g</v>
      </c>
      <c r="D264">
        <v>5</v>
      </c>
      <c r="E264">
        <v>300</v>
      </c>
      <c r="F264">
        <f t="shared" si="33"/>
        <v>60</v>
      </c>
      <c r="G264" t="b">
        <f>IF(VLOOKUP(Table2[[#This Row],[Item]],'Inventory as of 12th Aug 2024'!A:H,1,)=Table2[[#This Row],[Item]],TRUE,FALSE)</f>
        <v>1</v>
      </c>
      <c r="H264" t="s">
        <v>247</v>
      </c>
    </row>
    <row r="265" spans="1:11" x14ac:dyDescent="0.25">
      <c r="A265" s="30">
        <f>DATE(2024,10,1)</f>
        <v>45566</v>
      </c>
      <c r="C265" t="str">
        <f>'Inventory as of 12th Aug 2024'!A33</f>
        <v>BB Bread 400g</v>
      </c>
      <c r="D265">
        <v>6</v>
      </c>
      <c r="E265">
        <v>360</v>
      </c>
      <c r="F265">
        <f t="shared" si="33"/>
        <v>60</v>
      </c>
      <c r="G265" t="b">
        <f>IF(VLOOKUP(Table2[[#This Row],[Item]],'Inventory as of 12th Aug 2024'!A:H,1,)=Table2[[#This Row],[Item]],TRUE,FALSE)</f>
        <v>1</v>
      </c>
      <c r="H265" t="s">
        <v>247</v>
      </c>
    </row>
    <row r="266" spans="1:11" x14ac:dyDescent="0.25">
      <c r="A266" s="30">
        <f t="shared" ref="A266:A267" si="38">DATE(2024,10,1)</f>
        <v>45566</v>
      </c>
      <c r="C266" t="str">
        <f>'Inventory as of 12th Aug 2024'!A37</f>
        <v>Festive Bread 400g</v>
      </c>
      <c r="D266">
        <v>4</v>
      </c>
      <c r="E266">
        <v>240</v>
      </c>
      <c r="F266">
        <f t="shared" si="33"/>
        <v>60</v>
      </c>
      <c r="G266" t="b">
        <f>IF(VLOOKUP(Table2[[#This Row],[Item]],'Inventory as of 12th Aug 2024'!A:H,1,)=Table2[[#This Row],[Item]],TRUE,FALSE)</f>
        <v>1</v>
      </c>
      <c r="H266" t="s">
        <v>247</v>
      </c>
    </row>
    <row r="267" spans="1:11" x14ac:dyDescent="0.25">
      <c r="A267" s="30">
        <f t="shared" si="38"/>
        <v>45566</v>
      </c>
      <c r="C267" t="str">
        <f>'Inventory as of 12th Aug 2024'!A35</f>
        <v>Festive 600g</v>
      </c>
      <c r="D267">
        <v>3</v>
      </c>
      <c r="E267">
        <v>270</v>
      </c>
      <c r="F267">
        <f t="shared" si="33"/>
        <v>90</v>
      </c>
      <c r="G267" t="b">
        <f>IF(VLOOKUP(Table2[[#This Row],[Item]],'Inventory as of 12th Aug 2024'!A:H,1,)=Table2[[#This Row],[Item]],TRUE,FALSE)</f>
        <v>1</v>
      </c>
      <c r="H267" t="s">
        <v>247</v>
      </c>
    </row>
    <row r="268" spans="1:11" x14ac:dyDescent="0.25">
      <c r="A268" s="30">
        <f>DATE(2024,10,2)</f>
        <v>45567</v>
      </c>
      <c r="C268" t="str">
        <f>'Inventory as of 12th Aug 2024'!A33</f>
        <v>BB Bread 400g</v>
      </c>
      <c r="D268">
        <v>4</v>
      </c>
      <c r="E268">
        <v>240</v>
      </c>
      <c r="F268">
        <f t="shared" si="33"/>
        <v>60</v>
      </c>
      <c r="G268" t="b">
        <f>IF(VLOOKUP(Table2[[#This Row],[Item]],'Inventory as of 12th Aug 2024'!A:H,1,)=Table2[[#This Row],[Item]],TRUE,FALSE)</f>
        <v>1</v>
      </c>
      <c r="H268" t="s">
        <v>247</v>
      </c>
    </row>
    <row r="269" spans="1:11" x14ac:dyDescent="0.25">
      <c r="A269" s="30">
        <f>DATE(2024,10,3)</f>
        <v>45568</v>
      </c>
      <c r="C269" t="str">
        <f>'Inventory as of 12th Aug 2024'!A37</f>
        <v>Festive Bread 400g</v>
      </c>
      <c r="D269">
        <v>4</v>
      </c>
      <c r="E269">
        <v>240</v>
      </c>
      <c r="F269">
        <f t="shared" si="33"/>
        <v>60</v>
      </c>
      <c r="G269" t="b">
        <f>IF(VLOOKUP(Table2[[#This Row],[Item]],'Inventory as of 12th Aug 2024'!A:H,1,)=Table2[[#This Row],[Item]],TRUE,FALSE)</f>
        <v>1</v>
      </c>
      <c r="H269" t="s">
        <v>247</v>
      </c>
    </row>
    <row r="270" spans="1:11" x14ac:dyDescent="0.25">
      <c r="A270" s="30">
        <f>DATE(2024,10,3)</f>
        <v>45568</v>
      </c>
      <c r="C270" t="str">
        <f>'Inventory as of 12th Aug 2024'!A33</f>
        <v>BB Bread 400g</v>
      </c>
      <c r="D270">
        <v>6</v>
      </c>
      <c r="E270">
        <v>360</v>
      </c>
      <c r="F270">
        <f t="shared" si="33"/>
        <v>60</v>
      </c>
      <c r="G270" t="b">
        <f>IF(VLOOKUP(Table2[[#This Row],[Item]],'Inventory as of 12th Aug 2024'!A:H,1,)=Table2[[#This Row],[Item]],TRUE,FALSE)</f>
        <v>1</v>
      </c>
      <c r="H270" t="s">
        <v>247</v>
      </c>
    </row>
    <row r="271" spans="1:11" x14ac:dyDescent="0.25">
      <c r="A271" s="30">
        <f>DATE(2024,10,4)</f>
        <v>45569</v>
      </c>
      <c r="C271" t="str">
        <f>'Inventory as of 12th Aug 2024'!A9</f>
        <v>Kinangop Fresh Milk 500ml</v>
      </c>
      <c r="D271">
        <v>5</v>
      </c>
      <c r="E271">
        <v>275</v>
      </c>
      <c r="F271">
        <f t="shared" si="33"/>
        <v>55</v>
      </c>
      <c r="G271" t="b">
        <f>IF(VLOOKUP(Table2[[#This Row],[Item]],'Inventory as of 12th Aug 2024'!A:H,1,)=Table2[[#This Row],[Item]],TRUE,FALSE)</f>
        <v>1</v>
      </c>
      <c r="H271" t="s">
        <v>247</v>
      </c>
    </row>
    <row r="272" spans="1:11" x14ac:dyDescent="0.25">
      <c r="A272" s="30">
        <f t="shared" ref="A272:A273" si="39">DATE(2024,10,4)</f>
        <v>45569</v>
      </c>
      <c r="C272" t="str">
        <f>'Inventory as of 12th Aug 2024'!A37</f>
        <v>Festive Bread 400g</v>
      </c>
      <c r="D272">
        <v>4</v>
      </c>
      <c r="E272">
        <v>240</v>
      </c>
      <c r="F272">
        <f t="shared" si="33"/>
        <v>60</v>
      </c>
      <c r="G272" t="b">
        <f>IF(VLOOKUP(Table2[[#This Row],[Item]],'Inventory as of 12th Aug 2024'!A:H,1,)=Table2[[#This Row],[Item]],TRUE,FALSE)</f>
        <v>1</v>
      </c>
      <c r="H272" t="s">
        <v>247</v>
      </c>
    </row>
    <row r="273" spans="1:11" x14ac:dyDescent="0.25">
      <c r="A273" s="30">
        <f t="shared" si="39"/>
        <v>45569</v>
      </c>
      <c r="C273" t="str">
        <f>'Inventory as of 12th Aug 2024'!A35</f>
        <v>Festive 600g</v>
      </c>
      <c r="D273">
        <v>3</v>
      </c>
      <c r="E273">
        <v>270</v>
      </c>
      <c r="F273">
        <f t="shared" si="33"/>
        <v>90</v>
      </c>
      <c r="G273" t="b">
        <f>IF(VLOOKUP(Table2[[#This Row],[Item]],'Inventory as of 12th Aug 2024'!A:H,1,)=Table2[[#This Row],[Item]],TRUE,FALSE)</f>
        <v>1</v>
      </c>
      <c r="H273" t="s">
        <v>247</v>
      </c>
    </row>
    <row r="274" spans="1:11" x14ac:dyDescent="0.25">
      <c r="A274" s="30">
        <f>DATE(2024,10,4)</f>
        <v>45569</v>
      </c>
      <c r="C274" t="s">
        <v>370</v>
      </c>
      <c r="E274">
        <v>500</v>
      </c>
      <c r="F274" t="e">
        <f t="shared" si="33"/>
        <v>#DIV/0!</v>
      </c>
      <c r="G274" t="e">
        <f>IF(VLOOKUP(Table2[[#This Row],[Item]],'Inventory as of 12th Aug 2024'!A:H,1,)=Table2[[#This Row],[Item]],TRUE,FALSE)</f>
        <v>#N/A</v>
      </c>
      <c r="H274" t="s">
        <v>361</v>
      </c>
      <c r="K274" t="s">
        <v>367</v>
      </c>
    </row>
    <row r="275" spans="1:11" x14ac:dyDescent="0.25">
      <c r="A275" s="30">
        <f t="shared" ref="A275:A280" si="40">DATE(2024,10,4)</f>
        <v>45569</v>
      </c>
      <c r="C275" t="str">
        <f>'Inventory as of 12th Aug 2024'!A204</f>
        <v>soda 2lts</v>
      </c>
      <c r="D275">
        <v>12</v>
      </c>
      <c r="E275">
        <v>2010</v>
      </c>
      <c r="F275">
        <f t="shared" si="33"/>
        <v>167.5</v>
      </c>
      <c r="G275" t="b">
        <f>IF(VLOOKUP(Table2[[#This Row],[Item]],'Inventory as of 12th Aug 2024'!A:H,1,)=Table2[[#This Row],[Item]],TRUE,FALSE)</f>
        <v>1</v>
      </c>
      <c r="H275" t="s">
        <v>247</v>
      </c>
    </row>
    <row r="276" spans="1:11" x14ac:dyDescent="0.25">
      <c r="A276" s="30">
        <f t="shared" si="40"/>
        <v>45569</v>
      </c>
      <c r="C276" t="str">
        <f>'Inventory as of 12th Aug 2024'!A206</f>
        <v>soda 500ml plastic</v>
      </c>
      <c r="D276">
        <v>24</v>
      </c>
      <c r="E276">
        <v>1480</v>
      </c>
      <c r="F276">
        <f t="shared" si="33"/>
        <v>61.666666666666664</v>
      </c>
      <c r="G276" t="b">
        <f>IF(VLOOKUP(Table2[[#This Row],[Item]],'Inventory as of 12th Aug 2024'!A:H,1,)=Table2[[#This Row],[Item]],TRUE,FALSE)</f>
        <v>1</v>
      </c>
      <c r="H276" t="s">
        <v>247</v>
      </c>
    </row>
    <row r="277" spans="1:11" x14ac:dyDescent="0.25">
      <c r="A277" s="30">
        <f t="shared" si="40"/>
        <v>45569</v>
      </c>
      <c r="C277" t="str">
        <f>'Inventory as of 12th Aug 2024'!A244</f>
        <v>5ltrs water</v>
      </c>
      <c r="D277">
        <v>12</v>
      </c>
      <c r="E277">
        <v>900</v>
      </c>
      <c r="F277">
        <f t="shared" si="33"/>
        <v>75</v>
      </c>
      <c r="G277" t="b">
        <f>IF(VLOOKUP(Table2[[#This Row],[Item]],'Inventory as of 12th Aug 2024'!A:H,1,)=Table2[[#This Row],[Item]],TRUE,FALSE)</f>
        <v>1</v>
      </c>
      <c r="H277" t="s">
        <v>361</v>
      </c>
      <c r="K277" t="s">
        <v>367</v>
      </c>
    </row>
    <row r="278" spans="1:11" x14ac:dyDescent="0.25">
      <c r="A278" s="30">
        <f t="shared" si="40"/>
        <v>45569</v>
      </c>
      <c r="C278" t="str">
        <f>'Inventory as of 12th Aug 2024'!A70</f>
        <v>Sugar 1/2 kg</v>
      </c>
      <c r="D278">
        <v>10</v>
      </c>
      <c r="E278">
        <v>575</v>
      </c>
      <c r="F278">
        <f t="shared" si="33"/>
        <v>57.5</v>
      </c>
      <c r="G278" t="b">
        <f>IF(VLOOKUP(Table2[[#This Row],[Item]],'Inventory as of 12th Aug 2024'!A:H,1,)=Table2[[#This Row],[Item]],TRUE,FALSE)</f>
        <v>1</v>
      </c>
      <c r="H278" t="s">
        <v>361</v>
      </c>
      <c r="K278" t="s">
        <v>367</v>
      </c>
    </row>
    <row r="279" spans="1:11" x14ac:dyDescent="0.25">
      <c r="A279" s="30">
        <f t="shared" si="40"/>
        <v>45569</v>
      </c>
      <c r="C279" t="str">
        <f>'Inventory as of 12th Aug 2024'!A71</f>
        <v>Sugar 1/4 kg</v>
      </c>
      <c r="D279">
        <v>20</v>
      </c>
      <c r="E279">
        <v>575</v>
      </c>
      <c r="F279">
        <f t="shared" si="33"/>
        <v>28.75</v>
      </c>
      <c r="G279" t="b">
        <f>IF(VLOOKUP(Table2[[#This Row],[Item]],'Inventory as of 12th Aug 2024'!A:H,1,)=Table2[[#This Row],[Item]],TRUE,FALSE)</f>
        <v>1</v>
      </c>
      <c r="H279" t="s">
        <v>361</v>
      </c>
      <c r="K279" t="s">
        <v>367</v>
      </c>
    </row>
    <row r="280" spans="1:11" x14ac:dyDescent="0.25">
      <c r="A280" s="30">
        <f t="shared" si="40"/>
        <v>45569</v>
      </c>
      <c r="C280" t="s">
        <v>605</v>
      </c>
      <c r="E280">
        <v>250</v>
      </c>
      <c r="F280" t="e">
        <f t="shared" si="33"/>
        <v>#DIV/0!</v>
      </c>
      <c r="G280" t="e">
        <f>IF(VLOOKUP(Table2[[#This Row],[Item]],'Inventory as of 12th Aug 2024'!A:H,1,)=Table2[[#This Row],[Item]],TRUE,FALSE)</f>
        <v>#N/A</v>
      </c>
      <c r="H280" t="s">
        <v>247</v>
      </c>
    </row>
    <row r="281" spans="1:11" x14ac:dyDescent="0.25">
      <c r="A281" s="30">
        <f>DATE(2024,10,5)</f>
        <v>45570</v>
      </c>
      <c r="C281" t="str">
        <f>'Inventory as of 12th Aug 2024'!A33</f>
        <v>BB Bread 400g</v>
      </c>
      <c r="D281">
        <v>4</v>
      </c>
      <c r="E281">
        <v>240</v>
      </c>
      <c r="F281">
        <f t="shared" si="33"/>
        <v>60</v>
      </c>
      <c r="G281" t="b">
        <f>IF(VLOOKUP(Table2[[#This Row],[Item]],'Inventory as of 12th Aug 2024'!A:H,1,)=Table2[[#This Row],[Item]],TRUE,FALSE)</f>
        <v>1</v>
      </c>
      <c r="H281" t="s">
        <v>247</v>
      </c>
    </row>
    <row r="282" spans="1:11" x14ac:dyDescent="0.25">
      <c r="A282" s="30">
        <f>DATE(2024,10,5)</f>
        <v>45570</v>
      </c>
      <c r="C282" t="str">
        <f>'Inventory as of 12th Aug 2024'!A37</f>
        <v>Festive Bread 400g</v>
      </c>
      <c r="D282">
        <v>4</v>
      </c>
      <c r="E282">
        <v>240</v>
      </c>
      <c r="F282">
        <f t="shared" si="33"/>
        <v>60</v>
      </c>
      <c r="G282" t="b">
        <f>IF(VLOOKUP(Table2[[#This Row],[Item]],'Inventory as of 12th Aug 2024'!A:H,1,)=Table2[[#This Row],[Item]],TRUE,FALSE)</f>
        <v>1</v>
      </c>
      <c r="H282" t="s">
        <v>247</v>
      </c>
    </row>
    <row r="283" spans="1:11" x14ac:dyDescent="0.25">
      <c r="A283" s="30">
        <f>DATE(2024,10,6)</f>
        <v>45571</v>
      </c>
      <c r="C283" t="str">
        <f>'Inventory as of 12th Aug 2024'!A176</f>
        <v>Queen cake</v>
      </c>
      <c r="D283">
        <v>12</v>
      </c>
      <c r="E283">
        <v>100</v>
      </c>
      <c r="F283">
        <f t="shared" si="33"/>
        <v>8.3333333333333339</v>
      </c>
      <c r="G283" t="b">
        <f>IF(VLOOKUP(Table2[[#This Row],[Item]],'Inventory as of 12th Aug 2024'!A:H,1,)=Table2[[#This Row],[Item]],TRUE,FALSE)</f>
        <v>1</v>
      </c>
      <c r="H283" t="s">
        <v>247</v>
      </c>
    </row>
    <row r="284" spans="1:11" x14ac:dyDescent="0.25">
      <c r="A284" s="30">
        <f t="shared" ref="A284:A286" si="41">DATE(2024,10,6)</f>
        <v>45571</v>
      </c>
      <c r="C284" t="str">
        <f>'Inventory as of 12th Aug 2024'!A175</f>
        <v>Coconut Cakes</v>
      </c>
      <c r="D284">
        <v>6</v>
      </c>
      <c r="E284">
        <v>50</v>
      </c>
      <c r="F284">
        <f t="shared" si="33"/>
        <v>8.3333333333333339</v>
      </c>
      <c r="G284" t="b">
        <f>IF(VLOOKUP(Table2[[#This Row],[Item]],'Inventory as of 12th Aug 2024'!A:H,1,)=Table2[[#This Row],[Item]],TRUE,FALSE)</f>
        <v>1</v>
      </c>
      <c r="H284" t="s">
        <v>247</v>
      </c>
    </row>
    <row r="285" spans="1:11" x14ac:dyDescent="0.25">
      <c r="A285" s="30">
        <f t="shared" si="41"/>
        <v>45571</v>
      </c>
      <c r="C285" t="s">
        <v>606</v>
      </c>
      <c r="D285">
        <v>6</v>
      </c>
      <c r="E285">
        <v>50</v>
      </c>
      <c r="F285">
        <f t="shared" si="33"/>
        <v>8.3333333333333339</v>
      </c>
      <c r="G285" t="b">
        <f>IF(VLOOKUP(Table2[[#This Row],[Item]],'Inventory as of 12th Aug 2024'!A:H,1,)=Table2[[#This Row],[Item]],TRUE,FALSE)</f>
        <v>1</v>
      </c>
      <c r="H285" t="s">
        <v>247</v>
      </c>
    </row>
    <row r="286" spans="1:11" x14ac:dyDescent="0.25">
      <c r="A286" s="30">
        <f t="shared" si="41"/>
        <v>45571</v>
      </c>
      <c r="C286" t="s">
        <v>607</v>
      </c>
      <c r="D286">
        <v>6</v>
      </c>
      <c r="E286">
        <v>50</v>
      </c>
      <c r="F286">
        <f t="shared" si="33"/>
        <v>8.3333333333333339</v>
      </c>
      <c r="G286" t="b">
        <f>IF(VLOOKUP(Table2[[#This Row],[Item]],'Inventory as of 12th Aug 2024'!A:H,1,)=Table2[[#This Row],[Item]],TRUE,FALSE)</f>
        <v>1</v>
      </c>
      <c r="H286" t="s">
        <v>247</v>
      </c>
    </row>
    <row r="287" spans="1:11" x14ac:dyDescent="0.25">
      <c r="A287" s="30">
        <f>DATE(2024,10,7)</f>
        <v>45572</v>
      </c>
      <c r="C287" t="str">
        <f>'Inventory as of 12th Aug 2024'!A9</f>
        <v>Kinangop Fresh Milk 500ml</v>
      </c>
      <c r="D287">
        <v>5</v>
      </c>
      <c r="E287">
        <v>275</v>
      </c>
      <c r="F287">
        <f t="shared" si="33"/>
        <v>55</v>
      </c>
      <c r="G287" t="b">
        <f>IF(VLOOKUP(Table2[[#This Row],[Item]],'Inventory as of 12th Aug 2024'!A:H,1,)=Table2[[#This Row],[Item]],TRUE,FALSE)</f>
        <v>1</v>
      </c>
      <c r="H287" t="s">
        <v>247</v>
      </c>
    </row>
    <row r="288" spans="1:11" x14ac:dyDescent="0.25">
      <c r="A288" s="30">
        <f t="shared" ref="A288:A296" si="42">DATE(2024,10,7)</f>
        <v>45572</v>
      </c>
      <c r="C288" t="str">
        <f>'Inventory as of 12th Aug 2024'!A33</f>
        <v>BB Bread 400g</v>
      </c>
      <c r="D288">
        <v>5</v>
      </c>
      <c r="E288">
        <v>300</v>
      </c>
      <c r="F288">
        <f t="shared" si="33"/>
        <v>60</v>
      </c>
      <c r="G288" t="b">
        <f>IF(VLOOKUP(Table2[[#This Row],[Item]],'Inventory as of 12th Aug 2024'!A:H,1,)=Table2[[#This Row],[Item]],TRUE,FALSE)</f>
        <v>1</v>
      </c>
      <c r="H288" t="s">
        <v>247</v>
      </c>
    </row>
    <row r="289" spans="1:11" x14ac:dyDescent="0.25">
      <c r="A289" s="30">
        <f t="shared" si="42"/>
        <v>45572</v>
      </c>
      <c r="C289" t="str">
        <f>'Inventory as of 12th Aug 2024'!A37</f>
        <v>Festive Bread 400g</v>
      </c>
      <c r="D289">
        <v>5</v>
      </c>
      <c r="E289">
        <v>300</v>
      </c>
      <c r="F289">
        <f t="shared" si="33"/>
        <v>60</v>
      </c>
      <c r="G289" t="b">
        <f>IF(VLOOKUP(Table2[[#This Row],[Item]],'Inventory as of 12th Aug 2024'!A:H,1,)=Table2[[#This Row],[Item]],TRUE,FALSE)</f>
        <v>1</v>
      </c>
      <c r="H289" t="s">
        <v>247</v>
      </c>
    </row>
    <row r="290" spans="1:11" x14ac:dyDescent="0.25">
      <c r="A290" s="30">
        <f t="shared" si="42"/>
        <v>45572</v>
      </c>
      <c r="C290" t="str">
        <f>'Inventory as of 12th Aug 2024'!A211</f>
        <v>predator</v>
      </c>
      <c r="D290">
        <v>12</v>
      </c>
      <c r="E290">
        <v>634</v>
      </c>
      <c r="F290">
        <f t="shared" si="33"/>
        <v>52.833333333333336</v>
      </c>
      <c r="G290" t="b">
        <f>IF(VLOOKUP(Table2[[#This Row],[Item]],'Inventory as of 12th Aug 2024'!A:H,1,)=Table2[[#This Row],[Item]],TRUE,FALSE)</f>
        <v>1</v>
      </c>
      <c r="H290" t="s">
        <v>361</v>
      </c>
      <c r="K290" t="s">
        <v>363</v>
      </c>
    </row>
    <row r="291" spans="1:11" x14ac:dyDescent="0.25">
      <c r="A291" s="30">
        <f t="shared" si="42"/>
        <v>45572</v>
      </c>
      <c r="C291" t="str">
        <f>'Inventory as of 12th Aug 2024'!A234</f>
        <v>Bigdaddy</v>
      </c>
      <c r="D291">
        <v>50</v>
      </c>
      <c r="E291">
        <v>288</v>
      </c>
      <c r="F291">
        <f t="shared" si="33"/>
        <v>5.76</v>
      </c>
      <c r="G291" t="b">
        <f>IF(VLOOKUP(Table2[[#This Row],[Item]],'Inventory as of 12th Aug 2024'!A:H,1,)=Table2[[#This Row],[Item]],TRUE,FALSE)</f>
        <v>1</v>
      </c>
      <c r="H291" t="s">
        <v>361</v>
      </c>
      <c r="K291" t="s">
        <v>363</v>
      </c>
    </row>
    <row r="292" spans="1:11" x14ac:dyDescent="0.25">
      <c r="A292" s="30">
        <f t="shared" si="42"/>
        <v>45572</v>
      </c>
      <c r="C292" t="str">
        <f>'Inventory as of 12th Aug 2024'!A42</f>
        <v>Indomie chicken</v>
      </c>
      <c r="D292">
        <v>20</v>
      </c>
      <c r="E292">
        <v>755</v>
      </c>
      <c r="F292">
        <f t="shared" si="33"/>
        <v>37.75</v>
      </c>
      <c r="G292" t="b">
        <f>IF(VLOOKUP(Table2[[#This Row],[Item]],'Inventory as of 12th Aug 2024'!A:H,1,)=Table2[[#This Row],[Item]],TRUE,FALSE)</f>
        <v>1</v>
      </c>
      <c r="H292" t="s">
        <v>361</v>
      </c>
      <c r="K292" t="s">
        <v>363</v>
      </c>
    </row>
    <row r="293" spans="1:11" x14ac:dyDescent="0.25">
      <c r="A293" s="30">
        <f t="shared" si="42"/>
        <v>45572</v>
      </c>
      <c r="C293" t="str">
        <f>'Inventory as of 12th Aug 2024'!A41</f>
        <v>Indomie beef</v>
      </c>
      <c r="D293">
        <v>20</v>
      </c>
      <c r="E293">
        <v>755</v>
      </c>
      <c r="F293">
        <f t="shared" si="33"/>
        <v>37.75</v>
      </c>
      <c r="G293" t="b">
        <f>IF(VLOOKUP(Table2[[#This Row],[Item]],'Inventory as of 12th Aug 2024'!A:H,1,)=Table2[[#This Row],[Item]],TRUE,FALSE)</f>
        <v>1</v>
      </c>
      <c r="H293" t="s">
        <v>361</v>
      </c>
      <c r="K293" t="s">
        <v>363</v>
      </c>
    </row>
    <row r="294" spans="1:11" x14ac:dyDescent="0.25">
      <c r="A294" s="30">
        <f t="shared" si="42"/>
        <v>45572</v>
      </c>
      <c r="C294" t="str">
        <f>'Inventory as of 12th Aug 2024'!A191</f>
        <v>Nuvita Bisquit</v>
      </c>
      <c r="D294">
        <v>60</v>
      </c>
      <c r="E294">
        <v>250</v>
      </c>
      <c r="F294">
        <f t="shared" si="33"/>
        <v>4.166666666666667</v>
      </c>
      <c r="G294" t="b">
        <f>IF(VLOOKUP(Table2[[#This Row],[Item]],'Inventory as of 12th Aug 2024'!A:H,1,)=Table2[[#This Row],[Item]],TRUE,FALSE)</f>
        <v>1</v>
      </c>
      <c r="H294" t="s">
        <v>361</v>
      </c>
      <c r="K294" t="s">
        <v>363</v>
      </c>
    </row>
    <row r="295" spans="1:11" x14ac:dyDescent="0.25">
      <c r="A295" s="30">
        <f t="shared" si="42"/>
        <v>45572</v>
      </c>
      <c r="C295" t="s">
        <v>608</v>
      </c>
      <c r="D295">
        <v>60</v>
      </c>
      <c r="E295">
        <v>250</v>
      </c>
      <c r="F295">
        <f t="shared" si="33"/>
        <v>4.166666666666667</v>
      </c>
      <c r="G295" t="b">
        <f>IF(VLOOKUP(Table2[[#This Row],[Item]],'Inventory as of 12th Aug 2024'!A:H,1,)=Table2[[#This Row],[Item]],TRUE,FALSE)</f>
        <v>1</v>
      </c>
      <c r="H295" t="s">
        <v>361</v>
      </c>
      <c r="K295" t="s">
        <v>363</v>
      </c>
    </row>
    <row r="296" spans="1:11" x14ac:dyDescent="0.25">
      <c r="A296" s="30">
        <f t="shared" si="42"/>
        <v>45572</v>
      </c>
      <c r="C296" t="s">
        <v>609</v>
      </c>
      <c r="D296">
        <v>60</v>
      </c>
      <c r="E296">
        <v>254</v>
      </c>
      <c r="F296">
        <f t="shared" si="33"/>
        <v>4.2333333333333334</v>
      </c>
      <c r="G296" t="b">
        <f>IF(VLOOKUP(Table2[[#This Row],[Item]],'Inventory as of 12th Aug 2024'!A:H,1,)=Table2[[#This Row],[Item]],TRUE,FALSE)</f>
        <v>1</v>
      </c>
      <c r="H296" t="s">
        <v>361</v>
      </c>
      <c r="K296" t="s">
        <v>363</v>
      </c>
    </row>
    <row r="297" spans="1:11" x14ac:dyDescent="0.25">
      <c r="A297" s="30">
        <f>DATE(2024,10,8)</f>
        <v>45573</v>
      </c>
      <c r="C297" t="str">
        <f>'Inventory as of 12th Aug 2024'!A199</f>
        <v>Kdf</v>
      </c>
      <c r="D297">
        <v>30</v>
      </c>
      <c r="E297">
        <v>250</v>
      </c>
      <c r="F297">
        <f t="shared" si="33"/>
        <v>8.3333333333333339</v>
      </c>
      <c r="G297" t="b">
        <f>IF(VLOOKUP(Table2[[#This Row],[Item]],'Inventory as of 12th Aug 2024'!A:H,1,)=Table2[[#This Row],[Item]],TRUE,FALSE)</f>
        <v>1</v>
      </c>
      <c r="H297" t="s">
        <v>247</v>
      </c>
    </row>
    <row r="298" spans="1:11" x14ac:dyDescent="0.25">
      <c r="A298" s="30">
        <f>DATE(2024,10,8)</f>
        <v>45573</v>
      </c>
      <c r="C298" t="str">
        <f>'Inventory as of 12th Aug 2024'!A200</f>
        <v>Ngumu</v>
      </c>
      <c r="D298">
        <v>30</v>
      </c>
      <c r="E298">
        <v>250</v>
      </c>
      <c r="F298">
        <f t="shared" si="33"/>
        <v>8.3333333333333339</v>
      </c>
      <c r="G298" t="b">
        <f>IF(VLOOKUP(Table2[[#This Row],[Item]],'Inventory as of 12th Aug 2024'!A:H,1,)=Table2[[#This Row],[Item]],TRUE,FALSE)</f>
        <v>1</v>
      </c>
      <c r="H298" t="s">
        <v>247</v>
      </c>
    </row>
    <row r="299" spans="1:11" x14ac:dyDescent="0.25">
      <c r="A299" s="30">
        <f>DATE(2024,10,10)</f>
        <v>45575</v>
      </c>
      <c r="C299" t="str">
        <f>'Inventory as of 12th Aug 2024'!A33</f>
        <v>BB Bread 400g</v>
      </c>
      <c r="D299">
        <v>5</v>
      </c>
      <c r="E299">
        <v>300</v>
      </c>
      <c r="F299">
        <f t="shared" si="33"/>
        <v>60</v>
      </c>
      <c r="G299" t="b">
        <f>IF(VLOOKUP(Table2[[#This Row],[Item]],'Inventory as of 12th Aug 2024'!A:H,1,)=Table2[[#This Row],[Item]],TRUE,FALSE)</f>
        <v>1</v>
      </c>
      <c r="H299" t="s">
        <v>247</v>
      </c>
    </row>
    <row r="300" spans="1:11" x14ac:dyDescent="0.25">
      <c r="A300" s="30">
        <f t="shared" ref="A300:A315" si="43">DATE(2024,10,10)</f>
        <v>45575</v>
      </c>
      <c r="C300" t="str">
        <f>'Inventory as of 12th Aug 2024'!A9</f>
        <v>Kinangop Fresh Milk 500ml</v>
      </c>
      <c r="D300">
        <v>5</v>
      </c>
      <c r="E300">
        <v>275</v>
      </c>
      <c r="F300">
        <f t="shared" si="33"/>
        <v>55</v>
      </c>
      <c r="G300" t="b">
        <f>IF(VLOOKUP(Table2[[#This Row],[Item]],'Inventory as of 12th Aug 2024'!A:H,1,)=Table2[[#This Row],[Item]],TRUE,FALSE)</f>
        <v>1</v>
      </c>
      <c r="H300" t="s">
        <v>247</v>
      </c>
    </row>
    <row r="301" spans="1:11" x14ac:dyDescent="0.25">
      <c r="A301" s="30">
        <f t="shared" si="43"/>
        <v>45575</v>
      </c>
      <c r="C301" t="str">
        <f>'Inventory as of 12th Aug 2024'!A37</f>
        <v>Festive Bread 400g</v>
      </c>
      <c r="D301">
        <v>5</v>
      </c>
      <c r="E301">
        <v>300</v>
      </c>
      <c r="F301">
        <f t="shared" ref="F301:F353" si="44">E301/D301</f>
        <v>60</v>
      </c>
      <c r="G301" t="b">
        <f>IF(VLOOKUP(Table2[[#This Row],[Item]],'Inventory as of 12th Aug 2024'!A:H,1,)=Table2[[#This Row],[Item]],TRUE,FALSE)</f>
        <v>1</v>
      </c>
      <c r="H301" t="s">
        <v>247</v>
      </c>
    </row>
    <row r="302" spans="1:11" x14ac:dyDescent="0.25">
      <c r="A302" s="30">
        <f t="shared" si="43"/>
        <v>45575</v>
      </c>
      <c r="C302" t="str">
        <f>'Inventory as of 12th Aug 2024'!A35</f>
        <v>Festive 600g</v>
      </c>
      <c r="D302">
        <v>3</v>
      </c>
      <c r="E302">
        <v>270</v>
      </c>
      <c r="F302">
        <f t="shared" si="44"/>
        <v>90</v>
      </c>
      <c r="G302" t="b">
        <f>IF(VLOOKUP(Table2[[#This Row],[Item]],'Inventory as of 12th Aug 2024'!A:H,1,)=Table2[[#This Row],[Item]],TRUE,FALSE)</f>
        <v>1</v>
      </c>
      <c r="H302" t="s">
        <v>247</v>
      </c>
    </row>
    <row r="303" spans="1:11" x14ac:dyDescent="0.25">
      <c r="A303" s="30">
        <f t="shared" si="43"/>
        <v>45575</v>
      </c>
      <c r="C303" t="str">
        <f>'Inventory as of 12th Aug 2024'!A16</f>
        <v>Mt kenya milk 500ml</v>
      </c>
      <c r="D303">
        <v>36</v>
      </c>
      <c r="E303">
        <v>1710</v>
      </c>
      <c r="F303">
        <f t="shared" si="44"/>
        <v>47.5</v>
      </c>
      <c r="G303" t="b">
        <f>IF(VLOOKUP(Table2[[#This Row],[Item]],'Inventory as of 12th Aug 2024'!A:H,1,)=Table2[[#This Row],[Item]],TRUE,FALSE)</f>
        <v>1</v>
      </c>
      <c r="H303" t="s">
        <v>361</v>
      </c>
      <c r="K303" t="s">
        <v>363</v>
      </c>
    </row>
    <row r="304" spans="1:11" x14ac:dyDescent="0.25">
      <c r="A304" s="30">
        <f t="shared" si="43"/>
        <v>45575</v>
      </c>
      <c r="C304" t="str">
        <f>'Inventory as of 12th Aug 2024'!A10</f>
        <v>Mt Kenya milk 200ml</v>
      </c>
      <c r="D304">
        <v>21</v>
      </c>
      <c r="E304">
        <v>435</v>
      </c>
      <c r="F304">
        <f t="shared" si="44"/>
        <v>20.714285714285715</v>
      </c>
      <c r="G304" t="b">
        <f>IF(VLOOKUP(Table2[[#This Row],[Item]],'Inventory as of 12th Aug 2024'!A:H,1,)=Table2[[#This Row],[Item]],TRUE,FALSE)</f>
        <v>1</v>
      </c>
      <c r="H304" t="s">
        <v>361</v>
      </c>
      <c r="K304" t="s">
        <v>363</v>
      </c>
    </row>
    <row r="305" spans="1:11" x14ac:dyDescent="0.25">
      <c r="A305" s="30">
        <f t="shared" si="43"/>
        <v>45575</v>
      </c>
      <c r="C305" t="str">
        <f>'Inventory as of 12th Aug 2024'!A68</f>
        <v>Royco cubes</v>
      </c>
      <c r="D305">
        <v>120</v>
      </c>
      <c r="E305">
        <v>366</v>
      </c>
      <c r="F305">
        <f t="shared" si="44"/>
        <v>3.05</v>
      </c>
      <c r="G305" t="b">
        <f>IF(VLOOKUP(Table2[[#This Row],[Item]],'Inventory as of 12th Aug 2024'!A:H,1,)=Table2[[#This Row],[Item]],TRUE,FALSE)</f>
        <v>1</v>
      </c>
      <c r="H305" t="s">
        <v>361</v>
      </c>
      <c r="K305" t="s">
        <v>363</v>
      </c>
    </row>
    <row r="306" spans="1:11" x14ac:dyDescent="0.25">
      <c r="A306" s="30">
        <f t="shared" si="43"/>
        <v>45575</v>
      </c>
      <c r="C306" t="str">
        <f>'Inventory as of 12th Aug 2024'!A177</f>
        <v>Ringoz Barbeque</v>
      </c>
      <c r="D306">
        <v>50</v>
      </c>
      <c r="E306">
        <v>435</v>
      </c>
      <c r="F306">
        <f t="shared" si="44"/>
        <v>8.6999999999999993</v>
      </c>
      <c r="G306" t="b">
        <f>IF(VLOOKUP(Table2[[#This Row],[Item]],'Inventory as of 12th Aug 2024'!A:H,1,)=Table2[[#This Row],[Item]],TRUE,FALSE)</f>
        <v>1</v>
      </c>
      <c r="H306" t="s">
        <v>361</v>
      </c>
      <c r="K306" t="s">
        <v>363</v>
      </c>
    </row>
    <row r="307" spans="1:11" x14ac:dyDescent="0.25">
      <c r="A307" s="30">
        <f t="shared" si="43"/>
        <v>45575</v>
      </c>
      <c r="C307" t="str">
        <f>'Inventory as of 12th Aug 2024'!A92</f>
        <v>Banana</v>
      </c>
      <c r="D307">
        <v>17</v>
      </c>
      <c r="E307">
        <v>115</v>
      </c>
      <c r="F307">
        <f t="shared" si="44"/>
        <v>6.7647058823529411</v>
      </c>
      <c r="G307" t="b">
        <f>IF(VLOOKUP(Table2[[#This Row],[Item]],'Inventory as of 12th Aug 2024'!A:H,1,)=Table2[[#This Row],[Item]],TRUE,FALSE)</f>
        <v>1</v>
      </c>
      <c r="H307" t="s">
        <v>361</v>
      </c>
      <c r="K307" t="s">
        <v>358</v>
      </c>
    </row>
    <row r="308" spans="1:11" x14ac:dyDescent="0.25">
      <c r="A308" s="30">
        <f t="shared" si="43"/>
        <v>45575</v>
      </c>
      <c r="C308" t="str">
        <f>'Inventory as of 12th Aug 2024'!A238</f>
        <v>Tropical</v>
      </c>
      <c r="D308">
        <v>50</v>
      </c>
      <c r="E308">
        <v>180</v>
      </c>
      <c r="F308">
        <f t="shared" si="44"/>
        <v>3.6</v>
      </c>
      <c r="G308" t="b">
        <f>IF(VLOOKUP(Table2[[#This Row],[Item]],'Inventory as of 12th Aug 2024'!A:H,1,)=Table2[[#This Row],[Item]],TRUE,FALSE)</f>
        <v>1</v>
      </c>
      <c r="H308" t="s">
        <v>361</v>
      </c>
      <c r="K308" t="s">
        <v>367</v>
      </c>
    </row>
    <row r="309" spans="1:11" x14ac:dyDescent="0.25">
      <c r="A309" s="30">
        <f t="shared" si="43"/>
        <v>45575</v>
      </c>
      <c r="C309" t="str">
        <f>'Inventory as of 12th Aug 2024'!A91</f>
        <v>Tomatoes</v>
      </c>
      <c r="D309">
        <v>67</v>
      </c>
      <c r="E309">
        <v>300</v>
      </c>
      <c r="F309">
        <f t="shared" si="44"/>
        <v>4.4776119402985071</v>
      </c>
      <c r="G309" t="b">
        <f>IF(VLOOKUP(Table2[[#This Row],[Item]],'Inventory as of 12th Aug 2024'!A:H,1,)=Table2[[#This Row],[Item]],TRUE,FALSE)</f>
        <v>1</v>
      </c>
      <c r="H309" t="s">
        <v>361</v>
      </c>
      <c r="K309" t="s">
        <v>363</v>
      </c>
    </row>
    <row r="310" spans="1:11" x14ac:dyDescent="0.25">
      <c r="A310" s="30">
        <f t="shared" si="43"/>
        <v>45575</v>
      </c>
      <c r="C310" t="str">
        <f>'Inventory as of 12th Aug 2024'!A90</f>
        <v>Onion</v>
      </c>
      <c r="D310">
        <v>100</v>
      </c>
      <c r="E310">
        <v>400</v>
      </c>
      <c r="F310">
        <f t="shared" si="44"/>
        <v>4</v>
      </c>
      <c r="G310" t="b">
        <f>IF(VLOOKUP(Table2[[#This Row],[Item]],'Inventory as of 12th Aug 2024'!A:H,1,)=Table2[[#This Row],[Item]],TRUE,FALSE)</f>
        <v>1</v>
      </c>
      <c r="H310" t="s">
        <v>361</v>
      </c>
      <c r="K310" t="s">
        <v>363</v>
      </c>
    </row>
    <row r="311" spans="1:11" x14ac:dyDescent="0.25">
      <c r="A311" s="30">
        <f t="shared" si="43"/>
        <v>45575</v>
      </c>
      <c r="C311" t="str">
        <f>'Inventory as of 12th Aug 2024'!A50</f>
        <v>Pishori rice</v>
      </c>
      <c r="D311">
        <v>10</v>
      </c>
      <c r="E311">
        <v>1800</v>
      </c>
      <c r="F311">
        <f t="shared" si="44"/>
        <v>180</v>
      </c>
      <c r="G311" t="b">
        <f>IF(VLOOKUP(Table2[[#This Row],[Item]],'Inventory as of 12th Aug 2024'!A:H,1,)=Table2[[#This Row],[Item]],TRUE,FALSE)</f>
        <v>1</v>
      </c>
      <c r="H311" t="s">
        <v>361</v>
      </c>
      <c r="K311" t="s">
        <v>367</v>
      </c>
    </row>
    <row r="312" spans="1:11" x14ac:dyDescent="0.25">
      <c r="A312" s="30">
        <f t="shared" si="43"/>
        <v>45575</v>
      </c>
      <c r="C312" t="str">
        <f>'Inventory as of 12th Aug 2024'!A98</f>
        <v>Ginger</v>
      </c>
      <c r="D312">
        <v>3</v>
      </c>
      <c r="E312">
        <v>30</v>
      </c>
      <c r="F312">
        <f t="shared" si="44"/>
        <v>10</v>
      </c>
      <c r="G312" t="b">
        <f>IF(VLOOKUP(Table2[[#This Row],[Item]],'Inventory as of 12th Aug 2024'!A:H,1,)=Table2[[#This Row],[Item]],TRUE,FALSE)</f>
        <v>1</v>
      </c>
      <c r="H312" t="s">
        <v>361</v>
      </c>
      <c r="K312" t="s">
        <v>358</v>
      </c>
    </row>
    <row r="313" spans="1:11" x14ac:dyDescent="0.25">
      <c r="A313" s="30">
        <f t="shared" si="43"/>
        <v>45575</v>
      </c>
      <c r="C313" t="str">
        <f>'Inventory as of 12th Aug 2024'!A207</f>
        <v>soda 350ml plastic</v>
      </c>
      <c r="D313">
        <v>24</v>
      </c>
      <c r="E313">
        <v>1000</v>
      </c>
      <c r="F313">
        <f t="shared" si="44"/>
        <v>41.666666666666664</v>
      </c>
      <c r="G313" t="b">
        <f>IF(VLOOKUP(Table2[[#This Row],[Item]],'Inventory as of 12th Aug 2024'!A:H,1,)=Table2[[#This Row],[Item]],TRUE,FALSE)</f>
        <v>1</v>
      </c>
      <c r="H313" t="s">
        <v>361</v>
      </c>
      <c r="K313" t="s">
        <v>367</v>
      </c>
    </row>
    <row r="314" spans="1:11" x14ac:dyDescent="0.25">
      <c r="A314" s="30">
        <f t="shared" si="43"/>
        <v>45575</v>
      </c>
      <c r="C314" t="s">
        <v>610</v>
      </c>
      <c r="E314">
        <v>100</v>
      </c>
      <c r="F314" t="e">
        <f t="shared" si="44"/>
        <v>#DIV/0!</v>
      </c>
      <c r="G314" t="e">
        <f>IF(VLOOKUP(Table2[[#This Row],[Item]],'Inventory as of 12th Aug 2024'!A:H,1,)=Table2[[#This Row],[Item]],TRUE,FALSE)</f>
        <v>#N/A</v>
      </c>
      <c r="H314" t="s">
        <v>361</v>
      </c>
      <c r="K314" t="s">
        <v>367</v>
      </c>
    </row>
    <row r="315" spans="1:11" x14ac:dyDescent="0.25">
      <c r="A315" s="30">
        <f t="shared" si="43"/>
        <v>45575</v>
      </c>
      <c r="C315" t="str">
        <f>'Inventory as of 12th Aug 2024'!A8</f>
        <v>eggs</v>
      </c>
      <c r="D315">
        <v>240</v>
      </c>
      <c r="E315">
        <v>3360</v>
      </c>
      <c r="F315">
        <f t="shared" si="44"/>
        <v>14</v>
      </c>
      <c r="G315" t="b">
        <f>IF(VLOOKUP(Table2[[#This Row],[Item]],'Inventory as of 12th Aug 2024'!A:H,1,)=Table2[[#This Row],[Item]],TRUE,FALSE)</f>
        <v>1</v>
      </c>
      <c r="H315" t="s">
        <v>361</v>
      </c>
      <c r="K315" t="s">
        <v>358</v>
      </c>
    </row>
    <row r="316" spans="1:11" x14ac:dyDescent="0.25">
      <c r="A316" s="30">
        <f>DATE(2024,10,12)</f>
        <v>45577</v>
      </c>
      <c r="C316" t="str">
        <f>'Inventory as of 12th Aug 2024'!A9</f>
        <v>Kinangop Fresh Milk 500ml</v>
      </c>
      <c r="D316">
        <v>4</v>
      </c>
      <c r="E316">
        <v>220</v>
      </c>
      <c r="F316">
        <f t="shared" si="44"/>
        <v>55</v>
      </c>
      <c r="G316" t="b">
        <f>IF(VLOOKUP(Table2[[#This Row],[Item]],'Inventory as of 12th Aug 2024'!A:H,1,)=Table2[[#This Row],[Item]],TRUE,FALSE)</f>
        <v>1</v>
      </c>
      <c r="H316" t="s">
        <v>247</v>
      </c>
    </row>
    <row r="317" spans="1:11" x14ac:dyDescent="0.25">
      <c r="A317" s="30">
        <f t="shared" ref="A317:A321" si="45">DATE(2024,10,12)</f>
        <v>45577</v>
      </c>
      <c r="C317" t="str">
        <f>'Inventory as of 12th Aug 2024'!A33</f>
        <v>BB Bread 400g</v>
      </c>
      <c r="D317">
        <v>4</v>
      </c>
      <c r="E317">
        <v>240</v>
      </c>
      <c r="F317">
        <f t="shared" si="44"/>
        <v>60</v>
      </c>
      <c r="G317" t="b">
        <f>IF(VLOOKUP(Table2[[#This Row],[Item]],'Inventory as of 12th Aug 2024'!A:H,1,)=Table2[[#This Row],[Item]],TRUE,FALSE)</f>
        <v>1</v>
      </c>
      <c r="H317" t="s">
        <v>247</v>
      </c>
    </row>
    <row r="318" spans="1:11" x14ac:dyDescent="0.25">
      <c r="A318" s="30">
        <f t="shared" si="45"/>
        <v>45577</v>
      </c>
      <c r="C318" t="str">
        <f>'Inventory as of 12th Aug 2024'!A199</f>
        <v>Kdf</v>
      </c>
      <c r="D318">
        <v>30</v>
      </c>
      <c r="E318">
        <v>250</v>
      </c>
      <c r="F318">
        <f t="shared" si="44"/>
        <v>8.3333333333333339</v>
      </c>
      <c r="G318" t="b">
        <f>IF(VLOOKUP(Table2[[#This Row],[Item]],'Inventory as of 12th Aug 2024'!A:H,1,)=Table2[[#This Row],[Item]],TRUE,FALSE)</f>
        <v>1</v>
      </c>
      <c r="H318" t="s">
        <v>247</v>
      </c>
    </row>
    <row r="319" spans="1:11" x14ac:dyDescent="0.25">
      <c r="A319" s="30">
        <f t="shared" si="45"/>
        <v>45577</v>
      </c>
      <c r="C319" t="str">
        <f>'Inventory as of 12th Aug 2024'!A133</f>
        <v>Medium Colgate Toothbrush</v>
      </c>
      <c r="D319">
        <v>12</v>
      </c>
      <c r="E319">
        <v>230</v>
      </c>
      <c r="F319">
        <f t="shared" si="44"/>
        <v>19.166666666666668</v>
      </c>
      <c r="G319" t="b">
        <f>IF(VLOOKUP(Table2[[#This Row],[Item]],'Inventory as of 12th Aug 2024'!A:H,1,)=Table2[[#This Row],[Item]],TRUE,FALSE)</f>
        <v>1</v>
      </c>
      <c r="H319" t="s">
        <v>361</v>
      </c>
      <c r="K319" t="s">
        <v>358</v>
      </c>
    </row>
    <row r="320" spans="1:11" x14ac:dyDescent="0.25">
      <c r="A320" s="30">
        <f t="shared" si="45"/>
        <v>45577</v>
      </c>
      <c r="C320" t="str">
        <f>'Inventory as of 12th Aug 2024'!A240</f>
        <v>Bigboss</v>
      </c>
      <c r="D320">
        <v>100</v>
      </c>
      <c r="E320">
        <v>280</v>
      </c>
      <c r="F320">
        <f t="shared" si="44"/>
        <v>2.8</v>
      </c>
      <c r="G320" t="b">
        <f>IF(VLOOKUP(Table2[[#This Row],[Item]],'Inventory as of 12th Aug 2024'!A:H,1,)=Table2[[#This Row],[Item]],TRUE,FALSE)</f>
        <v>1</v>
      </c>
      <c r="H320" t="s">
        <v>361</v>
      </c>
      <c r="K320" t="s">
        <v>358</v>
      </c>
    </row>
    <row r="321" spans="1:11" x14ac:dyDescent="0.25">
      <c r="A321" s="30">
        <f t="shared" si="45"/>
        <v>45577</v>
      </c>
      <c r="C321" t="str">
        <f>'Inventory as of 12th Aug 2024'!A146</f>
        <v>Black Shampoo</v>
      </c>
      <c r="D321">
        <v>10</v>
      </c>
      <c r="E321">
        <v>260</v>
      </c>
      <c r="F321">
        <f t="shared" si="44"/>
        <v>26</v>
      </c>
      <c r="G321" t="b">
        <f>IF(VLOOKUP(Table2[[#This Row],[Item]],'Inventory as of 12th Aug 2024'!A:H,1,)=Table2[[#This Row],[Item]],TRUE,FALSE)</f>
        <v>1</v>
      </c>
      <c r="H321" t="s">
        <v>361</v>
      </c>
      <c r="K321" t="s">
        <v>358</v>
      </c>
    </row>
    <row r="322" spans="1:11" x14ac:dyDescent="0.25">
      <c r="A322" s="30">
        <f>DATE(2024,10,14)</f>
        <v>45579</v>
      </c>
      <c r="C322" t="str">
        <f>'Inventory as of 12th Aug 2024'!A33</f>
        <v>BB Bread 400g</v>
      </c>
      <c r="D322">
        <v>5</v>
      </c>
      <c r="E322">
        <v>300</v>
      </c>
      <c r="F322">
        <f t="shared" si="44"/>
        <v>60</v>
      </c>
      <c r="G322" t="b">
        <f>IF(VLOOKUP(Table2[[#This Row],[Item]],'Inventory as of 12th Aug 2024'!A:H,1,)=Table2[[#This Row],[Item]],TRUE,FALSE)</f>
        <v>1</v>
      </c>
      <c r="H322" t="s">
        <v>247</v>
      </c>
    </row>
    <row r="323" spans="1:11" x14ac:dyDescent="0.25">
      <c r="A323" s="30">
        <f t="shared" ref="A323:A332" si="46">DATE(2024,10,14)</f>
        <v>45579</v>
      </c>
      <c r="C323" t="str">
        <f>'Inventory as of 12th Aug 2024'!A37</f>
        <v>Festive Bread 400g</v>
      </c>
      <c r="D323">
        <v>5</v>
      </c>
      <c r="E323">
        <v>300</v>
      </c>
      <c r="F323">
        <f t="shared" si="44"/>
        <v>60</v>
      </c>
      <c r="G323" t="b">
        <f>IF(VLOOKUP(Table2[[#This Row],[Item]],'Inventory as of 12th Aug 2024'!A:H,1,)=Table2[[#This Row],[Item]],TRUE,FALSE)</f>
        <v>1</v>
      </c>
      <c r="H323" t="s">
        <v>247</v>
      </c>
    </row>
    <row r="324" spans="1:11" x14ac:dyDescent="0.25">
      <c r="A324" s="30">
        <f t="shared" si="46"/>
        <v>45579</v>
      </c>
      <c r="C324" t="str">
        <f>'Inventory as of 12th Aug 2024'!A199</f>
        <v>Kdf</v>
      </c>
      <c r="D324">
        <v>36</v>
      </c>
      <c r="E324">
        <v>300</v>
      </c>
      <c r="F324">
        <f t="shared" si="44"/>
        <v>8.3333333333333339</v>
      </c>
      <c r="G324" t="b">
        <f>IF(VLOOKUP(Table2[[#This Row],[Item]],'Inventory as of 12th Aug 2024'!A:H,1,)=Table2[[#This Row],[Item]],TRUE,FALSE)</f>
        <v>1</v>
      </c>
      <c r="H324" t="s">
        <v>247</v>
      </c>
    </row>
    <row r="325" spans="1:11" x14ac:dyDescent="0.25">
      <c r="A325" s="30">
        <f t="shared" si="46"/>
        <v>45579</v>
      </c>
      <c r="C325" t="str">
        <f>'Inventory as of 12th Aug 2024'!A198</f>
        <v>Mandazi</v>
      </c>
      <c r="D325">
        <v>24</v>
      </c>
      <c r="E325">
        <v>100</v>
      </c>
      <c r="F325">
        <f t="shared" si="44"/>
        <v>4.166666666666667</v>
      </c>
      <c r="G325" t="b">
        <f>IF(VLOOKUP(Table2[[#This Row],[Item]],'Inventory as of 12th Aug 2024'!A:H,1,)=Table2[[#This Row],[Item]],TRUE,FALSE)</f>
        <v>1</v>
      </c>
      <c r="H325" t="s">
        <v>247</v>
      </c>
    </row>
    <row r="326" spans="1:11" x14ac:dyDescent="0.25">
      <c r="A326" s="30">
        <f t="shared" si="46"/>
        <v>45579</v>
      </c>
      <c r="C326" t="str">
        <f>'Inventory as of 12th Aug 2024'!A213</f>
        <v>soda 500ml glass</v>
      </c>
      <c r="D326">
        <v>24</v>
      </c>
      <c r="E326">
        <v>1230</v>
      </c>
      <c r="F326">
        <f t="shared" si="44"/>
        <v>51.25</v>
      </c>
      <c r="G326" t="b">
        <f>IF(VLOOKUP(Table2[[#This Row],[Item]],'Inventory as of 12th Aug 2024'!A:H,1,)=Table2[[#This Row],[Item]],TRUE,FALSE)</f>
        <v>1</v>
      </c>
      <c r="H326" t="s">
        <v>361</v>
      </c>
      <c r="K326" t="s">
        <v>367</v>
      </c>
    </row>
    <row r="327" spans="1:11" x14ac:dyDescent="0.25">
      <c r="A327" s="30">
        <f t="shared" si="46"/>
        <v>45579</v>
      </c>
      <c r="C327" t="str">
        <f>'Inventory as of 12th Aug 2024'!A212</f>
        <v>soda 300ml glass</v>
      </c>
      <c r="D327">
        <v>24</v>
      </c>
      <c r="E327">
        <v>1600</v>
      </c>
      <c r="F327">
        <f t="shared" si="44"/>
        <v>66.666666666666671</v>
      </c>
      <c r="G327" t="b">
        <f>IF(VLOOKUP(Table2[[#This Row],[Item]],'Inventory as of 12th Aug 2024'!A:H,1,)=Table2[[#This Row],[Item]],TRUE,FALSE)</f>
        <v>1</v>
      </c>
      <c r="H327" t="s">
        <v>361</v>
      </c>
      <c r="K327" t="s">
        <v>367</v>
      </c>
    </row>
    <row r="328" spans="1:11" x14ac:dyDescent="0.25">
      <c r="A328" s="30">
        <f t="shared" si="46"/>
        <v>45579</v>
      </c>
      <c r="C328" t="str">
        <f>'Inventory as of 12th Aug 2024'!A205</f>
        <v xml:space="preserve"> soda 1.25lts</v>
      </c>
      <c r="D328">
        <v>12</v>
      </c>
      <c r="E328">
        <v>1320</v>
      </c>
      <c r="F328">
        <f t="shared" si="44"/>
        <v>110</v>
      </c>
      <c r="G328" t="b">
        <f>IF(VLOOKUP(Table2[[#This Row],[Item]],'Inventory as of 12th Aug 2024'!A:H,1,)=Table2[[#This Row],[Item]],TRUE,FALSE)</f>
        <v>1</v>
      </c>
      <c r="H328" t="s">
        <v>361</v>
      </c>
      <c r="K328" t="s">
        <v>367</v>
      </c>
    </row>
    <row r="329" spans="1:11" x14ac:dyDescent="0.25">
      <c r="A329" s="30">
        <f t="shared" si="46"/>
        <v>45579</v>
      </c>
      <c r="C329" t="s">
        <v>611</v>
      </c>
      <c r="E329">
        <v>40</v>
      </c>
      <c r="F329" t="e">
        <f t="shared" si="44"/>
        <v>#DIV/0!</v>
      </c>
      <c r="G329" t="e">
        <f>IF(VLOOKUP(Table2[[#This Row],[Item]],'Inventory as of 12th Aug 2024'!A:H,1,)=Table2[[#This Row],[Item]],TRUE,FALSE)</f>
        <v>#N/A</v>
      </c>
      <c r="H329" t="s">
        <v>361</v>
      </c>
      <c r="K329" t="s">
        <v>367</v>
      </c>
    </row>
    <row r="330" spans="1:11" x14ac:dyDescent="0.25">
      <c r="A330" s="30">
        <f t="shared" si="46"/>
        <v>45579</v>
      </c>
      <c r="C330" t="str">
        <f>'Inventory as of 12th Aug 2024'!A7</f>
        <v>Airtel 50 Credit</v>
      </c>
      <c r="D330">
        <v>20</v>
      </c>
      <c r="E330">
        <v>960</v>
      </c>
      <c r="F330">
        <f t="shared" si="44"/>
        <v>48</v>
      </c>
      <c r="G330" t="b">
        <f>IF(VLOOKUP(Table2[[#This Row],[Item]],'Inventory as of 12th Aug 2024'!A:H,1,)=Table2[[#This Row],[Item]],TRUE,FALSE)</f>
        <v>1</v>
      </c>
      <c r="H330" t="s">
        <v>361</v>
      </c>
      <c r="K330" t="s">
        <v>367</v>
      </c>
    </row>
    <row r="331" spans="1:11" x14ac:dyDescent="0.25">
      <c r="A331" s="30">
        <f t="shared" si="46"/>
        <v>45579</v>
      </c>
      <c r="C331" t="str">
        <f>'Inventory as of 12th Aug 2024'!A5</f>
        <v>Airtel 20 Credit</v>
      </c>
      <c r="D331">
        <v>20</v>
      </c>
      <c r="E331">
        <v>380</v>
      </c>
      <c r="F331">
        <f t="shared" si="44"/>
        <v>19</v>
      </c>
      <c r="G331" t="b">
        <f>IF(VLOOKUP(Table2[[#This Row],[Item]],'Inventory as of 12th Aug 2024'!A:H,1,)=Table2[[#This Row],[Item]],TRUE,FALSE)</f>
        <v>1</v>
      </c>
      <c r="H331" t="s">
        <v>361</v>
      </c>
      <c r="K331" t="s">
        <v>367</v>
      </c>
    </row>
    <row r="332" spans="1:11" x14ac:dyDescent="0.25">
      <c r="A332" s="30">
        <f t="shared" si="46"/>
        <v>45579</v>
      </c>
      <c r="C332" t="str">
        <f>'Inventory as of 12th Aug 2024'!A6</f>
        <v>Airtel 10 Credit</v>
      </c>
      <c r="D332">
        <v>20</v>
      </c>
      <c r="E332">
        <v>190</v>
      </c>
      <c r="F332">
        <f t="shared" si="44"/>
        <v>9.5</v>
      </c>
      <c r="G332" t="b">
        <f>IF(VLOOKUP(Table2[[#This Row],[Item]],'Inventory as of 12th Aug 2024'!A:H,1,)=Table2[[#This Row],[Item]],TRUE,FALSE)</f>
        <v>1</v>
      </c>
      <c r="H332" t="s">
        <v>361</v>
      </c>
      <c r="K332" t="s">
        <v>367</v>
      </c>
    </row>
    <row r="333" spans="1:11" x14ac:dyDescent="0.25">
      <c r="A333" s="30">
        <f>DATE(2024,10,15)</f>
        <v>45580</v>
      </c>
      <c r="C333" t="str">
        <f>'Inventory as of 12th Aug 2024'!A9</f>
        <v>Kinangop Fresh Milk 500ml</v>
      </c>
      <c r="D333">
        <v>5</v>
      </c>
      <c r="E333">
        <v>275</v>
      </c>
      <c r="F333">
        <f t="shared" si="44"/>
        <v>55</v>
      </c>
      <c r="G333" t="b">
        <f>IF(VLOOKUP(Table2[[#This Row],[Item]],'Inventory as of 12th Aug 2024'!A:H,1,)=Table2[[#This Row],[Item]],TRUE,FALSE)</f>
        <v>1</v>
      </c>
      <c r="H333" t="s">
        <v>247</v>
      </c>
    </row>
    <row r="334" spans="1:11" x14ac:dyDescent="0.25">
      <c r="A334" s="30">
        <f>DATE(2024,10,15)</f>
        <v>45580</v>
      </c>
      <c r="C334" t="str">
        <f>'Inventory as of 12th Aug 2024'!A37</f>
        <v>Festive Bread 400g</v>
      </c>
      <c r="D334">
        <v>4</v>
      </c>
      <c r="E334">
        <v>240</v>
      </c>
      <c r="F334">
        <f t="shared" si="44"/>
        <v>60</v>
      </c>
      <c r="G334" t="b">
        <f>IF(VLOOKUP(Table2[[#This Row],[Item]],'Inventory as of 12th Aug 2024'!A:H,1,)=Table2[[#This Row],[Item]],TRUE,FALSE)</f>
        <v>1</v>
      </c>
      <c r="H334" t="s">
        <v>247</v>
      </c>
    </row>
    <row r="335" spans="1:11" x14ac:dyDescent="0.25">
      <c r="A335" s="30">
        <f>DATE(2024,10,16)</f>
        <v>45581</v>
      </c>
      <c r="C335" t="s">
        <v>370</v>
      </c>
      <c r="E335">
        <v>50</v>
      </c>
      <c r="F335" t="e">
        <f t="shared" si="44"/>
        <v>#DIV/0!</v>
      </c>
      <c r="G335" t="e">
        <f>IF(VLOOKUP(Table2[[#This Row],[Item]],'Inventory as of 12th Aug 2024'!A:H,1,)=Table2[[#This Row],[Item]],TRUE,FALSE)</f>
        <v>#N/A</v>
      </c>
      <c r="H335" t="s">
        <v>361</v>
      </c>
      <c r="K335" t="s">
        <v>367</v>
      </c>
    </row>
    <row r="336" spans="1:11" x14ac:dyDescent="0.25">
      <c r="A336" s="30">
        <f>DATE(2024,10,17)</f>
        <v>45582</v>
      </c>
      <c r="C336" t="str">
        <f>'Inventory as of 12th Aug 2024'!A33</f>
        <v>BB Bread 400g</v>
      </c>
      <c r="D336">
        <v>5</v>
      </c>
      <c r="E336">
        <v>300</v>
      </c>
      <c r="F336">
        <f t="shared" si="44"/>
        <v>60</v>
      </c>
      <c r="G336" t="b">
        <f>IF(VLOOKUP(Table2[[#This Row],[Item]],'Inventory as of 12th Aug 2024'!A:H,1,)=Table2[[#This Row],[Item]],TRUE,FALSE)</f>
        <v>1</v>
      </c>
      <c r="H336" t="s">
        <v>247</v>
      </c>
    </row>
    <row r="337" spans="1:11" x14ac:dyDescent="0.25">
      <c r="A337" s="30">
        <f t="shared" ref="A337:A338" si="47">DATE(2024,10,17)</f>
        <v>45582</v>
      </c>
      <c r="C337" t="str">
        <f>'Inventory as of 12th Aug 2024'!A9</f>
        <v>Kinangop Fresh Milk 500ml</v>
      </c>
      <c r="D337">
        <v>5</v>
      </c>
      <c r="E337">
        <v>275</v>
      </c>
      <c r="F337">
        <f t="shared" si="44"/>
        <v>55</v>
      </c>
      <c r="G337" t="b">
        <f>IF(VLOOKUP(Table2[[#This Row],[Item]],'Inventory as of 12th Aug 2024'!A:H,1,)=Table2[[#This Row],[Item]],TRUE,FALSE)</f>
        <v>1</v>
      </c>
      <c r="H337" t="s">
        <v>247</v>
      </c>
    </row>
    <row r="338" spans="1:11" x14ac:dyDescent="0.25">
      <c r="A338" s="30">
        <f t="shared" si="47"/>
        <v>45582</v>
      </c>
      <c r="C338" t="s">
        <v>370</v>
      </c>
      <c r="E338">
        <v>400</v>
      </c>
      <c r="F338" t="e">
        <f t="shared" si="44"/>
        <v>#DIV/0!</v>
      </c>
      <c r="G338" t="e">
        <f>IF(VLOOKUP(Table2[[#This Row],[Item]],'Inventory as of 12th Aug 2024'!A:H,1,)=Table2[[#This Row],[Item]],TRUE,FALSE)</f>
        <v>#N/A</v>
      </c>
      <c r="H338" t="s">
        <v>361</v>
      </c>
      <c r="K338" t="s">
        <v>367</v>
      </c>
    </row>
    <row r="339" spans="1:11" x14ac:dyDescent="0.25">
      <c r="A339" s="30">
        <f>DATE(2024,10,18)</f>
        <v>45583</v>
      </c>
      <c r="C339" t="str">
        <f>'Inventory as of 12th Aug 2024'!A33</f>
        <v>BB Bread 400g</v>
      </c>
      <c r="D339">
        <v>6</v>
      </c>
      <c r="E339">
        <v>360</v>
      </c>
      <c r="F339">
        <f t="shared" si="44"/>
        <v>60</v>
      </c>
      <c r="G339" t="b">
        <f>IF(VLOOKUP(Table2[[#This Row],[Item]],'Inventory as of 12th Aug 2024'!A:H,1,)=Table2[[#This Row],[Item]],TRUE,FALSE)</f>
        <v>1</v>
      </c>
      <c r="H339" t="s">
        <v>247</v>
      </c>
    </row>
    <row r="340" spans="1:11" x14ac:dyDescent="0.25">
      <c r="A340" s="30">
        <f t="shared" ref="A340:A351" si="48">DATE(2024,10,18)</f>
        <v>45583</v>
      </c>
      <c r="C340" t="str">
        <f>'Inventory as of 12th Aug 2024'!A37</f>
        <v>Festive Bread 400g</v>
      </c>
      <c r="D340">
        <v>6</v>
      </c>
      <c r="E340">
        <v>300</v>
      </c>
      <c r="F340">
        <f t="shared" si="44"/>
        <v>50</v>
      </c>
      <c r="G340" t="b">
        <f>IF(VLOOKUP(Table2[[#This Row],[Item]],'Inventory as of 12th Aug 2024'!A:H,1,)=Table2[[#This Row],[Item]],TRUE,FALSE)</f>
        <v>1</v>
      </c>
      <c r="H340" t="s">
        <v>247</v>
      </c>
    </row>
    <row r="341" spans="1:11" x14ac:dyDescent="0.25">
      <c r="A341" s="30">
        <f t="shared" si="48"/>
        <v>45583</v>
      </c>
      <c r="C341" t="str">
        <f>'Inventory as of 12th Aug 2024'!A199</f>
        <v>Kdf</v>
      </c>
      <c r="D341">
        <v>42</v>
      </c>
      <c r="E341">
        <v>350</v>
      </c>
      <c r="F341">
        <f t="shared" si="44"/>
        <v>8.3333333333333339</v>
      </c>
      <c r="G341" t="b">
        <f>IF(VLOOKUP(Table2[[#This Row],[Item]],'Inventory as of 12th Aug 2024'!A:H,1,)=Table2[[#This Row],[Item]],TRUE,FALSE)</f>
        <v>1</v>
      </c>
      <c r="H341" t="s">
        <v>247</v>
      </c>
    </row>
    <row r="342" spans="1:11" x14ac:dyDescent="0.25">
      <c r="A342" s="30">
        <f t="shared" si="48"/>
        <v>45583</v>
      </c>
      <c r="C342" t="str">
        <f>'Inventory as of 12th Aug 2024'!A17</f>
        <v>Brookside milk 500ml</v>
      </c>
      <c r="D342">
        <v>24</v>
      </c>
      <c r="E342">
        <v>1416</v>
      </c>
      <c r="F342">
        <f t="shared" si="44"/>
        <v>59</v>
      </c>
      <c r="G342" t="b">
        <f>IF(VLOOKUP(Table2[[#This Row],[Item]],'Inventory as of 12th Aug 2024'!A:H,1,)=Table2[[#This Row],[Item]],TRUE,FALSE)</f>
        <v>1</v>
      </c>
      <c r="H342" t="s">
        <v>247</v>
      </c>
    </row>
    <row r="343" spans="1:11" x14ac:dyDescent="0.25">
      <c r="A343" s="30">
        <f t="shared" si="48"/>
        <v>45583</v>
      </c>
      <c r="C343" t="str">
        <f>'Inventory as of 12th Aug 2024'!A81</f>
        <v>ariel 75g</v>
      </c>
      <c r="D343">
        <v>12</v>
      </c>
      <c r="E343">
        <v>320</v>
      </c>
      <c r="F343">
        <f t="shared" si="44"/>
        <v>26.666666666666668</v>
      </c>
      <c r="G343" t="b">
        <f>IF(VLOOKUP(Table2[[#This Row],[Item]],'Inventory as of 12th Aug 2024'!A:H,1,)=Table2[[#This Row],[Item]],TRUE,FALSE)</f>
        <v>1</v>
      </c>
      <c r="H343" t="s">
        <v>361</v>
      </c>
      <c r="K343" t="s">
        <v>367</v>
      </c>
    </row>
    <row r="344" spans="1:11" x14ac:dyDescent="0.25">
      <c r="A344" s="30">
        <f t="shared" si="48"/>
        <v>45583</v>
      </c>
      <c r="C344" t="str">
        <f>'Inventory as of 12th Aug 2024'!A135</f>
        <v>Bella Tissue</v>
      </c>
      <c r="D344">
        <v>10</v>
      </c>
      <c r="E344">
        <v>350</v>
      </c>
      <c r="F344">
        <f t="shared" si="44"/>
        <v>35</v>
      </c>
      <c r="G344" t="b">
        <f>IF(VLOOKUP(Table2[[#This Row],[Item]],'Inventory as of 12th Aug 2024'!A:H,1,)=Table2[[#This Row],[Item]],TRUE,FALSE)</f>
        <v>1</v>
      </c>
      <c r="H344" t="s">
        <v>361</v>
      </c>
      <c r="K344" t="s">
        <v>367</v>
      </c>
    </row>
    <row r="345" spans="1:11" x14ac:dyDescent="0.25">
      <c r="A345" s="30">
        <f t="shared" si="48"/>
        <v>45583</v>
      </c>
      <c r="C345" t="str">
        <f>'Inventory as of 12th Aug 2024'!A28</f>
        <v>Fahari Tea 15g</v>
      </c>
      <c r="D345">
        <v>12</v>
      </c>
      <c r="E345">
        <v>110</v>
      </c>
      <c r="F345">
        <f t="shared" si="44"/>
        <v>9.1666666666666661</v>
      </c>
      <c r="G345" t="b">
        <f>IF(VLOOKUP(Table2[[#This Row],[Item]],'Inventory as of 12th Aug 2024'!A:H,1,)=Table2[[#This Row],[Item]],TRUE,FALSE)</f>
        <v>1</v>
      </c>
      <c r="H345" t="s">
        <v>361</v>
      </c>
      <c r="K345" t="s">
        <v>367</v>
      </c>
    </row>
    <row r="346" spans="1:11" x14ac:dyDescent="0.25">
      <c r="A346" s="30">
        <f t="shared" si="48"/>
        <v>45583</v>
      </c>
      <c r="C346" t="str">
        <f>'Inventory as of 12th Aug 2024'!A27</f>
        <v>Nescafe 1.5g</v>
      </c>
      <c r="D346">
        <v>12</v>
      </c>
      <c r="E346">
        <v>110</v>
      </c>
      <c r="F346">
        <f t="shared" si="44"/>
        <v>9.1666666666666661</v>
      </c>
      <c r="G346" t="b">
        <f>IF(VLOOKUP(Table2[[#This Row],[Item]],'Inventory as of 12th Aug 2024'!A:H,1,)=Table2[[#This Row],[Item]],TRUE,FALSE)</f>
        <v>1</v>
      </c>
      <c r="H346" t="s">
        <v>361</v>
      </c>
      <c r="K346" t="s">
        <v>367</v>
      </c>
    </row>
    <row r="347" spans="1:11" x14ac:dyDescent="0.25">
      <c r="A347" s="30">
        <f t="shared" si="48"/>
        <v>45583</v>
      </c>
      <c r="C347" t="str">
        <f>'Inventory as of 12th Aug 2024'!A83</f>
        <v>omo 75g</v>
      </c>
      <c r="D347">
        <v>12</v>
      </c>
      <c r="E347">
        <v>310</v>
      </c>
      <c r="F347">
        <f t="shared" si="44"/>
        <v>25.833333333333332</v>
      </c>
      <c r="G347" t="b">
        <f>IF(VLOOKUP(Table2[[#This Row],[Item]],'Inventory as of 12th Aug 2024'!A:H,1,)=Table2[[#This Row],[Item]],TRUE,FALSE)</f>
        <v>1</v>
      </c>
      <c r="H347" t="s">
        <v>361</v>
      </c>
      <c r="K347" t="s">
        <v>367</v>
      </c>
    </row>
    <row r="348" spans="1:11" x14ac:dyDescent="0.25">
      <c r="A348" s="30">
        <f t="shared" si="48"/>
        <v>45583</v>
      </c>
      <c r="C348" t="str">
        <f>'Inventory as of 12th Aug 2024'!A121</f>
        <v>Panadol Extra</v>
      </c>
      <c r="D348">
        <v>50</v>
      </c>
      <c r="E348">
        <v>610</v>
      </c>
      <c r="F348">
        <f t="shared" si="44"/>
        <v>12.2</v>
      </c>
      <c r="G348" t="b">
        <f>IF(VLOOKUP(Table2[[#This Row],[Item]],'Inventory as of 12th Aug 2024'!A:H,1,)=Table2[[#This Row],[Item]],TRUE,FALSE)</f>
        <v>1</v>
      </c>
      <c r="H348" t="s">
        <v>361</v>
      </c>
      <c r="K348" t="s">
        <v>367</v>
      </c>
    </row>
    <row r="349" spans="1:11" x14ac:dyDescent="0.25">
      <c r="A349" s="30">
        <f t="shared" si="48"/>
        <v>45583</v>
      </c>
      <c r="C349" t="str">
        <f>'Inventory as of 12th Aug 2024'!A138</f>
        <v>Softcare pads</v>
      </c>
      <c r="D349">
        <v>6</v>
      </c>
      <c r="E349">
        <v>400</v>
      </c>
      <c r="F349">
        <f t="shared" si="44"/>
        <v>66.666666666666671</v>
      </c>
      <c r="G349" t="b">
        <f>IF(VLOOKUP(Table2[[#This Row],[Item]],'Inventory as of 12th Aug 2024'!A:H,1,)=Table2[[#This Row],[Item]],TRUE,FALSE)</f>
        <v>1</v>
      </c>
      <c r="H349" t="s">
        <v>361</v>
      </c>
      <c r="K349" t="s">
        <v>367</v>
      </c>
    </row>
    <row r="350" spans="1:11" x14ac:dyDescent="0.25">
      <c r="A350" s="30">
        <f t="shared" si="48"/>
        <v>45583</v>
      </c>
      <c r="C350" t="str">
        <f>'Inventory as of 12th Aug 2024'!A43</f>
        <v>sossi</v>
      </c>
      <c r="D350">
        <v>12</v>
      </c>
      <c r="E350">
        <v>420</v>
      </c>
      <c r="F350">
        <f t="shared" si="44"/>
        <v>35</v>
      </c>
      <c r="G350" t="b">
        <f>IF(VLOOKUP(Table2[[#This Row],[Item]],'Inventory as of 12th Aug 2024'!A:H,1,)=Table2[[#This Row],[Item]],TRUE,FALSE)</f>
        <v>1</v>
      </c>
      <c r="H350" t="s">
        <v>361</v>
      </c>
      <c r="K350" t="s">
        <v>367</v>
      </c>
    </row>
    <row r="351" spans="1:11" x14ac:dyDescent="0.25">
      <c r="A351" s="30">
        <f t="shared" si="48"/>
        <v>45583</v>
      </c>
      <c r="C351" t="str">
        <f>'Inventory as of 12th Aug 2024'!A79</f>
        <v xml:space="preserve">Whitewash </v>
      </c>
      <c r="D351">
        <v>12</v>
      </c>
      <c r="E351">
        <v>380</v>
      </c>
      <c r="F351">
        <f t="shared" si="44"/>
        <v>31.666666666666668</v>
      </c>
      <c r="G351" t="b">
        <f>IF(VLOOKUP(Table2[[#This Row],[Item]],'Inventory as of 12th Aug 2024'!A:H,1,)=Table2[[#This Row],[Item]],TRUE,FALSE)</f>
        <v>1</v>
      </c>
      <c r="H351" t="s">
        <v>361</v>
      </c>
      <c r="K351" t="s">
        <v>367</v>
      </c>
    </row>
    <row r="352" spans="1:11" x14ac:dyDescent="0.25">
      <c r="A352" s="30">
        <f>DATE(2024,10,19)</f>
        <v>45584</v>
      </c>
      <c r="C352" t="str">
        <f>'Inventory as of 12th Aug 2024'!A9</f>
        <v>Kinangop Fresh Milk 500ml</v>
      </c>
      <c r="D352">
        <v>5</v>
      </c>
      <c r="E352">
        <v>275</v>
      </c>
      <c r="F352">
        <f t="shared" si="44"/>
        <v>55</v>
      </c>
      <c r="G352" t="b">
        <f>IF(VLOOKUP(Table2[[#This Row],[Item]],'Inventory as of 12th Aug 2024'!A:H,1,)=Table2[[#This Row],[Item]],TRUE,FALSE)</f>
        <v>1</v>
      </c>
      <c r="H352" t="s">
        <v>247</v>
      </c>
    </row>
    <row r="353" spans="1:11" x14ac:dyDescent="0.25">
      <c r="A353" s="30">
        <f t="shared" ref="A353" si="49">DATE(2024,10,19)</f>
        <v>45584</v>
      </c>
      <c r="C353" t="str">
        <f>'Inventory as of 12th Aug 2024'!A261</f>
        <v>Black Tape</v>
      </c>
      <c r="D353">
        <v>12</v>
      </c>
      <c r="E353">
        <v>200</v>
      </c>
      <c r="F353">
        <f t="shared" si="44"/>
        <v>16.666666666666668</v>
      </c>
      <c r="G353" t="b">
        <f>IF(VLOOKUP(Table2[[#This Row],[Item]],'Inventory as of 12th Aug 2024'!A:H,1,)=Table2[[#This Row],[Item]],TRUE,FALSE)</f>
        <v>1</v>
      </c>
      <c r="H353" t="s">
        <v>247</v>
      </c>
    </row>
    <row r="354" spans="1:11" x14ac:dyDescent="0.25">
      <c r="A354" s="30">
        <f>DATE(2024,10,21)</f>
        <v>45586</v>
      </c>
      <c r="C354" t="str">
        <f>'Inventory as of 12th Aug 2024'!A37</f>
        <v>Festive Bread 400g</v>
      </c>
      <c r="D354">
        <v>6</v>
      </c>
      <c r="E354">
        <v>360</v>
      </c>
      <c r="F354">
        <f t="shared" ref="F354:F417" si="50">E354/D354</f>
        <v>60</v>
      </c>
      <c r="G354" t="b">
        <f>IF(VLOOKUP(Table2[[#This Row],[Item]],'Inventory as of 12th Aug 2024'!A:H,1,)=Table2[[#This Row],[Item]],TRUE,FALSE)</f>
        <v>1</v>
      </c>
      <c r="H354" t="s">
        <v>247</v>
      </c>
    </row>
    <row r="355" spans="1:11" x14ac:dyDescent="0.25">
      <c r="A355" s="30">
        <f t="shared" ref="A355:A359" si="51">DATE(2024,10,21)</f>
        <v>45586</v>
      </c>
      <c r="C355" t="str">
        <f>'Inventory as of 12th Aug 2024'!A33</f>
        <v>BB Bread 400g</v>
      </c>
      <c r="D355">
        <v>5</v>
      </c>
      <c r="E355">
        <v>300</v>
      </c>
      <c r="F355">
        <f t="shared" si="50"/>
        <v>60</v>
      </c>
      <c r="G355" t="b">
        <f>IF(VLOOKUP(Table2[[#This Row],[Item]],'Inventory as of 12th Aug 2024'!A:H,1,)=Table2[[#This Row],[Item]],TRUE,FALSE)</f>
        <v>1</v>
      </c>
      <c r="H355" t="s">
        <v>247</v>
      </c>
    </row>
    <row r="356" spans="1:11" x14ac:dyDescent="0.25">
      <c r="A356" s="30">
        <f t="shared" si="51"/>
        <v>45586</v>
      </c>
      <c r="C356" t="str">
        <f>'Inventory as of 12th Aug 2024'!A211</f>
        <v>predator</v>
      </c>
      <c r="D356">
        <v>12</v>
      </c>
      <c r="E356">
        <v>640</v>
      </c>
      <c r="F356">
        <f t="shared" si="50"/>
        <v>53.333333333333336</v>
      </c>
      <c r="G356" t="b">
        <f>IF(VLOOKUP(Table2[[#This Row],[Item]],'Inventory as of 12th Aug 2024'!A:H,1,)=Table2[[#This Row],[Item]],TRUE,FALSE)</f>
        <v>1</v>
      </c>
      <c r="H356" t="s">
        <v>361</v>
      </c>
      <c r="K356" t="s">
        <v>367</v>
      </c>
    </row>
    <row r="357" spans="1:11" x14ac:dyDescent="0.25">
      <c r="A357" s="30">
        <f t="shared" si="51"/>
        <v>45586</v>
      </c>
      <c r="C357" t="str">
        <f>'Inventory as of 12th Aug 2024'!A202</f>
        <v>funtime snacks</v>
      </c>
      <c r="D357">
        <v>50</v>
      </c>
      <c r="E357">
        <v>260</v>
      </c>
      <c r="F357">
        <f t="shared" si="50"/>
        <v>5.2</v>
      </c>
      <c r="G357" t="b">
        <f>IF(VLOOKUP(Table2[[#This Row],[Item]],'Inventory as of 12th Aug 2024'!A:H,1,)=Table2[[#This Row],[Item]],TRUE,FALSE)</f>
        <v>1</v>
      </c>
      <c r="H357" t="s">
        <v>361</v>
      </c>
      <c r="K357" t="s">
        <v>367</v>
      </c>
    </row>
    <row r="358" spans="1:11" x14ac:dyDescent="0.25">
      <c r="A358" s="30">
        <f t="shared" si="51"/>
        <v>45586</v>
      </c>
      <c r="C358" t="str">
        <f>'Inventory as of 12th Aug 2024'!A179</f>
        <v>Bitez</v>
      </c>
      <c r="D358">
        <v>50</v>
      </c>
      <c r="E358">
        <v>430</v>
      </c>
      <c r="F358">
        <f t="shared" si="50"/>
        <v>8.6</v>
      </c>
      <c r="G358" t="b">
        <f>IF(VLOOKUP(Table2[[#This Row],[Item]],'Inventory as of 12th Aug 2024'!A:H,1,)=Table2[[#This Row],[Item]],TRUE,FALSE)</f>
        <v>1</v>
      </c>
      <c r="H358" t="s">
        <v>361</v>
      </c>
      <c r="K358" t="s">
        <v>358</v>
      </c>
    </row>
    <row r="359" spans="1:11" x14ac:dyDescent="0.25">
      <c r="A359" s="30">
        <f t="shared" si="51"/>
        <v>45586</v>
      </c>
      <c r="C359" t="str">
        <f>'Inventory as of 12th Aug 2024'!A92</f>
        <v>Banana</v>
      </c>
      <c r="D359">
        <v>18</v>
      </c>
      <c r="E359">
        <v>120</v>
      </c>
      <c r="F359">
        <f t="shared" si="50"/>
        <v>6.666666666666667</v>
      </c>
      <c r="G359" t="b">
        <f>IF(VLOOKUP(Table2[[#This Row],[Item]],'Inventory as of 12th Aug 2024'!A:H,1,)=Table2[[#This Row],[Item]],TRUE,FALSE)</f>
        <v>1</v>
      </c>
      <c r="H359" t="s">
        <v>361</v>
      </c>
      <c r="K359" t="s">
        <v>358</v>
      </c>
    </row>
    <row r="360" spans="1:11" x14ac:dyDescent="0.25">
      <c r="A360" s="30">
        <f>DATE(2024,10,22)</f>
        <v>45587</v>
      </c>
      <c r="C360" t="str">
        <f>'Inventory as of 12th Aug 2024'!A199</f>
        <v>Kdf</v>
      </c>
      <c r="D360">
        <v>18</v>
      </c>
      <c r="E360">
        <v>150</v>
      </c>
      <c r="F360">
        <f t="shared" si="50"/>
        <v>8.3333333333333339</v>
      </c>
      <c r="G360" t="b">
        <f>IF(VLOOKUP(Table2[[#This Row],[Item]],'Inventory as of 12th Aug 2024'!A:H,1,)=Table2[[#This Row],[Item]],TRUE,FALSE)</f>
        <v>1</v>
      </c>
      <c r="H360" t="s">
        <v>247</v>
      </c>
    </row>
    <row r="361" spans="1:11" x14ac:dyDescent="0.25">
      <c r="A361" s="30">
        <f t="shared" ref="A361:A364" si="52">DATE(2024,10,22)</f>
        <v>45587</v>
      </c>
      <c r="C361" t="str">
        <f>'Inventory as of 12th Aug 2024'!A200</f>
        <v>Ngumu</v>
      </c>
      <c r="D361">
        <v>12</v>
      </c>
      <c r="E361">
        <v>100</v>
      </c>
      <c r="F361">
        <f t="shared" si="50"/>
        <v>8.3333333333333339</v>
      </c>
      <c r="G361" t="b">
        <f>IF(VLOOKUP(Table2[[#This Row],[Item]],'Inventory as of 12th Aug 2024'!A:H,1,)=Table2[[#This Row],[Item]],TRUE,FALSE)</f>
        <v>1</v>
      </c>
      <c r="H361" t="s">
        <v>247</v>
      </c>
    </row>
    <row r="362" spans="1:11" x14ac:dyDescent="0.25">
      <c r="A362" s="30">
        <f t="shared" si="52"/>
        <v>45587</v>
      </c>
      <c r="C362" t="str">
        <f>'Inventory as of 12th Aug 2024'!A33</f>
        <v>BB Bread 400g</v>
      </c>
      <c r="D362">
        <v>4</v>
      </c>
      <c r="E362">
        <v>240</v>
      </c>
      <c r="F362">
        <f t="shared" si="50"/>
        <v>60</v>
      </c>
      <c r="G362" t="b">
        <f>IF(VLOOKUP(Table2[[#This Row],[Item]],'Inventory as of 12th Aug 2024'!A:H,1,)=Table2[[#This Row],[Item]],TRUE,FALSE)</f>
        <v>1</v>
      </c>
      <c r="H362" t="s">
        <v>247</v>
      </c>
    </row>
    <row r="363" spans="1:11" x14ac:dyDescent="0.25">
      <c r="A363" s="30">
        <f t="shared" si="52"/>
        <v>45587</v>
      </c>
      <c r="C363" t="str">
        <f>'Inventory as of 12th Aug 2024'!A9</f>
        <v>Kinangop Fresh Milk 500ml</v>
      </c>
      <c r="D363">
        <v>5</v>
      </c>
      <c r="E363">
        <v>275</v>
      </c>
      <c r="F363">
        <f t="shared" si="50"/>
        <v>55</v>
      </c>
      <c r="G363" t="b">
        <f>IF(VLOOKUP(Table2[[#This Row],[Item]],'Inventory as of 12th Aug 2024'!A:H,1,)=Table2[[#This Row],[Item]],TRUE,FALSE)</f>
        <v>1</v>
      </c>
      <c r="H363" t="s">
        <v>247</v>
      </c>
    </row>
    <row r="364" spans="1:11" x14ac:dyDescent="0.25">
      <c r="A364" s="30">
        <f t="shared" si="52"/>
        <v>45587</v>
      </c>
      <c r="C364" t="str">
        <f>'Inventory as of 12th Aug 2024'!A37</f>
        <v>Festive Bread 400g</v>
      </c>
      <c r="D364">
        <v>5</v>
      </c>
      <c r="E364">
        <v>300</v>
      </c>
      <c r="F364">
        <f t="shared" si="50"/>
        <v>60</v>
      </c>
      <c r="G364" t="b">
        <f>IF(VLOOKUP(Table2[[#This Row],[Item]],'Inventory as of 12th Aug 2024'!A:H,1,)=Table2[[#This Row],[Item]],TRUE,FALSE)</f>
        <v>1</v>
      </c>
      <c r="H364" t="s">
        <v>247</v>
      </c>
    </row>
    <row r="365" spans="1:11" x14ac:dyDescent="0.25">
      <c r="A365" s="30">
        <f>DATE(2024,10,23)</f>
        <v>45588</v>
      </c>
      <c r="C365" t="str">
        <f>'Inventory as of 12th Aug 2024'!A33</f>
        <v>BB Bread 400g</v>
      </c>
      <c r="D365">
        <v>5</v>
      </c>
      <c r="E365">
        <v>300</v>
      </c>
      <c r="F365">
        <f t="shared" si="50"/>
        <v>60</v>
      </c>
      <c r="G365" t="b">
        <f>IF(VLOOKUP(Table2[[#This Row],[Item]],'Inventory as of 12th Aug 2024'!A:H,1,)=Table2[[#This Row],[Item]],TRUE,FALSE)</f>
        <v>1</v>
      </c>
      <c r="H365" t="s">
        <v>247</v>
      </c>
    </row>
    <row r="366" spans="1:11" x14ac:dyDescent="0.25">
      <c r="A366" s="30">
        <f t="shared" ref="A366:A371" si="53">DATE(2024,10,23)</f>
        <v>45588</v>
      </c>
      <c r="C366" t="str">
        <f>'Inventory as of 12th Aug 2024'!A37</f>
        <v>Festive Bread 400g</v>
      </c>
      <c r="D366">
        <v>5</v>
      </c>
      <c r="E366">
        <v>300</v>
      </c>
      <c r="F366">
        <f t="shared" si="50"/>
        <v>60</v>
      </c>
      <c r="G366" t="b">
        <f>IF(VLOOKUP(Table2[[#This Row],[Item]],'Inventory as of 12th Aug 2024'!A:H,1,)=Table2[[#This Row],[Item]],TRUE,FALSE)</f>
        <v>1</v>
      </c>
      <c r="H366" t="s">
        <v>247</v>
      </c>
    </row>
    <row r="367" spans="1:11" x14ac:dyDescent="0.25">
      <c r="A367" s="30">
        <f t="shared" si="53"/>
        <v>45588</v>
      </c>
      <c r="C367" t="str">
        <f>'Inventory as of 12th Aug 2024'!A16</f>
        <v>Mt kenya milk 500ml</v>
      </c>
      <c r="D367">
        <v>54</v>
      </c>
      <c r="E367">
        <v>2565</v>
      </c>
      <c r="F367">
        <f t="shared" si="50"/>
        <v>47.5</v>
      </c>
      <c r="G367" t="b">
        <f>IF(VLOOKUP(Table2[[#This Row],[Item]],'Inventory as of 12th Aug 2024'!A:H,1,)=Table2[[#This Row],[Item]],TRUE,FALSE)</f>
        <v>1</v>
      </c>
      <c r="H367" t="s">
        <v>361</v>
      </c>
      <c r="K367" t="s">
        <v>363</v>
      </c>
    </row>
    <row r="368" spans="1:11" x14ac:dyDescent="0.25">
      <c r="A368" s="30">
        <f t="shared" si="53"/>
        <v>45588</v>
      </c>
      <c r="C368" t="str">
        <f>'Inventory as of 12th Aug 2024'!A248</f>
        <v>Soko Maize meal</v>
      </c>
      <c r="D368">
        <v>12</v>
      </c>
      <c r="E368">
        <v>1435</v>
      </c>
      <c r="F368">
        <f t="shared" si="50"/>
        <v>119.58333333333333</v>
      </c>
      <c r="G368" t="b">
        <f>IF(VLOOKUP(Table2[[#This Row],[Item]],'Inventory as of 12th Aug 2024'!A:H,1,)=Table2[[#This Row],[Item]],TRUE,FALSE)</f>
        <v>1</v>
      </c>
      <c r="H368" t="s">
        <v>361</v>
      </c>
      <c r="K368" t="s">
        <v>363</v>
      </c>
    </row>
    <row r="369" spans="1:11" x14ac:dyDescent="0.25">
      <c r="A369" s="30">
        <f t="shared" si="53"/>
        <v>45588</v>
      </c>
      <c r="C369" t="s">
        <v>612</v>
      </c>
      <c r="D369">
        <v>24</v>
      </c>
      <c r="E369">
        <v>1455</v>
      </c>
      <c r="F369">
        <f t="shared" si="50"/>
        <v>60.625</v>
      </c>
      <c r="G369" t="b">
        <f>IF(VLOOKUP(Table2[[#This Row],[Item]],'Inventory as of 12th Aug 2024'!A:H,1,)=Table2[[#This Row],[Item]],TRUE,FALSE)</f>
        <v>1</v>
      </c>
      <c r="H369" t="s">
        <v>361</v>
      </c>
      <c r="K369" t="s">
        <v>363</v>
      </c>
    </row>
    <row r="370" spans="1:11" x14ac:dyDescent="0.25">
      <c r="A370" s="30">
        <f t="shared" si="53"/>
        <v>45588</v>
      </c>
      <c r="C370" t="str">
        <f>'Inventory as of 12th Aug 2024'!A42</f>
        <v>Indomie chicken</v>
      </c>
      <c r="D370">
        <v>40</v>
      </c>
      <c r="E370">
        <v>1510</v>
      </c>
      <c r="F370">
        <f t="shared" si="50"/>
        <v>37.75</v>
      </c>
      <c r="G370" t="b">
        <f>IF(VLOOKUP(Table2[[#This Row],[Item]],'Inventory as of 12th Aug 2024'!A:H,1,)=Table2[[#This Row],[Item]],TRUE,FALSE)</f>
        <v>1</v>
      </c>
      <c r="H370" t="s">
        <v>361</v>
      </c>
      <c r="K370" t="s">
        <v>363</v>
      </c>
    </row>
    <row r="371" spans="1:11" x14ac:dyDescent="0.25">
      <c r="A371" s="30">
        <f t="shared" si="53"/>
        <v>45588</v>
      </c>
      <c r="C371" t="str">
        <f>'Inventory as of 12th Aug 2024'!A41</f>
        <v>Indomie beef</v>
      </c>
      <c r="D371">
        <v>20</v>
      </c>
      <c r="E371">
        <v>755</v>
      </c>
      <c r="F371">
        <f t="shared" si="50"/>
        <v>37.75</v>
      </c>
      <c r="G371" t="b">
        <f>IF(VLOOKUP(Table2[[#This Row],[Item]],'Inventory as of 12th Aug 2024'!A:H,1,)=Table2[[#This Row],[Item]],TRUE,FALSE)</f>
        <v>1</v>
      </c>
      <c r="H371" t="s">
        <v>361</v>
      </c>
      <c r="K371" t="s">
        <v>363</v>
      </c>
    </row>
    <row r="372" spans="1:11" x14ac:dyDescent="0.25">
      <c r="A372" s="30">
        <f>DATE(2024,10,24)</f>
        <v>45589</v>
      </c>
      <c r="C372" t="str">
        <f>'Inventory as of 12th Aug 2024'!A199</f>
        <v>Kdf</v>
      </c>
      <c r="D372">
        <v>18</v>
      </c>
      <c r="E372">
        <v>150</v>
      </c>
      <c r="F372">
        <f t="shared" si="50"/>
        <v>8.3333333333333339</v>
      </c>
      <c r="G372" t="b">
        <f>IF(VLOOKUP(Table2[[#This Row],[Item]],'Inventory as of 12th Aug 2024'!A:H,1,)=Table2[[#This Row],[Item]],TRUE,FALSE)</f>
        <v>1</v>
      </c>
      <c r="H372" t="s">
        <v>247</v>
      </c>
    </row>
    <row r="373" spans="1:11" x14ac:dyDescent="0.25">
      <c r="A373" s="30">
        <f t="shared" ref="A373" si="54">DATE(2024,10,24)</f>
        <v>45589</v>
      </c>
      <c r="C373" t="str">
        <f>'Inventory as of 12th Aug 2024'!A200</f>
        <v>Ngumu</v>
      </c>
      <c r="D373">
        <v>12</v>
      </c>
      <c r="E373">
        <v>100</v>
      </c>
      <c r="F373">
        <f t="shared" si="50"/>
        <v>8.3333333333333339</v>
      </c>
      <c r="G373" t="b">
        <f>IF(VLOOKUP(Table2[[#This Row],[Item]],'Inventory as of 12th Aug 2024'!A:H,1,)=Table2[[#This Row],[Item]],TRUE,FALSE)</f>
        <v>1</v>
      </c>
      <c r="H373" t="s">
        <v>247</v>
      </c>
    </row>
    <row r="374" spans="1:11" x14ac:dyDescent="0.25">
      <c r="A374" s="30">
        <f>DATE(2024,10,25)</f>
        <v>45590</v>
      </c>
      <c r="C374" t="str">
        <f>'Inventory as of 12th Aug 2024'!A33</f>
        <v>BB Bread 400g</v>
      </c>
      <c r="D374">
        <v>5</v>
      </c>
      <c r="E374">
        <v>300</v>
      </c>
      <c r="F374">
        <f t="shared" si="50"/>
        <v>60</v>
      </c>
      <c r="G374" t="b">
        <f>IF(VLOOKUP(Table2[[#This Row],[Item]],'Inventory as of 12th Aug 2024'!A:H,1,)=Table2[[#This Row],[Item]],TRUE,FALSE)</f>
        <v>1</v>
      </c>
      <c r="H374" t="s">
        <v>247</v>
      </c>
    </row>
    <row r="375" spans="1:11" x14ac:dyDescent="0.25">
      <c r="A375" s="30">
        <f t="shared" ref="A375:A381" si="55">DATE(2024,10,25)</f>
        <v>45590</v>
      </c>
      <c r="C375" t="str">
        <f>'Inventory as of 12th Aug 2024'!A37</f>
        <v>Festive Bread 400g</v>
      </c>
      <c r="D375">
        <v>6</v>
      </c>
      <c r="E375">
        <v>360</v>
      </c>
      <c r="F375">
        <f t="shared" si="50"/>
        <v>60</v>
      </c>
      <c r="G375" t="b">
        <f>IF(VLOOKUP(Table2[[#This Row],[Item]],'Inventory as of 12th Aug 2024'!A:H,1,)=Table2[[#This Row],[Item]],TRUE,FALSE)</f>
        <v>1</v>
      </c>
      <c r="H375" t="s">
        <v>247</v>
      </c>
    </row>
    <row r="376" spans="1:11" x14ac:dyDescent="0.25">
      <c r="A376" s="30">
        <f t="shared" si="55"/>
        <v>45590</v>
      </c>
      <c r="C376" t="str">
        <f>'Inventory as of 12th Aug 2024'!A199</f>
        <v>Kdf</v>
      </c>
      <c r="D376">
        <v>42</v>
      </c>
      <c r="E376">
        <v>350</v>
      </c>
      <c r="F376">
        <f t="shared" si="50"/>
        <v>8.3333333333333339</v>
      </c>
      <c r="G376" t="b">
        <f>IF(VLOOKUP(Table2[[#This Row],[Item]],'Inventory as of 12th Aug 2024'!A:H,1,)=Table2[[#This Row],[Item]],TRUE,FALSE)</f>
        <v>1</v>
      </c>
      <c r="H376" t="s">
        <v>247</v>
      </c>
    </row>
    <row r="377" spans="1:11" x14ac:dyDescent="0.25">
      <c r="A377" s="30">
        <f t="shared" si="55"/>
        <v>45590</v>
      </c>
      <c r="C377" t="str">
        <f>'Inventory as of 12th Aug 2024'!A91</f>
        <v>Tomatoes</v>
      </c>
      <c r="D377">
        <v>50</v>
      </c>
      <c r="E377">
        <v>200</v>
      </c>
      <c r="F377">
        <f t="shared" si="50"/>
        <v>4</v>
      </c>
      <c r="G377" t="b">
        <f>IF(VLOOKUP(Table2[[#This Row],[Item]],'Inventory as of 12th Aug 2024'!A:H,1,)=Table2[[#This Row],[Item]],TRUE,FALSE)</f>
        <v>1</v>
      </c>
      <c r="H377" t="s">
        <v>361</v>
      </c>
      <c r="K377" t="s">
        <v>363</v>
      </c>
    </row>
    <row r="378" spans="1:11" x14ac:dyDescent="0.25">
      <c r="A378" s="30">
        <f t="shared" si="55"/>
        <v>45590</v>
      </c>
      <c r="C378" t="str">
        <f>'Inventory as of 12th Aug 2024'!A92</f>
        <v>Banana</v>
      </c>
      <c r="D378">
        <v>18</v>
      </c>
      <c r="E378">
        <v>120</v>
      </c>
      <c r="F378">
        <f t="shared" si="50"/>
        <v>6.666666666666667</v>
      </c>
      <c r="G378" t="b">
        <f>IF(VLOOKUP(Table2[[#This Row],[Item]],'Inventory as of 12th Aug 2024'!A:H,1,)=Table2[[#This Row],[Item]],TRUE,FALSE)</f>
        <v>1</v>
      </c>
      <c r="H378" t="s">
        <v>361</v>
      </c>
      <c r="K378" t="s">
        <v>358</v>
      </c>
    </row>
    <row r="379" spans="1:11" x14ac:dyDescent="0.25">
      <c r="A379" s="30">
        <f t="shared" si="55"/>
        <v>45590</v>
      </c>
      <c r="C379" t="str">
        <f>'Inventory as of 12th Aug 2024'!A58</f>
        <v>Safari</v>
      </c>
      <c r="D379">
        <v>100</v>
      </c>
      <c r="E379">
        <v>1050</v>
      </c>
      <c r="F379">
        <f t="shared" si="50"/>
        <v>10.5</v>
      </c>
      <c r="G379" t="b">
        <f>IF(VLOOKUP(Table2[[#This Row],[Item]],'Inventory as of 12th Aug 2024'!A:H,1,)=Table2[[#This Row],[Item]],TRUE,FALSE)</f>
        <v>1</v>
      </c>
      <c r="H379" t="s">
        <v>361</v>
      </c>
      <c r="K379" t="s">
        <v>358</v>
      </c>
    </row>
    <row r="380" spans="1:11" x14ac:dyDescent="0.25">
      <c r="A380" s="30">
        <f t="shared" si="55"/>
        <v>45590</v>
      </c>
      <c r="C380" t="str">
        <f>'Inventory as of 12th Aug 2024'!A153</f>
        <v>mosquito stick</v>
      </c>
      <c r="D380">
        <v>60</v>
      </c>
      <c r="E380">
        <v>300</v>
      </c>
      <c r="F380">
        <f t="shared" si="50"/>
        <v>5</v>
      </c>
      <c r="G380" t="b">
        <f>IF(VLOOKUP(Table2[[#This Row],[Item]],'Inventory as of 12th Aug 2024'!A:H,1,)=Table2[[#This Row],[Item]],TRUE,FALSE)</f>
        <v>1</v>
      </c>
      <c r="H380" t="s">
        <v>361</v>
      </c>
      <c r="K380" t="s">
        <v>358</v>
      </c>
    </row>
    <row r="381" spans="1:11" x14ac:dyDescent="0.25">
      <c r="A381" s="30">
        <f t="shared" si="55"/>
        <v>45590</v>
      </c>
      <c r="C381" t="str">
        <f>'Inventory as of 12th Aug 2024'!A208</f>
        <v>minutemaid 400ml</v>
      </c>
      <c r="D381">
        <v>12</v>
      </c>
      <c r="E381">
        <v>800</v>
      </c>
      <c r="F381">
        <f t="shared" si="50"/>
        <v>66.666666666666671</v>
      </c>
      <c r="G381" t="b">
        <f>IF(VLOOKUP(Table2[[#This Row],[Item]],'Inventory as of 12th Aug 2024'!A:H,1,)=Table2[[#This Row],[Item]],TRUE,FALSE)</f>
        <v>1</v>
      </c>
      <c r="H381" t="s">
        <v>361</v>
      </c>
      <c r="K381" t="s">
        <v>358</v>
      </c>
    </row>
    <row r="382" spans="1:11" x14ac:dyDescent="0.25">
      <c r="A382" s="30">
        <f>DATE(2024,10,26)</f>
        <v>45591</v>
      </c>
      <c r="C382" t="str">
        <f>'Inventory as of 12th Aug 2024'!A33</f>
        <v>BB Bread 400g</v>
      </c>
      <c r="D382">
        <v>5</v>
      </c>
      <c r="E382">
        <v>300</v>
      </c>
      <c r="F382">
        <f t="shared" si="50"/>
        <v>60</v>
      </c>
      <c r="G382" t="b">
        <f>IF(VLOOKUP(Table2[[#This Row],[Item]],'Inventory as of 12th Aug 2024'!A:H,1,)=Table2[[#This Row],[Item]],TRUE,FALSE)</f>
        <v>1</v>
      </c>
      <c r="H382" t="s">
        <v>247</v>
      </c>
    </row>
    <row r="383" spans="1:11" x14ac:dyDescent="0.25">
      <c r="A383" s="30">
        <f t="shared" ref="A383:A385" si="56">DATE(2024,10,26)</f>
        <v>45591</v>
      </c>
      <c r="C383" t="str">
        <f>'Inventory as of 12th Aug 2024'!A37</f>
        <v>Festive Bread 400g</v>
      </c>
      <c r="D383">
        <v>5</v>
      </c>
      <c r="E383">
        <v>300</v>
      </c>
      <c r="F383">
        <f t="shared" si="50"/>
        <v>60</v>
      </c>
      <c r="G383" t="b">
        <f>IF(VLOOKUP(Table2[[#This Row],[Item]],'Inventory as of 12th Aug 2024'!A:H,1,)=Table2[[#This Row],[Item]],TRUE,FALSE)</f>
        <v>1</v>
      </c>
      <c r="H383" t="s">
        <v>361</v>
      </c>
      <c r="K383" t="s">
        <v>358</v>
      </c>
    </row>
    <row r="384" spans="1:11" x14ac:dyDescent="0.25">
      <c r="A384" s="30">
        <f t="shared" si="56"/>
        <v>45591</v>
      </c>
      <c r="C384" t="str">
        <f>'Inventory as of 12th Aug 2024'!A76</f>
        <v>Rina 1ltr</v>
      </c>
      <c r="D384">
        <v>6</v>
      </c>
      <c r="E384">
        <v>1700</v>
      </c>
      <c r="F384">
        <f t="shared" si="50"/>
        <v>283.33333333333331</v>
      </c>
      <c r="G384" t="b">
        <f>IF(VLOOKUP(Table2[[#This Row],[Item]],'Inventory as of 12th Aug 2024'!A:H,1,)=Table2[[#This Row],[Item]],TRUE,FALSE)</f>
        <v>1</v>
      </c>
      <c r="H384" t="s">
        <v>361</v>
      </c>
      <c r="K384" t="s">
        <v>367</v>
      </c>
    </row>
    <row r="385" spans="1:11" x14ac:dyDescent="0.25">
      <c r="A385" s="30">
        <f t="shared" si="56"/>
        <v>45591</v>
      </c>
      <c r="C385" t="str">
        <f>'Inventory as of 12th Aug 2024'!A138</f>
        <v>Softcare pads</v>
      </c>
      <c r="D385">
        <v>6</v>
      </c>
      <c r="E385">
        <v>500</v>
      </c>
      <c r="F385">
        <f t="shared" si="50"/>
        <v>83.333333333333329</v>
      </c>
      <c r="G385" t="b">
        <f>IF(VLOOKUP(Table2[[#This Row],[Item]],'Inventory as of 12th Aug 2024'!A:H,1,)=Table2[[#This Row],[Item]],TRUE,FALSE)</f>
        <v>1</v>
      </c>
      <c r="H385" t="s">
        <v>361</v>
      </c>
      <c r="K385" t="s">
        <v>367</v>
      </c>
    </row>
    <row r="386" spans="1:11" x14ac:dyDescent="0.25">
      <c r="A386" s="30">
        <f>DATE(2024,10,28)</f>
        <v>45593</v>
      </c>
      <c r="C386" t="str">
        <f>'Inventory as of 12th Aug 2024'!A33</f>
        <v>BB Bread 400g</v>
      </c>
      <c r="D386">
        <v>8</v>
      </c>
      <c r="E386">
        <v>480</v>
      </c>
      <c r="F386">
        <f t="shared" si="50"/>
        <v>60</v>
      </c>
      <c r="G386" t="b">
        <f>IF(VLOOKUP(Table2[[#This Row],[Item]],'Inventory as of 12th Aug 2024'!A:H,1,)=Table2[[#This Row],[Item]],TRUE,FALSE)</f>
        <v>1</v>
      </c>
      <c r="H386" t="s">
        <v>247</v>
      </c>
    </row>
    <row r="387" spans="1:11" x14ac:dyDescent="0.25">
      <c r="A387" s="30">
        <f t="shared" ref="A387:A388" si="57">DATE(2024,10,28)</f>
        <v>45593</v>
      </c>
      <c r="C387" t="str">
        <f>'Inventory as of 12th Aug 2024'!A37</f>
        <v>Festive Bread 400g</v>
      </c>
      <c r="D387">
        <v>4</v>
      </c>
      <c r="E387">
        <v>240</v>
      </c>
      <c r="F387">
        <f t="shared" si="50"/>
        <v>60</v>
      </c>
      <c r="G387" t="b">
        <f>IF(VLOOKUP(Table2[[#This Row],[Item]],'Inventory as of 12th Aug 2024'!A:H,1,)=Table2[[#This Row],[Item]],TRUE,FALSE)</f>
        <v>1</v>
      </c>
      <c r="H387" t="s">
        <v>247</v>
      </c>
    </row>
    <row r="388" spans="1:11" x14ac:dyDescent="0.25">
      <c r="A388" s="30">
        <f t="shared" si="57"/>
        <v>45593</v>
      </c>
      <c r="C388" t="str">
        <f>'Inventory as of 12th Aug 2024'!A35</f>
        <v>Festive 600g</v>
      </c>
      <c r="D388">
        <v>3</v>
      </c>
      <c r="E388">
        <v>180</v>
      </c>
      <c r="F388">
        <f t="shared" si="50"/>
        <v>60</v>
      </c>
      <c r="G388" t="b">
        <f>IF(VLOOKUP(Table2[[#This Row],[Item]],'Inventory as of 12th Aug 2024'!A:H,1,)=Table2[[#This Row],[Item]],TRUE,FALSE)</f>
        <v>1</v>
      </c>
      <c r="H388" t="s">
        <v>247</v>
      </c>
    </row>
    <row r="389" spans="1:11" x14ac:dyDescent="0.25">
      <c r="A389" s="30">
        <f>DATE(2024,10,29)</f>
        <v>45594</v>
      </c>
      <c r="C389" t="str">
        <f>'Inventory as of 12th Aug 2024'!A33</f>
        <v>BB Bread 400g</v>
      </c>
      <c r="D389">
        <v>6</v>
      </c>
      <c r="E389">
        <v>360</v>
      </c>
      <c r="F389">
        <f t="shared" si="50"/>
        <v>60</v>
      </c>
      <c r="G389" t="b">
        <f>IF(VLOOKUP(Table2[[#This Row],[Item]],'Inventory as of 12th Aug 2024'!A:H,1,)=Table2[[#This Row],[Item]],TRUE,FALSE)</f>
        <v>1</v>
      </c>
      <c r="H389" t="s">
        <v>247</v>
      </c>
    </row>
    <row r="390" spans="1:11" x14ac:dyDescent="0.25">
      <c r="A390" s="30">
        <f t="shared" ref="A390:A391" si="58">DATE(2024,10,29)</f>
        <v>45594</v>
      </c>
      <c r="C390" t="str">
        <f>'Inventory as of 12th Aug 2024'!A37</f>
        <v>Festive Bread 400g</v>
      </c>
      <c r="D390">
        <v>7</v>
      </c>
      <c r="E390">
        <v>420</v>
      </c>
      <c r="F390">
        <f t="shared" si="50"/>
        <v>60</v>
      </c>
      <c r="G390" t="b">
        <f>IF(VLOOKUP(Table2[[#This Row],[Item]],'Inventory as of 12th Aug 2024'!A:H,1,)=Table2[[#This Row],[Item]],TRUE,FALSE)</f>
        <v>1</v>
      </c>
      <c r="H390" t="s">
        <v>247</v>
      </c>
    </row>
    <row r="391" spans="1:11" x14ac:dyDescent="0.25">
      <c r="A391" s="30">
        <f t="shared" si="58"/>
        <v>45594</v>
      </c>
      <c r="C391" t="str">
        <f>'Inventory as of 12th Aug 2024'!A199</f>
        <v>Kdf</v>
      </c>
      <c r="D391">
        <v>30</v>
      </c>
      <c r="E391">
        <v>250</v>
      </c>
      <c r="F391">
        <f t="shared" si="50"/>
        <v>8.3333333333333339</v>
      </c>
      <c r="G391" t="b">
        <f>IF(VLOOKUP(Table2[[#This Row],[Item]],'Inventory as of 12th Aug 2024'!A:H,1,)=Table2[[#This Row],[Item]],TRUE,FALSE)</f>
        <v>1</v>
      </c>
      <c r="H391" t="s">
        <v>247</v>
      </c>
    </row>
    <row r="392" spans="1:11" x14ac:dyDescent="0.25">
      <c r="A392" s="30">
        <f>DATE(2024,10,30)</f>
        <v>45595</v>
      </c>
      <c r="C392" t="str">
        <f>'Inventory as of 12th Aug 2024'!A33</f>
        <v>BB Bread 400g</v>
      </c>
      <c r="D392">
        <v>5</v>
      </c>
      <c r="E392">
        <v>300</v>
      </c>
      <c r="F392">
        <f t="shared" si="50"/>
        <v>60</v>
      </c>
      <c r="G392" t="b">
        <f>IF(VLOOKUP(Table2[[#This Row],[Item]],'Inventory as of 12th Aug 2024'!A:H,1,)=Table2[[#This Row],[Item]],TRUE,FALSE)</f>
        <v>1</v>
      </c>
      <c r="H392" t="s">
        <v>247</v>
      </c>
    </row>
    <row r="393" spans="1:11" x14ac:dyDescent="0.25">
      <c r="A393" s="30">
        <f t="shared" ref="A393:A412" si="59">DATE(2024,10,30)</f>
        <v>45595</v>
      </c>
      <c r="C393" t="str">
        <f>'Inventory as of 12th Aug 2024'!A37</f>
        <v>Festive Bread 400g</v>
      </c>
      <c r="D393">
        <v>5</v>
      </c>
      <c r="E393">
        <v>300</v>
      </c>
      <c r="F393">
        <f t="shared" si="50"/>
        <v>60</v>
      </c>
      <c r="G393" t="b">
        <f>IF(VLOOKUP(Table2[[#This Row],[Item]],'Inventory as of 12th Aug 2024'!A:H,1,)=Table2[[#This Row],[Item]],TRUE,FALSE)</f>
        <v>1</v>
      </c>
      <c r="H393" t="s">
        <v>247</v>
      </c>
    </row>
    <row r="394" spans="1:11" x14ac:dyDescent="0.25">
      <c r="A394" s="30">
        <f t="shared" si="59"/>
        <v>45595</v>
      </c>
      <c r="C394" t="str">
        <f>'Inventory as of 12th Aug 2024'!A8</f>
        <v>eggs</v>
      </c>
      <c r="D394">
        <v>90</v>
      </c>
      <c r="E394">
        <v>1320</v>
      </c>
      <c r="F394">
        <f t="shared" si="50"/>
        <v>14.666666666666666</v>
      </c>
      <c r="G394" t="b">
        <f>IF(VLOOKUP(Table2[[#This Row],[Item]],'Inventory as of 12th Aug 2024'!A:H,1,)=Table2[[#This Row],[Item]],TRUE,FALSE)</f>
        <v>1</v>
      </c>
      <c r="H394" t="s">
        <v>361</v>
      </c>
      <c r="K394" t="s">
        <v>363</v>
      </c>
    </row>
    <row r="395" spans="1:11" x14ac:dyDescent="0.25">
      <c r="A395" s="30">
        <f t="shared" si="59"/>
        <v>45595</v>
      </c>
      <c r="C395" t="str">
        <f>'Inventory as of 12th Aug 2024'!A92</f>
        <v>Banana</v>
      </c>
      <c r="E395">
        <v>140</v>
      </c>
      <c r="F395" t="e">
        <f t="shared" si="50"/>
        <v>#DIV/0!</v>
      </c>
      <c r="G395" t="b">
        <f>IF(VLOOKUP(Table2[[#This Row],[Item]],'Inventory as of 12th Aug 2024'!A:H,1,)=Table2[[#This Row],[Item]],TRUE,FALSE)</f>
        <v>1</v>
      </c>
      <c r="H395" t="s">
        <v>361</v>
      </c>
      <c r="K395" t="s">
        <v>363</v>
      </c>
    </row>
    <row r="396" spans="1:11" x14ac:dyDescent="0.25">
      <c r="A396" s="30">
        <f t="shared" si="59"/>
        <v>45595</v>
      </c>
      <c r="C396" t="str">
        <f>'Inventory as of 12th Aug 2024'!A83</f>
        <v>omo 75g</v>
      </c>
      <c r="D396">
        <v>12</v>
      </c>
      <c r="E396">
        <v>310</v>
      </c>
      <c r="F396">
        <f t="shared" si="50"/>
        <v>25.833333333333332</v>
      </c>
      <c r="G396" t="b">
        <f>IF(VLOOKUP(Table2[[#This Row],[Item]],'Inventory as of 12th Aug 2024'!A:H,1,)=Table2[[#This Row],[Item]],TRUE,FALSE)</f>
        <v>1</v>
      </c>
      <c r="H396" t="s">
        <v>361</v>
      </c>
      <c r="K396" t="s">
        <v>367</v>
      </c>
    </row>
    <row r="397" spans="1:11" x14ac:dyDescent="0.25">
      <c r="A397" s="30">
        <f t="shared" si="59"/>
        <v>45595</v>
      </c>
      <c r="C397" t="str">
        <f>'Inventory as of 12th Aug 2024'!A84</f>
        <v>omo 20g</v>
      </c>
      <c r="D397">
        <v>12</v>
      </c>
      <c r="E397">
        <v>110</v>
      </c>
      <c r="F397">
        <f t="shared" si="50"/>
        <v>9.1666666666666661</v>
      </c>
      <c r="G397" t="b">
        <f>IF(VLOOKUP(Table2[[#This Row],[Item]],'Inventory as of 12th Aug 2024'!A:H,1,)=Table2[[#This Row],[Item]],TRUE,FALSE)</f>
        <v>1</v>
      </c>
      <c r="H397" t="s">
        <v>361</v>
      </c>
      <c r="K397" t="s">
        <v>367</v>
      </c>
    </row>
    <row r="398" spans="1:11" x14ac:dyDescent="0.25">
      <c r="A398" s="30">
        <f t="shared" si="59"/>
        <v>45595</v>
      </c>
      <c r="C398" t="str">
        <f>'Inventory as of 12th Aug 2024'!A266</f>
        <v>Zenta Bar Soap</v>
      </c>
      <c r="D398">
        <v>4</v>
      </c>
      <c r="E398">
        <v>640</v>
      </c>
      <c r="F398">
        <f t="shared" si="50"/>
        <v>160</v>
      </c>
      <c r="G398" t="b">
        <f>IF(VLOOKUP(Table2[[#This Row],[Item]],'Inventory as of 12th Aug 2024'!A:H,1,)=Table2[[#This Row],[Item]],TRUE,FALSE)</f>
        <v>1</v>
      </c>
      <c r="H398" t="s">
        <v>361</v>
      </c>
      <c r="K398" t="s">
        <v>367</v>
      </c>
    </row>
    <row r="399" spans="1:11" x14ac:dyDescent="0.25">
      <c r="A399" s="30">
        <f t="shared" si="59"/>
        <v>45595</v>
      </c>
      <c r="C399" t="str">
        <f>'Inventory as of 12th Aug 2024'!A245</f>
        <v>1.5ltrs water</v>
      </c>
      <c r="D399">
        <v>12</v>
      </c>
      <c r="E399">
        <v>280</v>
      </c>
      <c r="F399">
        <f t="shared" si="50"/>
        <v>23.333333333333332</v>
      </c>
      <c r="G399" t="b">
        <f>IF(VLOOKUP(Table2[[#This Row],[Item]],'Inventory as of 12th Aug 2024'!A:H,1,)=Table2[[#This Row],[Item]],TRUE,FALSE)</f>
        <v>1</v>
      </c>
      <c r="H399" t="s">
        <v>361</v>
      </c>
      <c r="K399" t="s">
        <v>367</v>
      </c>
    </row>
    <row r="400" spans="1:11" x14ac:dyDescent="0.25">
      <c r="A400" s="30">
        <f t="shared" si="59"/>
        <v>45595</v>
      </c>
      <c r="C400" t="str">
        <f>'Inventory as of 12th Aug 2024'!A244</f>
        <v>5ltrs water</v>
      </c>
      <c r="D400">
        <v>8</v>
      </c>
      <c r="E400">
        <v>600</v>
      </c>
      <c r="F400">
        <f t="shared" si="50"/>
        <v>75</v>
      </c>
      <c r="G400" t="b">
        <f>IF(VLOOKUP(Table2[[#This Row],[Item]],'Inventory as of 12th Aug 2024'!A:H,1,)=Table2[[#This Row],[Item]],TRUE,FALSE)</f>
        <v>1</v>
      </c>
      <c r="H400" t="s">
        <v>361</v>
      </c>
      <c r="K400" t="s">
        <v>367</v>
      </c>
    </row>
    <row r="401" spans="1:11" x14ac:dyDescent="0.25">
      <c r="A401" s="30">
        <f t="shared" si="59"/>
        <v>45595</v>
      </c>
      <c r="C401" t="str">
        <f>'Inventory as of 12th Aug 2024'!A58</f>
        <v>Safari</v>
      </c>
      <c r="D401">
        <v>120</v>
      </c>
      <c r="E401">
        <v>1050</v>
      </c>
      <c r="F401">
        <f t="shared" si="50"/>
        <v>8.75</v>
      </c>
      <c r="G401" t="b">
        <f>IF(VLOOKUP(Table2[[#This Row],[Item]],'Inventory as of 12th Aug 2024'!A:H,1,)=Table2[[#This Row],[Item]],TRUE,FALSE)</f>
        <v>1</v>
      </c>
      <c r="H401" t="s">
        <v>361</v>
      </c>
      <c r="K401" t="s">
        <v>367</v>
      </c>
    </row>
    <row r="402" spans="1:11" x14ac:dyDescent="0.25">
      <c r="A402" s="30">
        <f t="shared" si="59"/>
        <v>45595</v>
      </c>
      <c r="C402" t="str">
        <f>'Inventory as of 12th Aug 2024'!A211</f>
        <v>predator</v>
      </c>
      <c r="D402">
        <v>12</v>
      </c>
      <c r="E402">
        <v>650</v>
      </c>
      <c r="F402">
        <f t="shared" si="50"/>
        <v>54.166666666666664</v>
      </c>
      <c r="G402" t="b">
        <f>IF(VLOOKUP(Table2[[#This Row],[Item]],'Inventory as of 12th Aug 2024'!A:H,1,)=Table2[[#This Row],[Item]],TRUE,FALSE)</f>
        <v>1</v>
      </c>
      <c r="H402" t="s">
        <v>361</v>
      </c>
      <c r="K402" t="s">
        <v>367</v>
      </c>
    </row>
    <row r="403" spans="1:11" x14ac:dyDescent="0.25">
      <c r="A403" s="30">
        <f t="shared" si="59"/>
        <v>45595</v>
      </c>
      <c r="C403" t="str">
        <f>'Inventory as of 12th Aug 2024'!A187</f>
        <v>Njugu</v>
      </c>
      <c r="D403">
        <v>15</v>
      </c>
      <c r="E403">
        <v>200</v>
      </c>
      <c r="F403">
        <f t="shared" si="50"/>
        <v>13.333333333333334</v>
      </c>
      <c r="G403" t="b">
        <f>IF(VLOOKUP(Table2[[#This Row],[Item]],'Inventory as of 12th Aug 2024'!A:H,1,)=Table2[[#This Row],[Item]],TRUE,FALSE)</f>
        <v>1</v>
      </c>
      <c r="H403" t="s">
        <v>361</v>
      </c>
      <c r="K403" t="s">
        <v>367</v>
      </c>
    </row>
    <row r="404" spans="1:11" x14ac:dyDescent="0.25">
      <c r="A404" s="30">
        <f t="shared" si="59"/>
        <v>45595</v>
      </c>
      <c r="C404" t="str">
        <f>'Inventory as of 12th Aug 2024'!A151</f>
        <v>Arimis big</v>
      </c>
      <c r="D404">
        <v>12</v>
      </c>
      <c r="E404">
        <v>610</v>
      </c>
      <c r="F404">
        <f t="shared" si="50"/>
        <v>50.833333333333336</v>
      </c>
      <c r="G404" t="b">
        <f>IF(VLOOKUP(Table2[[#This Row],[Item]],'Inventory as of 12th Aug 2024'!A:H,1,)=Table2[[#This Row],[Item]],TRUE,FALSE)</f>
        <v>1</v>
      </c>
      <c r="H404" t="s">
        <v>361</v>
      </c>
      <c r="K404" t="s">
        <v>367</v>
      </c>
    </row>
    <row r="405" spans="1:11" x14ac:dyDescent="0.25">
      <c r="A405" s="30">
        <f t="shared" si="59"/>
        <v>45595</v>
      </c>
      <c r="C405" t="str">
        <f>'Inventory as of 12th Aug 2024'!A91</f>
        <v>Tomatoes</v>
      </c>
      <c r="D405">
        <v>25</v>
      </c>
      <c r="E405">
        <v>100</v>
      </c>
      <c r="F405">
        <f t="shared" si="50"/>
        <v>4</v>
      </c>
      <c r="G405" t="b">
        <f>IF(VLOOKUP(Table2[[#This Row],[Item]],'Inventory as of 12th Aug 2024'!A:H,1,)=Table2[[#This Row],[Item]],TRUE,FALSE)</f>
        <v>1</v>
      </c>
      <c r="H405" t="s">
        <v>361</v>
      </c>
      <c r="K405" t="s">
        <v>358</v>
      </c>
    </row>
    <row r="406" spans="1:11" x14ac:dyDescent="0.25">
      <c r="A406" s="30">
        <f t="shared" si="59"/>
        <v>45595</v>
      </c>
      <c r="C406" t="str">
        <f>'Inventory as of 12th Aug 2024'!A16</f>
        <v>Mt kenya milk 500ml</v>
      </c>
      <c r="D406">
        <v>36</v>
      </c>
      <c r="E406">
        <v>1710</v>
      </c>
      <c r="F406">
        <f t="shared" si="50"/>
        <v>47.5</v>
      </c>
      <c r="G406" t="b">
        <f>IF(VLOOKUP(Table2[[#This Row],[Item]],'Inventory as of 12th Aug 2024'!A:H,1,)=Table2[[#This Row],[Item]],TRUE,FALSE)</f>
        <v>1</v>
      </c>
      <c r="H406" t="s">
        <v>247</v>
      </c>
    </row>
    <row r="407" spans="1:11" x14ac:dyDescent="0.25">
      <c r="A407" s="30">
        <f t="shared" si="59"/>
        <v>45595</v>
      </c>
      <c r="C407" t="str">
        <f>'Inventory as of 12th Aug 2024'!A234</f>
        <v>Bigdaddy</v>
      </c>
      <c r="D407">
        <v>50</v>
      </c>
      <c r="E407">
        <v>288</v>
      </c>
      <c r="F407">
        <f t="shared" si="50"/>
        <v>5.76</v>
      </c>
      <c r="G407" t="b">
        <f>IF(VLOOKUP(Table2[[#This Row],[Item]],'Inventory as of 12th Aug 2024'!A:H,1,)=Table2[[#This Row],[Item]],TRUE,FALSE)</f>
        <v>1</v>
      </c>
      <c r="H407" t="s">
        <v>247</v>
      </c>
    </row>
    <row r="408" spans="1:11" x14ac:dyDescent="0.25">
      <c r="A408" s="30">
        <f t="shared" si="59"/>
        <v>45595</v>
      </c>
      <c r="C408" t="str">
        <f>'Inventory as of 12th Aug 2024'!A82</f>
        <v>ariel 10g</v>
      </c>
      <c r="D408">
        <v>12</v>
      </c>
      <c r="E408">
        <v>105</v>
      </c>
      <c r="F408">
        <f t="shared" si="50"/>
        <v>8.75</v>
      </c>
      <c r="G408" t="b">
        <f>IF(VLOOKUP(Table2[[#This Row],[Item]],'Inventory as of 12th Aug 2024'!A:H,1,)=Table2[[#This Row],[Item]],TRUE,FALSE)</f>
        <v>1</v>
      </c>
      <c r="H408" t="s">
        <v>247</v>
      </c>
    </row>
    <row r="409" spans="1:11" x14ac:dyDescent="0.25">
      <c r="A409" s="30">
        <f t="shared" si="59"/>
        <v>45595</v>
      </c>
      <c r="C409" t="str">
        <f>'Inventory as of 12th Aug 2024'!A193</f>
        <v>Ginger Bisquit</v>
      </c>
      <c r="D409">
        <v>60</v>
      </c>
      <c r="E409">
        <v>250</v>
      </c>
      <c r="F409">
        <f t="shared" si="50"/>
        <v>4.166666666666667</v>
      </c>
      <c r="G409" t="b">
        <f>IF(VLOOKUP(Table2[[#This Row],[Item]],'Inventory as of 12th Aug 2024'!A:H,1,)=Table2[[#This Row],[Item]],TRUE,FALSE)</f>
        <v>1</v>
      </c>
      <c r="H409" t="s">
        <v>247</v>
      </c>
    </row>
    <row r="410" spans="1:11" x14ac:dyDescent="0.25">
      <c r="A410" s="30">
        <f t="shared" si="59"/>
        <v>45595</v>
      </c>
      <c r="C410" t="str">
        <f>'Inventory as of 12th Aug 2024'!A191</f>
        <v>Nuvita Bisquit</v>
      </c>
      <c r="D410">
        <v>60</v>
      </c>
      <c r="E410">
        <v>243</v>
      </c>
      <c r="F410">
        <f t="shared" si="50"/>
        <v>4.05</v>
      </c>
      <c r="G410" t="b">
        <f>IF(VLOOKUP(Table2[[#This Row],[Item]],'Inventory as of 12th Aug 2024'!A:H,1,)=Table2[[#This Row],[Item]],TRUE,FALSE)</f>
        <v>1</v>
      </c>
      <c r="H410" t="s">
        <v>247</v>
      </c>
    </row>
    <row r="411" spans="1:11" x14ac:dyDescent="0.25">
      <c r="A411" s="30">
        <f t="shared" si="59"/>
        <v>45595</v>
      </c>
      <c r="C411" t="str">
        <f>'Inventory as of 12th Aug 2024'!A120</f>
        <v>Maramoja</v>
      </c>
      <c r="D411">
        <v>60</v>
      </c>
      <c r="E411">
        <v>355</v>
      </c>
      <c r="F411">
        <f t="shared" si="50"/>
        <v>5.916666666666667</v>
      </c>
      <c r="G411" t="b">
        <f>IF(VLOOKUP(Table2[[#This Row],[Item]],'Inventory as of 12th Aug 2024'!A:H,1,)=Table2[[#This Row],[Item]],TRUE,FALSE)</f>
        <v>1</v>
      </c>
      <c r="H411" t="s">
        <v>247</v>
      </c>
    </row>
    <row r="412" spans="1:11" x14ac:dyDescent="0.25">
      <c r="A412" s="30">
        <f t="shared" si="59"/>
        <v>45595</v>
      </c>
      <c r="C412" t="str">
        <f>'Inventory as of 12th Aug 2024'!A271</f>
        <v>Star Cream Bisquit</v>
      </c>
      <c r="D412">
        <v>60</v>
      </c>
      <c r="E412">
        <v>254</v>
      </c>
      <c r="F412">
        <f t="shared" si="50"/>
        <v>4.2333333333333334</v>
      </c>
      <c r="G412" t="b">
        <f>IF(VLOOKUP(Table2[[#This Row],[Item]],'Inventory as of 12th Aug 2024'!A:H,1,)=Table2[[#This Row],[Item]],TRUE,FALSE)</f>
        <v>1</v>
      </c>
      <c r="H412" t="s">
        <v>247</v>
      </c>
    </row>
    <row r="413" spans="1:11" x14ac:dyDescent="0.25">
      <c r="A413" s="30">
        <f>DATE(2024,11,2)</f>
        <v>45598</v>
      </c>
      <c r="C413" t="str">
        <f>'Inventory as of 12th Aug 2024'!A33</f>
        <v>BB Bread 400g</v>
      </c>
      <c r="D413">
        <v>8</v>
      </c>
      <c r="E413">
        <v>480</v>
      </c>
      <c r="F413">
        <f t="shared" si="50"/>
        <v>60</v>
      </c>
      <c r="G413" t="b">
        <f>IF(VLOOKUP(Table2[[#This Row],[Item]],'Inventory as of 12th Aug 2024'!A:H,1,)=Table2[[#This Row],[Item]],TRUE,FALSE)</f>
        <v>1</v>
      </c>
      <c r="H413" t="s">
        <v>247</v>
      </c>
    </row>
    <row r="414" spans="1:11" x14ac:dyDescent="0.25">
      <c r="A414" s="30">
        <f t="shared" ref="A414:A416" si="60">DATE(2024,11,2)</f>
        <v>45598</v>
      </c>
      <c r="C414" t="str">
        <f>'Inventory as of 12th Aug 2024'!A37</f>
        <v>Festive Bread 400g</v>
      </c>
      <c r="D414">
        <v>7</v>
      </c>
      <c r="E414">
        <v>420</v>
      </c>
      <c r="F414">
        <f t="shared" si="50"/>
        <v>60</v>
      </c>
      <c r="G414" t="b">
        <f>IF(VLOOKUP(Table2[[#This Row],[Item]],'Inventory as of 12th Aug 2024'!A:H,1,)=Table2[[#This Row],[Item]],TRUE,FALSE)</f>
        <v>1</v>
      </c>
      <c r="H414" t="s">
        <v>247</v>
      </c>
    </row>
    <row r="415" spans="1:11" x14ac:dyDescent="0.25">
      <c r="A415" s="30">
        <f t="shared" si="60"/>
        <v>45598</v>
      </c>
      <c r="C415" t="str">
        <f>'Inventory as of 12th Aug 2024'!A199</f>
        <v>Kdf</v>
      </c>
      <c r="D415">
        <v>26</v>
      </c>
      <c r="E415">
        <v>200</v>
      </c>
      <c r="F415">
        <f t="shared" si="50"/>
        <v>7.6923076923076925</v>
      </c>
      <c r="G415" t="b">
        <f>IF(VLOOKUP(Table2[[#This Row],[Item]],'Inventory as of 12th Aug 2024'!A:H,1,)=Table2[[#This Row],[Item]],TRUE,FALSE)</f>
        <v>1</v>
      </c>
      <c r="H415" t="s">
        <v>247</v>
      </c>
    </row>
    <row r="416" spans="1:11" x14ac:dyDescent="0.25">
      <c r="A416" s="30">
        <f t="shared" si="60"/>
        <v>45598</v>
      </c>
      <c r="C416" t="str">
        <f>'Inventory as of 12th Aug 2024'!A200</f>
        <v>Ngumu</v>
      </c>
      <c r="D416">
        <v>18</v>
      </c>
      <c r="E416">
        <v>150</v>
      </c>
      <c r="F416">
        <f t="shared" si="50"/>
        <v>8.3333333333333339</v>
      </c>
      <c r="G416" t="b">
        <f>IF(VLOOKUP(Table2[[#This Row],[Item]],'Inventory as of 12th Aug 2024'!A:H,1,)=Table2[[#This Row],[Item]],TRUE,FALSE)</f>
        <v>1</v>
      </c>
      <c r="H416" t="s">
        <v>247</v>
      </c>
    </row>
    <row r="417" spans="1:11" x14ac:dyDescent="0.25">
      <c r="A417" s="30">
        <f>DATE(2024,10,31)</f>
        <v>45596</v>
      </c>
      <c r="C417" t="str">
        <f>'Inventory as of 12th Aug 2024'!A9</f>
        <v>Kinangop Fresh Milk 500ml</v>
      </c>
      <c r="D417">
        <v>5</v>
      </c>
      <c r="E417">
        <v>275</v>
      </c>
      <c r="F417">
        <f t="shared" si="50"/>
        <v>55</v>
      </c>
      <c r="G417" t="b">
        <f>IF(VLOOKUP(Table2[[#This Row],[Item]],'Inventory as of 12th Aug 2024'!A:H,1,)=Table2[[#This Row],[Item]],TRUE,FALSE)</f>
        <v>1</v>
      </c>
      <c r="H417" t="s">
        <v>247</v>
      </c>
    </row>
    <row r="418" spans="1:11" x14ac:dyDescent="0.25">
      <c r="A418" s="30">
        <f t="shared" ref="A418:A420" si="61">DATE(2024,10,31)</f>
        <v>45596</v>
      </c>
      <c r="C418" t="str">
        <f>'Inventory as of 12th Aug 2024'!A37</f>
        <v>Festive Bread 400g</v>
      </c>
      <c r="D418">
        <v>5</v>
      </c>
      <c r="E418">
        <v>300</v>
      </c>
      <c r="F418">
        <f t="shared" ref="F418:F433" si="62">E418/D418</f>
        <v>60</v>
      </c>
      <c r="G418" t="b">
        <f>IF(VLOOKUP(Table2[[#This Row],[Item]],'Inventory as of 12th Aug 2024'!A:H,1,)=Table2[[#This Row],[Item]],TRUE,FALSE)</f>
        <v>1</v>
      </c>
      <c r="H418" t="s">
        <v>247</v>
      </c>
    </row>
    <row r="419" spans="1:11" x14ac:dyDescent="0.25">
      <c r="A419" s="30">
        <f t="shared" si="61"/>
        <v>45596</v>
      </c>
      <c r="C419" t="str">
        <f>'Inventory as of 12th Aug 2024'!A199</f>
        <v>Kdf</v>
      </c>
      <c r="D419">
        <v>24</v>
      </c>
      <c r="E419">
        <v>200</v>
      </c>
      <c r="F419">
        <f t="shared" si="62"/>
        <v>8.3333333333333339</v>
      </c>
      <c r="G419" t="b">
        <f>IF(VLOOKUP(Table2[[#This Row],[Item]],'Inventory as of 12th Aug 2024'!A:H,1,)=Table2[[#This Row],[Item]],TRUE,FALSE)</f>
        <v>1</v>
      </c>
      <c r="H419" t="s">
        <v>247</v>
      </c>
    </row>
    <row r="420" spans="1:11" x14ac:dyDescent="0.25">
      <c r="A420" s="30">
        <f t="shared" si="61"/>
        <v>45596</v>
      </c>
      <c r="C420" t="str">
        <f>'Inventory as of 12th Aug 2024'!A268</f>
        <v>Heart cake</v>
      </c>
      <c r="D420">
        <v>6</v>
      </c>
      <c r="E420">
        <v>50</v>
      </c>
      <c r="F420">
        <f t="shared" si="62"/>
        <v>8.3333333333333339</v>
      </c>
      <c r="G420" t="b">
        <f>IF(VLOOKUP(Table2[[#This Row],[Item]],'Inventory as of 12th Aug 2024'!A:H,1,)=Table2[[#This Row],[Item]],TRUE,FALSE)</f>
        <v>1</v>
      </c>
      <c r="H420" t="s">
        <v>247</v>
      </c>
    </row>
    <row r="421" spans="1:11" x14ac:dyDescent="0.25">
      <c r="A421" s="30">
        <f>DATE(2024,11,1)</f>
        <v>45597</v>
      </c>
      <c r="C421" t="str">
        <f>'Inventory as of 12th Aug 2024'!A33</f>
        <v>BB Bread 400g</v>
      </c>
      <c r="D421">
        <v>5</v>
      </c>
      <c r="E421">
        <v>300</v>
      </c>
      <c r="F421">
        <f t="shared" si="62"/>
        <v>60</v>
      </c>
      <c r="G421" t="b">
        <f>IF(VLOOKUP(Table2[[#This Row],[Item]],'Inventory as of 12th Aug 2024'!A:H,1,)=Table2[[#This Row],[Item]],TRUE,FALSE)</f>
        <v>1</v>
      </c>
      <c r="H421" t="s">
        <v>247</v>
      </c>
    </row>
    <row r="422" spans="1:11" x14ac:dyDescent="0.25">
      <c r="A422" s="30">
        <f>DATE(2024,11,1)</f>
        <v>45597</v>
      </c>
      <c r="C422" t="str">
        <f>'Inventory as of 12th Aug 2024'!A37</f>
        <v>Festive Bread 400g</v>
      </c>
      <c r="D422">
        <v>5</v>
      </c>
      <c r="E422">
        <v>300</v>
      </c>
      <c r="F422">
        <f t="shared" si="62"/>
        <v>60</v>
      </c>
      <c r="G422" t="b">
        <f>IF(VLOOKUP(Table2[[#This Row],[Item]],'Inventory as of 12th Aug 2024'!A:H,1,)=Table2[[#This Row],[Item]],TRUE,FALSE)</f>
        <v>1</v>
      </c>
      <c r="H422" t="s">
        <v>247</v>
      </c>
    </row>
    <row r="423" spans="1:11" x14ac:dyDescent="0.25">
      <c r="A423" s="30">
        <f>DATE(2024,11,4)</f>
        <v>45600</v>
      </c>
      <c r="C423" t="str">
        <f>'Inventory as of 12th Aug 2024'!A33</f>
        <v>BB Bread 400g</v>
      </c>
      <c r="D423">
        <v>5</v>
      </c>
      <c r="E423">
        <v>300</v>
      </c>
      <c r="F423">
        <f t="shared" si="62"/>
        <v>60</v>
      </c>
      <c r="G423" t="b">
        <f>IF(VLOOKUP(Table2[[#This Row],[Item]],'Inventory as of 12th Aug 2024'!A:H,1,)=Table2[[#This Row],[Item]],TRUE,FALSE)</f>
        <v>1</v>
      </c>
      <c r="H423" t="s">
        <v>247</v>
      </c>
    </row>
    <row r="424" spans="1:11" x14ac:dyDescent="0.25">
      <c r="A424" s="30">
        <f t="shared" ref="A424:A425" si="63">DATE(2024,11,4)</f>
        <v>45600</v>
      </c>
      <c r="C424" t="str">
        <f>'Inventory as of 12th Aug 2024'!A37</f>
        <v>Festive Bread 400g</v>
      </c>
      <c r="D424">
        <v>5</v>
      </c>
      <c r="E424">
        <v>300</v>
      </c>
      <c r="F424">
        <f t="shared" si="62"/>
        <v>60</v>
      </c>
      <c r="G424" t="b">
        <f>IF(VLOOKUP(Table2[[#This Row],[Item]],'Inventory as of 12th Aug 2024'!A:H,1,)=Table2[[#This Row],[Item]],TRUE,FALSE)</f>
        <v>1</v>
      </c>
      <c r="H424" t="s">
        <v>247</v>
      </c>
    </row>
    <row r="425" spans="1:11" x14ac:dyDescent="0.25">
      <c r="A425" s="30">
        <f t="shared" si="63"/>
        <v>45600</v>
      </c>
      <c r="C425" t="str">
        <f>'Inventory as of 12th Aug 2024'!A8</f>
        <v>eggs</v>
      </c>
      <c r="D425">
        <v>240</v>
      </c>
      <c r="E425">
        <v>3560</v>
      </c>
      <c r="F425">
        <f t="shared" si="62"/>
        <v>14.833333333333334</v>
      </c>
      <c r="G425" t="b">
        <f>IF(VLOOKUP(Table2[[#This Row],[Item]],'Inventory as of 12th Aug 2024'!A:H,1,)=Table2[[#This Row],[Item]],TRUE,FALSE)</f>
        <v>1</v>
      </c>
      <c r="H425" t="s">
        <v>247</v>
      </c>
    </row>
    <row r="426" spans="1:11" x14ac:dyDescent="0.25">
      <c r="A426" s="30">
        <f>DATE(2024,11,5)</f>
        <v>45601</v>
      </c>
      <c r="C426" t="str">
        <f>'Inventory as of 12th Aug 2024'!A9</f>
        <v>Kinangop Fresh Milk 500ml</v>
      </c>
      <c r="D426">
        <v>5</v>
      </c>
      <c r="E426">
        <v>275</v>
      </c>
      <c r="F426">
        <f t="shared" si="62"/>
        <v>55</v>
      </c>
      <c r="G426" t="b">
        <f>IF(VLOOKUP(Table2[[#This Row],[Item]],'Inventory as of 12th Aug 2024'!A:H,1,)=Table2[[#This Row],[Item]],TRUE,FALSE)</f>
        <v>1</v>
      </c>
      <c r="H426" t="s">
        <v>247</v>
      </c>
    </row>
    <row r="427" spans="1:11" x14ac:dyDescent="0.25">
      <c r="A427" s="30">
        <f>DATE(2024,11,5)</f>
        <v>45601</v>
      </c>
      <c r="C427" t="str">
        <f>'Inventory as of 12th Aug 2024'!A33</f>
        <v>BB Bread 400g</v>
      </c>
      <c r="D427">
        <v>5</v>
      </c>
      <c r="E427">
        <v>300</v>
      </c>
      <c r="F427">
        <f t="shared" si="62"/>
        <v>60</v>
      </c>
      <c r="G427" t="b">
        <f>IF(VLOOKUP(Table2[[#This Row],[Item]],'Inventory as of 12th Aug 2024'!A:H,1,)=Table2[[#This Row],[Item]],TRUE,FALSE)</f>
        <v>1</v>
      </c>
      <c r="H427" t="s">
        <v>247</v>
      </c>
    </row>
    <row r="428" spans="1:11" x14ac:dyDescent="0.25">
      <c r="A428" s="30">
        <f t="shared" ref="A428:A431" si="64">DATE(2024,11,5)</f>
        <v>45601</v>
      </c>
      <c r="C428" t="str">
        <f>'Inventory as of 12th Aug 2024'!A92</f>
        <v>Banana</v>
      </c>
      <c r="D428">
        <v>18</v>
      </c>
      <c r="E428">
        <v>160</v>
      </c>
      <c r="F428">
        <f t="shared" si="62"/>
        <v>8.8888888888888893</v>
      </c>
      <c r="G428" t="b">
        <f>IF(VLOOKUP(Table2[[#This Row],[Item]],'Inventory as of 12th Aug 2024'!A:H,1,)=Table2[[#This Row],[Item]],TRUE,FALSE)</f>
        <v>1</v>
      </c>
      <c r="H428" t="s">
        <v>361</v>
      </c>
      <c r="K428" t="s">
        <v>358</v>
      </c>
    </row>
    <row r="429" spans="1:11" x14ac:dyDescent="0.25">
      <c r="A429" s="30">
        <f t="shared" si="64"/>
        <v>45601</v>
      </c>
      <c r="C429" t="str">
        <f>'Inventory as of 12th Aug 2024'!A197</f>
        <v>Canned cookies</v>
      </c>
      <c r="D429">
        <v>4</v>
      </c>
      <c r="E429">
        <v>200</v>
      </c>
      <c r="F429">
        <f t="shared" si="62"/>
        <v>50</v>
      </c>
      <c r="G429" t="b">
        <f>IF(VLOOKUP(Table2[[#This Row],[Item]],'Inventory as of 12th Aug 2024'!A:H,1,)=Table2[[#This Row],[Item]],TRUE,FALSE)</f>
        <v>1</v>
      </c>
      <c r="H429" t="s">
        <v>361</v>
      </c>
      <c r="K429" t="s">
        <v>358</v>
      </c>
    </row>
    <row r="430" spans="1:11" x14ac:dyDescent="0.25">
      <c r="A430" s="30">
        <f t="shared" si="64"/>
        <v>45601</v>
      </c>
      <c r="C430" t="str">
        <f>'Inventory as of 12th Aug 2024'!A200</f>
        <v>Ngumu</v>
      </c>
      <c r="D430">
        <v>24</v>
      </c>
      <c r="E430">
        <v>200</v>
      </c>
      <c r="F430">
        <f t="shared" si="62"/>
        <v>8.3333333333333339</v>
      </c>
      <c r="G430" t="b">
        <f>IF(VLOOKUP(Table2[[#This Row],[Item]],'Inventory as of 12th Aug 2024'!A:H,1,)=Table2[[#This Row],[Item]],TRUE,FALSE)</f>
        <v>1</v>
      </c>
      <c r="H430" t="s">
        <v>361</v>
      </c>
      <c r="K430" t="s">
        <v>358</v>
      </c>
    </row>
    <row r="431" spans="1:11" x14ac:dyDescent="0.25">
      <c r="A431" s="30">
        <f t="shared" si="64"/>
        <v>45601</v>
      </c>
      <c r="C431" t="str">
        <f>'Inventory as of 12th Aug 2024'!A199</f>
        <v>Kdf</v>
      </c>
      <c r="D431">
        <v>24</v>
      </c>
      <c r="E431">
        <v>200</v>
      </c>
      <c r="F431">
        <f t="shared" si="62"/>
        <v>8.3333333333333339</v>
      </c>
      <c r="G431" t="b">
        <f>IF(VLOOKUP(Table2[[#This Row],[Item]],'Inventory as of 12th Aug 2024'!A:H,1,)=Table2[[#This Row],[Item]],TRUE,FALSE)</f>
        <v>1</v>
      </c>
      <c r="H431" t="s">
        <v>361</v>
      </c>
      <c r="K431" t="s">
        <v>358</v>
      </c>
    </row>
    <row r="432" spans="1:11" x14ac:dyDescent="0.25">
      <c r="A432" s="30">
        <f>DATE(2024,11,6)</f>
        <v>45602</v>
      </c>
      <c r="C432" t="str">
        <f>'Inventory as of 12th Aug 2024'!A37</f>
        <v>Festive Bread 400g</v>
      </c>
      <c r="D432">
        <v>5</v>
      </c>
      <c r="E432">
        <v>300</v>
      </c>
      <c r="F432">
        <f t="shared" si="62"/>
        <v>60</v>
      </c>
      <c r="G432" t="b">
        <f>IF(VLOOKUP(Table2[[#This Row],[Item]],'Inventory as of 12th Aug 2024'!A:H,1,)=Table2[[#This Row],[Item]],TRUE,FALSE)</f>
        <v>1</v>
      </c>
      <c r="H432" t="s">
        <v>247</v>
      </c>
    </row>
    <row r="433" spans="1:11" x14ac:dyDescent="0.25">
      <c r="A433" s="30">
        <f t="shared" ref="A433:A441" si="65">DATE(2024,11,6)</f>
        <v>45602</v>
      </c>
      <c r="C433" t="s">
        <v>370</v>
      </c>
      <c r="E433">
        <v>500</v>
      </c>
      <c r="F433" t="e">
        <f t="shared" si="62"/>
        <v>#DIV/0!</v>
      </c>
      <c r="G433" t="e">
        <f>IF(VLOOKUP(Table2[[#This Row],[Item]],'Inventory as of 12th Aug 2024'!A:H,1,)=Table2[[#This Row],[Item]],TRUE,FALSE)</f>
        <v>#N/A</v>
      </c>
      <c r="H433" t="s">
        <v>361</v>
      </c>
      <c r="K433" t="s">
        <v>367</v>
      </c>
    </row>
    <row r="434" spans="1:11" x14ac:dyDescent="0.25">
      <c r="A434" s="30">
        <f t="shared" si="65"/>
        <v>45602</v>
      </c>
      <c r="C434" t="str">
        <f>'Inventory as of 12th Aug 2024'!A246</f>
        <v>300ml water</v>
      </c>
      <c r="D434">
        <v>24</v>
      </c>
      <c r="E434">
        <v>300</v>
      </c>
      <c r="F434">
        <f t="shared" ref="F434:F462" si="66">E434/D434</f>
        <v>12.5</v>
      </c>
      <c r="G434" t="b">
        <f>IF(VLOOKUP(Table2[[#This Row],[Item]],'Inventory as of 12th Aug 2024'!A:H,1,)=Table2[[#This Row],[Item]],TRUE,FALSE)</f>
        <v>1</v>
      </c>
      <c r="H434" t="s">
        <v>361</v>
      </c>
      <c r="K434" t="s">
        <v>367</v>
      </c>
    </row>
    <row r="435" spans="1:11" x14ac:dyDescent="0.25">
      <c r="A435" s="30">
        <f t="shared" si="65"/>
        <v>45602</v>
      </c>
      <c r="C435" t="s">
        <v>605</v>
      </c>
      <c r="E435">
        <v>200</v>
      </c>
      <c r="H435" t="s">
        <v>361</v>
      </c>
      <c r="K435" t="s">
        <v>358</v>
      </c>
    </row>
    <row r="436" spans="1:11" x14ac:dyDescent="0.25">
      <c r="A436" s="30">
        <f t="shared" si="65"/>
        <v>45602</v>
      </c>
      <c r="C436" t="str">
        <f>'Inventory as of 12th Aug 2024'!A85</f>
        <v>Downy lavender</v>
      </c>
      <c r="D436">
        <v>12</v>
      </c>
      <c r="E436">
        <v>210</v>
      </c>
      <c r="F436">
        <f t="shared" si="66"/>
        <v>17.5</v>
      </c>
      <c r="G436" t="b">
        <f>IF(VLOOKUP(Table2[[#This Row],[Item]],'Inventory as of 12th Aug 2024'!A:H,1,)=Table2[[#This Row],[Item]],TRUE,FALSE)</f>
        <v>1</v>
      </c>
      <c r="H436" t="s">
        <v>361</v>
      </c>
      <c r="K436" t="s">
        <v>367</v>
      </c>
    </row>
    <row r="437" spans="1:11" x14ac:dyDescent="0.25">
      <c r="A437" s="30">
        <f t="shared" si="65"/>
        <v>45602</v>
      </c>
      <c r="C437" t="str">
        <f>'Inventory as of 12th Aug 2024'!A89</f>
        <v>Downy Sweet elegance</v>
      </c>
      <c r="D437">
        <v>12</v>
      </c>
      <c r="E437">
        <v>210</v>
      </c>
      <c r="F437">
        <f t="shared" si="66"/>
        <v>17.5</v>
      </c>
      <c r="G437" t="b">
        <f>IF(VLOOKUP(Table2[[#This Row],[Item]],'Inventory as of 12th Aug 2024'!A:H,1,)=Table2[[#This Row],[Item]],TRUE,FALSE)</f>
        <v>1</v>
      </c>
      <c r="H437" t="s">
        <v>361</v>
      </c>
      <c r="K437" t="s">
        <v>367</v>
      </c>
    </row>
    <row r="438" spans="1:11" x14ac:dyDescent="0.25">
      <c r="A438" s="30">
        <f t="shared" si="65"/>
        <v>45602</v>
      </c>
      <c r="C438" t="str">
        <f>'Inventory as of 12th Aug 2024'!A135</f>
        <v>Bella Tissue</v>
      </c>
      <c r="D438">
        <v>20</v>
      </c>
      <c r="E438">
        <v>700</v>
      </c>
      <c r="F438">
        <f t="shared" si="66"/>
        <v>35</v>
      </c>
      <c r="G438" t="b">
        <f>IF(VLOOKUP(Table2[[#This Row],[Item]],'Inventory as of 12th Aug 2024'!A:H,1,)=Table2[[#This Row],[Item]],TRUE,FALSE)</f>
        <v>1</v>
      </c>
      <c r="H438" t="s">
        <v>361</v>
      </c>
      <c r="K438" t="s">
        <v>367</v>
      </c>
    </row>
    <row r="439" spans="1:11" x14ac:dyDescent="0.25">
      <c r="A439" s="30">
        <f t="shared" si="65"/>
        <v>45602</v>
      </c>
      <c r="C439" t="str">
        <f>'Inventory as of 12th Aug 2024'!A6</f>
        <v>Airtel 10 Credit</v>
      </c>
      <c r="D439">
        <v>20</v>
      </c>
      <c r="E439">
        <v>182</v>
      </c>
      <c r="F439">
        <f t="shared" si="66"/>
        <v>9.1</v>
      </c>
      <c r="G439" t="b">
        <f>IF(VLOOKUP(Table2[[#This Row],[Item]],'Inventory as of 12th Aug 2024'!A:H,1,)=Table2[[#This Row],[Item]],TRUE,FALSE)</f>
        <v>1</v>
      </c>
      <c r="H439" t="s">
        <v>361</v>
      </c>
      <c r="K439" t="s">
        <v>367</v>
      </c>
    </row>
    <row r="440" spans="1:11" x14ac:dyDescent="0.25">
      <c r="A440" s="30">
        <f t="shared" si="65"/>
        <v>45602</v>
      </c>
      <c r="C440" t="str">
        <f>'Inventory as of 12th Aug 2024'!A5</f>
        <v>Airtel 20 Credit</v>
      </c>
      <c r="D440">
        <v>20</v>
      </c>
      <c r="E440">
        <v>362</v>
      </c>
      <c r="F440">
        <f t="shared" si="66"/>
        <v>18.100000000000001</v>
      </c>
      <c r="G440" t="b">
        <f>IF(VLOOKUP(Table2[[#This Row],[Item]],'Inventory as of 12th Aug 2024'!A:H,1,)=Table2[[#This Row],[Item]],TRUE,FALSE)</f>
        <v>1</v>
      </c>
      <c r="H440" t="s">
        <v>361</v>
      </c>
      <c r="K440" t="s">
        <v>367</v>
      </c>
    </row>
    <row r="441" spans="1:11" x14ac:dyDescent="0.25">
      <c r="A441" s="30">
        <f t="shared" si="65"/>
        <v>45602</v>
      </c>
      <c r="C441" t="str">
        <f>'Inventory as of 12th Aug 2024'!A7</f>
        <v>Airtel 50 Credit</v>
      </c>
      <c r="D441">
        <v>10</v>
      </c>
      <c r="E441">
        <v>470</v>
      </c>
      <c r="F441">
        <f t="shared" si="66"/>
        <v>47</v>
      </c>
      <c r="G441" t="b">
        <f>IF(VLOOKUP(Table2[[#This Row],[Item]],'Inventory as of 12th Aug 2024'!A:H,1,)=Table2[[#This Row],[Item]],TRUE,FALSE)</f>
        <v>1</v>
      </c>
      <c r="H441" t="s">
        <v>361</v>
      </c>
      <c r="K441" t="s">
        <v>367</v>
      </c>
    </row>
    <row r="442" spans="1:11" x14ac:dyDescent="0.25">
      <c r="A442" s="30">
        <f>DATE(2024,11,7)</f>
        <v>45603</v>
      </c>
      <c r="C442" t="str">
        <f>'Inventory as of 12th Aug 2024'!A33</f>
        <v>BB Bread 400g</v>
      </c>
      <c r="D442">
        <v>4</v>
      </c>
      <c r="E442">
        <v>240</v>
      </c>
      <c r="F442">
        <f t="shared" si="66"/>
        <v>60</v>
      </c>
      <c r="G442" t="b">
        <f>IF(VLOOKUP(Table2[[#This Row],[Item]],'Inventory as of 12th Aug 2024'!A:H,1,)=Table2[[#This Row],[Item]],TRUE,FALSE)</f>
        <v>1</v>
      </c>
      <c r="H442" t="s">
        <v>247</v>
      </c>
    </row>
    <row r="443" spans="1:11" x14ac:dyDescent="0.25">
      <c r="A443" s="30">
        <f>DATE(2024,11,7)</f>
        <v>45603</v>
      </c>
      <c r="C443" t="str">
        <f>'Inventory as of 12th Aug 2024'!A37</f>
        <v>Festive Bread 400g</v>
      </c>
      <c r="D443">
        <v>4</v>
      </c>
      <c r="E443">
        <v>240</v>
      </c>
      <c r="F443">
        <f t="shared" si="66"/>
        <v>60</v>
      </c>
      <c r="G443" t="b">
        <f>IF(VLOOKUP(Table2[[#This Row],[Item]],'Inventory as of 12th Aug 2024'!A:H,1,)=Table2[[#This Row],[Item]],TRUE,FALSE)</f>
        <v>1</v>
      </c>
      <c r="H443" t="s">
        <v>247</v>
      </c>
    </row>
    <row r="444" spans="1:11" x14ac:dyDescent="0.25">
      <c r="A444" s="30">
        <f>DATE(2024,11,8)</f>
        <v>45604</v>
      </c>
      <c r="C444" t="str">
        <f>'Inventory as of 12th Aug 2024'!A92</f>
        <v>Banana</v>
      </c>
      <c r="D444">
        <v>18</v>
      </c>
      <c r="E444">
        <v>160</v>
      </c>
      <c r="F444">
        <f t="shared" si="66"/>
        <v>8.8888888888888893</v>
      </c>
      <c r="G444" t="b">
        <f>IF(VLOOKUP(Table2[[#This Row],[Item]],'Inventory as of 12th Aug 2024'!A:H,1,)=Table2[[#This Row],[Item]],TRUE,FALSE)</f>
        <v>1</v>
      </c>
      <c r="H444" t="s">
        <v>361</v>
      </c>
      <c r="K444" t="s">
        <v>367</v>
      </c>
    </row>
    <row r="445" spans="1:11" x14ac:dyDescent="0.25">
      <c r="A445" s="30">
        <f t="shared" ref="A445:A449" si="67">DATE(2024,11,8)</f>
        <v>45604</v>
      </c>
      <c r="C445" t="str">
        <f>'Inventory as of 12th Aug 2024'!A204</f>
        <v>soda 2lts</v>
      </c>
      <c r="D445">
        <v>6</v>
      </c>
      <c r="E445">
        <v>894</v>
      </c>
      <c r="F445">
        <f t="shared" si="66"/>
        <v>149</v>
      </c>
      <c r="G445" t="b">
        <f>IF(VLOOKUP(Table2[[#This Row],[Item]],'Inventory as of 12th Aug 2024'!A:H,1,)=Table2[[#This Row],[Item]],TRUE,FALSE)</f>
        <v>1</v>
      </c>
      <c r="H445" t="s">
        <v>361</v>
      </c>
      <c r="K445" t="s">
        <v>363</v>
      </c>
    </row>
    <row r="446" spans="1:11" x14ac:dyDescent="0.25">
      <c r="A446" s="30">
        <f t="shared" si="67"/>
        <v>45604</v>
      </c>
      <c r="C446" t="str">
        <f>'Inventory as of 12th Aug 2024'!A211</f>
        <v>predator</v>
      </c>
      <c r="D446">
        <v>12</v>
      </c>
      <c r="E446">
        <v>640</v>
      </c>
      <c r="F446">
        <f t="shared" si="66"/>
        <v>53.333333333333336</v>
      </c>
      <c r="G446" t="b">
        <f>IF(VLOOKUP(Table2[[#This Row],[Item]],'Inventory as of 12th Aug 2024'!A:H,1,)=Table2[[#This Row],[Item]],TRUE,FALSE)</f>
        <v>1</v>
      </c>
      <c r="H446" t="s">
        <v>361</v>
      </c>
      <c r="K446" t="s">
        <v>367</v>
      </c>
    </row>
    <row r="447" spans="1:11" x14ac:dyDescent="0.25">
      <c r="A447" s="30">
        <f t="shared" si="67"/>
        <v>45604</v>
      </c>
      <c r="C447" t="s">
        <v>605</v>
      </c>
      <c r="E447">
        <v>300</v>
      </c>
      <c r="F447" t="e">
        <f t="shared" si="66"/>
        <v>#DIV/0!</v>
      </c>
      <c r="G447" t="e">
        <f>IF(VLOOKUP(Table2[[#This Row],[Item]],'Inventory as of 12th Aug 2024'!A:H,1,)=Table2[[#This Row],[Item]],TRUE,FALSE)</f>
        <v>#N/A</v>
      </c>
      <c r="H447" t="s">
        <v>361</v>
      </c>
      <c r="K447" t="s">
        <v>358</v>
      </c>
    </row>
    <row r="448" spans="1:11" x14ac:dyDescent="0.25">
      <c r="A448" s="30">
        <f>DATE(2024,11,8)</f>
        <v>45604</v>
      </c>
      <c r="C448" t="str">
        <f>'Inventory as of 12th Aug 2024'!A199</f>
        <v>Kdf</v>
      </c>
      <c r="D448">
        <v>30</v>
      </c>
      <c r="E448">
        <v>250</v>
      </c>
      <c r="F448">
        <f t="shared" si="66"/>
        <v>8.3333333333333339</v>
      </c>
      <c r="G448" t="b">
        <f>IF(VLOOKUP(Table2[[#This Row],[Item]],'Inventory as of 12th Aug 2024'!A:H,1,)=Table2[[#This Row],[Item]],TRUE,FALSE)</f>
        <v>1</v>
      </c>
      <c r="H448" t="s">
        <v>247</v>
      </c>
    </row>
    <row r="449" spans="1:8" x14ac:dyDescent="0.25">
      <c r="A449" s="30">
        <f t="shared" si="67"/>
        <v>45604</v>
      </c>
      <c r="C449" t="str">
        <f>'Inventory as of 12th Aug 2024'!A33</f>
        <v>BB Bread 400g</v>
      </c>
      <c r="D449">
        <v>5</v>
      </c>
      <c r="E449">
        <v>300</v>
      </c>
      <c r="F449">
        <f t="shared" si="66"/>
        <v>60</v>
      </c>
      <c r="G449" t="b">
        <f>IF(VLOOKUP(Table2[[#This Row],[Item]],'Inventory as of 12th Aug 2024'!A:H,1,)=Table2[[#This Row],[Item]],TRUE,FALSE)</f>
        <v>1</v>
      </c>
      <c r="H449" t="s">
        <v>247</v>
      </c>
    </row>
    <row r="450" spans="1:8" x14ac:dyDescent="0.25">
      <c r="A450" s="30">
        <f>DATE(2024,11,9)</f>
        <v>45605</v>
      </c>
      <c r="C450" t="str">
        <f>'Inventory as of 12th Aug 2024'!A37</f>
        <v>Festive Bread 400g</v>
      </c>
      <c r="D450">
        <v>6</v>
      </c>
      <c r="E450">
        <v>360</v>
      </c>
      <c r="F450">
        <f t="shared" si="66"/>
        <v>60</v>
      </c>
      <c r="G450" t="b">
        <f>IF(VLOOKUP(Table2[[#This Row],[Item]],'Inventory as of 12th Aug 2024'!A:H,1,)=Table2[[#This Row],[Item]],TRUE,FALSE)</f>
        <v>1</v>
      </c>
      <c r="H450" t="s">
        <v>247</v>
      </c>
    </row>
    <row r="451" spans="1:8" x14ac:dyDescent="0.25">
      <c r="A451" s="30">
        <f t="shared" ref="A451:A452" si="68">DATE(2024,11,9)</f>
        <v>45605</v>
      </c>
      <c r="C451" t="str">
        <f>'Inventory as of 12th Aug 2024'!A35</f>
        <v>Festive 600g</v>
      </c>
      <c r="D451">
        <v>2</v>
      </c>
      <c r="E451">
        <v>180</v>
      </c>
      <c r="F451">
        <f t="shared" si="66"/>
        <v>90</v>
      </c>
      <c r="G451" t="b">
        <f>IF(VLOOKUP(Table2[[#This Row],[Item]],'Inventory as of 12th Aug 2024'!A:H,1,)=Table2[[#This Row],[Item]],TRUE,FALSE)</f>
        <v>1</v>
      </c>
      <c r="H451" t="s">
        <v>247</v>
      </c>
    </row>
    <row r="452" spans="1:8" x14ac:dyDescent="0.25">
      <c r="A452" s="30">
        <f t="shared" si="68"/>
        <v>45605</v>
      </c>
      <c r="C452" t="str">
        <f>'Inventory as of 12th Aug 2024'!A242</f>
        <v>Icepop</v>
      </c>
      <c r="D452">
        <v>60</v>
      </c>
      <c r="E452">
        <v>450</v>
      </c>
      <c r="F452">
        <f t="shared" si="66"/>
        <v>7.5</v>
      </c>
      <c r="G452" t="b">
        <f>IF(VLOOKUP(Table2[[#This Row],[Item]],'Inventory as of 12th Aug 2024'!A:H,1,)=Table2[[#This Row],[Item]],TRUE,FALSE)</f>
        <v>1</v>
      </c>
      <c r="H452" t="s">
        <v>247</v>
      </c>
    </row>
    <row r="453" spans="1:8" x14ac:dyDescent="0.25">
      <c r="A453" s="1"/>
      <c r="F453" t="e">
        <f t="shared" si="66"/>
        <v>#DIV/0!</v>
      </c>
      <c r="G453" t="e">
        <f>IF(VLOOKUP(Table2[[#This Row],[Item]],'Inventory as of 12th Aug 2024'!A:H,1,)=Table2[[#This Row],[Item]],TRUE,FALSE)</f>
        <v>#N/A</v>
      </c>
    </row>
    <row r="454" spans="1:8" x14ac:dyDescent="0.25">
      <c r="A454" s="1"/>
      <c r="F454" t="e">
        <f t="shared" si="66"/>
        <v>#DIV/0!</v>
      </c>
      <c r="G454" t="e">
        <f>IF(VLOOKUP(Table2[[#This Row],[Item]],'Inventory as of 12th Aug 2024'!A:H,1,)=Table2[[#This Row],[Item]],TRUE,FALSE)</f>
        <v>#N/A</v>
      </c>
    </row>
    <row r="455" spans="1:8" x14ac:dyDescent="0.25">
      <c r="A455" s="1"/>
      <c r="F455" t="e">
        <f t="shared" si="66"/>
        <v>#DIV/0!</v>
      </c>
      <c r="G455" t="e">
        <f>IF(VLOOKUP(Table2[[#This Row],[Item]],'Inventory as of 12th Aug 2024'!A:H,1,)=Table2[[#This Row],[Item]],TRUE,FALSE)</f>
        <v>#N/A</v>
      </c>
    </row>
    <row r="456" spans="1:8" x14ac:dyDescent="0.25">
      <c r="A456" s="1"/>
      <c r="F456" t="e">
        <f t="shared" si="66"/>
        <v>#DIV/0!</v>
      </c>
      <c r="G456" t="e">
        <f>IF(VLOOKUP(Table2[[#This Row],[Item]],'Inventory as of 12th Aug 2024'!A:H,1,)=Table2[[#This Row],[Item]],TRUE,FALSE)</f>
        <v>#N/A</v>
      </c>
    </row>
    <row r="457" spans="1:8" x14ac:dyDescent="0.25">
      <c r="A457" s="1"/>
      <c r="F457" t="e">
        <f t="shared" si="66"/>
        <v>#DIV/0!</v>
      </c>
      <c r="G457" t="e">
        <f>IF(VLOOKUP(Table2[[#This Row],[Item]],'Inventory as of 12th Aug 2024'!A:H,1,)=Table2[[#This Row],[Item]],TRUE,FALSE)</f>
        <v>#N/A</v>
      </c>
    </row>
    <row r="458" spans="1:8" x14ac:dyDescent="0.25">
      <c r="A458" s="1"/>
      <c r="F458" t="e">
        <f t="shared" si="66"/>
        <v>#DIV/0!</v>
      </c>
      <c r="G458" t="e">
        <f>IF(VLOOKUP(Table2[[#This Row],[Item]],'Inventory as of 12th Aug 2024'!A:H,1,)=Table2[[#This Row],[Item]],TRUE,FALSE)</f>
        <v>#N/A</v>
      </c>
    </row>
    <row r="459" spans="1:8" x14ac:dyDescent="0.25">
      <c r="A459" s="1"/>
      <c r="F459" t="e">
        <f t="shared" si="66"/>
        <v>#DIV/0!</v>
      </c>
      <c r="G459" t="e">
        <f>IF(VLOOKUP(Table2[[#This Row],[Item]],'Inventory as of 12th Aug 2024'!A:H,1,)=Table2[[#This Row],[Item]],TRUE,FALSE)</f>
        <v>#N/A</v>
      </c>
    </row>
    <row r="460" spans="1:8" x14ac:dyDescent="0.25">
      <c r="A460" s="1"/>
      <c r="F460" t="e">
        <f t="shared" si="66"/>
        <v>#DIV/0!</v>
      </c>
      <c r="G460" t="e">
        <f>IF(VLOOKUP(Table2[[#This Row],[Item]],'Inventory as of 12th Aug 2024'!A:H,1,)=Table2[[#This Row],[Item]],TRUE,FALSE)</f>
        <v>#N/A</v>
      </c>
    </row>
    <row r="461" spans="1:8" x14ac:dyDescent="0.25">
      <c r="A461" s="1"/>
      <c r="F461" t="e">
        <f t="shared" si="66"/>
        <v>#DIV/0!</v>
      </c>
      <c r="G461" t="e">
        <f>IF(VLOOKUP(Table2[[#This Row],[Item]],'Inventory as of 12th Aug 2024'!A:H,1,)=Table2[[#This Row],[Item]],TRUE,FALSE)</f>
        <v>#N/A</v>
      </c>
    </row>
    <row r="462" spans="1:8" x14ac:dyDescent="0.25">
      <c r="A462" s="1"/>
      <c r="F462" t="e">
        <f t="shared" si="66"/>
        <v>#DIV/0!</v>
      </c>
      <c r="G462" t="e">
        <f>IF(VLOOKUP(Table2[[#This Row],[Item]],'Inventory as of 12th Aug 2024'!A:H,1,)=Table2[[#This Row],[Item]],TRUE,FALSE)</f>
        <v>#N/A</v>
      </c>
    </row>
    <row r="463" spans="1:8" x14ac:dyDescent="0.25">
      <c r="A463" s="1"/>
    </row>
  </sheetData>
  <sheetProtection selectLockedCells="1" selectUnlockedCells="1"/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C57CC-EA89-4B8E-B281-4A38440C0E41}">
  <sheetPr codeName="Sheet3"/>
  <dimension ref="A1:L9618"/>
  <sheetViews>
    <sheetView tabSelected="1" topLeftCell="A8057" zoomScaleNormal="100" workbookViewId="0">
      <selection activeCell="A8071" sqref="A8071"/>
    </sheetView>
  </sheetViews>
  <sheetFormatPr defaultRowHeight="15" x14ac:dyDescent="0.25"/>
  <cols>
    <col min="1" max="1" width="11.85546875" bestFit="1" customWidth="1"/>
    <col min="2" max="2" width="12.7109375" bestFit="1" customWidth="1"/>
    <col min="3" max="3" width="37" bestFit="1" customWidth="1"/>
    <col min="4" max="4" width="5.5703125" bestFit="1" customWidth="1"/>
    <col min="5" max="5" width="11.5703125" style="5" bestFit="1" customWidth="1"/>
    <col min="6" max="6" width="11.5703125" bestFit="1" customWidth="1"/>
    <col min="7" max="7" width="13.42578125" style="5" bestFit="1" customWidth="1"/>
    <col min="8" max="8" width="6.42578125" bestFit="1" customWidth="1"/>
    <col min="9" max="10" width="16.85546875" bestFit="1" customWidth="1"/>
    <col min="11" max="11" width="5.5703125" bestFit="1" customWidth="1"/>
    <col min="12" max="12" width="6.85546875" bestFit="1" customWidth="1"/>
  </cols>
  <sheetData>
    <row r="1" spans="1:12" x14ac:dyDescent="0.25">
      <c r="A1" t="s">
        <v>373</v>
      </c>
      <c r="B1" t="s">
        <v>374</v>
      </c>
      <c r="C1" t="s">
        <v>375</v>
      </c>
      <c r="D1" t="s">
        <v>240</v>
      </c>
      <c r="E1" s="5" t="s">
        <v>376</v>
      </c>
      <c r="F1" t="s">
        <v>377</v>
      </c>
      <c r="G1" s="5" t="s">
        <v>378</v>
      </c>
      <c r="H1" t="s">
        <v>244</v>
      </c>
      <c r="I1" t="s">
        <v>379</v>
      </c>
      <c r="J1" t="s">
        <v>380</v>
      </c>
      <c r="K1" t="s">
        <v>381</v>
      </c>
      <c r="L1" t="s">
        <v>382</v>
      </c>
    </row>
    <row r="2" spans="1:12" x14ac:dyDescent="0.25">
      <c r="A2" s="1">
        <f>DATE(2024,7,15)</f>
        <v>45488</v>
      </c>
      <c r="B2" s="31">
        <f>TIME(7,38,0)</f>
        <v>0.31805555555555554</v>
      </c>
      <c r="C2" t="str">
        <f>Inventory!A132</f>
        <v>Festive Bread 400g</v>
      </c>
      <c r="D2" s="27">
        <v>2</v>
      </c>
      <c r="E2" s="5">
        <f>Table4[[#This Row],[qty]]*(VLOOKUP(Table4[[#This Row],[item_sold]],Table6[],4,FALSE))</f>
        <v>130</v>
      </c>
      <c r="F2" s="5">
        <f>(VLOOKUP(Table4[[#This Row],[item_sold]],Table6[],3,FALSE))*Table4[[#This Row],[qty]]</f>
        <v>120</v>
      </c>
      <c r="G2" s="5">
        <f>E2-F2</f>
        <v>10</v>
      </c>
      <c r="H2" t="s">
        <v>359</v>
      </c>
      <c r="I2" t="s">
        <v>383</v>
      </c>
    </row>
    <row r="3" spans="1:12" x14ac:dyDescent="0.25">
      <c r="A3" s="1">
        <f t="shared" ref="A3:A34" si="0">DATE(2024,7,15)</f>
        <v>45488</v>
      </c>
      <c r="B3" s="31">
        <f>TIME(7,38,0)</f>
        <v>0.31805555555555554</v>
      </c>
      <c r="C3" t="str">
        <f>Inventory!A30</f>
        <v>BB Bread 400g</v>
      </c>
      <c r="D3" s="27">
        <v>1</v>
      </c>
      <c r="E3" s="5">
        <f>D3*Inventory!D30</f>
        <v>65</v>
      </c>
      <c r="F3" s="5">
        <f>D3*Inventory!C30</f>
        <v>60</v>
      </c>
      <c r="G3" s="5">
        <f t="shared" ref="G3:G66" si="1">E3-F3</f>
        <v>5</v>
      </c>
      <c r="H3" t="s">
        <v>359</v>
      </c>
      <c r="I3" t="s">
        <v>384</v>
      </c>
    </row>
    <row r="4" spans="1:12" x14ac:dyDescent="0.25">
      <c r="A4" s="1">
        <f t="shared" si="0"/>
        <v>45488</v>
      </c>
      <c r="B4" s="31">
        <f>TIME(7,38,0)</f>
        <v>0.31805555555555554</v>
      </c>
      <c r="C4" t="str">
        <f>Inventory!A23</f>
        <v>Mt kenya milk 500ml</v>
      </c>
      <c r="D4" s="27">
        <v>1</v>
      </c>
      <c r="E4" s="5">
        <f>D4*Inventory!D23</f>
        <v>65</v>
      </c>
      <c r="F4" s="5">
        <f>D4*Inventory!C23</f>
        <v>48.333333333333336</v>
      </c>
      <c r="G4" s="5">
        <f t="shared" si="1"/>
        <v>16.666666666666664</v>
      </c>
      <c r="H4" t="s">
        <v>359</v>
      </c>
      <c r="I4" t="s">
        <v>384</v>
      </c>
    </row>
    <row r="5" spans="1:12" x14ac:dyDescent="0.25">
      <c r="A5" s="1">
        <f t="shared" si="0"/>
        <v>45488</v>
      </c>
      <c r="B5" s="31">
        <f>TIME(7,38,0)</f>
        <v>0.31805555555555554</v>
      </c>
      <c r="C5" t="str">
        <f>Inventory!A74</f>
        <v>kensalt 200g</v>
      </c>
      <c r="D5" s="27">
        <v>1</v>
      </c>
      <c r="E5" s="5">
        <f>D5*Inventory!D74</f>
        <v>15</v>
      </c>
      <c r="F5" s="5">
        <f>D5*Inventory!C74</f>
        <v>5.5</v>
      </c>
      <c r="G5" s="5">
        <f t="shared" si="1"/>
        <v>9.5</v>
      </c>
      <c r="H5" t="s">
        <v>359</v>
      </c>
      <c r="I5" t="s">
        <v>384</v>
      </c>
    </row>
    <row r="6" spans="1:12" x14ac:dyDescent="0.25">
      <c r="A6" s="1">
        <f t="shared" si="0"/>
        <v>45488</v>
      </c>
      <c r="B6" s="31">
        <f>TIME(7,38,0)</f>
        <v>0.31805555555555554</v>
      </c>
      <c r="C6" t="str">
        <f>Inventory!A30</f>
        <v>BB Bread 400g</v>
      </c>
      <c r="D6" s="27">
        <v>1</v>
      </c>
      <c r="E6" s="5">
        <f>D6*Inventory!D30</f>
        <v>65</v>
      </c>
      <c r="F6" s="5">
        <f>D6*Inventory!C30</f>
        <v>60</v>
      </c>
      <c r="G6" s="5">
        <f t="shared" si="1"/>
        <v>5</v>
      </c>
      <c r="H6" t="s">
        <v>361</v>
      </c>
    </row>
    <row r="7" spans="1:12" x14ac:dyDescent="0.25">
      <c r="A7" s="1">
        <f t="shared" si="0"/>
        <v>45488</v>
      </c>
      <c r="B7" s="31">
        <f>TIME(10,32,0)</f>
        <v>0.43888888888888888</v>
      </c>
      <c r="C7" t="str">
        <f>Inventory!A23</f>
        <v>Mt kenya milk 500ml</v>
      </c>
      <c r="D7" s="27">
        <v>1</v>
      </c>
      <c r="E7" s="5">
        <f>D7*Inventory!D23</f>
        <v>65</v>
      </c>
      <c r="F7" s="5">
        <f>D7*Inventory!C23</f>
        <v>48.333333333333336</v>
      </c>
      <c r="G7" s="5">
        <f t="shared" si="1"/>
        <v>16.666666666666664</v>
      </c>
      <c r="H7" t="s">
        <v>359</v>
      </c>
      <c r="I7" t="s">
        <v>385</v>
      </c>
    </row>
    <row r="8" spans="1:12" x14ac:dyDescent="0.25">
      <c r="A8" s="1">
        <f t="shared" si="0"/>
        <v>45488</v>
      </c>
      <c r="B8" s="31">
        <f>TIME(10,39,0)</f>
        <v>0.44375000000000003</v>
      </c>
      <c r="C8" t="str">
        <f>Inventory!A114</f>
        <v>Maramoja</v>
      </c>
      <c r="D8" s="27">
        <v>1</v>
      </c>
      <c r="E8" s="5">
        <f>D8*Inventory!D114</f>
        <v>10</v>
      </c>
      <c r="F8" s="5">
        <f>D8*Inventory!C114</f>
        <v>7</v>
      </c>
      <c r="G8" s="5">
        <f t="shared" si="1"/>
        <v>3</v>
      </c>
      <c r="H8" t="s">
        <v>247</v>
      </c>
    </row>
    <row r="9" spans="1:12" x14ac:dyDescent="0.25">
      <c r="A9" s="1">
        <f t="shared" si="0"/>
        <v>45488</v>
      </c>
      <c r="B9" s="31">
        <f>TIME(10,40,0)</f>
        <v>0.44444444444444442</v>
      </c>
      <c r="C9" t="str">
        <f>Inventory!A32</f>
        <v>Festive 600g</v>
      </c>
      <c r="D9" s="27">
        <v>1</v>
      </c>
      <c r="E9" s="5">
        <f>D9*Inventory!D32</f>
        <v>100</v>
      </c>
      <c r="F9" s="5">
        <f>D9*Inventory!C32</f>
        <v>90</v>
      </c>
      <c r="G9" s="5">
        <f t="shared" si="1"/>
        <v>10</v>
      </c>
      <c r="H9" t="s">
        <v>359</v>
      </c>
      <c r="I9" t="s">
        <v>385</v>
      </c>
    </row>
    <row r="10" spans="1:12" x14ac:dyDescent="0.25">
      <c r="A10" s="1">
        <f t="shared" si="0"/>
        <v>45488</v>
      </c>
      <c r="B10" s="31">
        <f>TIME(10,47,0)</f>
        <v>0.44930555555555557</v>
      </c>
      <c r="C10" t="str">
        <f>Inventory!A105</f>
        <v>Toss 500g</v>
      </c>
      <c r="D10" s="27">
        <v>1</v>
      </c>
      <c r="E10" s="5">
        <f>D10*Inventory!D105</f>
        <v>250</v>
      </c>
      <c r="F10" s="5">
        <f>D10*Inventory!C105</f>
        <v>175</v>
      </c>
      <c r="G10" s="5">
        <f t="shared" si="1"/>
        <v>75</v>
      </c>
      <c r="H10" t="s">
        <v>359</v>
      </c>
      <c r="I10" t="s">
        <v>386</v>
      </c>
    </row>
    <row r="11" spans="1:12" x14ac:dyDescent="0.25">
      <c r="A11" s="1">
        <f t="shared" si="0"/>
        <v>45488</v>
      </c>
      <c r="B11" s="31">
        <f>TIME(11,41,0)</f>
        <v>0.48680555555555555</v>
      </c>
      <c r="C11" t="str">
        <f>Inventory!A48</f>
        <v>Ginger Bisquit</v>
      </c>
      <c r="D11" s="27">
        <v>2</v>
      </c>
      <c r="E11" s="5">
        <f>D11*Inventory!D48</f>
        <v>10</v>
      </c>
      <c r="F11" s="5">
        <f>D11*Inventory!C48</f>
        <v>8.6666666666666661</v>
      </c>
      <c r="G11" s="5">
        <f t="shared" si="1"/>
        <v>1.3333333333333339</v>
      </c>
      <c r="H11" t="s">
        <v>247</v>
      </c>
    </row>
    <row r="12" spans="1:12" x14ac:dyDescent="0.25">
      <c r="A12" s="1">
        <f t="shared" si="0"/>
        <v>45488</v>
      </c>
      <c r="B12" s="31">
        <f>TIME(12,41,0)</f>
        <v>0.52847222222222223</v>
      </c>
      <c r="C12" t="str">
        <f>Inventory!A115</f>
        <v>Onion</v>
      </c>
      <c r="D12" s="27">
        <v>1</v>
      </c>
      <c r="E12" s="5">
        <f>D12*Inventory!D115</f>
        <v>10</v>
      </c>
      <c r="F12" s="5">
        <f>D12*Inventory!C115</f>
        <v>8</v>
      </c>
      <c r="G12" s="5">
        <f t="shared" si="1"/>
        <v>2</v>
      </c>
      <c r="H12" t="s">
        <v>361</v>
      </c>
    </row>
    <row r="13" spans="1:12" x14ac:dyDescent="0.25">
      <c r="A13" s="1">
        <f t="shared" si="0"/>
        <v>45488</v>
      </c>
      <c r="B13" s="31">
        <f>TIME(12,41,0)</f>
        <v>0.52847222222222223</v>
      </c>
      <c r="C13" t="str">
        <f>Inventory!A116</f>
        <v>Tomatoes</v>
      </c>
      <c r="D13" s="27">
        <v>1</v>
      </c>
      <c r="E13" s="5">
        <f>D13*Inventory!D116</f>
        <v>10</v>
      </c>
      <c r="F13" s="5">
        <f>D13*Inventory!C116</f>
        <v>5</v>
      </c>
      <c r="G13" s="5">
        <f t="shared" si="1"/>
        <v>5</v>
      </c>
      <c r="H13" t="s">
        <v>361</v>
      </c>
    </row>
    <row r="14" spans="1:12" x14ac:dyDescent="0.25">
      <c r="A14" s="1">
        <f t="shared" si="0"/>
        <v>45488</v>
      </c>
      <c r="B14" s="31">
        <f>TIME(12,41,0)</f>
        <v>0.52847222222222223</v>
      </c>
      <c r="C14" t="str">
        <f>Inventory!A81</f>
        <v>eggs</v>
      </c>
      <c r="D14" s="27">
        <v>1</v>
      </c>
      <c r="E14" s="5">
        <f>D14*Inventory!D81</f>
        <v>20</v>
      </c>
      <c r="F14" s="5">
        <f>D14*Inventory!C81</f>
        <v>14.333333333333334</v>
      </c>
      <c r="G14" s="5">
        <f t="shared" si="1"/>
        <v>5.6666666666666661</v>
      </c>
      <c r="H14" t="s">
        <v>361</v>
      </c>
    </row>
    <row r="15" spans="1:12" x14ac:dyDescent="0.25">
      <c r="A15" s="1">
        <f t="shared" si="0"/>
        <v>45488</v>
      </c>
      <c r="B15" s="31">
        <f>TIME(12,26,0)</f>
        <v>0.5180555555555556</v>
      </c>
      <c r="C15" t="str">
        <f>Inventory!A48</f>
        <v>Ginger Bisquit</v>
      </c>
      <c r="D15" s="27">
        <v>2</v>
      </c>
      <c r="E15" s="5">
        <f>D15*Inventory!D48</f>
        <v>10</v>
      </c>
      <c r="F15" s="5">
        <f>D15*Inventory!C48</f>
        <v>8.6666666666666661</v>
      </c>
      <c r="G15" s="5">
        <f t="shared" si="1"/>
        <v>1.3333333333333339</v>
      </c>
      <c r="H15" t="s">
        <v>359</v>
      </c>
      <c r="I15" t="s">
        <v>386</v>
      </c>
      <c r="K15" s="5"/>
    </row>
    <row r="16" spans="1:12" x14ac:dyDescent="0.25">
      <c r="A16" s="1">
        <f t="shared" si="0"/>
        <v>45488</v>
      </c>
      <c r="B16" s="31">
        <f>TIME(14,5,0)</f>
        <v>0.58680555555555558</v>
      </c>
      <c r="C16" t="str">
        <f>Inventory!A81</f>
        <v>eggs</v>
      </c>
      <c r="D16" s="27">
        <v>2</v>
      </c>
      <c r="E16" s="5">
        <f>D16*Inventory!D81</f>
        <v>40</v>
      </c>
      <c r="F16" s="5">
        <f>D16*Inventory!C81</f>
        <v>28.666666666666668</v>
      </c>
      <c r="G16" s="5">
        <f t="shared" si="1"/>
        <v>11.333333333333332</v>
      </c>
      <c r="H16" t="s">
        <v>359</v>
      </c>
      <c r="I16" t="s">
        <v>384</v>
      </c>
    </row>
    <row r="17" spans="1:9" x14ac:dyDescent="0.25">
      <c r="A17" s="1">
        <f t="shared" si="0"/>
        <v>45488</v>
      </c>
      <c r="B17" s="31">
        <f>TIME(14,5,0)</f>
        <v>0.58680555555555558</v>
      </c>
      <c r="C17" t="str">
        <f>Inventory!A116</f>
        <v>Tomatoes</v>
      </c>
      <c r="D17" s="27">
        <v>1</v>
      </c>
      <c r="E17" s="5">
        <f>D17*Inventory!D116</f>
        <v>10</v>
      </c>
      <c r="F17" s="5">
        <f>D17*Inventory!C116</f>
        <v>5</v>
      </c>
      <c r="G17" s="5">
        <f t="shared" si="1"/>
        <v>5</v>
      </c>
      <c r="H17" t="s">
        <v>359</v>
      </c>
      <c r="I17" t="s">
        <v>384</v>
      </c>
    </row>
    <row r="18" spans="1:9" x14ac:dyDescent="0.25">
      <c r="A18" s="1">
        <f t="shared" si="0"/>
        <v>45488</v>
      </c>
      <c r="B18" s="31">
        <f>TIME(14,22,0)</f>
        <v>0.59861111111111109</v>
      </c>
      <c r="C18" t="str">
        <f>Inventory!A12</f>
        <v>predator</v>
      </c>
      <c r="D18" s="27">
        <v>1</v>
      </c>
      <c r="E18" s="5">
        <f>D18*Inventory!D12</f>
        <v>70</v>
      </c>
      <c r="F18" s="5">
        <f>D18*Inventory!C12</f>
        <v>54.166666666666664</v>
      </c>
      <c r="G18" s="5">
        <f t="shared" si="1"/>
        <v>15.833333333333336</v>
      </c>
      <c r="H18" t="s">
        <v>361</v>
      </c>
    </row>
    <row r="19" spans="1:9" x14ac:dyDescent="0.25">
      <c r="A19" s="1">
        <f t="shared" si="0"/>
        <v>45488</v>
      </c>
      <c r="B19" s="31">
        <f>TIME(14,45,0)</f>
        <v>0.61458333333333337</v>
      </c>
      <c r="C19" t="str">
        <f>Inventory!A71</f>
        <v>Indomie chicken</v>
      </c>
      <c r="D19" s="27">
        <v>3</v>
      </c>
      <c r="E19" s="5">
        <f>D19*Inventory!D71</f>
        <v>150</v>
      </c>
      <c r="F19" s="5">
        <f>D19*Inventory!C71</f>
        <v>112.5</v>
      </c>
      <c r="G19" s="5">
        <f t="shared" si="1"/>
        <v>37.5</v>
      </c>
      <c r="H19" t="s">
        <v>361</v>
      </c>
    </row>
    <row r="20" spans="1:9" x14ac:dyDescent="0.25">
      <c r="A20" s="1">
        <f t="shared" si="0"/>
        <v>45488</v>
      </c>
      <c r="B20" s="31">
        <f>TIME(14,45,0)</f>
        <v>0.61458333333333337</v>
      </c>
      <c r="C20" t="str">
        <f>Inventory!A81</f>
        <v>eggs</v>
      </c>
      <c r="D20" s="27">
        <v>3</v>
      </c>
      <c r="E20" s="5">
        <f>D20*Inventory!D81</f>
        <v>60</v>
      </c>
      <c r="F20" s="5">
        <f>D20*Inventory!C81</f>
        <v>43</v>
      </c>
      <c r="G20" s="5">
        <f t="shared" si="1"/>
        <v>17</v>
      </c>
      <c r="H20" t="s">
        <v>361</v>
      </c>
    </row>
    <row r="21" spans="1:9" x14ac:dyDescent="0.25">
      <c r="A21" s="1">
        <f t="shared" si="0"/>
        <v>45488</v>
      </c>
      <c r="B21" s="31">
        <f>TIME(15,30,0)</f>
        <v>0.64583333333333337</v>
      </c>
      <c r="C21" t="str">
        <f>Inventory!A54</f>
        <v>Kdf</v>
      </c>
      <c r="D21" s="27">
        <v>2</v>
      </c>
      <c r="E21" s="5">
        <f>D21*Inventory!D54</f>
        <v>20</v>
      </c>
      <c r="F21" s="5">
        <f>D21*Inventory!C54</f>
        <v>16.666666666666668</v>
      </c>
      <c r="G21" s="5">
        <f t="shared" si="1"/>
        <v>3.3333333333333321</v>
      </c>
      <c r="H21" t="s">
        <v>247</v>
      </c>
    </row>
    <row r="22" spans="1:9" x14ac:dyDescent="0.25">
      <c r="A22" s="1">
        <f t="shared" si="0"/>
        <v>45488</v>
      </c>
      <c r="B22" s="31">
        <f>TIME(15,35,0)</f>
        <v>0.64930555555555558</v>
      </c>
      <c r="C22" t="str">
        <f>Inventory!A112</f>
        <v>Downy lavender</v>
      </c>
      <c r="D22" s="27">
        <v>2</v>
      </c>
      <c r="E22" s="5">
        <f>D22*Inventory!D112</f>
        <v>40</v>
      </c>
      <c r="F22" s="5">
        <f>D22*Inventory!C112</f>
        <v>34.666666666666664</v>
      </c>
      <c r="G22" s="5">
        <f t="shared" si="1"/>
        <v>5.3333333333333357</v>
      </c>
      <c r="H22" t="s">
        <v>361</v>
      </c>
    </row>
    <row r="23" spans="1:9" x14ac:dyDescent="0.25">
      <c r="A23" s="1">
        <f t="shared" si="0"/>
        <v>45488</v>
      </c>
      <c r="B23" s="31">
        <f>TIME(16,23,0)</f>
        <v>0.68263888888888891</v>
      </c>
      <c r="C23" t="str">
        <f>Inventory!A57</f>
        <v>Fresh Blue</v>
      </c>
      <c r="D23" s="27">
        <v>1</v>
      </c>
      <c r="E23" s="5">
        <f>D23*Inventory!D57</f>
        <v>10</v>
      </c>
      <c r="F23" s="5">
        <f>D23*Inventory!C57</f>
        <v>5</v>
      </c>
      <c r="G23" s="5">
        <f t="shared" si="1"/>
        <v>5</v>
      </c>
      <c r="H23" t="s">
        <v>361</v>
      </c>
    </row>
    <row r="24" spans="1:9" x14ac:dyDescent="0.25">
      <c r="A24" s="1">
        <f t="shared" si="0"/>
        <v>45488</v>
      </c>
      <c r="B24" s="31">
        <f>TIME(17,30,0)</f>
        <v>0.72916666666666663</v>
      </c>
      <c r="C24" t="str">
        <f>Inventory!A117</f>
        <v>Cooking Oil Measured</v>
      </c>
      <c r="D24" s="27">
        <v>0.25</v>
      </c>
      <c r="E24" s="5">
        <f>D24*Inventory!D117</f>
        <v>70</v>
      </c>
      <c r="F24" s="5">
        <f>D24*Inventory!C117</f>
        <v>50</v>
      </c>
      <c r="G24" s="5">
        <f t="shared" si="1"/>
        <v>20</v>
      </c>
      <c r="H24" t="s">
        <v>247</v>
      </c>
    </row>
    <row r="25" spans="1:9" x14ac:dyDescent="0.25">
      <c r="A25" s="1">
        <f t="shared" si="0"/>
        <v>45488</v>
      </c>
      <c r="B25" s="31">
        <f>TIME(17,30,0)</f>
        <v>0.72916666666666663</v>
      </c>
      <c r="C25" t="str">
        <f>Inventory!A81</f>
        <v>eggs</v>
      </c>
      <c r="D25" s="27">
        <v>3</v>
      </c>
      <c r="E25" s="5">
        <f>D25*Inventory!D81</f>
        <v>60</v>
      </c>
      <c r="F25" s="5">
        <f>D25*Inventory!C81</f>
        <v>43</v>
      </c>
      <c r="G25" s="5">
        <f t="shared" si="1"/>
        <v>17</v>
      </c>
      <c r="H25" t="s">
        <v>247</v>
      </c>
    </row>
    <row r="26" spans="1:9" x14ac:dyDescent="0.25">
      <c r="A26" s="1">
        <f t="shared" si="0"/>
        <v>45488</v>
      </c>
      <c r="B26" s="31">
        <f>TIME(17,55,0)</f>
        <v>0.74652777777777779</v>
      </c>
      <c r="C26" t="str">
        <f>Inventory!A107</f>
        <v>Jik</v>
      </c>
      <c r="D26" s="27">
        <v>1</v>
      </c>
      <c r="E26" s="5">
        <f>D26*Inventory!D107</f>
        <v>50</v>
      </c>
      <c r="F26" s="5">
        <f>D26*Inventory!C107</f>
        <v>38.333333333333336</v>
      </c>
      <c r="G26" s="5">
        <f t="shared" si="1"/>
        <v>11.666666666666664</v>
      </c>
      <c r="H26" t="s">
        <v>361</v>
      </c>
    </row>
    <row r="27" spans="1:9" x14ac:dyDescent="0.25">
      <c r="A27" s="1">
        <f t="shared" si="0"/>
        <v>45488</v>
      </c>
      <c r="B27" s="31">
        <f>TIME(18,10,0)</f>
        <v>0.75694444444444453</v>
      </c>
      <c r="C27" t="str">
        <f>Inventory!A118</f>
        <v>Panadol Extra</v>
      </c>
      <c r="D27" s="27">
        <v>1</v>
      </c>
      <c r="E27" s="5">
        <f>D27*Inventory!D118</f>
        <v>20</v>
      </c>
      <c r="F27" s="5">
        <f>D27*Inventory!C118</f>
        <v>13</v>
      </c>
      <c r="G27" s="5">
        <f t="shared" si="1"/>
        <v>7</v>
      </c>
      <c r="H27" t="s">
        <v>361</v>
      </c>
    </row>
    <row r="28" spans="1:9" x14ac:dyDescent="0.25">
      <c r="A28" s="1">
        <f t="shared" si="0"/>
        <v>45488</v>
      </c>
      <c r="B28" s="31">
        <f>TIME(18,38,0)</f>
        <v>0.77638888888888891</v>
      </c>
      <c r="C28" t="str">
        <f>Inventory!A114</f>
        <v>Maramoja</v>
      </c>
      <c r="D28" s="27">
        <v>1</v>
      </c>
      <c r="E28" s="5">
        <f>D28*Inventory!D114</f>
        <v>10</v>
      </c>
      <c r="F28" s="5">
        <f>D28*Inventory!C114</f>
        <v>7</v>
      </c>
      <c r="G28" s="5">
        <f t="shared" si="1"/>
        <v>3</v>
      </c>
      <c r="H28" t="s">
        <v>361</v>
      </c>
    </row>
    <row r="29" spans="1:9" x14ac:dyDescent="0.25">
      <c r="A29" s="1">
        <f t="shared" si="0"/>
        <v>45488</v>
      </c>
      <c r="B29" s="31">
        <f>TIME(18,38,0)</f>
        <v>0.77638888888888891</v>
      </c>
      <c r="C29" t="str">
        <f>Inventory!A119</f>
        <v>Magadi</v>
      </c>
      <c r="D29" s="27">
        <v>1</v>
      </c>
      <c r="E29" s="5">
        <f>D29*Inventory!D119</f>
        <v>5</v>
      </c>
      <c r="F29" s="5">
        <f>D29*Inventory!C119</f>
        <v>3</v>
      </c>
      <c r="G29" s="5">
        <f t="shared" si="1"/>
        <v>2</v>
      </c>
      <c r="H29" t="s">
        <v>361</v>
      </c>
    </row>
    <row r="30" spans="1:9" x14ac:dyDescent="0.25">
      <c r="A30" s="1">
        <f t="shared" si="0"/>
        <v>45488</v>
      </c>
      <c r="B30" s="31">
        <f>TIME(19,7,0)</f>
        <v>0.79652777777777783</v>
      </c>
      <c r="C30" t="str">
        <f>Inventory!A97</f>
        <v>Softcare pads</v>
      </c>
      <c r="D30" s="27">
        <v>1</v>
      </c>
      <c r="E30" s="5">
        <f>D30*Inventory!D97</f>
        <v>85</v>
      </c>
      <c r="F30" s="5">
        <f>D30*Inventory!C97</f>
        <v>66</v>
      </c>
      <c r="G30" s="5">
        <f t="shared" si="1"/>
        <v>19</v>
      </c>
      <c r="H30" t="s">
        <v>361</v>
      </c>
    </row>
    <row r="31" spans="1:9" x14ac:dyDescent="0.25">
      <c r="A31" s="1">
        <f t="shared" si="0"/>
        <v>45488</v>
      </c>
      <c r="B31" s="31">
        <f>TIME(19,30,0)</f>
        <v>0.8125</v>
      </c>
      <c r="C31" t="str">
        <f>Inventory!A120</f>
        <v>Icepop</v>
      </c>
      <c r="D31" s="27">
        <v>1</v>
      </c>
      <c r="E31" s="5">
        <f>D31*Inventory!D120</f>
        <v>15</v>
      </c>
      <c r="F31" s="5">
        <f>D31*Inventory!C120</f>
        <v>7.5</v>
      </c>
      <c r="G31" s="5">
        <f t="shared" si="1"/>
        <v>7.5</v>
      </c>
      <c r="H31" t="s">
        <v>247</v>
      </c>
    </row>
    <row r="32" spans="1:9" x14ac:dyDescent="0.25">
      <c r="A32" s="1">
        <f t="shared" si="0"/>
        <v>45488</v>
      </c>
      <c r="B32" s="31">
        <f>TIME(19,30,0)</f>
        <v>0.8125</v>
      </c>
      <c r="C32" t="str">
        <f>Inventory!A65</f>
        <v>Tropical</v>
      </c>
      <c r="D32" s="27">
        <v>1</v>
      </c>
      <c r="E32" s="5">
        <f>D32*Inventory!D65</f>
        <v>5</v>
      </c>
      <c r="F32" s="5">
        <f>D32*Inventory!C65</f>
        <v>1.5</v>
      </c>
      <c r="G32" s="5">
        <f t="shared" si="1"/>
        <v>3.5</v>
      </c>
      <c r="H32" t="s">
        <v>247</v>
      </c>
    </row>
    <row r="33" spans="1:9" x14ac:dyDescent="0.25">
      <c r="A33" s="1">
        <f t="shared" si="0"/>
        <v>45488</v>
      </c>
      <c r="B33" s="31">
        <f>TIME(19,36,0)</f>
        <v>0.81666666666666676</v>
      </c>
      <c r="C33" t="str">
        <f>Inventory!A25</f>
        <v>Crown Gold Milk 500ml</v>
      </c>
      <c r="D33" s="27">
        <v>1</v>
      </c>
      <c r="E33" s="5">
        <f>D33*Inventory!D25</f>
        <v>65</v>
      </c>
      <c r="F33" s="5">
        <f>D33*Inventory!C25</f>
        <v>54.166666666666664</v>
      </c>
      <c r="G33" s="5">
        <f t="shared" si="1"/>
        <v>10.833333333333336</v>
      </c>
      <c r="H33" t="s">
        <v>359</v>
      </c>
      <c r="I33" t="s">
        <v>387</v>
      </c>
    </row>
    <row r="34" spans="1:9" x14ac:dyDescent="0.25">
      <c r="A34" s="1">
        <f t="shared" si="0"/>
        <v>45488</v>
      </c>
      <c r="B34" s="31">
        <f>TIME(20,2,0)</f>
        <v>0.83472222222222225</v>
      </c>
      <c r="C34" t="str">
        <f>Inventory!A25</f>
        <v>Crown Gold Milk 500ml</v>
      </c>
      <c r="D34" s="27">
        <v>1</v>
      </c>
      <c r="E34" s="5">
        <f>D34*Inventory!D25</f>
        <v>65</v>
      </c>
      <c r="F34" s="5">
        <f>D34*Inventory!C25</f>
        <v>54.166666666666664</v>
      </c>
      <c r="G34" s="5">
        <f t="shared" si="1"/>
        <v>10.833333333333336</v>
      </c>
      <c r="H34" t="s">
        <v>359</v>
      </c>
      <c r="I34" t="s">
        <v>385</v>
      </c>
    </row>
    <row r="35" spans="1:9" x14ac:dyDescent="0.25">
      <c r="A35" s="1">
        <f t="shared" ref="A35:A41" si="2">DATE(2024,7,15)</f>
        <v>45488</v>
      </c>
      <c r="B35" s="31">
        <f>TIME(8,2,0)</f>
        <v>0.3347222222222222</v>
      </c>
      <c r="C35" t="str">
        <f>Inventory!A24</f>
        <v>Brookside milk 500ml</v>
      </c>
      <c r="D35" s="27">
        <v>1</v>
      </c>
      <c r="E35" s="5">
        <f>D35*Inventory!D24</f>
        <v>70</v>
      </c>
      <c r="F35" s="5">
        <f>D35*Inventory!C24</f>
        <v>59</v>
      </c>
      <c r="G35" s="5">
        <f t="shared" si="1"/>
        <v>11</v>
      </c>
      <c r="H35" t="s">
        <v>359</v>
      </c>
      <c r="I35" t="s">
        <v>385</v>
      </c>
    </row>
    <row r="36" spans="1:9" x14ac:dyDescent="0.25">
      <c r="A36" s="1">
        <f t="shared" si="2"/>
        <v>45488</v>
      </c>
      <c r="B36" s="31">
        <f>TIME(20,8,0)</f>
        <v>0.83888888888888891</v>
      </c>
      <c r="C36" t="str">
        <f>Inventory!A30</f>
        <v>BB Bread 400g</v>
      </c>
      <c r="D36" s="27">
        <v>1</v>
      </c>
      <c r="E36" s="5">
        <f>D36*Inventory!D30</f>
        <v>65</v>
      </c>
      <c r="F36" s="5">
        <f>D36*Inventory!C30</f>
        <v>60</v>
      </c>
      <c r="G36" s="5">
        <f t="shared" si="1"/>
        <v>5</v>
      </c>
      <c r="H36" t="s">
        <v>247</v>
      </c>
    </row>
    <row r="37" spans="1:9" x14ac:dyDescent="0.25">
      <c r="A37" s="1">
        <f t="shared" si="2"/>
        <v>45488</v>
      </c>
      <c r="B37" s="31">
        <f>TIME(20,8,0)</f>
        <v>0.83888888888888891</v>
      </c>
      <c r="C37" t="str">
        <f>Inventory!A81</f>
        <v>eggs</v>
      </c>
      <c r="D37" s="27">
        <v>2</v>
      </c>
      <c r="E37" s="5">
        <f>D37*Inventory!D81</f>
        <v>40</v>
      </c>
      <c r="F37" s="5">
        <f>D37*Inventory!C81</f>
        <v>28.666666666666668</v>
      </c>
      <c r="G37" s="5">
        <f t="shared" si="1"/>
        <v>11.333333333333332</v>
      </c>
      <c r="H37" t="s">
        <v>247</v>
      </c>
    </row>
    <row r="38" spans="1:9" x14ac:dyDescent="0.25">
      <c r="A38" s="1">
        <f t="shared" si="2"/>
        <v>45488</v>
      </c>
      <c r="B38" s="31">
        <f>TIME(20,8,0)</f>
        <v>0.83888888888888891</v>
      </c>
      <c r="C38" t="str">
        <f>Inventory!A121</f>
        <v>Banana</v>
      </c>
      <c r="D38" s="27">
        <v>3</v>
      </c>
      <c r="E38" s="5">
        <f>D38*Inventory!D121</f>
        <v>30</v>
      </c>
      <c r="F38" s="5">
        <f>D38*Inventory!C121</f>
        <v>25</v>
      </c>
      <c r="G38" s="5">
        <f t="shared" si="1"/>
        <v>5</v>
      </c>
      <c r="H38" t="s">
        <v>247</v>
      </c>
    </row>
    <row r="39" spans="1:9" x14ac:dyDescent="0.25">
      <c r="A39" s="1">
        <f t="shared" si="2"/>
        <v>45488</v>
      </c>
      <c r="B39" s="31">
        <f>TIME(20,10,0)</f>
        <v>0.84027777777777779</v>
      </c>
      <c r="C39" t="str">
        <f>Inventory!A54</f>
        <v>Kdf</v>
      </c>
      <c r="D39" s="27">
        <v>2</v>
      </c>
      <c r="E39" s="5">
        <f>D39*Inventory!D54</f>
        <v>20</v>
      </c>
      <c r="F39" s="5">
        <f>D39*Inventory!C54</f>
        <v>16.666666666666668</v>
      </c>
      <c r="G39" s="5">
        <f t="shared" si="1"/>
        <v>3.3333333333333321</v>
      </c>
      <c r="H39" t="s">
        <v>359</v>
      </c>
      <c r="I39" t="s">
        <v>388</v>
      </c>
    </row>
    <row r="40" spans="1:9" x14ac:dyDescent="0.25">
      <c r="A40" s="1">
        <f t="shared" si="2"/>
        <v>45488</v>
      </c>
      <c r="B40" s="31">
        <f>TIME(20,8,0)</f>
        <v>0.83888888888888891</v>
      </c>
      <c r="C40" t="str">
        <f>Inventory!A121</f>
        <v>Banana</v>
      </c>
      <c r="D40" s="27">
        <v>1</v>
      </c>
      <c r="E40" s="5">
        <f>D40*Inventory!D121</f>
        <v>10</v>
      </c>
      <c r="F40" s="5">
        <f>D40*Inventory!C121</f>
        <v>8.3333333333333339</v>
      </c>
      <c r="G40" s="5">
        <f t="shared" si="1"/>
        <v>1.6666666666666661</v>
      </c>
      <c r="H40" t="s">
        <v>359</v>
      </c>
      <c r="I40" t="s">
        <v>388</v>
      </c>
    </row>
    <row r="41" spans="1:9" x14ac:dyDescent="0.25">
      <c r="A41" s="1">
        <f t="shared" si="2"/>
        <v>45488</v>
      </c>
      <c r="B41" s="31">
        <f>TIME(20,13,0)</f>
        <v>0.84236111111111101</v>
      </c>
      <c r="C41" t="str">
        <f>Inventory!A24</f>
        <v>Brookside milk 500ml</v>
      </c>
      <c r="D41" s="27">
        <v>1</v>
      </c>
      <c r="E41" s="5">
        <f>D41*Inventory!D24</f>
        <v>70</v>
      </c>
      <c r="F41" s="5">
        <f>D41*Inventory!C24</f>
        <v>59</v>
      </c>
      <c r="G41" s="5">
        <f t="shared" si="1"/>
        <v>11</v>
      </c>
      <c r="H41" t="s">
        <v>359</v>
      </c>
      <c r="I41" t="s">
        <v>389</v>
      </c>
    </row>
    <row r="42" spans="1:9" x14ac:dyDescent="0.25">
      <c r="A42" s="1">
        <f>DATE(2024,7,16)</f>
        <v>45489</v>
      </c>
      <c r="B42" s="31">
        <f>TIME(8,0,0)</f>
        <v>0.33333333333333331</v>
      </c>
      <c r="C42" t="str">
        <f>Inventory!A23</f>
        <v>Mt kenya milk 500ml</v>
      </c>
      <c r="D42" s="27">
        <v>1</v>
      </c>
      <c r="E42" s="5">
        <f>D42*Inventory!D23</f>
        <v>65</v>
      </c>
      <c r="F42" s="5">
        <f>D42*Inventory!C23</f>
        <v>48.333333333333336</v>
      </c>
      <c r="G42" s="5">
        <f t="shared" si="1"/>
        <v>16.666666666666664</v>
      </c>
      <c r="H42" t="s">
        <v>247</v>
      </c>
    </row>
    <row r="43" spans="1:9" x14ac:dyDescent="0.25">
      <c r="A43" s="1">
        <f t="shared" ref="A43:A106" si="3">DATE(2024,7,16)</f>
        <v>45489</v>
      </c>
      <c r="B43" s="31">
        <f>TIME(8,0,0)</f>
        <v>0.33333333333333331</v>
      </c>
      <c r="C43" t="str">
        <f>Inventory!A23</f>
        <v>Mt kenya milk 500ml</v>
      </c>
      <c r="D43" s="27">
        <v>1</v>
      </c>
      <c r="E43" s="5">
        <f>D43*Inventory!D23</f>
        <v>65</v>
      </c>
      <c r="F43" s="5">
        <f>D43*Inventory!C23</f>
        <v>48.333333333333336</v>
      </c>
      <c r="G43" s="5">
        <f t="shared" si="1"/>
        <v>16.666666666666664</v>
      </c>
      <c r="H43" t="s">
        <v>247</v>
      </c>
    </row>
    <row r="44" spans="1:9" x14ac:dyDescent="0.25">
      <c r="A44" s="1">
        <f t="shared" si="3"/>
        <v>45489</v>
      </c>
      <c r="B44" s="31">
        <f>TIME(8,0,0)</f>
        <v>0.33333333333333331</v>
      </c>
      <c r="C44" t="str">
        <f>Inventory!A25</f>
        <v>Crown Gold Milk 500ml</v>
      </c>
      <c r="D44" s="27">
        <v>1</v>
      </c>
      <c r="E44" s="5">
        <f>D44*Inventory!D25</f>
        <v>65</v>
      </c>
      <c r="F44" s="5">
        <f>D44*Inventory!C25</f>
        <v>54.166666666666664</v>
      </c>
      <c r="G44" s="5">
        <f t="shared" si="1"/>
        <v>10.833333333333336</v>
      </c>
      <c r="H44" t="s">
        <v>247</v>
      </c>
    </row>
    <row r="45" spans="1:9" x14ac:dyDescent="0.25">
      <c r="A45" s="1">
        <f t="shared" si="3"/>
        <v>45489</v>
      </c>
      <c r="B45" s="31">
        <f>TIME(8,16,0)</f>
        <v>0.3444444444444445</v>
      </c>
      <c r="C45" t="str">
        <f>Inventory!A13</f>
        <v>soda 300ml glass</v>
      </c>
      <c r="D45" s="27">
        <v>1</v>
      </c>
      <c r="E45" s="5">
        <f>D45*Inventory!D13</f>
        <v>40</v>
      </c>
      <c r="F45" s="5">
        <f>D45*Inventory!C13</f>
        <v>32.5</v>
      </c>
      <c r="G45" s="5">
        <f t="shared" si="1"/>
        <v>7.5</v>
      </c>
      <c r="H45" t="s">
        <v>361</v>
      </c>
    </row>
    <row r="46" spans="1:9" x14ac:dyDescent="0.25">
      <c r="A46" s="1">
        <f t="shared" si="3"/>
        <v>45489</v>
      </c>
      <c r="B46" s="31">
        <f>TIME(8,16,0)</f>
        <v>0.3444444444444445</v>
      </c>
      <c r="C46" t="str">
        <f>Inventory!A55</f>
        <v>Ngumu</v>
      </c>
      <c r="D46" s="27">
        <v>1</v>
      </c>
      <c r="E46" s="5">
        <f>D46*Inventory!D55</f>
        <v>10</v>
      </c>
      <c r="F46" s="5">
        <f>D46*Inventory!C55</f>
        <v>8.3333333333333339</v>
      </c>
      <c r="G46" s="5">
        <f t="shared" si="1"/>
        <v>1.6666666666666661</v>
      </c>
      <c r="H46" t="s">
        <v>361</v>
      </c>
    </row>
    <row r="47" spans="1:9" x14ac:dyDescent="0.25">
      <c r="A47" s="1">
        <f t="shared" si="3"/>
        <v>45489</v>
      </c>
      <c r="B47" s="31">
        <f>TIME(8,16,0)</f>
        <v>0.3444444444444445</v>
      </c>
      <c r="C47" t="str">
        <f>Inventory!A122</f>
        <v>Kinangop Fresh Milk 500ml</v>
      </c>
      <c r="D47" s="27">
        <v>2</v>
      </c>
      <c r="E47" s="5">
        <f>D47*Inventory!D122</f>
        <v>120</v>
      </c>
      <c r="F47" s="5">
        <f>D47*Inventory!C122</f>
        <v>110</v>
      </c>
      <c r="G47" s="5">
        <f t="shared" si="1"/>
        <v>10</v>
      </c>
      <c r="H47" t="s">
        <v>247</v>
      </c>
    </row>
    <row r="48" spans="1:9" x14ac:dyDescent="0.25">
      <c r="A48" s="1">
        <f t="shared" si="3"/>
        <v>45489</v>
      </c>
      <c r="B48" s="31">
        <f>TIME(8,16,0)</f>
        <v>0.3444444444444445</v>
      </c>
      <c r="C48" t="str">
        <f>Inventory!A81</f>
        <v>eggs</v>
      </c>
      <c r="D48" s="27">
        <v>6</v>
      </c>
      <c r="E48" s="5">
        <f>D48*Inventory!D81</f>
        <v>120</v>
      </c>
      <c r="F48" s="5">
        <f>D48*Inventory!C81</f>
        <v>86</v>
      </c>
      <c r="G48" s="5">
        <f t="shared" si="1"/>
        <v>34</v>
      </c>
      <c r="H48" t="s">
        <v>247</v>
      </c>
    </row>
    <row r="49" spans="1:9" x14ac:dyDescent="0.25">
      <c r="A49" s="1">
        <f t="shared" si="3"/>
        <v>45489</v>
      </c>
      <c r="B49" s="31">
        <f>TIME(9,2,0)</f>
        <v>0.37638888888888888</v>
      </c>
      <c r="C49" t="str">
        <f>Inventory!A33</f>
        <v>Festive 800g</v>
      </c>
      <c r="D49" s="27">
        <v>1</v>
      </c>
      <c r="E49" s="5">
        <f>D49*Inventory!D33</f>
        <v>130</v>
      </c>
      <c r="F49" s="5">
        <f>D49*Inventory!C33</f>
        <v>120</v>
      </c>
      <c r="G49" s="5">
        <f t="shared" si="1"/>
        <v>10</v>
      </c>
      <c r="H49" t="s">
        <v>361</v>
      </c>
    </row>
    <row r="50" spans="1:9" x14ac:dyDescent="0.25">
      <c r="A50" s="1">
        <f t="shared" si="3"/>
        <v>45489</v>
      </c>
      <c r="B50" s="31">
        <f>TIME(9,28,0)</f>
        <v>0.39444444444444443</v>
      </c>
      <c r="C50" t="str">
        <f>Inventory!A81</f>
        <v>eggs</v>
      </c>
      <c r="D50" s="27">
        <v>4</v>
      </c>
      <c r="E50" s="5">
        <f>D50*Inventory!D81</f>
        <v>80</v>
      </c>
      <c r="F50" s="5">
        <f>D50*Inventory!C81</f>
        <v>57.333333333333336</v>
      </c>
      <c r="G50" s="5">
        <f t="shared" si="1"/>
        <v>22.666666666666664</v>
      </c>
      <c r="H50" t="s">
        <v>247</v>
      </c>
    </row>
    <row r="51" spans="1:9" x14ac:dyDescent="0.25">
      <c r="A51" s="1">
        <f t="shared" si="3"/>
        <v>45489</v>
      </c>
      <c r="B51" s="31">
        <f>TIME(9,29,0)</f>
        <v>0.39513888888888887</v>
      </c>
      <c r="C51" t="str">
        <f>Inventory!A30</f>
        <v>BB Bread 400g</v>
      </c>
      <c r="D51" s="27">
        <v>2</v>
      </c>
      <c r="E51" s="5">
        <f>D51*Inventory!D30</f>
        <v>130</v>
      </c>
      <c r="F51" s="5">
        <f>D51*Inventory!C30</f>
        <v>120</v>
      </c>
      <c r="G51" s="5">
        <f t="shared" si="1"/>
        <v>10</v>
      </c>
      <c r="H51" t="s">
        <v>361</v>
      </c>
    </row>
    <row r="52" spans="1:9" x14ac:dyDescent="0.25">
      <c r="A52" s="1">
        <f t="shared" si="3"/>
        <v>45489</v>
      </c>
      <c r="B52" s="31">
        <f>TIME(9,29,0)</f>
        <v>0.39513888888888887</v>
      </c>
      <c r="C52" t="str">
        <f>Inventory!A121</f>
        <v>Banana</v>
      </c>
      <c r="D52" s="27">
        <v>2</v>
      </c>
      <c r="E52" s="5">
        <f>D52*Inventory!D121</f>
        <v>20</v>
      </c>
      <c r="F52" s="5">
        <f>D52*Inventory!C121</f>
        <v>16.666666666666668</v>
      </c>
      <c r="G52" s="5">
        <f t="shared" si="1"/>
        <v>3.3333333333333321</v>
      </c>
      <c r="H52" t="s">
        <v>361</v>
      </c>
    </row>
    <row r="53" spans="1:9" x14ac:dyDescent="0.25">
      <c r="A53" s="1">
        <f t="shared" si="3"/>
        <v>45489</v>
      </c>
      <c r="B53" s="31">
        <v>0.41388888888888892</v>
      </c>
      <c r="C53" t="str">
        <f>Inventory!A54</f>
        <v>Kdf</v>
      </c>
      <c r="D53" s="27">
        <v>1</v>
      </c>
      <c r="E53" s="5">
        <f>D53*Inventory!D54</f>
        <v>10</v>
      </c>
      <c r="F53" s="5">
        <f>D53*Inventory!C54</f>
        <v>8.3333333333333339</v>
      </c>
      <c r="G53" s="5">
        <f t="shared" si="1"/>
        <v>1.6666666666666661</v>
      </c>
      <c r="H53" t="s">
        <v>361</v>
      </c>
    </row>
    <row r="54" spans="1:9" x14ac:dyDescent="0.25">
      <c r="A54" s="1">
        <f t="shared" si="3"/>
        <v>45489</v>
      </c>
      <c r="B54" s="31">
        <v>0.42569444444444443</v>
      </c>
      <c r="C54" t="str">
        <f>Inventory!A42</f>
        <v>Njugu</v>
      </c>
      <c r="D54" s="27">
        <v>1</v>
      </c>
      <c r="E54" s="5">
        <f>D54*Inventory!D42</f>
        <v>20</v>
      </c>
      <c r="F54" s="5">
        <f>D54*Inventory!C42</f>
        <v>10.666666666666666</v>
      </c>
      <c r="G54" s="5">
        <f t="shared" si="1"/>
        <v>9.3333333333333339</v>
      </c>
      <c r="H54" t="s">
        <v>361</v>
      </c>
    </row>
    <row r="55" spans="1:9" x14ac:dyDescent="0.25">
      <c r="A55" s="1">
        <f t="shared" si="3"/>
        <v>45489</v>
      </c>
      <c r="B55" s="31">
        <v>0.44166666666666665</v>
      </c>
      <c r="C55" t="str">
        <f>Inventory!A106</f>
        <v xml:space="preserve">Whitewash </v>
      </c>
      <c r="D55" s="27">
        <v>1</v>
      </c>
      <c r="E55" s="5">
        <f>D55*Inventory!D106</f>
        <v>50</v>
      </c>
      <c r="F55" s="5">
        <f>D55*Inventory!C106</f>
        <v>33.75</v>
      </c>
      <c r="G55" s="5">
        <f t="shared" si="1"/>
        <v>16.25</v>
      </c>
      <c r="H55" t="s">
        <v>247</v>
      </c>
    </row>
    <row r="56" spans="1:9" x14ac:dyDescent="0.25">
      <c r="A56" s="1">
        <f t="shared" si="3"/>
        <v>45489</v>
      </c>
      <c r="B56" s="31">
        <v>0.44166666666666665</v>
      </c>
      <c r="C56" t="str">
        <f>Inventory!A110</f>
        <v>omo 75g</v>
      </c>
      <c r="D56" s="27">
        <v>1</v>
      </c>
      <c r="E56" s="5">
        <f>D56*Inventory!D110</f>
        <v>35</v>
      </c>
      <c r="F56" s="5">
        <f>D56*Inventory!C110</f>
        <v>27.5</v>
      </c>
      <c r="G56" s="5">
        <f t="shared" si="1"/>
        <v>7.5</v>
      </c>
      <c r="H56" t="s">
        <v>247</v>
      </c>
    </row>
    <row r="57" spans="1:9" x14ac:dyDescent="0.25">
      <c r="A57" s="1">
        <f t="shared" si="3"/>
        <v>45489</v>
      </c>
      <c r="B57" s="31">
        <f>TIME(10,36,0)</f>
        <v>0.44166666666666665</v>
      </c>
      <c r="C57" t="str">
        <f>Inventory!A123</f>
        <v>Mt Kenya milk 200ml</v>
      </c>
      <c r="D57" s="27">
        <v>1</v>
      </c>
      <c r="E57" s="5">
        <f>D57*Inventory!D123</f>
        <v>35</v>
      </c>
      <c r="F57" s="5">
        <f>D57*Inventory!C123</f>
        <v>24.285714285714285</v>
      </c>
      <c r="G57" s="5">
        <f t="shared" si="1"/>
        <v>10.714285714285715</v>
      </c>
      <c r="H57" t="s">
        <v>247</v>
      </c>
    </row>
    <row r="58" spans="1:9" x14ac:dyDescent="0.25">
      <c r="A58" s="1">
        <f t="shared" si="3"/>
        <v>45489</v>
      </c>
      <c r="B58" s="31">
        <f>TIME(11,44,0)</f>
        <v>0.48888888888888887</v>
      </c>
      <c r="C58" t="str">
        <f>Inventory!A124</f>
        <v>Scones</v>
      </c>
      <c r="D58" s="27">
        <v>2</v>
      </c>
      <c r="E58" s="5">
        <f>D58*Inventory!D124</f>
        <v>20</v>
      </c>
      <c r="F58" s="5">
        <f>D58*Inventory!C124</f>
        <v>16.666666666666668</v>
      </c>
      <c r="G58" s="5">
        <f t="shared" si="1"/>
        <v>3.3333333333333321</v>
      </c>
      <c r="H58" t="s">
        <v>361</v>
      </c>
    </row>
    <row r="59" spans="1:9" x14ac:dyDescent="0.25">
      <c r="A59" s="1">
        <f t="shared" si="3"/>
        <v>45489</v>
      </c>
      <c r="B59" s="31">
        <f>TIME(11,45,0)</f>
        <v>0.48958333333333331</v>
      </c>
      <c r="C59" t="str">
        <f>Inventory!A112</f>
        <v>Downy lavender</v>
      </c>
      <c r="D59" s="27">
        <v>1</v>
      </c>
      <c r="E59" s="5">
        <f>D59*Inventory!D112</f>
        <v>20</v>
      </c>
      <c r="F59" s="5">
        <f>D59*Inventory!C112</f>
        <v>17.333333333333332</v>
      </c>
      <c r="G59" s="5">
        <f t="shared" si="1"/>
        <v>2.6666666666666679</v>
      </c>
      <c r="H59" t="s">
        <v>361</v>
      </c>
    </row>
    <row r="60" spans="1:9" x14ac:dyDescent="0.25">
      <c r="A60" s="1">
        <f t="shared" si="3"/>
        <v>45489</v>
      </c>
      <c r="B60" s="31">
        <f>TIME(11,45,0)</f>
        <v>0.48958333333333331</v>
      </c>
      <c r="C60" t="str">
        <f>Inventory!A94</f>
        <v>Bella Tissue</v>
      </c>
      <c r="D60" s="27">
        <v>1</v>
      </c>
      <c r="E60" s="5">
        <f>D60*Inventory!D94</f>
        <v>45</v>
      </c>
      <c r="F60" s="5">
        <f>D60*Inventory!C94</f>
        <v>35</v>
      </c>
      <c r="G60" s="5">
        <f t="shared" si="1"/>
        <v>10</v>
      </c>
      <c r="H60" t="s">
        <v>361</v>
      </c>
    </row>
    <row r="61" spans="1:9" x14ac:dyDescent="0.25">
      <c r="A61" s="1">
        <f t="shared" si="3"/>
        <v>45489</v>
      </c>
      <c r="B61" s="31">
        <f>TIME(12,46,0)</f>
        <v>0.53194444444444444</v>
      </c>
      <c r="C61" t="str">
        <f>Inventory!A3</f>
        <v>1.5ltrs water</v>
      </c>
      <c r="D61" s="27">
        <v>1</v>
      </c>
      <c r="E61" s="5">
        <f>D61*Inventory!D3</f>
        <v>70</v>
      </c>
      <c r="F61" s="5">
        <f>D61*Inventory!C3</f>
        <v>25</v>
      </c>
      <c r="G61" s="5">
        <f t="shared" si="1"/>
        <v>45</v>
      </c>
      <c r="H61" t="s">
        <v>359</v>
      </c>
      <c r="I61" t="s">
        <v>386</v>
      </c>
    </row>
    <row r="62" spans="1:9" x14ac:dyDescent="0.25">
      <c r="A62" s="1">
        <f t="shared" si="3"/>
        <v>45489</v>
      </c>
      <c r="B62" s="31">
        <f>TIME(12,46,0)</f>
        <v>0.53194444444444444</v>
      </c>
      <c r="C62" t="str">
        <f>Inventory!A41</f>
        <v>Glucose 50g</v>
      </c>
      <c r="D62" s="27">
        <v>1</v>
      </c>
      <c r="E62" s="5">
        <f>D62*Inventory!D41</f>
        <v>30</v>
      </c>
      <c r="F62" s="5">
        <f>D62*Inventory!C41</f>
        <v>15.833333333333334</v>
      </c>
      <c r="G62" s="5">
        <f t="shared" si="1"/>
        <v>14.166666666666666</v>
      </c>
      <c r="H62" t="s">
        <v>359</v>
      </c>
      <c r="I62" t="s">
        <v>386</v>
      </c>
    </row>
    <row r="63" spans="1:9" x14ac:dyDescent="0.25">
      <c r="A63" s="1">
        <f t="shared" si="3"/>
        <v>45489</v>
      </c>
      <c r="B63" s="31">
        <f>TIME(13,35,0)</f>
        <v>0.56597222222222221</v>
      </c>
      <c r="C63" t="str">
        <f>Inventory!A116</f>
        <v>Tomatoes</v>
      </c>
      <c r="D63" s="27">
        <v>3</v>
      </c>
      <c r="E63" s="5">
        <f>D63*Inventory!D116</f>
        <v>30</v>
      </c>
      <c r="F63" s="5">
        <f>D63*Inventory!C116</f>
        <v>15</v>
      </c>
      <c r="G63" s="5">
        <f t="shared" si="1"/>
        <v>15</v>
      </c>
      <c r="H63" t="s">
        <v>361</v>
      </c>
    </row>
    <row r="64" spans="1:9" x14ac:dyDescent="0.25">
      <c r="A64" s="1">
        <f t="shared" si="3"/>
        <v>45489</v>
      </c>
      <c r="B64" s="31">
        <f>TIME(13,35,0)</f>
        <v>0.56597222222222221</v>
      </c>
      <c r="C64" t="str">
        <f>Inventory!A125</f>
        <v>Dhania</v>
      </c>
      <c r="D64" s="27">
        <v>1</v>
      </c>
      <c r="E64" s="5">
        <f>D64*Inventory!D125</f>
        <v>5</v>
      </c>
      <c r="F64" s="5">
        <f>D64*Inventory!C125</f>
        <v>3.3333333333333335</v>
      </c>
      <c r="G64" s="5">
        <f t="shared" si="1"/>
        <v>1.6666666666666665</v>
      </c>
      <c r="H64" t="s">
        <v>361</v>
      </c>
    </row>
    <row r="65" spans="1:9" x14ac:dyDescent="0.25">
      <c r="A65" s="1">
        <f t="shared" si="3"/>
        <v>45489</v>
      </c>
      <c r="B65" s="31">
        <f>TIME(13,35,0)</f>
        <v>0.56597222222222221</v>
      </c>
      <c r="C65" t="str">
        <f>Inventory!A115</f>
        <v>Onion</v>
      </c>
      <c r="D65" s="27">
        <v>1</v>
      </c>
      <c r="E65" s="5">
        <f>D65*Inventory!D115</f>
        <v>10</v>
      </c>
      <c r="F65" s="5">
        <f>D65*Inventory!C115</f>
        <v>8</v>
      </c>
      <c r="G65" s="5">
        <f t="shared" si="1"/>
        <v>2</v>
      </c>
      <c r="H65" t="s">
        <v>361</v>
      </c>
    </row>
    <row r="66" spans="1:9" x14ac:dyDescent="0.25">
      <c r="A66" s="1">
        <f t="shared" si="3"/>
        <v>45489</v>
      </c>
      <c r="B66" s="31">
        <f>TIME(13,35,0)</f>
        <v>0.56597222222222221</v>
      </c>
      <c r="C66" t="str">
        <f>Inventory!A84</f>
        <v>Safari</v>
      </c>
      <c r="D66" s="27">
        <v>2</v>
      </c>
      <c r="E66" s="5">
        <f>D66*Inventory!D84</f>
        <v>30</v>
      </c>
      <c r="F66" s="5">
        <f>D66*Inventory!C84</f>
        <v>17</v>
      </c>
      <c r="G66" s="5">
        <f t="shared" si="1"/>
        <v>13</v>
      </c>
      <c r="H66" t="s">
        <v>361</v>
      </c>
    </row>
    <row r="67" spans="1:9" x14ac:dyDescent="0.25">
      <c r="A67" s="1">
        <f t="shared" si="3"/>
        <v>45489</v>
      </c>
      <c r="B67" s="31">
        <f>TIME(13,53,0)</f>
        <v>0.57847222222222217</v>
      </c>
      <c r="C67" t="str">
        <f>Inventory!A126</f>
        <v>Royco cubes</v>
      </c>
      <c r="D67" s="27">
        <v>4</v>
      </c>
      <c r="E67" s="5">
        <f>D67*Inventory!D126</f>
        <v>20</v>
      </c>
      <c r="F67" s="5">
        <f>D67*Inventory!C126</f>
        <v>12</v>
      </c>
      <c r="G67" s="5">
        <f t="shared" ref="G67:G130" si="4">E67-F67</f>
        <v>8</v>
      </c>
      <c r="H67" t="s">
        <v>247</v>
      </c>
    </row>
    <row r="68" spans="1:9" x14ac:dyDescent="0.25">
      <c r="A68" s="1">
        <f t="shared" si="3"/>
        <v>45489</v>
      </c>
      <c r="B68" s="31">
        <f>TIME(13,59,0)</f>
        <v>0.58263888888888882</v>
      </c>
      <c r="C68" t="str">
        <f>Inventory!A90</f>
        <v>Pembe 2kg</v>
      </c>
      <c r="D68" s="27">
        <v>1</v>
      </c>
      <c r="E68" s="5">
        <f>D68*Inventory!D90</f>
        <v>160</v>
      </c>
      <c r="F68" s="5">
        <f>D68*Inventory!C90</f>
        <v>123.33333333333333</v>
      </c>
      <c r="G68" s="5">
        <f t="shared" si="4"/>
        <v>36.666666666666671</v>
      </c>
      <c r="H68" t="s">
        <v>247</v>
      </c>
    </row>
    <row r="69" spans="1:9" x14ac:dyDescent="0.25">
      <c r="A69" s="1">
        <f t="shared" si="3"/>
        <v>45489</v>
      </c>
      <c r="B69" s="31">
        <f>TIME(13,59,0)</f>
        <v>0.58263888888888882</v>
      </c>
      <c r="C69" t="str">
        <f>Inventory!A119</f>
        <v>Magadi</v>
      </c>
      <c r="D69" s="27">
        <v>1</v>
      </c>
      <c r="E69" s="5">
        <f>D69*Inventory!D119</f>
        <v>5</v>
      </c>
      <c r="F69" s="5">
        <f>D69*Inventory!C119</f>
        <v>3</v>
      </c>
      <c r="G69" s="5">
        <f t="shared" si="4"/>
        <v>2</v>
      </c>
      <c r="H69" t="s">
        <v>247</v>
      </c>
    </row>
    <row r="70" spans="1:9" x14ac:dyDescent="0.25">
      <c r="A70" s="1">
        <f t="shared" si="3"/>
        <v>45489</v>
      </c>
      <c r="B70" s="31">
        <f>TIME(13,59,0)</f>
        <v>0.58263888888888882</v>
      </c>
      <c r="C70" t="str">
        <f>Inventory!A126</f>
        <v>Royco cubes</v>
      </c>
      <c r="D70" s="27">
        <v>3</v>
      </c>
      <c r="E70" s="5">
        <f>D70*Inventory!D126</f>
        <v>15</v>
      </c>
      <c r="F70" s="5">
        <f>D70*Inventory!C126</f>
        <v>9</v>
      </c>
      <c r="G70" s="5">
        <f t="shared" si="4"/>
        <v>6</v>
      </c>
      <c r="H70" t="s">
        <v>247</v>
      </c>
    </row>
    <row r="71" spans="1:9" x14ac:dyDescent="0.25">
      <c r="A71" s="1">
        <f t="shared" si="3"/>
        <v>45489</v>
      </c>
      <c r="B71" s="31">
        <f>TIME(14,26,0)</f>
        <v>0.60138888888888886</v>
      </c>
      <c r="C71" t="str">
        <f>Inventory!A12</f>
        <v>predator</v>
      </c>
      <c r="D71" s="27">
        <v>1</v>
      </c>
      <c r="E71" s="5">
        <f>D71*Inventory!D12</f>
        <v>70</v>
      </c>
      <c r="F71" s="5">
        <f>D71*Inventory!C12</f>
        <v>54.166666666666664</v>
      </c>
      <c r="G71" s="5">
        <f t="shared" si="4"/>
        <v>15.833333333333336</v>
      </c>
      <c r="H71" t="s">
        <v>247</v>
      </c>
    </row>
    <row r="72" spans="1:9" x14ac:dyDescent="0.25">
      <c r="A72" s="1">
        <f t="shared" si="3"/>
        <v>45489</v>
      </c>
      <c r="B72" s="31">
        <f>TIME(14,26,0)</f>
        <v>0.60138888888888886</v>
      </c>
      <c r="C72" t="str">
        <f>Inventory!A127</f>
        <v>Donuts</v>
      </c>
      <c r="D72" s="27">
        <v>4</v>
      </c>
      <c r="E72" s="5">
        <f>D72*Inventory!D127</f>
        <v>20</v>
      </c>
      <c r="F72" s="5">
        <f>D72*Inventory!C127</f>
        <v>16.666666666666668</v>
      </c>
      <c r="G72" s="5">
        <f t="shared" si="4"/>
        <v>3.3333333333333321</v>
      </c>
      <c r="H72" t="s">
        <v>247</v>
      </c>
    </row>
    <row r="73" spans="1:9" x14ac:dyDescent="0.25">
      <c r="A73" s="1">
        <f t="shared" si="3"/>
        <v>45489</v>
      </c>
      <c r="B73" s="31">
        <f>TIME(14,34,0)</f>
        <v>0.6069444444444444</v>
      </c>
      <c r="C73" t="str">
        <f>Inventory!A121</f>
        <v>Banana</v>
      </c>
      <c r="D73" s="27">
        <v>2</v>
      </c>
      <c r="E73" s="5">
        <f>D73*Inventory!D121</f>
        <v>20</v>
      </c>
      <c r="F73" s="5">
        <f>D73*Inventory!C121</f>
        <v>16.666666666666668</v>
      </c>
      <c r="G73" s="5">
        <f t="shared" si="4"/>
        <v>3.3333333333333321</v>
      </c>
      <c r="H73" t="s">
        <v>361</v>
      </c>
    </row>
    <row r="74" spans="1:9" x14ac:dyDescent="0.25">
      <c r="A74" s="1">
        <f t="shared" si="3"/>
        <v>45489</v>
      </c>
      <c r="B74" s="31">
        <f>TIME(14,35,0)</f>
        <v>0.60763888888888895</v>
      </c>
      <c r="C74" t="str">
        <f>Inventory!A128</f>
        <v>Scones</v>
      </c>
      <c r="D74" s="27">
        <v>4</v>
      </c>
      <c r="E74" s="5">
        <f>D74*Inventory!D128</f>
        <v>40</v>
      </c>
      <c r="F74" s="5">
        <f>D74*Inventory!C128</f>
        <v>33.333333333333336</v>
      </c>
      <c r="G74" s="5">
        <f t="shared" si="4"/>
        <v>6.6666666666666643</v>
      </c>
      <c r="H74" t="s">
        <v>359</v>
      </c>
      <c r="I74" t="s">
        <v>386</v>
      </c>
    </row>
    <row r="75" spans="1:9" x14ac:dyDescent="0.25">
      <c r="A75" s="1">
        <f t="shared" si="3"/>
        <v>45489</v>
      </c>
      <c r="B75" s="31">
        <f>TIME(14,35,0)</f>
        <v>0.60763888888888895</v>
      </c>
      <c r="C75" t="str">
        <f>Inventory!A123</f>
        <v>Mt Kenya milk 200ml</v>
      </c>
      <c r="D75" s="27">
        <v>4</v>
      </c>
      <c r="E75" s="5">
        <f>D75*Inventory!D123</f>
        <v>140</v>
      </c>
      <c r="F75" s="5">
        <f>D75*Inventory!C123</f>
        <v>97.142857142857139</v>
      </c>
      <c r="G75" s="5">
        <f t="shared" si="4"/>
        <v>42.857142857142861</v>
      </c>
      <c r="H75" t="s">
        <v>359</v>
      </c>
      <c r="I75" t="s">
        <v>386</v>
      </c>
    </row>
    <row r="76" spans="1:9" x14ac:dyDescent="0.25">
      <c r="A76" s="1">
        <f t="shared" si="3"/>
        <v>45489</v>
      </c>
      <c r="B76" s="31">
        <f>TIME(14,35,0)</f>
        <v>0.60763888888888895</v>
      </c>
      <c r="C76" t="str">
        <f>Inventory!A129</f>
        <v>Carrier bag small</v>
      </c>
      <c r="D76" s="27">
        <v>1</v>
      </c>
      <c r="E76" s="5">
        <f>D76*Inventory!D129</f>
        <v>10</v>
      </c>
      <c r="F76" s="5">
        <f>D76*Inventory!C129</f>
        <v>3</v>
      </c>
      <c r="G76" s="5">
        <f t="shared" si="4"/>
        <v>7</v>
      </c>
      <c r="H76" t="s">
        <v>359</v>
      </c>
      <c r="I76" t="s">
        <v>386</v>
      </c>
    </row>
    <row r="77" spans="1:9" x14ac:dyDescent="0.25">
      <c r="A77" s="1">
        <f t="shared" si="3"/>
        <v>45489</v>
      </c>
      <c r="B77" s="31">
        <f>TIME(14,56,0)</f>
        <v>0.62222222222222223</v>
      </c>
      <c r="C77" t="str">
        <f>Inventory!A131</f>
        <v>Black Shampoo</v>
      </c>
      <c r="D77" s="27">
        <v>1</v>
      </c>
      <c r="E77" s="5">
        <f>D77*Inventory!D131</f>
        <v>50</v>
      </c>
      <c r="F77" s="5">
        <f>D77*Inventory!C131</f>
        <v>28</v>
      </c>
      <c r="G77" s="5">
        <f t="shared" si="4"/>
        <v>22</v>
      </c>
      <c r="H77" t="s">
        <v>361</v>
      </c>
    </row>
    <row r="78" spans="1:9" x14ac:dyDescent="0.25">
      <c r="A78" s="1">
        <f t="shared" si="3"/>
        <v>45489</v>
      </c>
      <c r="B78" s="31">
        <f>TIME(15,40,0)</f>
        <v>0.65277777777777779</v>
      </c>
      <c r="C78" t="str">
        <f>Inventory!A67</f>
        <v>Bigboss</v>
      </c>
      <c r="D78" s="27">
        <v>1</v>
      </c>
      <c r="E78" s="5">
        <f>D78*Inventory!D67</f>
        <v>5</v>
      </c>
      <c r="F78" s="5">
        <f>D78*Inventory!C67</f>
        <v>3.5</v>
      </c>
      <c r="G78" s="5">
        <f t="shared" si="4"/>
        <v>1.5</v>
      </c>
      <c r="H78" t="s">
        <v>247</v>
      </c>
    </row>
    <row r="79" spans="1:9" x14ac:dyDescent="0.25">
      <c r="A79" s="1">
        <f t="shared" si="3"/>
        <v>45489</v>
      </c>
      <c r="B79" s="31">
        <f>TIME(16,17,0)</f>
        <v>0.67847222222222225</v>
      </c>
      <c r="C79" t="str">
        <f>Inventory!A5</f>
        <v>soda 2lts</v>
      </c>
      <c r="D79" s="27">
        <v>1</v>
      </c>
      <c r="E79" s="5">
        <f>D79*Inventory!D5</f>
        <v>200</v>
      </c>
      <c r="F79" s="5">
        <f>D79*Inventory!C5</f>
        <v>176.66666666666666</v>
      </c>
      <c r="G79" s="5">
        <f t="shared" si="4"/>
        <v>23.333333333333343</v>
      </c>
      <c r="H79" t="s">
        <v>361</v>
      </c>
    </row>
    <row r="80" spans="1:9" x14ac:dyDescent="0.25">
      <c r="A80" s="1">
        <f t="shared" si="3"/>
        <v>45489</v>
      </c>
      <c r="B80" s="31">
        <f>TIME(16,49,0)</f>
        <v>0.7006944444444444</v>
      </c>
      <c r="C80" t="str">
        <f>Inventory!A24</f>
        <v>Brookside milk 500ml</v>
      </c>
      <c r="D80" s="27">
        <v>2</v>
      </c>
      <c r="E80" s="5">
        <f>D80*Inventory!D24</f>
        <v>140</v>
      </c>
      <c r="F80" s="5">
        <f>D80*Inventory!C24</f>
        <v>118</v>
      </c>
      <c r="G80" s="5">
        <f t="shared" si="4"/>
        <v>22</v>
      </c>
      <c r="H80" t="s">
        <v>247</v>
      </c>
    </row>
    <row r="81" spans="1:8" x14ac:dyDescent="0.25">
      <c r="A81" s="1">
        <f t="shared" si="3"/>
        <v>45489</v>
      </c>
      <c r="B81" s="31">
        <f>TIME(16,49,0)</f>
        <v>0.7006944444444444</v>
      </c>
      <c r="C81" t="str">
        <f>Inventory!A35</f>
        <v>Bitez</v>
      </c>
      <c r="D81" s="27">
        <v>1</v>
      </c>
      <c r="E81" s="5">
        <f>D81*Inventory!D35</f>
        <v>15</v>
      </c>
      <c r="F81" s="5">
        <f>D81*Inventory!C35</f>
        <v>8.8000000000000007</v>
      </c>
      <c r="G81" s="5">
        <f t="shared" si="4"/>
        <v>6.1999999999999993</v>
      </c>
      <c r="H81" t="s">
        <v>247</v>
      </c>
    </row>
    <row r="82" spans="1:8" x14ac:dyDescent="0.25">
      <c r="A82" s="1">
        <f t="shared" si="3"/>
        <v>45489</v>
      </c>
      <c r="B82" s="31">
        <f>TIME(16,50,0)</f>
        <v>0.70138888888888884</v>
      </c>
      <c r="C82" t="str">
        <f>Inventory!A71</f>
        <v>Indomie chicken</v>
      </c>
      <c r="D82" s="27">
        <v>1</v>
      </c>
      <c r="E82" s="5">
        <f>D82*Inventory!D71</f>
        <v>50</v>
      </c>
      <c r="F82" s="5">
        <f>D82*Inventory!C71</f>
        <v>37.5</v>
      </c>
      <c r="G82" s="5">
        <f t="shared" si="4"/>
        <v>12.5</v>
      </c>
      <c r="H82" t="s">
        <v>247</v>
      </c>
    </row>
    <row r="83" spans="1:8" x14ac:dyDescent="0.25">
      <c r="A83" s="1">
        <f t="shared" si="3"/>
        <v>45489</v>
      </c>
      <c r="B83" s="31">
        <f>TIME(16,50,0)</f>
        <v>0.70138888888888884</v>
      </c>
      <c r="C83" t="str">
        <f>Inventory!A125</f>
        <v>Dhania</v>
      </c>
      <c r="D83" s="27">
        <v>1</v>
      </c>
      <c r="E83" s="5">
        <f>D83*Inventory!D125</f>
        <v>5</v>
      </c>
      <c r="F83" s="5">
        <f>D83*Inventory!C125</f>
        <v>3.3333333333333335</v>
      </c>
      <c r="G83" s="5">
        <f t="shared" si="4"/>
        <v>1.6666666666666665</v>
      </c>
      <c r="H83" t="s">
        <v>247</v>
      </c>
    </row>
    <row r="84" spans="1:8" x14ac:dyDescent="0.25">
      <c r="A84" s="1">
        <f t="shared" si="3"/>
        <v>45489</v>
      </c>
      <c r="B84" s="31">
        <f>TIME(17,21,0)</f>
        <v>0.72291666666666676</v>
      </c>
      <c r="C84" t="str">
        <f>Inventory!A93</f>
        <v>Hanaan Tissue</v>
      </c>
      <c r="D84" s="27">
        <v>2</v>
      </c>
      <c r="E84" s="5">
        <f>D84*Inventory!D93</f>
        <v>100</v>
      </c>
      <c r="F84" s="5">
        <f>D84*Inventory!C93</f>
        <v>86</v>
      </c>
      <c r="G84" s="5">
        <f t="shared" si="4"/>
        <v>14</v>
      </c>
      <c r="H84" t="s">
        <v>247</v>
      </c>
    </row>
    <row r="85" spans="1:8" x14ac:dyDescent="0.25">
      <c r="A85" s="1">
        <f t="shared" si="3"/>
        <v>45489</v>
      </c>
      <c r="B85" s="31">
        <f>TIME(17,21,0)</f>
        <v>0.72291666666666676</v>
      </c>
      <c r="C85" t="str">
        <f>Inventory!A106</f>
        <v xml:space="preserve">Whitewash </v>
      </c>
      <c r="D85" s="27">
        <v>1</v>
      </c>
      <c r="E85" s="5">
        <f>D85*Inventory!D106</f>
        <v>50</v>
      </c>
      <c r="F85" s="5">
        <f>D85*Inventory!C106</f>
        <v>33.75</v>
      </c>
      <c r="G85" s="5">
        <f t="shared" si="4"/>
        <v>16.25</v>
      </c>
      <c r="H85" t="s">
        <v>247</v>
      </c>
    </row>
    <row r="86" spans="1:8" x14ac:dyDescent="0.25">
      <c r="A86" s="1">
        <f t="shared" si="3"/>
        <v>45489</v>
      </c>
      <c r="B86" s="31">
        <f>TIME(17,21,0)</f>
        <v>0.72291666666666676</v>
      </c>
      <c r="C86" t="str">
        <f>Inventory!A99</f>
        <v>Colgate 15g</v>
      </c>
      <c r="D86" s="27">
        <v>1</v>
      </c>
      <c r="E86" s="5">
        <f>D86*Inventory!D99</f>
        <v>50</v>
      </c>
      <c r="F86" s="5">
        <f>D86*Inventory!C99</f>
        <v>36.25</v>
      </c>
      <c r="G86" s="5">
        <f t="shared" si="4"/>
        <v>13.75</v>
      </c>
      <c r="H86" t="s">
        <v>247</v>
      </c>
    </row>
    <row r="87" spans="1:8" x14ac:dyDescent="0.25">
      <c r="A87" s="1">
        <f t="shared" si="3"/>
        <v>45489</v>
      </c>
      <c r="B87" s="31">
        <f>TIME(17,21,0)</f>
        <v>0.72291666666666676</v>
      </c>
      <c r="C87" t="str">
        <f>Inventory!A116</f>
        <v>Tomatoes</v>
      </c>
      <c r="D87" s="27">
        <v>5</v>
      </c>
      <c r="E87" s="5">
        <f>D87*Inventory!D116</f>
        <v>50</v>
      </c>
      <c r="F87" s="5">
        <f>D87*Inventory!C116</f>
        <v>25</v>
      </c>
      <c r="G87" s="5">
        <f t="shared" si="4"/>
        <v>25</v>
      </c>
      <c r="H87" t="s">
        <v>247</v>
      </c>
    </row>
    <row r="88" spans="1:8" x14ac:dyDescent="0.25">
      <c r="A88" s="1">
        <f t="shared" si="3"/>
        <v>45489</v>
      </c>
      <c r="B88" s="31">
        <f>TIME(17,21,0)</f>
        <v>0.72291666666666676</v>
      </c>
      <c r="C88" t="str">
        <f>Inventory!A125</f>
        <v>Dhania</v>
      </c>
      <c r="D88" s="27">
        <v>1</v>
      </c>
      <c r="E88" s="5">
        <f>D88*Inventory!D125</f>
        <v>5</v>
      </c>
      <c r="F88" s="5">
        <f>D88*Inventory!C125</f>
        <v>3.3333333333333335</v>
      </c>
      <c r="G88" s="5">
        <f t="shared" si="4"/>
        <v>1.6666666666666665</v>
      </c>
      <c r="H88" t="s">
        <v>247</v>
      </c>
    </row>
    <row r="89" spans="1:8" x14ac:dyDescent="0.25">
      <c r="A89" s="1">
        <f t="shared" si="3"/>
        <v>45489</v>
      </c>
      <c r="B89" s="31">
        <f>TIME(17,33,0)</f>
        <v>0.73125000000000007</v>
      </c>
      <c r="C89" t="str">
        <f>Inventory!A31</f>
        <v>BB Bread 200g</v>
      </c>
      <c r="D89" s="27">
        <v>1</v>
      </c>
      <c r="E89" s="5">
        <f>D89*Inventory!D31</f>
        <v>40</v>
      </c>
      <c r="F89" s="5">
        <f>D89*Inventory!C31</f>
        <v>35</v>
      </c>
      <c r="G89" s="5">
        <f t="shared" si="4"/>
        <v>5</v>
      </c>
      <c r="H89" t="s">
        <v>361</v>
      </c>
    </row>
    <row r="90" spans="1:8" x14ac:dyDescent="0.25">
      <c r="A90" s="1">
        <f t="shared" si="3"/>
        <v>45489</v>
      </c>
      <c r="B90" s="31">
        <f>TIME(17,33,0)</f>
        <v>0.73125000000000007</v>
      </c>
      <c r="C90" t="str">
        <f>Inventory!A23</f>
        <v>Mt kenya milk 500ml</v>
      </c>
      <c r="D90" s="27">
        <v>1</v>
      </c>
      <c r="E90" s="5">
        <f>D90*Inventory!D23</f>
        <v>65</v>
      </c>
      <c r="F90" s="5">
        <f>D90*Inventory!C23</f>
        <v>48.333333333333336</v>
      </c>
      <c r="G90" s="5">
        <f t="shared" si="4"/>
        <v>16.666666666666664</v>
      </c>
      <c r="H90" t="s">
        <v>361</v>
      </c>
    </row>
    <row r="91" spans="1:8" x14ac:dyDescent="0.25">
      <c r="A91" s="1">
        <f t="shared" si="3"/>
        <v>45489</v>
      </c>
      <c r="B91" s="31">
        <f>TIME(17,45,0)</f>
        <v>0.73958333333333337</v>
      </c>
      <c r="C91" t="str">
        <f>Inventory!A61</f>
        <v>Bigdaddy</v>
      </c>
      <c r="D91" s="27">
        <v>3</v>
      </c>
      <c r="E91" s="5">
        <f>D91*Inventory!D61</f>
        <v>30</v>
      </c>
      <c r="F91" s="5">
        <f>D91*Inventory!C61</f>
        <v>18</v>
      </c>
      <c r="G91" s="5">
        <f t="shared" si="4"/>
        <v>12</v>
      </c>
      <c r="H91" t="s">
        <v>361</v>
      </c>
    </row>
    <row r="92" spans="1:8" x14ac:dyDescent="0.25">
      <c r="A92" s="1">
        <f t="shared" si="3"/>
        <v>45489</v>
      </c>
      <c r="B92" s="31">
        <f>TIME(17,46,0)</f>
        <v>0.7402777777777777</v>
      </c>
      <c r="C92" t="str">
        <f>Inventory!A120</f>
        <v>Icepop</v>
      </c>
      <c r="D92" s="27">
        <v>1</v>
      </c>
      <c r="E92" s="5">
        <f>D92*Inventory!D120</f>
        <v>15</v>
      </c>
      <c r="F92" s="5">
        <f>D92*Inventory!C120</f>
        <v>7.5</v>
      </c>
      <c r="G92" s="5">
        <f t="shared" si="4"/>
        <v>7.5</v>
      </c>
      <c r="H92" t="s">
        <v>361</v>
      </c>
    </row>
    <row r="93" spans="1:8" x14ac:dyDescent="0.25">
      <c r="A93" s="1">
        <f t="shared" si="3"/>
        <v>45489</v>
      </c>
      <c r="B93" s="31">
        <f>TIME(18,24,0)</f>
        <v>0.76666666666666661</v>
      </c>
      <c r="C93" t="str">
        <f>Inventory!A58</f>
        <v>Patco</v>
      </c>
      <c r="D93" s="27">
        <v>4</v>
      </c>
      <c r="E93" s="5">
        <f>D93*Inventory!D58</f>
        <v>10</v>
      </c>
      <c r="F93" s="5">
        <f>D93*Inventory!C58</f>
        <v>4.8</v>
      </c>
      <c r="G93" s="5">
        <f t="shared" si="4"/>
        <v>5.2</v>
      </c>
      <c r="H93" t="s">
        <v>361</v>
      </c>
    </row>
    <row r="94" spans="1:8" x14ac:dyDescent="0.25">
      <c r="A94" s="1">
        <f t="shared" si="3"/>
        <v>45489</v>
      </c>
      <c r="B94" s="31">
        <f>TIME(18,30,0)</f>
        <v>0.77083333333333337</v>
      </c>
      <c r="C94" t="str">
        <f>Inventory!A30</f>
        <v>BB Bread 400g</v>
      </c>
      <c r="D94" s="27">
        <v>1</v>
      </c>
      <c r="E94" s="5">
        <f>D94*Inventory!D30</f>
        <v>65</v>
      </c>
      <c r="F94" s="5">
        <f>D94*Inventory!C30</f>
        <v>60</v>
      </c>
      <c r="G94" s="5">
        <f t="shared" si="4"/>
        <v>5</v>
      </c>
      <c r="H94" t="s">
        <v>247</v>
      </c>
    </row>
    <row r="95" spans="1:8" x14ac:dyDescent="0.25">
      <c r="A95" s="1">
        <f t="shared" si="3"/>
        <v>45489</v>
      </c>
      <c r="B95" s="31">
        <f>TIME(18,33,0)</f>
        <v>0.7729166666666667</v>
      </c>
      <c r="C95" t="str">
        <f>Inventory!A81</f>
        <v>eggs</v>
      </c>
      <c r="D95" s="27">
        <v>3</v>
      </c>
      <c r="E95" s="5">
        <f>D95*Inventory!D81</f>
        <v>60</v>
      </c>
      <c r="F95" s="5">
        <f>D95*Inventory!C81</f>
        <v>43</v>
      </c>
      <c r="G95" s="5">
        <f t="shared" si="4"/>
        <v>17</v>
      </c>
      <c r="H95" t="s">
        <v>361</v>
      </c>
    </row>
    <row r="96" spans="1:8" x14ac:dyDescent="0.25">
      <c r="A96" s="1">
        <f t="shared" si="3"/>
        <v>45489</v>
      </c>
      <c r="B96" s="31">
        <f>TIME(18,33,0)</f>
        <v>0.7729166666666667</v>
      </c>
      <c r="C96" t="str">
        <f>Inventory!A22</f>
        <v>Brookside Lala Sweetened</v>
      </c>
      <c r="D96" s="27">
        <v>1</v>
      </c>
      <c r="E96" s="5">
        <f>D96*Inventory!D22</f>
        <v>110</v>
      </c>
      <c r="F96" s="5">
        <f>D96*Inventory!C22</f>
        <v>93</v>
      </c>
      <c r="G96" s="5">
        <f t="shared" si="4"/>
        <v>17</v>
      </c>
      <c r="H96" t="s">
        <v>361</v>
      </c>
    </row>
    <row r="97" spans="1:9" x14ac:dyDescent="0.25">
      <c r="A97" s="1">
        <f t="shared" si="3"/>
        <v>45489</v>
      </c>
      <c r="B97" s="31">
        <f>TIME(18,35,0)</f>
        <v>0.77430555555555547</v>
      </c>
      <c r="C97" t="str">
        <f>Inventory!A81</f>
        <v>eggs</v>
      </c>
      <c r="D97" s="27">
        <v>2</v>
      </c>
      <c r="E97" s="5">
        <f>D97*Inventory!D81</f>
        <v>40</v>
      </c>
      <c r="F97" s="5">
        <f>D97*Inventory!C81</f>
        <v>28.666666666666668</v>
      </c>
      <c r="G97" s="5">
        <f t="shared" si="4"/>
        <v>11.333333333333332</v>
      </c>
      <c r="H97" t="s">
        <v>361</v>
      </c>
    </row>
    <row r="98" spans="1:9" x14ac:dyDescent="0.25">
      <c r="A98" s="1">
        <f t="shared" si="3"/>
        <v>45489</v>
      </c>
      <c r="B98" s="31">
        <f>TIME(18,36,0)</f>
        <v>0.77500000000000002</v>
      </c>
      <c r="C98" t="str">
        <f>Inventory!A18</f>
        <v>kinangop250g youghurt</v>
      </c>
      <c r="D98" s="27">
        <v>1</v>
      </c>
      <c r="E98" s="5">
        <f>D98*Inventory!D18</f>
        <v>60</v>
      </c>
      <c r="F98" s="5">
        <f>D98*Inventory!C18</f>
        <v>48.333333333333336</v>
      </c>
      <c r="G98" s="5">
        <f t="shared" si="4"/>
        <v>11.666666666666664</v>
      </c>
      <c r="H98" t="s">
        <v>361</v>
      </c>
    </row>
    <row r="99" spans="1:9" x14ac:dyDescent="0.25">
      <c r="A99" s="1">
        <f t="shared" si="3"/>
        <v>45489</v>
      </c>
      <c r="B99" s="31">
        <f>TIME(18,36,0)</f>
        <v>0.77500000000000002</v>
      </c>
      <c r="C99" t="str">
        <f>Inventory!A9</f>
        <v>minutemaid 400ml</v>
      </c>
      <c r="D99" s="27">
        <v>1</v>
      </c>
      <c r="E99" s="5">
        <f>D99*Inventory!D9</f>
        <v>85</v>
      </c>
      <c r="F99" s="5">
        <f>D99*Inventory!C9</f>
        <v>62.5</v>
      </c>
      <c r="G99" s="5">
        <f t="shared" si="4"/>
        <v>22.5</v>
      </c>
      <c r="H99" t="s">
        <v>361</v>
      </c>
    </row>
    <row r="100" spans="1:9" x14ac:dyDescent="0.25">
      <c r="A100" s="1">
        <f t="shared" si="3"/>
        <v>45489</v>
      </c>
      <c r="B100" s="31">
        <f>TIME(18,37,0)</f>
        <v>0.77569444444444446</v>
      </c>
      <c r="C100" t="str">
        <f>Inventory!A81</f>
        <v>eggs</v>
      </c>
      <c r="D100" s="27">
        <v>2</v>
      </c>
      <c r="E100" s="5">
        <f>D100*Inventory!D81</f>
        <v>40</v>
      </c>
      <c r="F100" s="5">
        <f>D100*Inventory!C81</f>
        <v>28.666666666666668</v>
      </c>
      <c r="G100" s="5">
        <f t="shared" si="4"/>
        <v>11.333333333333332</v>
      </c>
      <c r="H100" t="s">
        <v>361</v>
      </c>
    </row>
    <row r="101" spans="1:9" x14ac:dyDescent="0.25">
      <c r="A101" s="1">
        <f t="shared" si="3"/>
        <v>45489</v>
      </c>
      <c r="B101" s="31">
        <f>TIME(18,38,0)</f>
        <v>0.77638888888888891</v>
      </c>
      <c r="C101" t="str">
        <f>Inventory!A92</f>
        <v>Freshfry</v>
      </c>
      <c r="D101" s="27">
        <v>1</v>
      </c>
      <c r="E101" s="5">
        <f>D101*Inventory!D92</f>
        <v>350</v>
      </c>
      <c r="F101" s="5">
        <f>D101*Inventory!C92</f>
        <v>290</v>
      </c>
      <c r="G101" s="5">
        <f t="shared" si="4"/>
        <v>60</v>
      </c>
      <c r="H101" t="s">
        <v>361</v>
      </c>
    </row>
    <row r="102" spans="1:9" x14ac:dyDescent="0.25">
      <c r="A102" s="1">
        <f t="shared" si="3"/>
        <v>45489</v>
      </c>
      <c r="B102" s="31">
        <f>TIME(19,0,0)</f>
        <v>0.79166666666666663</v>
      </c>
      <c r="C102" t="str">
        <f>Inventory!A132</f>
        <v>Festive Bread 400g</v>
      </c>
      <c r="D102" s="27">
        <v>1</v>
      </c>
      <c r="E102" s="5">
        <f>D102*Inventory!D132</f>
        <v>65</v>
      </c>
      <c r="F102" s="5">
        <f>D102*Inventory!C132</f>
        <v>60</v>
      </c>
      <c r="G102" s="5">
        <f t="shared" si="4"/>
        <v>5</v>
      </c>
      <c r="H102" t="s">
        <v>359</v>
      </c>
      <c r="I102" t="s">
        <v>390</v>
      </c>
    </row>
    <row r="103" spans="1:9" x14ac:dyDescent="0.25">
      <c r="A103" s="1">
        <f t="shared" si="3"/>
        <v>45489</v>
      </c>
      <c r="B103" s="31">
        <f>TIME(19,1,0)</f>
        <v>0.79236111111111107</v>
      </c>
      <c r="C103" t="str">
        <f>Inventory!A30</f>
        <v>BB Bread 400g</v>
      </c>
      <c r="D103" s="27">
        <v>1</v>
      </c>
      <c r="E103" s="5">
        <f>D103*Inventory!D30</f>
        <v>65</v>
      </c>
      <c r="F103" s="5">
        <f>D103*Inventory!C30</f>
        <v>60</v>
      </c>
      <c r="G103" s="5">
        <f t="shared" si="4"/>
        <v>5</v>
      </c>
      <c r="H103" t="s">
        <v>359</v>
      </c>
      <c r="I103" t="s">
        <v>386</v>
      </c>
    </row>
    <row r="104" spans="1:9" x14ac:dyDescent="0.25">
      <c r="A104" s="1">
        <f t="shared" si="3"/>
        <v>45489</v>
      </c>
      <c r="B104" s="31">
        <f>TIME(19,1,0)</f>
        <v>0.79236111111111107</v>
      </c>
      <c r="C104" t="str">
        <f>Inventory!A122</f>
        <v>Kinangop Fresh Milk 500ml</v>
      </c>
      <c r="D104" s="27">
        <v>1</v>
      </c>
      <c r="E104" s="5">
        <f>D104*Inventory!D122</f>
        <v>60</v>
      </c>
      <c r="F104" s="5">
        <f>D104*Inventory!C112</f>
        <v>17.333333333333332</v>
      </c>
      <c r="G104" s="5">
        <f t="shared" si="4"/>
        <v>42.666666666666671</v>
      </c>
      <c r="H104" t="s">
        <v>359</v>
      </c>
      <c r="I104" t="s">
        <v>386</v>
      </c>
    </row>
    <row r="105" spans="1:9" x14ac:dyDescent="0.25">
      <c r="A105" s="1">
        <f t="shared" si="3"/>
        <v>45489</v>
      </c>
      <c r="B105" s="31">
        <f>TIME(19,4,0)</f>
        <v>0.7944444444444444</v>
      </c>
      <c r="C105" t="str">
        <f>Inventory!A89</f>
        <v>Tukuza 1kg</v>
      </c>
      <c r="D105" s="27">
        <v>1</v>
      </c>
      <c r="E105" s="5">
        <f>D105*Inventory!D89</f>
        <v>90</v>
      </c>
      <c r="F105" s="5">
        <f>D105*Inventory!C89</f>
        <v>61.25</v>
      </c>
      <c r="G105" s="5">
        <f t="shared" si="4"/>
        <v>28.75</v>
      </c>
      <c r="H105" t="s">
        <v>361</v>
      </c>
    </row>
    <row r="106" spans="1:9" x14ac:dyDescent="0.25">
      <c r="A106" s="1">
        <f t="shared" si="3"/>
        <v>45489</v>
      </c>
      <c r="B106" s="31">
        <f>TIME(19,8,0)</f>
        <v>0.79722222222222217</v>
      </c>
      <c r="C106" t="str">
        <f>Inventory!A23</f>
        <v>Mt kenya milk 500ml</v>
      </c>
      <c r="D106" s="27">
        <v>3</v>
      </c>
      <c r="E106" s="5">
        <f>D106*Inventory!D23</f>
        <v>195</v>
      </c>
      <c r="F106" s="5">
        <f>D106*Inventory!C23</f>
        <v>145</v>
      </c>
      <c r="G106" s="5">
        <f t="shared" si="4"/>
        <v>50</v>
      </c>
      <c r="H106" t="s">
        <v>247</v>
      </c>
    </row>
    <row r="107" spans="1:9" x14ac:dyDescent="0.25">
      <c r="A107" s="1">
        <f t="shared" ref="A107:A122" si="5">DATE(2024,7,16)</f>
        <v>45489</v>
      </c>
      <c r="B107" s="31">
        <f>TIME(19,8,0)</f>
        <v>0.79722222222222217</v>
      </c>
      <c r="C107" t="str">
        <f>Inventory!A132</f>
        <v>Festive Bread 400g</v>
      </c>
      <c r="D107" s="27">
        <v>1</v>
      </c>
      <c r="E107" s="5">
        <f>D107*Inventory!D132</f>
        <v>65</v>
      </c>
      <c r="F107" s="5">
        <f>D107*Inventory!C132</f>
        <v>60</v>
      </c>
      <c r="G107" s="5">
        <f t="shared" si="4"/>
        <v>5</v>
      </c>
      <c r="H107" t="s">
        <v>247</v>
      </c>
    </row>
    <row r="108" spans="1:9" x14ac:dyDescent="0.25">
      <c r="A108" s="1">
        <f t="shared" si="5"/>
        <v>45489</v>
      </c>
      <c r="B108" s="31">
        <f>TIME(19,9,0)</f>
        <v>0.79791666666666661</v>
      </c>
      <c r="C108" t="str">
        <f>Inventory!A120</f>
        <v>Icepop</v>
      </c>
      <c r="D108" s="27">
        <v>3</v>
      </c>
      <c r="E108" s="5">
        <f>D108*Inventory!D120</f>
        <v>45</v>
      </c>
      <c r="F108" s="5">
        <f>D108*Inventory!C120</f>
        <v>22.5</v>
      </c>
      <c r="G108" s="5">
        <f t="shared" si="4"/>
        <v>22.5</v>
      </c>
      <c r="H108" t="s">
        <v>361</v>
      </c>
    </row>
    <row r="109" spans="1:9" x14ac:dyDescent="0.25">
      <c r="A109" s="1">
        <f t="shared" si="5"/>
        <v>45489</v>
      </c>
      <c r="B109" s="31">
        <f>TIME(19,9,0)</f>
        <v>0.79791666666666661</v>
      </c>
      <c r="C109" t="str">
        <f>Inventory!A133</f>
        <v>Pencil</v>
      </c>
      <c r="D109" s="27">
        <v>1</v>
      </c>
      <c r="E109" s="5">
        <f>D109*Inventory!D133</f>
        <v>10</v>
      </c>
      <c r="F109" s="5">
        <f>D109*Inventory!C133</f>
        <v>7.5</v>
      </c>
      <c r="G109" s="5">
        <f t="shared" si="4"/>
        <v>2.5</v>
      </c>
      <c r="H109" t="s">
        <v>361</v>
      </c>
    </row>
    <row r="110" spans="1:9" x14ac:dyDescent="0.25">
      <c r="A110" s="1">
        <f t="shared" si="5"/>
        <v>45489</v>
      </c>
      <c r="B110" s="31">
        <f>TIME(19,19,0)</f>
        <v>0.80486111111111114</v>
      </c>
      <c r="C110" t="str">
        <f>Inventory!A20</f>
        <v>kinangop 500g youghurt</v>
      </c>
      <c r="D110" s="27">
        <v>1</v>
      </c>
      <c r="E110" s="5">
        <f>D110*Inventory!D20</f>
        <v>120</v>
      </c>
      <c r="F110" s="5">
        <f>D110*Inventory!C20</f>
        <v>92.5</v>
      </c>
      <c r="G110" s="5">
        <f t="shared" si="4"/>
        <v>27.5</v>
      </c>
      <c r="H110" t="s">
        <v>361</v>
      </c>
    </row>
    <row r="111" spans="1:9" x14ac:dyDescent="0.25">
      <c r="A111" s="1">
        <f t="shared" si="5"/>
        <v>45489</v>
      </c>
      <c r="B111" s="31">
        <f>TIME(19,25,0)</f>
        <v>0.80902777777777779</v>
      </c>
      <c r="C111" t="str">
        <f>Inventory!A21</f>
        <v>Brookside Lala Natural</v>
      </c>
      <c r="D111" s="27">
        <v>1</v>
      </c>
      <c r="E111" s="5">
        <f>D111*Inventory!D21</f>
        <v>100</v>
      </c>
      <c r="F111" s="5">
        <f>D111*Inventory!C21</f>
        <v>87</v>
      </c>
      <c r="G111" s="5">
        <f t="shared" si="4"/>
        <v>13</v>
      </c>
      <c r="H111" t="s">
        <v>359</v>
      </c>
      <c r="I111" t="s">
        <v>389</v>
      </c>
    </row>
    <row r="112" spans="1:9" x14ac:dyDescent="0.25">
      <c r="A112" s="1">
        <f t="shared" si="5"/>
        <v>45489</v>
      </c>
      <c r="B112" s="31">
        <f>TIME(19,25,0)</f>
        <v>0.80902777777777779</v>
      </c>
      <c r="C112" t="str">
        <f>Inventory!A122</f>
        <v>Kinangop Fresh Milk 500ml</v>
      </c>
      <c r="D112" s="27">
        <v>1</v>
      </c>
      <c r="E112" s="5">
        <f>D112*Inventory!D122</f>
        <v>60</v>
      </c>
      <c r="F112" s="5">
        <f>D112*Inventory!C122</f>
        <v>55</v>
      </c>
      <c r="G112" s="5">
        <f t="shared" si="4"/>
        <v>5</v>
      </c>
      <c r="H112" t="s">
        <v>359</v>
      </c>
      <c r="I112" t="s">
        <v>389</v>
      </c>
    </row>
    <row r="113" spans="1:9" x14ac:dyDescent="0.25">
      <c r="A113" s="1">
        <f t="shared" si="5"/>
        <v>45489</v>
      </c>
      <c r="B113" s="31">
        <f t="shared" ref="B113:B118" si="6">TIME(19,30,0)</f>
        <v>0.8125</v>
      </c>
      <c r="C113" t="str">
        <f>Inventory!A35</f>
        <v>Bitez</v>
      </c>
      <c r="D113" s="27">
        <v>2</v>
      </c>
      <c r="E113" s="5">
        <f>D113*Inventory!D35</f>
        <v>30</v>
      </c>
      <c r="F113" s="5">
        <f>D113*Inventory!C35</f>
        <v>17.600000000000001</v>
      </c>
      <c r="G113" s="5">
        <f t="shared" si="4"/>
        <v>12.399999999999999</v>
      </c>
      <c r="H113" t="s">
        <v>361</v>
      </c>
    </row>
    <row r="114" spans="1:9" x14ac:dyDescent="0.25">
      <c r="A114" s="1">
        <f t="shared" si="5"/>
        <v>45489</v>
      </c>
      <c r="B114" s="31">
        <f t="shared" si="6"/>
        <v>0.8125</v>
      </c>
      <c r="C114" t="str">
        <f>Inventory!A36</f>
        <v>Tamu  Tamu Green</v>
      </c>
      <c r="D114" s="27">
        <v>1</v>
      </c>
      <c r="E114" s="5">
        <f>D114*Inventory!D36</f>
        <v>15</v>
      </c>
      <c r="F114" s="5">
        <f>D114*Inventory!C36</f>
        <v>8.6</v>
      </c>
      <c r="G114" s="5">
        <f t="shared" si="4"/>
        <v>6.4</v>
      </c>
      <c r="H114" t="s">
        <v>361</v>
      </c>
    </row>
    <row r="115" spans="1:9" x14ac:dyDescent="0.25">
      <c r="A115" s="1">
        <f t="shared" si="5"/>
        <v>45489</v>
      </c>
      <c r="B115" s="31">
        <f t="shared" si="6"/>
        <v>0.8125</v>
      </c>
      <c r="C115" t="str">
        <f>Inventory!A37</f>
        <v>Tamu Tamu Red</v>
      </c>
      <c r="D115" s="27">
        <v>1</v>
      </c>
      <c r="E115" s="5">
        <f>D115*Inventory!D37</f>
        <v>15</v>
      </c>
      <c r="F115" s="5">
        <f>D115*Inventory!C37</f>
        <v>8.6</v>
      </c>
      <c r="G115" s="5">
        <f t="shared" si="4"/>
        <v>6.4</v>
      </c>
      <c r="H115" t="s">
        <v>361</v>
      </c>
    </row>
    <row r="116" spans="1:9" x14ac:dyDescent="0.25">
      <c r="A116" s="1">
        <f t="shared" si="5"/>
        <v>45489</v>
      </c>
      <c r="B116" s="31">
        <f t="shared" si="6"/>
        <v>0.8125</v>
      </c>
      <c r="C116" t="str">
        <f>Inventory!A134</f>
        <v>Baloon</v>
      </c>
      <c r="D116" s="27">
        <v>1</v>
      </c>
      <c r="E116" s="5">
        <f>D116*Inventory!D134</f>
        <v>10</v>
      </c>
      <c r="F116" s="5">
        <f>D116*Inventory!C134</f>
        <v>6</v>
      </c>
      <c r="G116" s="5">
        <f t="shared" si="4"/>
        <v>4</v>
      </c>
      <c r="H116" t="s">
        <v>361</v>
      </c>
    </row>
    <row r="117" spans="1:9" x14ac:dyDescent="0.25">
      <c r="A117" s="1">
        <f t="shared" si="5"/>
        <v>45489</v>
      </c>
      <c r="B117" s="31">
        <f t="shared" si="6"/>
        <v>0.8125</v>
      </c>
      <c r="C117" t="str">
        <f>Inventory!A63</f>
        <v>Gomba</v>
      </c>
      <c r="D117" s="27">
        <v>2</v>
      </c>
      <c r="E117" s="5">
        <f>D117*Inventory!D63</f>
        <v>5</v>
      </c>
      <c r="F117" s="5">
        <f>D117*Inventory!C63</f>
        <v>3.6</v>
      </c>
      <c r="G117" s="5">
        <f t="shared" si="4"/>
        <v>1.4</v>
      </c>
      <c r="H117" t="s">
        <v>361</v>
      </c>
    </row>
    <row r="118" spans="1:9" x14ac:dyDescent="0.25">
      <c r="A118" s="1">
        <f t="shared" si="5"/>
        <v>45489</v>
      </c>
      <c r="B118" s="31">
        <f t="shared" si="6"/>
        <v>0.8125</v>
      </c>
      <c r="C118" t="str">
        <f>Inventory!A64</f>
        <v>Sodacans</v>
      </c>
      <c r="D118" s="27">
        <v>2</v>
      </c>
      <c r="E118" s="5">
        <f>D118*Inventory!D64</f>
        <v>40</v>
      </c>
      <c r="F118" s="5">
        <f>D118*Inventory!C64</f>
        <v>30</v>
      </c>
      <c r="G118" s="5">
        <f t="shared" si="4"/>
        <v>10</v>
      </c>
      <c r="H118" t="s">
        <v>361</v>
      </c>
    </row>
    <row r="119" spans="1:9" x14ac:dyDescent="0.25">
      <c r="A119" s="1">
        <f t="shared" si="5"/>
        <v>45489</v>
      </c>
      <c r="B119" s="31">
        <f>TIME(19,47,0)</f>
        <v>0.82430555555555562</v>
      </c>
      <c r="C119" t="str">
        <f>Inventory!A9</f>
        <v>minutemaid 400ml</v>
      </c>
      <c r="D119" s="27">
        <v>1</v>
      </c>
      <c r="E119" s="5">
        <f>D119*Inventory!D9</f>
        <v>85</v>
      </c>
      <c r="F119" s="5">
        <f>D119*Inventory!C9</f>
        <v>62.5</v>
      </c>
      <c r="G119" s="5">
        <f t="shared" si="4"/>
        <v>22.5</v>
      </c>
      <c r="H119" t="s">
        <v>361</v>
      </c>
    </row>
    <row r="120" spans="1:9" x14ac:dyDescent="0.25">
      <c r="A120" s="1">
        <f t="shared" si="5"/>
        <v>45489</v>
      </c>
      <c r="B120" s="31">
        <f>TIME(20,2,0)</f>
        <v>0.83472222222222225</v>
      </c>
      <c r="C120" t="str">
        <f>Inventory!A132</f>
        <v>Festive Bread 400g</v>
      </c>
      <c r="D120" s="27">
        <v>1</v>
      </c>
      <c r="E120" s="5">
        <f>D120*Inventory!D132</f>
        <v>65</v>
      </c>
      <c r="F120" s="5">
        <f>D120*Inventory!C132</f>
        <v>60</v>
      </c>
      <c r="G120" s="5">
        <f t="shared" si="4"/>
        <v>5</v>
      </c>
      <c r="H120" t="s">
        <v>361</v>
      </c>
    </row>
    <row r="121" spans="1:9" x14ac:dyDescent="0.25">
      <c r="A121" s="1">
        <f t="shared" si="5"/>
        <v>45489</v>
      </c>
      <c r="B121" s="31">
        <f>TIME(20,2,0)</f>
        <v>0.83472222222222225</v>
      </c>
      <c r="C121" t="str">
        <f>Inventory!A121</f>
        <v>Banana</v>
      </c>
      <c r="D121" s="27">
        <v>1</v>
      </c>
      <c r="E121" s="5">
        <f>D121*Inventory!D121</f>
        <v>10</v>
      </c>
      <c r="F121" s="5">
        <f>D121*Inventory!C121</f>
        <v>8.3333333333333339</v>
      </c>
      <c r="G121" s="5">
        <f t="shared" si="4"/>
        <v>1.6666666666666661</v>
      </c>
      <c r="H121" t="s">
        <v>361</v>
      </c>
    </row>
    <row r="122" spans="1:9" x14ac:dyDescent="0.25">
      <c r="A122" s="1">
        <f t="shared" si="5"/>
        <v>45489</v>
      </c>
      <c r="B122" s="31">
        <f>TIME(20,30,0)</f>
        <v>0.85416666666666663</v>
      </c>
      <c r="C122" t="str">
        <f>Inventory!A2</f>
        <v>5ltrs water</v>
      </c>
      <c r="D122" s="27">
        <v>1</v>
      </c>
      <c r="E122" s="5">
        <f>D122*Inventory!D2</f>
        <v>120</v>
      </c>
      <c r="F122" s="5">
        <f>D122*Inventory!C2</f>
        <v>75</v>
      </c>
      <c r="G122" s="5">
        <f t="shared" si="4"/>
        <v>45</v>
      </c>
      <c r="H122" t="s">
        <v>359</v>
      </c>
      <c r="I122" t="s">
        <v>391</v>
      </c>
    </row>
    <row r="123" spans="1:9" x14ac:dyDescent="0.25">
      <c r="A123" s="1">
        <f>DATE(2024,7,16)</f>
        <v>45489</v>
      </c>
      <c r="B123" s="31">
        <f>TIME(20,30,0)</f>
        <v>0.85416666666666663</v>
      </c>
      <c r="C123" t="str">
        <f>Table6[[#This Row],[item_name]]</f>
        <v>Mt Kenya milk 200ml</v>
      </c>
      <c r="D123" s="27">
        <v>1</v>
      </c>
      <c r="E123" s="5">
        <f>D123*Inventory!D122</f>
        <v>60</v>
      </c>
      <c r="F123" s="5">
        <f>D123*Inventory!C122</f>
        <v>55</v>
      </c>
      <c r="G123" s="5">
        <f t="shared" si="4"/>
        <v>5</v>
      </c>
      <c r="H123" t="s">
        <v>359</v>
      </c>
      <c r="I123" t="s">
        <v>385</v>
      </c>
    </row>
    <row r="124" spans="1:9" x14ac:dyDescent="0.25">
      <c r="A124" s="1">
        <f>DATE(2024,7,17)</f>
        <v>45490</v>
      </c>
      <c r="B124" s="31">
        <f>TIME(9,19,0)</f>
        <v>0.38819444444444445</v>
      </c>
      <c r="C124" s="35" t="str">
        <f>Inventory!A84</f>
        <v>Safari</v>
      </c>
      <c r="D124" s="27">
        <v>1</v>
      </c>
      <c r="E124" s="5">
        <f>D124*Inventory!D84</f>
        <v>15</v>
      </c>
      <c r="F124" s="5">
        <f>D124*Inventory!C84</f>
        <v>8.5</v>
      </c>
      <c r="G124" s="5">
        <f t="shared" si="4"/>
        <v>6.5</v>
      </c>
      <c r="H124" t="s">
        <v>247</v>
      </c>
    </row>
    <row r="125" spans="1:9" x14ac:dyDescent="0.25">
      <c r="A125" s="1">
        <f t="shared" ref="A125:A157" si="7">DATE(2024,7,17)</f>
        <v>45490</v>
      </c>
      <c r="B125" s="31">
        <f>TIME(9,27,0)</f>
        <v>0.39374999999999999</v>
      </c>
      <c r="C125" t="str">
        <f>Inventory!A49</f>
        <v>Half pound cake</v>
      </c>
      <c r="D125" s="27">
        <v>1</v>
      </c>
      <c r="E125" s="5">
        <f>D125*Inventory!D49</f>
        <v>100</v>
      </c>
      <c r="F125" s="5">
        <f>D125*Inventory!C49</f>
        <v>90</v>
      </c>
      <c r="G125" s="5">
        <f t="shared" si="4"/>
        <v>10</v>
      </c>
      <c r="H125" t="s">
        <v>361</v>
      </c>
    </row>
    <row r="126" spans="1:9" x14ac:dyDescent="0.25">
      <c r="A126" s="1">
        <f t="shared" si="7"/>
        <v>45490</v>
      </c>
      <c r="B126" s="31">
        <f>TIME(9,37,0)</f>
        <v>0.40069444444444446</v>
      </c>
      <c r="C126" t="str">
        <f>Inventory!A135</f>
        <v>Safaricom 20 Credit</v>
      </c>
      <c r="D126" s="27">
        <v>1</v>
      </c>
      <c r="E126" s="5">
        <f>D126*Inventory!D135</f>
        <v>20</v>
      </c>
      <c r="F126" s="5">
        <f>D126*Inventory!C135</f>
        <v>18</v>
      </c>
      <c r="G126" s="5">
        <f t="shared" si="4"/>
        <v>2</v>
      </c>
      <c r="H126" t="s">
        <v>247</v>
      </c>
    </row>
    <row r="127" spans="1:9" x14ac:dyDescent="0.25">
      <c r="A127" s="1">
        <f t="shared" si="7"/>
        <v>45490</v>
      </c>
      <c r="B127" s="31">
        <f>TIME(9,37,0)</f>
        <v>0.40069444444444446</v>
      </c>
      <c r="C127" t="str">
        <f>Inventory!A65</f>
        <v>Tropical</v>
      </c>
      <c r="D127" s="27">
        <v>2</v>
      </c>
      <c r="E127" s="5">
        <f>D127*Inventory!D65</f>
        <v>10</v>
      </c>
      <c r="F127" s="5">
        <f>D127*Inventory!C65</f>
        <v>3</v>
      </c>
      <c r="G127" s="5">
        <f t="shared" si="4"/>
        <v>7</v>
      </c>
      <c r="H127" t="s">
        <v>247</v>
      </c>
    </row>
    <row r="128" spans="1:9" x14ac:dyDescent="0.25">
      <c r="A128" s="1">
        <f t="shared" si="7"/>
        <v>45490</v>
      </c>
      <c r="B128" s="31">
        <f>TIME(10,50,0)</f>
        <v>0.4513888888888889</v>
      </c>
      <c r="C128" t="str">
        <f>Inventory!A132</f>
        <v>Festive Bread 400g</v>
      </c>
      <c r="D128" s="27">
        <v>1</v>
      </c>
      <c r="E128" s="5">
        <f>D128*Inventory!D132</f>
        <v>65</v>
      </c>
      <c r="F128" s="5">
        <f>D128*Inventory!C132</f>
        <v>60</v>
      </c>
      <c r="G128" s="5">
        <f t="shared" si="4"/>
        <v>5</v>
      </c>
      <c r="H128" t="s">
        <v>361</v>
      </c>
    </row>
    <row r="129" spans="1:9" x14ac:dyDescent="0.25">
      <c r="A129" s="1">
        <f t="shared" si="7"/>
        <v>45490</v>
      </c>
      <c r="B129" s="31">
        <f>TIME(11,20,0)</f>
        <v>0.47222222222222227</v>
      </c>
      <c r="C129" t="str">
        <f>Inventory!A23</f>
        <v>Mt kenya milk 500ml</v>
      </c>
      <c r="D129" s="27">
        <v>1</v>
      </c>
      <c r="E129" s="5">
        <f>D129*Inventory!D23</f>
        <v>65</v>
      </c>
      <c r="F129" s="5">
        <f>D129*Inventory!C23</f>
        <v>48.333333333333336</v>
      </c>
      <c r="G129" s="5">
        <f t="shared" si="4"/>
        <v>16.666666666666664</v>
      </c>
      <c r="H129" t="s">
        <v>359</v>
      </c>
      <c r="I129" t="s">
        <v>385</v>
      </c>
    </row>
    <row r="130" spans="1:9" x14ac:dyDescent="0.25">
      <c r="A130" s="1">
        <f t="shared" si="7"/>
        <v>45490</v>
      </c>
      <c r="B130" s="31">
        <f>TIME(11,43,0)</f>
        <v>0.48819444444444443</v>
      </c>
      <c r="C130" t="str">
        <f>Inventory!A13</f>
        <v>soda 300ml glass</v>
      </c>
      <c r="D130" s="27">
        <v>1</v>
      </c>
      <c r="E130" s="5">
        <f>D130*Inventory!D13</f>
        <v>40</v>
      </c>
      <c r="F130" s="5">
        <f>D130*Inventory!C13</f>
        <v>32.5</v>
      </c>
      <c r="G130" s="5">
        <f t="shared" si="4"/>
        <v>7.5</v>
      </c>
      <c r="H130" t="s">
        <v>247</v>
      </c>
    </row>
    <row r="131" spans="1:9" x14ac:dyDescent="0.25">
      <c r="A131" s="1">
        <f t="shared" si="7"/>
        <v>45490</v>
      </c>
      <c r="B131" s="31">
        <f>TIME(11,43,0)</f>
        <v>0.48819444444444443</v>
      </c>
      <c r="C131" t="str">
        <f>Inventory!A53</f>
        <v>Mandazi</v>
      </c>
      <c r="D131" s="27">
        <v>1</v>
      </c>
      <c r="E131" s="5">
        <f>D131*Inventory!D53</f>
        <v>5</v>
      </c>
      <c r="F131" s="5">
        <f>D131*Inventory!C53</f>
        <v>4.166666666666667</v>
      </c>
      <c r="G131" s="5">
        <f t="shared" ref="G131:G194" si="8">E131-F131</f>
        <v>0.83333333333333304</v>
      </c>
      <c r="H131" t="s">
        <v>247</v>
      </c>
    </row>
    <row r="132" spans="1:9" x14ac:dyDescent="0.25">
      <c r="A132" s="1">
        <f t="shared" si="7"/>
        <v>45490</v>
      </c>
      <c r="B132" s="31">
        <f>TIME(12,11,0)</f>
        <v>0.50763888888888886</v>
      </c>
      <c r="C132" t="str">
        <f>Inventory!A44</f>
        <v>Peanut Cookies</v>
      </c>
      <c r="D132" s="27">
        <v>1</v>
      </c>
      <c r="E132" s="5">
        <f>D132*Inventory!D44</f>
        <v>35</v>
      </c>
      <c r="F132" s="5">
        <f>D132*Inventory!C44</f>
        <v>25</v>
      </c>
      <c r="G132" s="5">
        <f t="shared" si="8"/>
        <v>10</v>
      </c>
      <c r="H132" t="s">
        <v>247</v>
      </c>
    </row>
    <row r="133" spans="1:9" x14ac:dyDescent="0.25">
      <c r="A133" s="1">
        <f t="shared" si="7"/>
        <v>45490</v>
      </c>
      <c r="B133" s="31">
        <f>TIME(12,11,0)</f>
        <v>0.50763888888888886</v>
      </c>
      <c r="C133" t="str">
        <f>Inventory!A44</f>
        <v>Peanut Cookies</v>
      </c>
      <c r="D133" s="27">
        <v>1</v>
      </c>
      <c r="E133" s="5">
        <f>D133*Inventory!D44</f>
        <v>35</v>
      </c>
      <c r="F133" s="5">
        <f>D133*Inventory!C44</f>
        <v>25</v>
      </c>
      <c r="G133" s="5">
        <f t="shared" si="8"/>
        <v>10</v>
      </c>
      <c r="H133" t="s">
        <v>361</v>
      </c>
    </row>
    <row r="134" spans="1:9" x14ac:dyDescent="0.25">
      <c r="A134" s="1">
        <f t="shared" si="7"/>
        <v>45490</v>
      </c>
      <c r="B134" s="31">
        <f>TIME(12,11,0)</f>
        <v>0.50763888888888886</v>
      </c>
      <c r="C134" t="str">
        <f>Inventory!A115</f>
        <v>Onion</v>
      </c>
      <c r="D134" s="27">
        <v>1</v>
      </c>
      <c r="E134" s="5">
        <f>D134*Inventory!D115</f>
        <v>10</v>
      </c>
      <c r="F134" s="5">
        <f>D134*Inventory!C115</f>
        <v>8</v>
      </c>
      <c r="G134" s="5">
        <f t="shared" si="8"/>
        <v>2</v>
      </c>
      <c r="H134" t="s">
        <v>361</v>
      </c>
    </row>
    <row r="135" spans="1:9" x14ac:dyDescent="0.25">
      <c r="A135" s="1">
        <f t="shared" si="7"/>
        <v>45490</v>
      </c>
      <c r="B135" s="31">
        <f>TIME(12,11,0)</f>
        <v>0.50763888888888886</v>
      </c>
      <c r="C135" t="str">
        <f>Inventory!A116</f>
        <v>Tomatoes</v>
      </c>
      <c r="D135" s="27">
        <v>1</v>
      </c>
      <c r="E135" s="5">
        <f>D135*Inventory!D116</f>
        <v>10</v>
      </c>
      <c r="F135" s="5">
        <f>D135*Inventory!C116</f>
        <v>5</v>
      </c>
      <c r="G135" s="5">
        <f t="shared" si="8"/>
        <v>5</v>
      </c>
      <c r="H135" t="s">
        <v>361</v>
      </c>
    </row>
    <row r="136" spans="1:9" x14ac:dyDescent="0.25">
      <c r="A136" s="1">
        <f t="shared" si="7"/>
        <v>45490</v>
      </c>
      <c r="B136" s="31">
        <f>TIME(12,23,0)</f>
        <v>0.51597222222222217</v>
      </c>
      <c r="C136" t="str">
        <f>Inventory!A141</f>
        <v>Jumbo Tissue</v>
      </c>
      <c r="D136" s="27">
        <v>1</v>
      </c>
      <c r="E136" s="5">
        <f>D136*Inventory!D141</f>
        <v>120</v>
      </c>
      <c r="F136" s="5">
        <f>D136*Inventory!C141</f>
        <v>90</v>
      </c>
      <c r="G136" s="5">
        <f t="shared" si="8"/>
        <v>30</v>
      </c>
      <c r="H136" t="s">
        <v>247</v>
      </c>
    </row>
    <row r="137" spans="1:9" x14ac:dyDescent="0.25">
      <c r="A137" s="1">
        <f t="shared" si="7"/>
        <v>45490</v>
      </c>
      <c r="B137" s="31">
        <f>TIME(13,34,0)</f>
        <v>0.56527777777777777</v>
      </c>
      <c r="C137" t="str">
        <f>Inventory!A142</f>
        <v>Ndengu</v>
      </c>
      <c r="D137" s="27">
        <v>0.25</v>
      </c>
      <c r="E137" s="5">
        <f>D137*Inventory!D142</f>
        <v>40</v>
      </c>
      <c r="F137" s="5">
        <f>D137*Inventory!C142</f>
        <v>30</v>
      </c>
      <c r="G137" s="5">
        <f t="shared" si="8"/>
        <v>10</v>
      </c>
      <c r="H137" t="s">
        <v>359</v>
      </c>
      <c r="I137" t="s">
        <v>386</v>
      </c>
    </row>
    <row r="138" spans="1:9" x14ac:dyDescent="0.25">
      <c r="A138" s="1">
        <f t="shared" si="7"/>
        <v>45490</v>
      </c>
      <c r="B138" s="31">
        <f>TIME(13,34,0)</f>
        <v>0.56527777777777777</v>
      </c>
      <c r="C138" t="str">
        <f>Inventory!A116</f>
        <v>Tomatoes</v>
      </c>
      <c r="D138" s="27">
        <v>4</v>
      </c>
      <c r="E138" s="5">
        <f>D138*Inventory!D116</f>
        <v>40</v>
      </c>
      <c r="F138" s="5">
        <f>D138*Inventory!C116</f>
        <v>20</v>
      </c>
      <c r="G138" s="5">
        <f t="shared" si="8"/>
        <v>20</v>
      </c>
      <c r="H138" t="s">
        <v>359</v>
      </c>
      <c r="I138" t="s">
        <v>386</v>
      </c>
    </row>
    <row r="139" spans="1:9" x14ac:dyDescent="0.25">
      <c r="A139" s="1">
        <f t="shared" si="7"/>
        <v>45490</v>
      </c>
      <c r="B139" s="31">
        <f>TIME(13,34,0)</f>
        <v>0.56527777777777777</v>
      </c>
      <c r="C139" t="str">
        <f>Inventory!A115</f>
        <v>Onion</v>
      </c>
      <c r="D139" s="27">
        <v>2</v>
      </c>
      <c r="E139" s="5">
        <f>D139*Inventory!D115</f>
        <v>20</v>
      </c>
      <c r="F139" s="5">
        <f>D139*Inventory!C115</f>
        <v>16</v>
      </c>
      <c r="G139" s="5">
        <f t="shared" si="8"/>
        <v>4</v>
      </c>
      <c r="H139" t="s">
        <v>359</v>
      </c>
      <c r="I139" t="s">
        <v>386</v>
      </c>
    </row>
    <row r="140" spans="1:9" x14ac:dyDescent="0.25">
      <c r="A140" s="1">
        <f t="shared" si="7"/>
        <v>45490</v>
      </c>
      <c r="B140" s="31">
        <f>TIME(13,34,0)</f>
        <v>0.56527777777777777</v>
      </c>
      <c r="C140" t="str">
        <f>Inventory!A125</f>
        <v>Dhania</v>
      </c>
      <c r="D140" s="27">
        <v>1</v>
      </c>
      <c r="E140" s="5">
        <f>D140*Inventory!D125</f>
        <v>5</v>
      </c>
      <c r="F140" s="5">
        <f>D140*Inventory!C125</f>
        <v>3.3333333333333335</v>
      </c>
      <c r="G140" s="5">
        <f t="shared" si="8"/>
        <v>1.6666666666666665</v>
      </c>
      <c r="H140" t="s">
        <v>359</v>
      </c>
      <c r="I140" t="s">
        <v>386</v>
      </c>
    </row>
    <row r="141" spans="1:9" x14ac:dyDescent="0.25">
      <c r="A141" s="1">
        <f t="shared" si="7"/>
        <v>45490</v>
      </c>
      <c r="B141" s="31">
        <f>TIME(13,50,0)</f>
        <v>0.57638888888888895</v>
      </c>
      <c r="C141" t="str">
        <f>Inventory!A13</f>
        <v>soda 300ml glass</v>
      </c>
      <c r="D141" s="27">
        <v>1</v>
      </c>
      <c r="E141" s="5">
        <f>D141*Inventory!D13</f>
        <v>40</v>
      </c>
      <c r="F141" s="5">
        <f>D141*Inventory!C13</f>
        <v>32.5</v>
      </c>
      <c r="G141" s="5">
        <f t="shared" si="8"/>
        <v>7.5</v>
      </c>
      <c r="H141" t="s">
        <v>361</v>
      </c>
    </row>
    <row r="142" spans="1:9" x14ac:dyDescent="0.25">
      <c r="A142" s="1">
        <f t="shared" si="7"/>
        <v>45490</v>
      </c>
      <c r="B142" s="31">
        <f>TIME(13,50,0)</f>
        <v>0.57638888888888895</v>
      </c>
      <c r="C142" t="str">
        <f>Inventory!A55</f>
        <v>Ngumu</v>
      </c>
      <c r="D142" s="27">
        <v>2</v>
      </c>
      <c r="E142" s="5">
        <f>D142*Inventory!D55</f>
        <v>20</v>
      </c>
      <c r="F142" s="5">
        <f>D142*Inventory!C55</f>
        <v>16.666666666666668</v>
      </c>
      <c r="G142" s="5">
        <f t="shared" si="8"/>
        <v>3.3333333333333321</v>
      </c>
      <c r="H142" t="s">
        <v>361</v>
      </c>
    </row>
    <row r="143" spans="1:9" x14ac:dyDescent="0.25">
      <c r="A143" s="1">
        <f t="shared" si="7"/>
        <v>45490</v>
      </c>
      <c r="B143" s="31">
        <f>TIME(14,5,0)</f>
        <v>0.58680555555555558</v>
      </c>
      <c r="C143" t="str">
        <f>Inventory!A140</f>
        <v>Airtel 50 Credit</v>
      </c>
      <c r="D143" s="27">
        <v>1</v>
      </c>
      <c r="E143" s="5">
        <f>D143*Inventory!D140</f>
        <v>50</v>
      </c>
      <c r="F143" s="5">
        <f>D143*Inventory!C140</f>
        <v>47</v>
      </c>
      <c r="G143" s="5">
        <f t="shared" si="8"/>
        <v>3</v>
      </c>
      <c r="H143" t="s">
        <v>247</v>
      </c>
    </row>
    <row r="144" spans="1:9" x14ac:dyDescent="0.25">
      <c r="A144" s="1">
        <f t="shared" si="7"/>
        <v>45490</v>
      </c>
      <c r="B144" s="31">
        <f>TIME(14,46,0)</f>
        <v>0.61527777777777781</v>
      </c>
      <c r="C144" t="str">
        <f>Inventory!A117</f>
        <v>Cooking Oil Measured</v>
      </c>
      <c r="D144" s="27">
        <v>0.25</v>
      </c>
      <c r="E144" s="5">
        <f>D144*Inventory!D117</f>
        <v>70</v>
      </c>
      <c r="F144" s="5">
        <f>D144*Inventory!C117</f>
        <v>50</v>
      </c>
      <c r="G144" s="5">
        <f t="shared" si="8"/>
        <v>20</v>
      </c>
      <c r="H144" t="s">
        <v>359</v>
      </c>
      <c r="I144" t="s">
        <v>386</v>
      </c>
    </row>
    <row r="145" spans="1:9" x14ac:dyDescent="0.25">
      <c r="A145" s="1">
        <f t="shared" si="7"/>
        <v>45490</v>
      </c>
      <c r="B145" s="31">
        <f>TIME(16,14,0)</f>
        <v>0.67638888888888893</v>
      </c>
      <c r="C145" t="str">
        <f>Table6[[#This Row],[item_name]]</f>
        <v>Steel Wire</v>
      </c>
      <c r="D145" s="27">
        <v>2</v>
      </c>
      <c r="E145" s="5">
        <f>D145*Inventory!D144</f>
        <v>40</v>
      </c>
      <c r="F145" s="5">
        <f>D145*Inventory!C144</f>
        <v>20.833333333333332</v>
      </c>
      <c r="G145" s="5">
        <f t="shared" si="8"/>
        <v>19.166666666666668</v>
      </c>
      <c r="H145" t="s">
        <v>359</v>
      </c>
      <c r="I145" t="s">
        <v>386</v>
      </c>
    </row>
    <row r="146" spans="1:9" x14ac:dyDescent="0.25">
      <c r="A146" s="1">
        <f t="shared" si="7"/>
        <v>45490</v>
      </c>
      <c r="B146" s="31">
        <f>TIME(16,24,0)</f>
        <v>0.68333333333333324</v>
      </c>
      <c r="C146" t="str">
        <f>Inventory!A75</f>
        <v>kensalt 500g</v>
      </c>
      <c r="D146" s="27">
        <v>1</v>
      </c>
      <c r="E146" s="5">
        <f>D146*Inventory!D75</f>
        <v>25</v>
      </c>
      <c r="F146" s="5">
        <f>D146*Inventory!C75</f>
        <v>14</v>
      </c>
      <c r="G146" s="5">
        <f t="shared" si="8"/>
        <v>11</v>
      </c>
      <c r="H146" t="s">
        <v>361</v>
      </c>
    </row>
    <row r="147" spans="1:9" x14ac:dyDescent="0.25">
      <c r="A147" s="1">
        <f t="shared" si="7"/>
        <v>45490</v>
      </c>
      <c r="B147" s="31">
        <f>TIME(18,7,0)</f>
        <v>0.75486111111111109</v>
      </c>
      <c r="C147" t="str">
        <f>Inventory!A33</f>
        <v>Festive 800g</v>
      </c>
      <c r="D147" s="27">
        <v>1</v>
      </c>
      <c r="E147" s="5">
        <f>D147*Inventory!D33</f>
        <v>130</v>
      </c>
      <c r="F147" s="5">
        <f>D147*Inventory!C33</f>
        <v>120</v>
      </c>
      <c r="G147" s="5">
        <f t="shared" si="8"/>
        <v>10</v>
      </c>
      <c r="H147" t="s">
        <v>361</v>
      </c>
    </row>
    <row r="148" spans="1:9" x14ac:dyDescent="0.25">
      <c r="A148" s="1">
        <f t="shared" si="7"/>
        <v>45490</v>
      </c>
      <c r="B148" s="31">
        <f>TIME(18,23,0)</f>
        <v>0.76597222222222217</v>
      </c>
      <c r="C148" t="str">
        <f>Inventory!A116</f>
        <v>Tomatoes</v>
      </c>
      <c r="D148" s="27">
        <v>10</v>
      </c>
      <c r="E148" s="5">
        <f>D148*Inventory!D116</f>
        <v>100</v>
      </c>
      <c r="F148" s="5">
        <f>D148*Inventory!C116</f>
        <v>50</v>
      </c>
      <c r="G148" s="5">
        <f t="shared" si="8"/>
        <v>50</v>
      </c>
      <c r="H148" t="s">
        <v>247</v>
      </c>
    </row>
    <row r="149" spans="1:9" x14ac:dyDescent="0.25">
      <c r="A149" s="1">
        <f t="shared" si="7"/>
        <v>45490</v>
      </c>
      <c r="B149" s="31">
        <f>TIME(18,23,0)</f>
        <v>0.76597222222222217</v>
      </c>
      <c r="C149" t="str">
        <f>Inventory!A125</f>
        <v>Dhania</v>
      </c>
      <c r="D149" s="27">
        <v>1</v>
      </c>
      <c r="E149" s="5">
        <f>D149*Inventory!D125</f>
        <v>5</v>
      </c>
      <c r="F149" s="5">
        <f>D149*Inventory!C125</f>
        <v>3.3333333333333335</v>
      </c>
      <c r="G149" s="5">
        <f t="shared" si="8"/>
        <v>1.6666666666666665</v>
      </c>
      <c r="H149" t="s">
        <v>247</v>
      </c>
    </row>
    <row r="150" spans="1:9" x14ac:dyDescent="0.25">
      <c r="A150" s="1">
        <f t="shared" si="7"/>
        <v>45490</v>
      </c>
      <c r="B150" s="31">
        <f>TIME(18,23,0)</f>
        <v>0.76597222222222217</v>
      </c>
      <c r="C150" t="str">
        <f>Inventory!A23</f>
        <v>Mt kenya milk 500ml</v>
      </c>
      <c r="D150" s="27">
        <v>1</v>
      </c>
      <c r="E150" s="5">
        <f>D150*Inventory!D23</f>
        <v>65</v>
      </c>
      <c r="F150" s="5">
        <f>D150*Inventory!C23</f>
        <v>48.333333333333336</v>
      </c>
      <c r="G150" s="5">
        <f t="shared" si="8"/>
        <v>16.666666666666664</v>
      </c>
      <c r="H150" t="s">
        <v>247</v>
      </c>
    </row>
    <row r="151" spans="1:9" x14ac:dyDescent="0.25">
      <c r="A151" s="1">
        <f t="shared" si="7"/>
        <v>45490</v>
      </c>
      <c r="B151" s="31">
        <f>TIME(18,25,0)</f>
        <v>0.76736111111111116</v>
      </c>
      <c r="C151" t="str">
        <f>Inventory!A145</f>
        <v>Steel Wire</v>
      </c>
      <c r="D151" s="27">
        <v>1</v>
      </c>
      <c r="E151" s="5">
        <f>D151*Inventory!D145</f>
        <v>10</v>
      </c>
      <c r="F151" s="5">
        <f>D151*Inventory!C145</f>
        <v>6</v>
      </c>
      <c r="G151" s="5">
        <f t="shared" si="8"/>
        <v>4</v>
      </c>
      <c r="H151" t="s">
        <v>359</v>
      </c>
      <c r="I151" t="s">
        <v>392</v>
      </c>
    </row>
    <row r="152" spans="1:9" x14ac:dyDescent="0.25">
      <c r="A152" s="1">
        <f t="shared" si="7"/>
        <v>45490</v>
      </c>
      <c r="B152" s="31">
        <f>TIME(18,30,0)</f>
        <v>0.77083333333333337</v>
      </c>
      <c r="C152" t="str">
        <f>Inventory!A146</f>
        <v>Rope</v>
      </c>
      <c r="D152" s="27">
        <v>1</v>
      </c>
      <c r="E152" s="5">
        <f>D152*Inventory!D146</f>
        <v>50</v>
      </c>
      <c r="F152" s="5">
        <f>D152*Inventory!C146</f>
        <v>37.5</v>
      </c>
      <c r="G152" s="5">
        <f t="shared" si="8"/>
        <v>12.5</v>
      </c>
      <c r="H152" t="s">
        <v>359</v>
      </c>
      <c r="I152" t="s">
        <v>393</v>
      </c>
    </row>
    <row r="153" spans="1:9" x14ac:dyDescent="0.25">
      <c r="A153" s="1">
        <f t="shared" si="7"/>
        <v>45490</v>
      </c>
      <c r="B153" s="31">
        <f>TIME(19,26,0)</f>
        <v>0.80972222222222223</v>
      </c>
      <c r="C153" t="str">
        <f>Inventory!A24</f>
        <v>Brookside milk 500ml</v>
      </c>
      <c r="D153" s="27">
        <v>1</v>
      </c>
      <c r="E153" s="5">
        <f>D153*Inventory!D24</f>
        <v>70</v>
      </c>
      <c r="F153" s="5">
        <f>D153*Inventory!C24</f>
        <v>59</v>
      </c>
      <c r="G153" s="5">
        <f t="shared" si="8"/>
        <v>11</v>
      </c>
      <c r="H153" t="s">
        <v>359</v>
      </c>
      <c r="I153" t="s">
        <v>392</v>
      </c>
    </row>
    <row r="154" spans="1:9" x14ac:dyDescent="0.25">
      <c r="A154" s="1">
        <f t="shared" si="7"/>
        <v>45490</v>
      </c>
      <c r="B154" s="31">
        <f>TIME(19,52,0)</f>
        <v>0.82777777777777783</v>
      </c>
      <c r="C154" t="str">
        <f>Inventory!A122</f>
        <v>Kinangop Fresh Milk 500ml</v>
      </c>
      <c r="D154" s="27">
        <v>1</v>
      </c>
      <c r="E154" s="5">
        <f>D154*Inventory!D122</f>
        <v>60</v>
      </c>
      <c r="F154" s="5">
        <f>D154*Inventory!C122</f>
        <v>55</v>
      </c>
      <c r="G154" s="5">
        <f t="shared" si="8"/>
        <v>5</v>
      </c>
      <c r="H154" t="s">
        <v>247</v>
      </c>
    </row>
    <row r="155" spans="1:9" x14ac:dyDescent="0.25">
      <c r="A155" s="1">
        <f t="shared" si="7"/>
        <v>45490</v>
      </c>
      <c r="B155" s="31">
        <f>TIME(19,52,0)</f>
        <v>0.82777777777777783</v>
      </c>
      <c r="C155" t="str">
        <f>Inventory!A117</f>
        <v>Cooking Oil Measured</v>
      </c>
      <c r="D155" s="27">
        <v>0.25</v>
      </c>
      <c r="E155" s="5">
        <f>D155*Inventory!D117</f>
        <v>70</v>
      </c>
      <c r="F155" s="5">
        <f>D155*Inventory!C117</f>
        <v>50</v>
      </c>
      <c r="G155" s="5">
        <f t="shared" si="8"/>
        <v>20</v>
      </c>
      <c r="H155" t="s">
        <v>247</v>
      </c>
    </row>
    <row r="156" spans="1:9" x14ac:dyDescent="0.25">
      <c r="A156" s="1">
        <f t="shared" si="7"/>
        <v>45490</v>
      </c>
      <c r="B156" s="31">
        <f>TIME(19,52,0)</f>
        <v>0.82777777777777783</v>
      </c>
      <c r="C156" t="str">
        <f>Inventory!A147</f>
        <v>Sugar</v>
      </c>
      <c r="D156" s="27">
        <v>0.5</v>
      </c>
      <c r="E156" s="5">
        <f>D156*Inventory!D147</f>
        <v>90</v>
      </c>
      <c r="F156" s="5">
        <f>D156*Inventory!C147</f>
        <v>65</v>
      </c>
      <c r="G156" s="5">
        <f t="shared" si="8"/>
        <v>25</v>
      </c>
      <c r="H156" t="s">
        <v>359</v>
      </c>
      <c r="I156" t="s">
        <v>394</v>
      </c>
    </row>
    <row r="157" spans="1:9" x14ac:dyDescent="0.25">
      <c r="A157" s="1">
        <f t="shared" si="7"/>
        <v>45490</v>
      </c>
      <c r="B157" s="31">
        <f>TIME(20,20,0)</f>
        <v>0.84722222222222221</v>
      </c>
      <c r="C157" t="str">
        <f>Inventory!A148</f>
        <v>Cabbage</v>
      </c>
      <c r="D157" s="27">
        <v>1</v>
      </c>
      <c r="E157" s="5">
        <f>D157*Inventory!D148</f>
        <v>180</v>
      </c>
      <c r="F157" s="5">
        <f>D157*Inventory!C148</f>
        <v>120</v>
      </c>
      <c r="G157" s="5">
        <f t="shared" si="8"/>
        <v>60</v>
      </c>
      <c r="H157" t="s">
        <v>359</v>
      </c>
      <c r="I157" t="s">
        <v>390</v>
      </c>
    </row>
    <row r="158" spans="1:9" x14ac:dyDescent="0.25">
      <c r="A158" s="1">
        <f>DATE(2024,7,18)</f>
        <v>45491</v>
      </c>
      <c r="B158" s="31">
        <f>TIME(7,37,0)</f>
        <v>0.31736111111111115</v>
      </c>
      <c r="C158" t="str">
        <f>Inventory!A81</f>
        <v>eggs</v>
      </c>
      <c r="D158" s="27">
        <v>3</v>
      </c>
      <c r="E158" s="5">
        <f>D158*Inventory!D81</f>
        <v>60</v>
      </c>
      <c r="F158" s="5">
        <f>D158*Inventory!C81</f>
        <v>43</v>
      </c>
      <c r="G158" s="5">
        <f t="shared" si="8"/>
        <v>17</v>
      </c>
      <c r="H158" t="s">
        <v>361</v>
      </c>
    </row>
    <row r="159" spans="1:9" x14ac:dyDescent="0.25">
      <c r="A159" s="1">
        <f t="shared" ref="A159:A209" si="9">DATE(2024,7,18)</f>
        <v>45491</v>
      </c>
      <c r="B159" s="31">
        <f>TIME(7,37,0)</f>
        <v>0.31736111111111115</v>
      </c>
      <c r="C159" t="str">
        <f>Inventory!A132</f>
        <v>Festive Bread 400g</v>
      </c>
      <c r="D159" s="27">
        <v>1</v>
      </c>
      <c r="E159" s="5">
        <f>D159*Inventory!D132</f>
        <v>65</v>
      </c>
      <c r="F159" s="5">
        <f>D159*Inventory!C132</f>
        <v>60</v>
      </c>
      <c r="G159" s="5">
        <f t="shared" si="8"/>
        <v>5</v>
      </c>
      <c r="H159" t="s">
        <v>361</v>
      </c>
    </row>
    <row r="160" spans="1:9" x14ac:dyDescent="0.25">
      <c r="A160" s="1">
        <f t="shared" si="9"/>
        <v>45491</v>
      </c>
      <c r="B160" s="31">
        <f>TIME(8,26,0)</f>
        <v>0.35138888888888892</v>
      </c>
      <c r="C160" t="str">
        <f>Inventory!A23</f>
        <v>Mt kenya milk 500ml</v>
      </c>
      <c r="D160" s="27">
        <v>1</v>
      </c>
      <c r="E160" s="5">
        <f>D160*Inventory!D23</f>
        <v>65</v>
      </c>
      <c r="F160" s="5">
        <f>D160*Inventory!C23</f>
        <v>48.333333333333336</v>
      </c>
      <c r="G160" s="5">
        <f t="shared" si="8"/>
        <v>16.666666666666664</v>
      </c>
      <c r="H160" t="s">
        <v>359</v>
      </c>
      <c r="I160" t="s">
        <v>384</v>
      </c>
    </row>
    <row r="161" spans="1:9" x14ac:dyDescent="0.25">
      <c r="A161" s="1">
        <f t="shared" si="9"/>
        <v>45491</v>
      </c>
      <c r="B161" s="31">
        <f>TIME(8,26,0)</f>
        <v>0.35138888888888892</v>
      </c>
      <c r="C161" t="str">
        <f>Inventory!A30</f>
        <v>BB Bread 400g</v>
      </c>
      <c r="D161" s="27">
        <v>1</v>
      </c>
      <c r="E161" s="5">
        <f>D161*Inventory!D30</f>
        <v>65</v>
      </c>
      <c r="F161" s="5">
        <f>D161*Inventory!C30</f>
        <v>60</v>
      </c>
      <c r="G161" s="5">
        <f t="shared" si="8"/>
        <v>5</v>
      </c>
      <c r="H161" t="s">
        <v>359</v>
      </c>
      <c r="I161" t="s">
        <v>384</v>
      </c>
    </row>
    <row r="162" spans="1:9" x14ac:dyDescent="0.25">
      <c r="A162" s="1">
        <f t="shared" si="9"/>
        <v>45491</v>
      </c>
      <c r="B162" s="31">
        <f>TIME(8,26,0)</f>
        <v>0.35138888888888892</v>
      </c>
      <c r="C162" t="str">
        <f>Inventory!A98</f>
        <v>Sunny girl pad</v>
      </c>
      <c r="D162" s="27">
        <v>1</v>
      </c>
      <c r="E162" s="5">
        <f>D162*Inventory!D98</f>
        <v>70</v>
      </c>
      <c r="F162" s="5">
        <f>D162*Inventory!C98</f>
        <v>56.666666666666664</v>
      </c>
      <c r="G162" s="5">
        <f t="shared" si="8"/>
        <v>13.333333333333336</v>
      </c>
      <c r="H162" t="s">
        <v>359</v>
      </c>
      <c r="I162" t="s">
        <v>384</v>
      </c>
    </row>
    <row r="163" spans="1:9" x14ac:dyDescent="0.25">
      <c r="A163" s="1">
        <f t="shared" si="9"/>
        <v>45491</v>
      </c>
      <c r="B163" s="31">
        <f>TIME(8,50,0)</f>
        <v>0.36805555555555558</v>
      </c>
      <c r="C163" t="str">
        <f>Inventory!A123</f>
        <v>Mt Kenya milk 200ml</v>
      </c>
      <c r="D163" s="27">
        <v>1</v>
      </c>
      <c r="E163" s="5">
        <f>D163*Inventory!D123</f>
        <v>35</v>
      </c>
      <c r="F163" s="5">
        <f>D163*Inventory!C123</f>
        <v>24.285714285714285</v>
      </c>
      <c r="G163" s="5">
        <f t="shared" si="8"/>
        <v>10.714285714285715</v>
      </c>
      <c r="H163" t="s">
        <v>361</v>
      </c>
    </row>
    <row r="164" spans="1:9" x14ac:dyDescent="0.25">
      <c r="A164" s="1">
        <f t="shared" si="9"/>
        <v>45491</v>
      </c>
      <c r="B164" s="31">
        <f>TIME(8,50,0)</f>
        <v>0.36805555555555558</v>
      </c>
      <c r="C164" t="str">
        <f>Inventory!A121</f>
        <v>Banana</v>
      </c>
      <c r="D164" s="27">
        <v>2</v>
      </c>
      <c r="E164" s="5">
        <f>D164*Inventory!D121</f>
        <v>20</v>
      </c>
      <c r="F164" s="5">
        <f>D164*Inventory!C121</f>
        <v>16.666666666666668</v>
      </c>
      <c r="G164" s="5">
        <f t="shared" si="8"/>
        <v>3.3333333333333321</v>
      </c>
      <c r="H164" t="s">
        <v>361</v>
      </c>
    </row>
    <row r="165" spans="1:9" x14ac:dyDescent="0.25">
      <c r="A165" s="1">
        <f t="shared" si="9"/>
        <v>45491</v>
      </c>
      <c r="B165" s="31">
        <f>TIME(8,50,0)</f>
        <v>0.36805555555555558</v>
      </c>
      <c r="C165" t="str">
        <f>Inventory!A121</f>
        <v>Banana</v>
      </c>
      <c r="D165" s="27">
        <v>1</v>
      </c>
      <c r="E165" s="5">
        <f>D165*Inventory!D121</f>
        <v>10</v>
      </c>
      <c r="F165" s="5">
        <f>D165*Inventory!C121</f>
        <v>8.3333333333333339</v>
      </c>
      <c r="G165" s="5">
        <f t="shared" si="8"/>
        <v>1.6666666666666661</v>
      </c>
      <c r="H165" t="s">
        <v>247</v>
      </c>
    </row>
    <row r="166" spans="1:9" x14ac:dyDescent="0.25">
      <c r="A166" s="1">
        <f t="shared" si="9"/>
        <v>45491</v>
      </c>
      <c r="B166" s="31">
        <f>TIME(9,56,0)</f>
        <v>0.41388888888888892</v>
      </c>
      <c r="C166" t="str">
        <f>Inventory!A110</f>
        <v>omo 75g</v>
      </c>
      <c r="D166" s="27">
        <v>2</v>
      </c>
      <c r="E166" s="5">
        <f>D166*Inventory!D110</f>
        <v>70</v>
      </c>
      <c r="F166" s="5">
        <f>D166*Inventory!C110</f>
        <v>55</v>
      </c>
      <c r="G166" s="5">
        <f t="shared" si="8"/>
        <v>15</v>
      </c>
      <c r="H166" t="s">
        <v>359</v>
      </c>
      <c r="I166" t="s">
        <v>395</v>
      </c>
    </row>
    <row r="167" spans="1:9" x14ac:dyDescent="0.25">
      <c r="A167" s="1">
        <f t="shared" si="9"/>
        <v>45491</v>
      </c>
      <c r="B167" s="31">
        <f>TIME(9,56,0)</f>
        <v>0.41388888888888892</v>
      </c>
      <c r="C167" t="str">
        <f>Inventory!A112</f>
        <v>Downy lavender</v>
      </c>
      <c r="D167" s="27">
        <v>2</v>
      </c>
      <c r="E167" s="5">
        <f>D167*Inventory!D112</f>
        <v>40</v>
      </c>
      <c r="F167" s="5">
        <f>D167*Inventory!C112</f>
        <v>34.666666666666664</v>
      </c>
      <c r="G167" s="5">
        <f t="shared" si="8"/>
        <v>5.3333333333333357</v>
      </c>
      <c r="H167" t="s">
        <v>359</v>
      </c>
      <c r="I167" t="s">
        <v>395</v>
      </c>
    </row>
    <row r="168" spans="1:9" x14ac:dyDescent="0.25">
      <c r="A168" s="1">
        <f t="shared" si="9"/>
        <v>45491</v>
      </c>
      <c r="B168" s="31">
        <f>TIME(9,56,0)</f>
        <v>0.41388888888888892</v>
      </c>
      <c r="C168" t="str">
        <f>Inventory!A149</f>
        <v>Menengai Bar 1kg</v>
      </c>
      <c r="D168" s="27">
        <f>1/5</f>
        <v>0.2</v>
      </c>
      <c r="E168" s="5">
        <f>D168*Inventory!D149</f>
        <v>50</v>
      </c>
      <c r="F168" s="5">
        <f>D168*Inventory!C149</f>
        <v>38</v>
      </c>
      <c r="G168" s="5">
        <f t="shared" si="8"/>
        <v>12</v>
      </c>
      <c r="H168" t="s">
        <v>359</v>
      </c>
      <c r="I168" t="s">
        <v>395</v>
      </c>
    </row>
    <row r="169" spans="1:9" x14ac:dyDescent="0.25">
      <c r="A169" s="1">
        <f t="shared" si="9"/>
        <v>45491</v>
      </c>
      <c r="B169" s="31">
        <f>TIME(10,55,0)</f>
        <v>0.4548611111111111</v>
      </c>
      <c r="C169" t="str">
        <f>Inventory!A54</f>
        <v>Kdf</v>
      </c>
      <c r="D169" s="27">
        <v>6</v>
      </c>
      <c r="E169" s="5">
        <f>D169*Inventory!D54</f>
        <v>60</v>
      </c>
      <c r="F169" s="5">
        <f>D169*Inventory!C54</f>
        <v>50</v>
      </c>
      <c r="G169" s="5">
        <f t="shared" si="8"/>
        <v>10</v>
      </c>
      <c r="H169" t="s">
        <v>361</v>
      </c>
    </row>
    <row r="170" spans="1:9" x14ac:dyDescent="0.25">
      <c r="A170" s="1">
        <f t="shared" si="9"/>
        <v>45491</v>
      </c>
      <c r="B170" s="31">
        <f>TIME(11,55,0)</f>
        <v>0.49652777777777773</v>
      </c>
      <c r="C170" t="str">
        <f>Inventory!A61</f>
        <v>Bigdaddy</v>
      </c>
      <c r="D170" s="27">
        <v>2</v>
      </c>
      <c r="E170" s="5">
        <f>D170*Inventory!D61</f>
        <v>20</v>
      </c>
      <c r="F170" s="5">
        <f>D170*Inventory!C61</f>
        <v>12</v>
      </c>
      <c r="G170" s="5">
        <f t="shared" si="8"/>
        <v>8</v>
      </c>
      <c r="H170" t="s">
        <v>361</v>
      </c>
    </row>
    <row r="171" spans="1:9" x14ac:dyDescent="0.25">
      <c r="A171" s="1">
        <f t="shared" si="9"/>
        <v>45491</v>
      </c>
      <c r="B171" s="31">
        <f>TIME(11,55,0)</f>
        <v>0.49652777777777773</v>
      </c>
      <c r="C171" t="str">
        <f>Inventory!A67</f>
        <v>Bigboss</v>
      </c>
      <c r="D171" s="27">
        <v>1</v>
      </c>
      <c r="E171" s="5">
        <f>D171*Inventory!D67</f>
        <v>5</v>
      </c>
      <c r="F171" s="5">
        <f>D171*Inventory!C67</f>
        <v>3.5</v>
      </c>
      <c r="G171" s="5">
        <f t="shared" si="8"/>
        <v>1.5</v>
      </c>
      <c r="H171" t="s">
        <v>361</v>
      </c>
    </row>
    <row r="172" spans="1:9" x14ac:dyDescent="0.25">
      <c r="A172" s="1">
        <f t="shared" si="9"/>
        <v>45491</v>
      </c>
      <c r="B172" s="31">
        <f>TIME(11,2,0)</f>
        <v>0.4597222222222222</v>
      </c>
      <c r="C172" t="str">
        <f>Inventory!A81</f>
        <v>eggs</v>
      </c>
      <c r="D172" s="27">
        <v>2</v>
      </c>
      <c r="E172" s="5">
        <f>D172*Inventory!D81</f>
        <v>40</v>
      </c>
      <c r="F172" s="5">
        <f>D172*Inventory!C81</f>
        <v>28.666666666666668</v>
      </c>
      <c r="G172" s="5">
        <f t="shared" si="8"/>
        <v>11.333333333333332</v>
      </c>
      <c r="H172" t="s">
        <v>361</v>
      </c>
    </row>
    <row r="173" spans="1:9" x14ac:dyDescent="0.25">
      <c r="A173" s="1">
        <f t="shared" si="9"/>
        <v>45491</v>
      </c>
      <c r="B173" s="31">
        <f>TIME(11,35,0)</f>
        <v>0.4826388888888889</v>
      </c>
      <c r="C173" t="str">
        <f>Inventory!A14</f>
        <v>soda 500ml glass</v>
      </c>
      <c r="D173" s="27">
        <v>1</v>
      </c>
      <c r="E173" s="5">
        <f>D173*Inventory!D14</f>
        <v>55</v>
      </c>
      <c r="F173" s="5">
        <f>D173*Inventory!C14</f>
        <v>50</v>
      </c>
      <c r="G173" s="5">
        <f t="shared" si="8"/>
        <v>5</v>
      </c>
      <c r="H173" t="s">
        <v>247</v>
      </c>
    </row>
    <row r="174" spans="1:9" x14ac:dyDescent="0.25">
      <c r="A174" s="1">
        <f t="shared" si="9"/>
        <v>45491</v>
      </c>
      <c r="B174" s="31">
        <f>TIME(11,35,0)</f>
        <v>0.4826388888888889</v>
      </c>
      <c r="C174" t="str">
        <f>Inventory!A49</f>
        <v>Half pound cake</v>
      </c>
      <c r="D174" s="27">
        <v>1</v>
      </c>
      <c r="E174" s="5">
        <f>D174*Inventory!D49</f>
        <v>100</v>
      </c>
      <c r="F174" s="5">
        <f>D174*Inventory!C49</f>
        <v>90</v>
      </c>
      <c r="G174" s="5">
        <f t="shared" si="8"/>
        <v>10</v>
      </c>
      <c r="H174" t="s">
        <v>247</v>
      </c>
    </row>
    <row r="175" spans="1:9" x14ac:dyDescent="0.25">
      <c r="A175" s="1">
        <f t="shared" si="9"/>
        <v>45491</v>
      </c>
      <c r="B175" s="31">
        <f>TIME(12,52,0)</f>
        <v>0.53611111111111109</v>
      </c>
      <c r="C175" t="str">
        <f>Inventory!A4</f>
        <v>300ml water</v>
      </c>
      <c r="D175" s="27">
        <v>1</v>
      </c>
      <c r="E175" s="5">
        <f>D175*Inventory!D4</f>
        <v>30</v>
      </c>
      <c r="F175" s="5">
        <f>D175*Inventory!C4</f>
        <v>12.5</v>
      </c>
      <c r="G175" s="5">
        <f t="shared" si="8"/>
        <v>17.5</v>
      </c>
      <c r="H175" t="s">
        <v>359</v>
      </c>
      <c r="I175" t="s">
        <v>386</v>
      </c>
    </row>
    <row r="176" spans="1:9" x14ac:dyDescent="0.25">
      <c r="A176" s="1">
        <f t="shared" si="9"/>
        <v>45491</v>
      </c>
      <c r="B176" s="31">
        <f>TIME(13,27,0)</f>
        <v>0.56041666666666667</v>
      </c>
      <c r="C176" t="str">
        <f>Inventory!A71</f>
        <v>Indomie chicken</v>
      </c>
      <c r="D176" s="27">
        <v>1</v>
      </c>
      <c r="E176" s="5">
        <f>D176*Inventory!D71</f>
        <v>50</v>
      </c>
      <c r="F176" s="5">
        <f>D176*Inventory!C71</f>
        <v>37.5</v>
      </c>
      <c r="G176" s="5">
        <f t="shared" si="8"/>
        <v>12.5</v>
      </c>
      <c r="H176" t="s">
        <v>361</v>
      </c>
    </row>
    <row r="177" spans="1:12" x14ac:dyDescent="0.25">
      <c r="A177" s="1">
        <f t="shared" si="9"/>
        <v>45491</v>
      </c>
      <c r="B177" s="31">
        <f>TIME(13,27,0)</f>
        <v>0.56041666666666667</v>
      </c>
      <c r="C177" t="str">
        <f>Inventory!A150</f>
        <v>Sonaplast</v>
      </c>
      <c r="D177" s="27">
        <v>1</v>
      </c>
      <c r="E177" s="5">
        <f>D177*Inventory!D150</f>
        <v>10</v>
      </c>
      <c r="F177" s="5">
        <f>D177*Inventory!C150</f>
        <v>7</v>
      </c>
      <c r="G177" s="5">
        <f t="shared" si="8"/>
        <v>3</v>
      </c>
      <c r="H177" t="s">
        <v>361</v>
      </c>
    </row>
    <row r="178" spans="1:12" x14ac:dyDescent="0.25">
      <c r="A178" s="1">
        <f t="shared" si="9"/>
        <v>45491</v>
      </c>
      <c r="B178" s="31">
        <f>TIME(14,0,0)</f>
        <v>0.58333333333333337</v>
      </c>
      <c r="C178" t="str">
        <f>Inventory!A145</f>
        <v>Steel Wire</v>
      </c>
      <c r="D178" s="27">
        <v>1</v>
      </c>
      <c r="E178" s="5">
        <f>D178*Inventory!D145</f>
        <v>10</v>
      </c>
      <c r="F178" s="5">
        <f>D178*Inventory!C145</f>
        <v>6</v>
      </c>
      <c r="G178" s="5">
        <f t="shared" si="8"/>
        <v>4</v>
      </c>
      <c r="H178" t="s">
        <v>359</v>
      </c>
      <c r="I178" t="s">
        <v>384</v>
      </c>
    </row>
    <row r="179" spans="1:12" x14ac:dyDescent="0.25">
      <c r="A179" s="1">
        <f t="shared" si="9"/>
        <v>45491</v>
      </c>
      <c r="B179" s="31">
        <f>TIME(14,32,0)</f>
        <v>0.60555555555555551</v>
      </c>
      <c r="C179" t="str">
        <f>Inventory!A117</f>
        <v>Cooking Oil Measured</v>
      </c>
      <c r="D179" s="27">
        <v>0.5</v>
      </c>
      <c r="E179" s="5">
        <f>D179*Inventory!D117</f>
        <v>140</v>
      </c>
      <c r="F179" s="5">
        <f>D179*Inventory!C117</f>
        <v>100</v>
      </c>
      <c r="G179" s="5">
        <f t="shared" si="8"/>
        <v>40</v>
      </c>
      <c r="H179" t="s">
        <v>361</v>
      </c>
    </row>
    <row r="180" spans="1:12" x14ac:dyDescent="0.25">
      <c r="A180" s="1">
        <f t="shared" si="9"/>
        <v>45491</v>
      </c>
      <c r="B180" s="31">
        <f>TIME(14,32,0)</f>
        <v>0.60555555555555551</v>
      </c>
      <c r="C180" t="str">
        <f>Inventory!A123</f>
        <v>Mt Kenya milk 200ml</v>
      </c>
      <c r="D180" s="27">
        <v>1</v>
      </c>
      <c r="E180" s="5">
        <f>D180*Inventory!D123</f>
        <v>35</v>
      </c>
      <c r="F180" s="5">
        <f>D180*Inventory!C123</f>
        <v>24.285714285714285</v>
      </c>
      <c r="G180" s="5">
        <f t="shared" si="8"/>
        <v>10.714285714285715</v>
      </c>
      <c r="H180" t="s">
        <v>361</v>
      </c>
    </row>
    <row r="181" spans="1:12" x14ac:dyDescent="0.25">
      <c r="A181" s="1">
        <f t="shared" si="9"/>
        <v>45491</v>
      </c>
      <c r="B181" s="31">
        <f>TIME(15,29,0)</f>
        <v>0.64513888888888882</v>
      </c>
      <c r="C181" t="str">
        <f>Inventory!A14</f>
        <v>soda 500ml glass</v>
      </c>
      <c r="D181" s="27">
        <v>1</v>
      </c>
      <c r="E181" s="5">
        <f>D181*Inventory!D14</f>
        <v>55</v>
      </c>
      <c r="F181" s="5">
        <f>D181*Inventory!C14</f>
        <v>50</v>
      </c>
      <c r="G181" s="5">
        <f t="shared" si="8"/>
        <v>5</v>
      </c>
      <c r="H181" t="s">
        <v>361</v>
      </c>
    </row>
    <row r="182" spans="1:12" x14ac:dyDescent="0.25">
      <c r="A182" s="1">
        <f t="shared" si="9"/>
        <v>45491</v>
      </c>
      <c r="B182" s="31">
        <f>TIME(15,29,0)</f>
        <v>0.64513888888888882</v>
      </c>
      <c r="C182" t="str">
        <f>Inventory!A53</f>
        <v>Mandazi</v>
      </c>
      <c r="D182" s="27">
        <v>10</v>
      </c>
      <c r="E182" s="5">
        <f>D182*Inventory!D53</f>
        <v>50</v>
      </c>
      <c r="F182" s="5">
        <f>D182*Inventory!C53</f>
        <v>41.666666666666671</v>
      </c>
      <c r="G182" s="5">
        <f t="shared" si="8"/>
        <v>8.3333333333333286</v>
      </c>
      <c r="H182" t="s">
        <v>361</v>
      </c>
    </row>
    <row r="183" spans="1:12" x14ac:dyDescent="0.25">
      <c r="A183" s="1">
        <f t="shared" si="9"/>
        <v>45491</v>
      </c>
      <c r="B183" s="31">
        <f>TIME(16,5,0)</f>
        <v>0.67013888888888884</v>
      </c>
      <c r="C183" t="str">
        <f>Inventory!A140</f>
        <v>Airtel 50 Credit</v>
      </c>
      <c r="D183" s="27">
        <v>1</v>
      </c>
      <c r="E183" s="5">
        <f>D183*Inventory!D140</f>
        <v>50</v>
      </c>
      <c r="F183" s="5">
        <f>D183*Inventory!C140</f>
        <v>47</v>
      </c>
      <c r="G183" s="5">
        <f t="shared" si="8"/>
        <v>3</v>
      </c>
      <c r="H183" t="s">
        <v>247</v>
      </c>
    </row>
    <row r="184" spans="1:12" x14ac:dyDescent="0.25">
      <c r="A184" s="1">
        <f t="shared" si="9"/>
        <v>45491</v>
      </c>
      <c r="B184" s="31">
        <f>TIME(16,5,0)</f>
        <v>0.67013888888888884</v>
      </c>
      <c r="C184" t="str">
        <f>Inventory!A139</f>
        <v>Airtel 10 Credit</v>
      </c>
      <c r="D184" s="27">
        <v>1</v>
      </c>
      <c r="E184" s="5">
        <f>D184*Inventory!D139</f>
        <v>10</v>
      </c>
      <c r="F184" s="5">
        <f>D184*Inventory!C139</f>
        <v>9</v>
      </c>
      <c r="G184" s="5">
        <f t="shared" si="8"/>
        <v>1</v>
      </c>
      <c r="H184" t="s">
        <v>247</v>
      </c>
    </row>
    <row r="185" spans="1:12" x14ac:dyDescent="0.25">
      <c r="A185" s="1">
        <f t="shared" si="9"/>
        <v>45491</v>
      </c>
      <c r="B185" s="31">
        <f>TIME(16,27,0)</f>
        <v>0.68541666666666667</v>
      </c>
      <c r="C185" t="str">
        <f>Inventory!A55</f>
        <v>Ngumu</v>
      </c>
      <c r="D185" s="27">
        <v>1</v>
      </c>
      <c r="E185" s="5">
        <f>D185*Inventory!D55</f>
        <v>10</v>
      </c>
      <c r="F185" s="5">
        <f>D185*Inventory!C55</f>
        <v>8.3333333333333339</v>
      </c>
      <c r="G185" s="5">
        <f t="shared" si="8"/>
        <v>1.6666666666666661</v>
      </c>
      <c r="H185" t="s">
        <v>359</v>
      </c>
      <c r="I185" t="s">
        <v>396</v>
      </c>
    </row>
    <row r="186" spans="1:12" x14ac:dyDescent="0.25">
      <c r="A186" s="1">
        <f t="shared" si="9"/>
        <v>45491</v>
      </c>
      <c r="B186" s="31">
        <f>TIME(16,37,0)</f>
        <v>0.69236111111111109</v>
      </c>
      <c r="C186" t="str">
        <f>Inventory!A71</f>
        <v>Indomie chicken</v>
      </c>
      <c r="D186" s="27">
        <v>1</v>
      </c>
      <c r="E186" s="5">
        <f>D186*Inventory!D71</f>
        <v>50</v>
      </c>
      <c r="F186" s="5">
        <f>D186*Inventory!C71</f>
        <v>37.5</v>
      </c>
      <c r="G186" s="5">
        <f t="shared" si="8"/>
        <v>12.5</v>
      </c>
      <c r="H186" t="s">
        <v>247</v>
      </c>
    </row>
    <row r="187" spans="1:12" x14ac:dyDescent="0.25">
      <c r="A187" s="1">
        <f t="shared" si="9"/>
        <v>45491</v>
      </c>
      <c r="B187" s="31">
        <f>TIME(17,2,0)</f>
        <v>0.70972222222222225</v>
      </c>
      <c r="C187" t="str">
        <f>Inventory!A24</f>
        <v>Brookside milk 500ml</v>
      </c>
      <c r="D187" s="27">
        <v>1</v>
      </c>
      <c r="E187" s="5">
        <f>D187*Inventory!D24</f>
        <v>70</v>
      </c>
      <c r="F187" s="5">
        <f>D187*Inventory!C24</f>
        <v>59</v>
      </c>
      <c r="G187" s="5">
        <f t="shared" si="8"/>
        <v>11</v>
      </c>
      <c r="H187" t="s">
        <v>359</v>
      </c>
      <c r="I187" t="s">
        <v>392</v>
      </c>
    </row>
    <row r="188" spans="1:12" x14ac:dyDescent="0.25">
      <c r="A188" s="1">
        <f t="shared" si="9"/>
        <v>45491</v>
      </c>
      <c r="B188" s="31">
        <f>TIME(17,2,0)</f>
        <v>0.70972222222222225</v>
      </c>
      <c r="C188" t="str">
        <f>Inventory!A30</f>
        <v>BB Bread 400g</v>
      </c>
      <c r="D188" s="27">
        <v>1</v>
      </c>
      <c r="E188" s="5">
        <f>D188*Inventory!D30</f>
        <v>65</v>
      </c>
      <c r="F188" s="5">
        <f>D188*Inventory!C30</f>
        <v>60</v>
      </c>
      <c r="G188" s="5">
        <f t="shared" si="8"/>
        <v>5</v>
      </c>
      <c r="H188" t="s">
        <v>359</v>
      </c>
      <c r="I188" t="s">
        <v>392</v>
      </c>
    </row>
    <row r="189" spans="1:12" x14ac:dyDescent="0.25">
      <c r="A189" s="1">
        <f t="shared" si="9"/>
        <v>45491</v>
      </c>
      <c r="B189" s="31">
        <f>TIME(17,3,0)</f>
        <v>0.7104166666666667</v>
      </c>
      <c r="C189" t="str">
        <f>Inventory!A75</f>
        <v>kensalt 500g</v>
      </c>
      <c r="D189" s="27">
        <v>1</v>
      </c>
      <c r="E189" s="5">
        <f>D189*Inventory!D75</f>
        <v>25</v>
      </c>
      <c r="F189" s="5">
        <f>D189*Inventory!C75</f>
        <v>14</v>
      </c>
      <c r="G189" s="5">
        <f t="shared" si="8"/>
        <v>11</v>
      </c>
      <c r="H189" t="s">
        <v>359</v>
      </c>
      <c r="I189" t="s">
        <v>394</v>
      </c>
      <c r="J189" t="s">
        <v>394</v>
      </c>
      <c r="K189">
        <v>20</v>
      </c>
      <c r="L189" t="s">
        <v>247</v>
      </c>
    </row>
    <row r="190" spans="1:12" x14ac:dyDescent="0.25">
      <c r="A190" s="1">
        <f t="shared" si="9"/>
        <v>45491</v>
      </c>
      <c r="B190" s="31">
        <f>TIME(18,3,0)</f>
        <v>0.75208333333333333</v>
      </c>
      <c r="C190" s="35" t="str">
        <f>Inventory!A117</f>
        <v>Cooking Oil Measured</v>
      </c>
      <c r="D190" s="27">
        <v>0.5</v>
      </c>
      <c r="E190" s="5">
        <f>D190*Inventory!D117</f>
        <v>140</v>
      </c>
      <c r="F190" s="5">
        <f>D190*Inventory!C117</f>
        <v>100</v>
      </c>
      <c r="G190" s="5">
        <f t="shared" si="8"/>
        <v>40</v>
      </c>
      <c r="H190" t="s">
        <v>359</v>
      </c>
      <c r="I190" t="s">
        <v>391</v>
      </c>
    </row>
    <row r="191" spans="1:12" x14ac:dyDescent="0.25">
      <c r="A191" s="1">
        <f t="shared" si="9"/>
        <v>45491</v>
      </c>
      <c r="B191" s="31">
        <f>TIME(18,3,0)</f>
        <v>0.75208333333333333</v>
      </c>
      <c r="C191" t="str">
        <f>Inventory!A81</f>
        <v>eggs</v>
      </c>
      <c r="D191" s="27">
        <v>4</v>
      </c>
      <c r="E191" s="5">
        <f>D191*Inventory!D81</f>
        <v>80</v>
      </c>
      <c r="F191" s="5">
        <f>D191*Inventory!C81</f>
        <v>57.333333333333336</v>
      </c>
      <c r="G191" s="5">
        <f t="shared" si="8"/>
        <v>22.666666666666664</v>
      </c>
      <c r="H191" t="s">
        <v>359</v>
      </c>
      <c r="I191" t="s">
        <v>391</v>
      </c>
    </row>
    <row r="192" spans="1:12" x14ac:dyDescent="0.25">
      <c r="A192" s="1">
        <f t="shared" si="9"/>
        <v>45491</v>
      </c>
      <c r="B192" s="31">
        <f>TIME(18,3,0)</f>
        <v>0.75208333333333333</v>
      </c>
      <c r="C192" t="str">
        <f>Inventory!A116</f>
        <v>Tomatoes</v>
      </c>
      <c r="D192" s="27">
        <v>1</v>
      </c>
      <c r="E192" s="5">
        <f>D192*Inventory!D116</f>
        <v>10</v>
      </c>
      <c r="F192" s="5">
        <f>D192*Inventory!C116</f>
        <v>5</v>
      </c>
      <c r="G192" s="5">
        <f t="shared" si="8"/>
        <v>5</v>
      </c>
      <c r="H192" t="s">
        <v>359</v>
      </c>
      <c r="I192" t="s">
        <v>391</v>
      </c>
    </row>
    <row r="193" spans="1:12" x14ac:dyDescent="0.25">
      <c r="A193" s="1">
        <f t="shared" si="9"/>
        <v>45491</v>
      </c>
      <c r="B193" s="31">
        <f>TIME(18,3,0)</f>
        <v>0.75208333333333333</v>
      </c>
      <c r="C193" t="str">
        <f>Inventory!A115</f>
        <v>Onion</v>
      </c>
      <c r="D193" s="27">
        <v>1</v>
      </c>
      <c r="E193" s="5">
        <f>D193*Inventory!D115</f>
        <v>10</v>
      </c>
      <c r="F193" s="5">
        <f>D193*Inventory!C115</f>
        <v>8</v>
      </c>
      <c r="G193" s="5">
        <f t="shared" si="8"/>
        <v>2</v>
      </c>
      <c r="H193" t="s">
        <v>359</v>
      </c>
      <c r="I193" t="s">
        <v>391</v>
      </c>
    </row>
    <row r="194" spans="1:12" x14ac:dyDescent="0.25">
      <c r="A194" s="1">
        <f t="shared" si="9"/>
        <v>45491</v>
      </c>
      <c r="B194" s="31">
        <f>TIME(18,3,0)</f>
        <v>0.75208333333333333</v>
      </c>
      <c r="C194" t="str">
        <f>Inventory!A84</f>
        <v>Safari</v>
      </c>
      <c r="D194" s="27">
        <v>3</v>
      </c>
      <c r="E194" s="5">
        <f>D194*Inventory!D84</f>
        <v>45</v>
      </c>
      <c r="F194" s="5">
        <f>D194*Inventory!C84</f>
        <v>25.5</v>
      </c>
      <c r="G194" s="5">
        <f t="shared" si="8"/>
        <v>19.5</v>
      </c>
      <c r="H194" t="s">
        <v>359</v>
      </c>
      <c r="I194" t="s">
        <v>391</v>
      </c>
    </row>
    <row r="195" spans="1:12" x14ac:dyDescent="0.25">
      <c r="A195" s="1">
        <f t="shared" si="9"/>
        <v>45491</v>
      </c>
      <c r="B195" s="31">
        <f>TIME(18,43,0)</f>
        <v>0.77986111111111101</v>
      </c>
      <c r="C195" t="str">
        <f>Inventory!A24</f>
        <v>Brookside milk 500ml</v>
      </c>
      <c r="D195" s="27">
        <v>2</v>
      </c>
      <c r="E195" s="5">
        <f>D195*Inventory!D24</f>
        <v>140</v>
      </c>
      <c r="F195" s="5">
        <f>D195*Inventory!C24</f>
        <v>118</v>
      </c>
      <c r="G195" s="5">
        <f t="shared" ref="G195:G258" si="10">E195-F195</f>
        <v>22</v>
      </c>
      <c r="H195" t="s">
        <v>247</v>
      </c>
    </row>
    <row r="196" spans="1:12" x14ac:dyDescent="0.25">
      <c r="A196" s="1">
        <f t="shared" si="9"/>
        <v>45491</v>
      </c>
      <c r="B196" s="31">
        <f>TIME(19,0,0)</f>
        <v>0.79166666666666663</v>
      </c>
      <c r="C196" t="str">
        <f>Inventory!A117</f>
        <v>Cooking Oil Measured</v>
      </c>
      <c r="D196" s="27">
        <v>0.5</v>
      </c>
      <c r="E196" s="5">
        <f>D196*Inventory!D117</f>
        <v>140</v>
      </c>
      <c r="F196" s="5">
        <f>D196*Inventory!C117</f>
        <v>100</v>
      </c>
      <c r="G196" s="5">
        <f t="shared" si="10"/>
        <v>40</v>
      </c>
      <c r="H196" t="s">
        <v>359</v>
      </c>
      <c r="I196" t="s">
        <v>397</v>
      </c>
    </row>
    <row r="197" spans="1:12" x14ac:dyDescent="0.25">
      <c r="A197" s="1">
        <f t="shared" si="9"/>
        <v>45491</v>
      </c>
      <c r="B197" s="31">
        <f>TIME(19,0,0)</f>
        <v>0.79166666666666663</v>
      </c>
      <c r="C197" t="str">
        <f>Inventory!A81</f>
        <v>eggs</v>
      </c>
      <c r="D197" s="27">
        <v>5</v>
      </c>
      <c r="E197" s="5">
        <f>D197*Inventory!D81</f>
        <v>100</v>
      </c>
      <c r="F197" s="5">
        <f>D197*Inventory!C81</f>
        <v>71.666666666666671</v>
      </c>
      <c r="G197" s="5">
        <f t="shared" si="10"/>
        <v>28.333333333333329</v>
      </c>
      <c r="H197" t="s">
        <v>359</v>
      </c>
      <c r="I197" t="s">
        <v>397</v>
      </c>
      <c r="J197" t="s">
        <v>397</v>
      </c>
      <c r="K197">
        <v>200</v>
      </c>
      <c r="L197" t="s">
        <v>247</v>
      </c>
    </row>
    <row r="198" spans="1:12" x14ac:dyDescent="0.25">
      <c r="A198" s="1">
        <f t="shared" si="9"/>
        <v>45491</v>
      </c>
      <c r="B198" s="31">
        <f>TIME(19,0,0)</f>
        <v>0.79166666666666663</v>
      </c>
      <c r="C198" t="str">
        <f>Inventory!A23</f>
        <v>Mt kenya milk 500ml</v>
      </c>
      <c r="D198" s="27">
        <v>1</v>
      </c>
      <c r="E198" s="5">
        <f>D198*Inventory!D23</f>
        <v>65</v>
      </c>
      <c r="F198" s="5">
        <f>D198*Inventory!C23</f>
        <v>48.333333333333336</v>
      </c>
      <c r="G198" s="5">
        <f t="shared" si="10"/>
        <v>16.666666666666664</v>
      </c>
      <c r="H198" t="s">
        <v>359</v>
      </c>
      <c r="I198" t="s">
        <v>397</v>
      </c>
    </row>
    <row r="199" spans="1:12" x14ac:dyDescent="0.25">
      <c r="A199" s="1">
        <f t="shared" si="9"/>
        <v>45491</v>
      </c>
      <c r="B199" s="31">
        <f>TIME(19,2,0)</f>
        <v>0.79305555555555562</v>
      </c>
      <c r="C199" t="str">
        <f>Inventory!A116</f>
        <v>Tomatoes</v>
      </c>
      <c r="D199" s="27">
        <v>3</v>
      </c>
      <c r="E199" s="5">
        <f>D199*Inventory!D116</f>
        <v>30</v>
      </c>
      <c r="F199" s="5">
        <f>D199*Inventory!C116</f>
        <v>15</v>
      </c>
      <c r="G199" s="5">
        <f t="shared" si="10"/>
        <v>15</v>
      </c>
      <c r="H199" t="s">
        <v>247</v>
      </c>
    </row>
    <row r="200" spans="1:12" x14ac:dyDescent="0.25">
      <c r="A200" s="1">
        <f t="shared" si="9"/>
        <v>45491</v>
      </c>
      <c r="B200" s="31">
        <f>TIME(19,20,0)</f>
        <v>0.80555555555555547</v>
      </c>
      <c r="C200" t="str">
        <f>Inventory!A59</f>
        <v>coo</v>
      </c>
      <c r="D200" s="27">
        <v>2</v>
      </c>
      <c r="E200" s="5">
        <f>D200*Inventory!D59</f>
        <v>5</v>
      </c>
      <c r="F200" s="5">
        <f>D200*Inventory!C59</f>
        <v>2.4</v>
      </c>
      <c r="G200" s="5">
        <f t="shared" si="10"/>
        <v>2.6</v>
      </c>
      <c r="H200" t="s">
        <v>247</v>
      </c>
    </row>
    <row r="201" spans="1:12" x14ac:dyDescent="0.25">
      <c r="A201" s="1">
        <f t="shared" si="9"/>
        <v>45491</v>
      </c>
      <c r="B201" s="31">
        <f>TIME(19,22,0)</f>
        <v>0.80694444444444446</v>
      </c>
      <c r="C201" t="str">
        <f>Inventory!A151</f>
        <v>Kaluma Pain Balm Small</v>
      </c>
      <c r="D201" s="27">
        <v>1</v>
      </c>
      <c r="E201" s="5">
        <f>D201*Inventory!D151</f>
        <v>30</v>
      </c>
      <c r="F201" s="5">
        <f>D201*Inventory!C151</f>
        <v>23.333333333333332</v>
      </c>
      <c r="G201" s="5">
        <f t="shared" si="10"/>
        <v>6.6666666666666679</v>
      </c>
      <c r="H201" t="s">
        <v>361</v>
      </c>
    </row>
    <row r="202" spans="1:12" x14ac:dyDescent="0.25">
      <c r="A202" s="1">
        <f t="shared" si="9"/>
        <v>45491</v>
      </c>
      <c r="B202" s="31">
        <f>TIME(19,40,0)</f>
        <v>0.81944444444444453</v>
      </c>
      <c r="C202" t="str">
        <f>Inventory!A9</f>
        <v>minutemaid 400ml</v>
      </c>
      <c r="D202" s="27">
        <v>1</v>
      </c>
      <c r="E202" s="5">
        <f>D202*Inventory!D9</f>
        <v>85</v>
      </c>
      <c r="F202" s="5">
        <f>D202*Inventory!C9</f>
        <v>62.5</v>
      </c>
      <c r="G202" s="5">
        <f t="shared" si="10"/>
        <v>22.5</v>
      </c>
      <c r="H202" t="s">
        <v>361</v>
      </c>
    </row>
    <row r="203" spans="1:12" x14ac:dyDescent="0.25">
      <c r="A203" s="1">
        <f t="shared" si="9"/>
        <v>45491</v>
      </c>
      <c r="B203" s="31">
        <f>TIME(19,40,0)</f>
        <v>0.81944444444444453</v>
      </c>
      <c r="C203" t="str">
        <f>Inventory!A50</f>
        <v>Ring Cake</v>
      </c>
      <c r="D203" s="27">
        <v>1</v>
      </c>
      <c r="E203" s="5">
        <f>D203*Inventory!D50</f>
        <v>50</v>
      </c>
      <c r="F203" s="5">
        <f>D203*Inventory!C50</f>
        <v>45</v>
      </c>
      <c r="G203" s="5">
        <f t="shared" si="10"/>
        <v>5</v>
      </c>
      <c r="H203" t="s">
        <v>361</v>
      </c>
    </row>
    <row r="204" spans="1:12" x14ac:dyDescent="0.25">
      <c r="A204" s="1">
        <f t="shared" si="9"/>
        <v>45491</v>
      </c>
      <c r="B204" s="31">
        <f>TIME(20,36,0)</f>
        <v>0.85833333333333339</v>
      </c>
      <c r="C204" t="str">
        <f>Inventory!A73</f>
        <v>kabras sugar 1kg</v>
      </c>
      <c r="D204" s="27">
        <v>1</v>
      </c>
      <c r="E204" s="5">
        <f>D204*Inventory!D73</f>
        <v>180</v>
      </c>
      <c r="F204" s="5">
        <f>D204*Inventory!C73</f>
        <v>140</v>
      </c>
      <c r="G204" s="5">
        <f t="shared" si="10"/>
        <v>40</v>
      </c>
      <c r="H204" t="s">
        <v>359</v>
      </c>
      <c r="I204" t="s">
        <v>398</v>
      </c>
    </row>
    <row r="205" spans="1:12" x14ac:dyDescent="0.25">
      <c r="A205" s="1">
        <f t="shared" si="9"/>
        <v>45491</v>
      </c>
      <c r="B205" s="31">
        <f>TIME(20,36,0)</f>
        <v>0.85833333333333339</v>
      </c>
      <c r="C205" t="str">
        <f>Inventory!A23</f>
        <v>Mt kenya milk 500ml</v>
      </c>
      <c r="D205" s="27">
        <v>1</v>
      </c>
      <c r="E205" s="5">
        <f>D205*Inventory!D23</f>
        <v>65</v>
      </c>
      <c r="F205" s="5">
        <f>D205*Inventory!C23</f>
        <v>48.333333333333336</v>
      </c>
      <c r="G205" s="5">
        <f t="shared" si="10"/>
        <v>16.666666666666664</v>
      </c>
      <c r="H205" t="s">
        <v>359</v>
      </c>
      <c r="I205" t="s">
        <v>398</v>
      </c>
    </row>
    <row r="206" spans="1:12" x14ac:dyDescent="0.25">
      <c r="A206" s="1">
        <f t="shared" si="9"/>
        <v>45491</v>
      </c>
      <c r="B206" s="31">
        <f>TIME(20,36,0)</f>
        <v>0.85833333333333339</v>
      </c>
      <c r="C206" t="str">
        <f>Inventory!A71</f>
        <v>Indomie chicken</v>
      </c>
      <c r="D206" s="27">
        <v>1</v>
      </c>
      <c r="E206" s="5">
        <f>D206*Inventory!D71</f>
        <v>50</v>
      </c>
      <c r="F206" s="5">
        <f>D206*Inventory!C71</f>
        <v>37.5</v>
      </c>
      <c r="G206" s="5">
        <f t="shared" si="10"/>
        <v>12.5</v>
      </c>
      <c r="H206" t="s">
        <v>359</v>
      </c>
      <c r="I206" t="s">
        <v>398</v>
      </c>
    </row>
    <row r="207" spans="1:12" x14ac:dyDescent="0.25">
      <c r="A207" s="1">
        <f t="shared" si="9"/>
        <v>45491</v>
      </c>
      <c r="B207" s="31">
        <f>TIME(20,37,0)</f>
        <v>0.85902777777777783</v>
      </c>
      <c r="C207" t="str">
        <f>Inventory!A122</f>
        <v>Kinangop Fresh Milk 500ml</v>
      </c>
      <c r="D207" s="27">
        <v>1</v>
      </c>
      <c r="E207" s="5">
        <f>D207*Inventory!D122</f>
        <v>60</v>
      </c>
      <c r="F207" s="5">
        <f>D207*Inventory!C122</f>
        <v>55</v>
      </c>
      <c r="G207" s="5">
        <f t="shared" si="10"/>
        <v>5</v>
      </c>
      <c r="H207" t="s">
        <v>361</v>
      </c>
    </row>
    <row r="208" spans="1:12" x14ac:dyDescent="0.25">
      <c r="A208" s="1">
        <f t="shared" si="9"/>
        <v>45491</v>
      </c>
      <c r="B208" s="31">
        <f>TIME(20,44,0)</f>
        <v>0.86388888888888893</v>
      </c>
      <c r="C208" t="str">
        <f>Inventory!A93</f>
        <v>Hanaan Tissue</v>
      </c>
      <c r="D208" s="27">
        <v>1</v>
      </c>
      <c r="E208" s="5">
        <f>D208*Inventory!D93</f>
        <v>50</v>
      </c>
      <c r="F208" s="5">
        <f>D208*Inventory!C93</f>
        <v>43</v>
      </c>
      <c r="G208" s="5">
        <f t="shared" si="10"/>
        <v>7</v>
      </c>
      <c r="H208" t="s">
        <v>359</v>
      </c>
      <c r="I208" t="s">
        <v>384</v>
      </c>
    </row>
    <row r="209" spans="1:9" x14ac:dyDescent="0.25">
      <c r="A209" s="1">
        <f t="shared" si="9"/>
        <v>45491</v>
      </c>
      <c r="B209" s="31">
        <f>TIME(20,53,0)</f>
        <v>0.87013888888888891</v>
      </c>
      <c r="C209" t="str">
        <f>Inventory!A95</f>
        <v>Poa Pekee Tissue</v>
      </c>
      <c r="D209" s="27">
        <v>1</v>
      </c>
      <c r="E209" s="5">
        <f>D209*Inventory!D95</f>
        <v>30</v>
      </c>
      <c r="F209" s="5">
        <f>D209*Inventory!C95</f>
        <v>13.333333333333334</v>
      </c>
      <c r="G209" s="5">
        <f t="shared" si="10"/>
        <v>16.666666666666664</v>
      </c>
      <c r="H209" t="s">
        <v>247</v>
      </c>
    </row>
    <row r="210" spans="1:9" x14ac:dyDescent="0.25">
      <c r="A210" s="1">
        <f>DATE(2024,7,19)</f>
        <v>45492</v>
      </c>
      <c r="B210" s="31">
        <f>TIME(8,0,0)</f>
        <v>0.33333333333333331</v>
      </c>
      <c r="C210" t="str">
        <f>Inventory!A54</f>
        <v>Kdf</v>
      </c>
      <c r="D210" s="27">
        <v>3</v>
      </c>
      <c r="E210" s="5">
        <f>D210*Inventory!D54</f>
        <v>30</v>
      </c>
      <c r="F210" s="5">
        <f>D210*Inventory!C54</f>
        <v>25</v>
      </c>
      <c r="G210" s="5">
        <f t="shared" si="10"/>
        <v>5</v>
      </c>
      <c r="H210" t="s">
        <v>247</v>
      </c>
    </row>
    <row r="211" spans="1:9" x14ac:dyDescent="0.25">
      <c r="A211" s="1">
        <f t="shared" ref="A211:A263" si="11">DATE(2024,7,19)</f>
        <v>45492</v>
      </c>
      <c r="B211" s="31">
        <f>TIME(8,9,0)</f>
        <v>0.33958333333333335</v>
      </c>
      <c r="C211" t="str">
        <f>Inventory!A122</f>
        <v>Kinangop Fresh Milk 500ml</v>
      </c>
      <c r="D211" s="27">
        <v>1</v>
      </c>
      <c r="E211" s="5">
        <f>D211*Inventory!D122</f>
        <v>60</v>
      </c>
      <c r="F211" s="5">
        <f>D211*Inventory!C122</f>
        <v>55</v>
      </c>
      <c r="G211" s="5">
        <f t="shared" si="10"/>
        <v>5</v>
      </c>
      <c r="H211" t="s">
        <v>359</v>
      </c>
      <c r="I211" t="s">
        <v>385</v>
      </c>
    </row>
    <row r="212" spans="1:9" x14ac:dyDescent="0.25">
      <c r="A212" s="1">
        <f t="shared" si="11"/>
        <v>45492</v>
      </c>
      <c r="B212" s="31">
        <f>TIME(8,27,0)</f>
        <v>0.3520833333333333</v>
      </c>
      <c r="C212" t="str">
        <f>Inventory!A30</f>
        <v>BB Bread 400g</v>
      </c>
      <c r="D212" s="27">
        <v>1</v>
      </c>
      <c r="E212" s="5">
        <f>D212*Inventory!D30</f>
        <v>65</v>
      </c>
      <c r="F212" s="5">
        <f>D212*Inventory!C30</f>
        <v>60</v>
      </c>
      <c r="G212" s="5">
        <f t="shared" si="10"/>
        <v>5</v>
      </c>
      <c r="H212" t="s">
        <v>359</v>
      </c>
      <c r="I212" t="s">
        <v>385</v>
      </c>
    </row>
    <row r="213" spans="1:9" x14ac:dyDescent="0.25">
      <c r="A213" s="1">
        <f t="shared" si="11"/>
        <v>45492</v>
      </c>
      <c r="B213" s="31">
        <f>TIME(8,53,0)</f>
        <v>0.37013888888888885</v>
      </c>
      <c r="C213" t="str">
        <f>Inventory!A84</f>
        <v>Safari</v>
      </c>
      <c r="D213" s="27">
        <v>1</v>
      </c>
      <c r="E213" s="5">
        <f>D213*Inventory!D84</f>
        <v>15</v>
      </c>
      <c r="F213" s="5">
        <f>D213*Inventory!C84</f>
        <v>8.5</v>
      </c>
      <c r="G213" s="5">
        <f t="shared" si="10"/>
        <v>6.5</v>
      </c>
      <c r="H213" t="s">
        <v>247</v>
      </c>
    </row>
    <row r="214" spans="1:9" x14ac:dyDescent="0.25">
      <c r="A214" s="1">
        <f t="shared" si="11"/>
        <v>45492</v>
      </c>
      <c r="B214" s="31">
        <f>TIME(9,11,0)</f>
        <v>0.38263888888888892</v>
      </c>
      <c r="C214" t="str">
        <f>Inventory!A152</f>
        <v>Battery AAA</v>
      </c>
      <c r="D214" s="27">
        <v>1</v>
      </c>
      <c r="E214" s="5">
        <f>D214*Inventory!D152</f>
        <v>15</v>
      </c>
      <c r="F214" s="5">
        <f>D214*Inventory!C152</f>
        <v>10</v>
      </c>
      <c r="G214" s="5">
        <f t="shared" si="10"/>
        <v>5</v>
      </c>
      <c r="H214" t="s">
        <v>247</v>
      </c>
    </row>
    <row r="215" spans="1:9" x14ac:dyDescent="0.25">
      <c r="A215" s="1">
        <f t="shared" si="11"/>
        <v>45492</v>
      </c>
      <c r="B215" s="31">
        <f>TIME(10,22,0)</f>
        <v>0.43194444444444446</v>
      </c>
      <c r="C215" t="str">
        <f>Inventory!A12</f>
        <v>predator</v>
      </c>
      <c r="D215" s="27">
        <v>1</v>
      </c>
      <c r="E215" s="5">
        <f>D215*Inventory!D12</f>
        <v>70</v>
      </c>
      <c r="F215" s="5">
        <f>D215*Inventory!C12</f>
        <v>54.166666666666664</v>
      </c>
      <c r="G215" s="5">
        <f t="shared" si="10"/>
        <v>15.833333333333336</v>
      </c>
      <c r="H215" t="s">
        <v>247</v>
      </c>
    </row>
    <row r="216" spans="1:9" x14ac:dyDescent="0.25">
      <c r="A216" s="1">
        <f t="shared" si="11"/>
        <v>45492</v>
      </c>
      <c r="B216" s="31">
        <f>TIME(10,22,0)</f>
        <v>0.43194444444444446</v>
      </c>
      <c r="C216" t="str">
        <f>Inventory!A44</f>
        <v>Peanut Cookies</v>
      </c>
      <c r="D216" s="27">
        <v>1</v>
      </c>
      <c r="E216" s="5">
        <f>D216*Inventory!D44</f>
        <v>35</v>
      </c>
      <c r="F216" s="5">
        <f>D216*Inventory!C44</f>
        <v>25</v>
      </c>
      <c r="G216" s="5">
        <f t="shared" si="10"/>
        <v>10</v>
      </c>
      <c r="H216" t="s">
        <v>247</v>
      </c>
    </row>
    <row r="217" spans="1:9" x14ac:dyDescent="0.25">
      <c r="A217" s="1">
        <f t="shared" si="11"/>
        <v>45492</v>
      </c>
      <c r="B217" s="31">
        <f>TIME(10,57,0)</f>
        <v>0.45624999999999999</v>
      </c>
      <c r="C217" t="str">
        <f>Inventory!A140</f>
        <v>Airtel 50 Credit</v>
      </c>
      <c r="D217" s="27">
        <v>1</v>
      </c>
      <c r="E217" s="5">
        <f>D217*Inventory!D140</f>
        <v>50</v>
      </c>
      <c r="F217" s="5">
        <f>D217*Inventory!C140</f>
        <v>47</v>
      </c>
      <c r="G217" s="5">
        <f t="shared" si="10"/>
        <v>3</v>
      </c>
      <c r="H217" t="s">
        <v>247</v>
      </c>
    </row>
    <row r="218" spans="1:9" x14ac:dyDescent="0.25">
      <c r="A218" s="1">
        <f t="shared" si="11"/>
        <v>45492</v>
      </c>
      <c r="B218" s="31">
        <f>TIME(10,57,0)</f>
        <v>0.45624999999999999</v>
      </c>
      <c r="C218" t="str">
        <f>Inventory!A139</f>
        <v>Airtel 10 Credit</v>
      </c>
      <c r="D218" s="27">
        <v>1</v>
      </c>
      <c r="E218" s="5">
        <f>D218*Inventory!D139</f>
        <v>10</v>
      </c>
      <c r="F218" s="5">
        <f>D218*Inventory!C139</f>
        <v>9</v>
      </c>
      <c r="G218" s="5">
        <f t="shared" si="10"/>
        <v>1</v>
      </c>
      <c r="H218" t="s">
        <v>247</v>
      </c>
    </row>
    <row r="219" spans="1:9" x14ac:dyDescent="0.25">
      <c r="A219" s="1">
        <f t="shared" si="11"/>
        <v>45492</v>
      </c>
      <c r="B219" s="31">
        <f>TIME(10,57,0)</f>
        <v>0.45624999999999999</v>
      </c>
      <c r="C219" t="str">
        <f>Inventory!A67</f>
        <v>Bigboss</v>
      </c>
      <c r="D219" s="27">
        <v>1</v>
      </c>
      <c r="E219" s="5">
        <f>D219*Inventory!D67</f>
        <v>5</v>
      </c>
      <c r="F219" s="5">
        <f>D219*Inventory!C67</f>
        <v>3.5</v>
      </c>
      <c r="G219" s="5">
        <f t="shared" si="10"/>
        <v>1.5</v>
      </c>
      <c r="H219" t="s">
        <v>247</v>
      </c>
    </row>
    <row r="220" spans="1:9" x14ac:dyDescent="0.25">
      <c r="A220" s="1">
        <f t="shared" si="11"/>
        <v>45492</v>
      </c>
      <c r="B220" s="31">
        <f>TIME(12,9,0)</f>
        <v>0.50624999999999998</v>
      </c>
      <c r="C220" t="str">
        <f>Inventory!A94</f>
        <v>Bella Tissue</v>
      </c>
      <c r="D220" s="27">
        <v>2</v>
      </c>
      <c r="E220" s="5">
        <f>D220*Inventory!D94</f>
        <v>90</v>
      </c>
      <c r="F220" s="5">
        <f>D220*Inventory!C94</f>
        <v>70</v>
      </c>
      <c r="G220" s="5">
        <f t="shared" si="10"/>
        <v>20</v>
      </c>
      <c r="H220" t="s">
        <v>361</v>
      </c>
    </row>
    <row r="221" spans="1:9" x14ac:dyDescent="0.25">
      <c r="A221" s="1">
        <f t="shared" si="11"/>
        <v>45492</v>
      </c>
      <c r="B221" s="31">
        <f>TIME(12,48,0)</f>
        <v>0.53333333333333333</v>
      </c>
      <c r="C221" t="str">
        <f>Inventory!A117</f>
        <v>Cooking Oil Measured</v>
      </c>
      <c r="D221" s="27">
        <v>0.25</v>
      </c>
      <c r="E221" s="5">
        <f>D221*Inventory!D117</f>
        <v>70</v>
      </c>
      <c r="F221" s="5">
        <f>D221*Inventory!C117</f>
        <v>50</v>
      </c>
      <c r="G221" s="5">
        <f t="shared" si="10"/>
        <v>20</v>
      </c>
      <c r="H221" t="s">
        <v>247</v>
      </c>
    </row>
    <row r="222" spans="1:9" x14ac:dyDescent="0.25">
      <c r="A222" s="1">
        <f t="shared" si="11"/>
        <v>45492</v>
      </c>
      <c r="B222" s="31">
        <f>TIME(13,32,0)</f>
        <v>0.56388888888888888</v>
      </c>
      <c r="C222" t="str">
        <f>Inventory!A14</f>
        <v>soda 500ml glass</v>
      </c>
      <c r="D222" s="27">
        <v>1</v>
      </c>
      <c r="E222" s="5">
        <f>D222*Inventory!D14</f>
        <v>55</v>
      </c>
      <c r="F222" s="5">
        <f>D222*Inventory!C14</f>
        <v>50</v>
      </c>
      <c r="G222" s="5">
        <f t="shared" si="10"/>
        <v>5</v>
      </c>
      <c r="H222" t="s">
        <v>247</v>
      </c>
    </row>
    <row r="223" spans="1:9" x14ac:dyDescent="0.25">
      <c r="A223" s="1">
        <f t="shared" si="11"/>
        <v>45492</v>
      </c>
      <c r="B223" s="31">
        <f>TIME(13,32,0)</f>
        <v>0.56388888888888888</v>
      </c>
      <c r="C223" t="str">
        <f>Inventory!A127</f>
        <v>Donuts</v>
      </c>
      <c r="D223" s="27">
        <v>7</v>
      </c>
      <c r="E223" s="5">
        <f>D223*Inventory!D127</f>
        <v>35</v>
      </c>
      <c r="F223" s="5">
        <f>D223*Inventory!C127</f>
        <v>29.166666666666668</v>
      </c>
      <c r="G223" s="5">
        <f t="shared" si="10"/>
        <v>5.8333333333333321</v>
      </c>
      <c r="H223" t="s">
        <v>247</v>
      </c>
    </row>
    <row r="224" spans="1:9" x14ac:dyDescent="0.25">
      <c r="A224" s="1">
        <f t="shared" si="11"/>
        <v>45492</v>
      </c>
      <c r="B224" s="31">
        <f>TIME(14,21,0)</f>
        <v>0.59791666666666665</v>
      </c>
      <c r="C224" t="str">
        <f>Inventory!A121</f>
        <v>Banana</v>
      </c>
      <c r="D224" s="27">
        <v>3</v>
      </c>
      <c r="E224" s="5">
        <f>D224*Inventory!D121</f>
        <v>30</v>
      </c>
      <c r="F224" s="5">
        <f>D224*Inventory!C121</f>
        <v>25</v>
      </c>
      <c r="G224" s="5">
        <f t="shared" si="10"/>
        <v>5</v>
      </c>
      <c r="H224" t="s">
        <v>361</v>
      </c>
    </row>
    <row r="225" spans="1:9" x14ac:dyDescent="0.25">
      <c r="A225" s="1">
        <f t="shared" si="11"/>
        <v>45492</v>
      </c>
      <c r="B225" s="31">
        <f>TIME(14,30,0)</f>
        <v>0.60416666666666663</v>
      </c>
      <c r="C225" t="str">
        <f>Inventory!A54</f>
        <v>Kdf</v>
      </c>
      <c r="D225" s="27">
        <v>3</v>
      </c>
      <c r="E225" s="5">
        <f>D225*Inventory!D54</f>
        <v>30</v>
      </c>
      <c r="F225" s="5">
        <f>D225*Inventory!C54</f>
        <v>25</v>
      </c>
      <c r="G225" s="5">
        <f t="shared" si="10"/>
        <v>5</v>
      </c>
      <c r="H225" t="s">
        <v>247</v>
      </c>
    </row>
    <row r="226" spans="1:9" x14ac:dyDescent="0.25">
      <c r="A226" s="1">
        <f t="shared" si="11"/>
        <v>45492</v>
      </c>
      <c r="B226" s="31">
        <f>TIME(15,2,0)</f>
        <v>0.62638888888888888</v>
      </c>
      <c r="C226" t="str">
        <f>Inventory!A114</f>
        <v>Maramoja</v>
      </c>
      <c r="D226" s="27">
        <v>1</v>
      </c>
      <c r="E226" s="5">
        <f>D226*Inventory!D114</f>
        <v>10</v>
      </c>
      <c r="F226" s="5">
        <f>D226*Inventory!C114</f>
        <v>7</v>
      </c>
      <c r="G226" s="5">
        <f t="shared" si="10"/>
        <v>3</v>
      </c>
      <c r="H226" t="s">
        <v>361</v>
      </c>
    </row>
    <row r="227" spans="1:9" x14ac:dyDescent="0.25">
      <c r="A227" s="1">
        <f t="shared" si="11"/>
        <v>45492</v>
      </c>
      <c r="B227" s="31">
        <f>TIME(15,3,0)</f>
        <v>0.62708333333333333</v>
      </c>
      <c r="C227" t="str">
        <f>Inventory!A81</f>
        <v>eggs</v>
      </c>
      <c r="D227" s="27">
        <v>3</v>
      </c>
      <c r="E227" s="5">
        <f>D227*Inventory!D81</f>
        <v>60</v>
      </c>
      <c r="F227" s="5">
        <f>D227*Inventory!C81</f>
        <v>43</v>
      </c>
      <c r="G227" s="5">
        <f t="shared" si="10"/>
        <v>17</v>
      </c>
      <c r="H227" t="s">
        <v>247</v>
      </c>
    </row>
    <row r="228" spans="1:9" x14ac:dyDescent="0.25">
      <c r="A228" s="1">
        <f t="shared" si="11"/>
        <v>45492</v>
      </c>
      <c r="B228" s="31">
        <f>TIME(15,12,0)</f>
        <v>0.6333333333333333</v>
      </c>
      <c r="C228" t="str">
        <f>Inventory!A81</f>
        <v>eggs</v>
      </c>
      <c r="D228" s="27">
        <v>2</v>
      </c>
      <c r="E228" s="5">
        <f>D228*Inventory!D81</f>
        <v>40</v>
      </c>
      <c r="F228" s="5">
        <f>D228*Inventory!C81</f>
        <v>28.666666666666668</v>
      </c>
      <c r="G228" s="5">
        <f t="shared" si="10"/>
        <v>11.333333333333332</v>
      </c>
      <c r="H228" t="s">
        <v>361</v>
      </c>
    </row>
    <row r="229" spans="1:9" x14ac:dyDescent="0.25">
      <c r="A229" s="1">
        <f t="shared" si="11"/>
        <v>45492</v>
      </c>
      <c r="B229" s="31">
        <f>TIME(15,13,0)</f>
        <v>0.63402777777777775</v>
      </c>
      <c r="C229" t="str">
        <f>Inventory!A132</f>
        <v>Festive Bread 400g</v>
      </c>
      <c r="D229" s="27">
        <v>1</v>
      </c>
      <c r="E229" s="5">
        <f>D229*Inventory!D132</f>
        <v>65</v>
      </c>
      <c r="F229" s="5">
        <f>D229*Inventory!C132</f>
        <v>60</v>
      </c>
      <c r="G229" s="5">
        <f t="shared" si="10"/>
        <v>5</v>
      </c>
      <c r="H229" t="s">
        <v>359</v>
      </c>
      <c r="I229" t="s">
        <v>386</v>
      </c>
    </row>
    <row r="230" spans="1:9" x14ac:dyDescent="0.25">
      <c r="A230" s="1">
        <f t="shared" si="11"/>
        <v>45492</v>
      </c>
      <c r="B230" s="31">
        <f>TIME(15,13,0)</f>
        <v>0.63402777777777775</v>
      </c>
      <c r="C230" t="str">
        <f>Inventory!A7</f>
        <v>soda 500ml plastic</v>
      </c>
      <c r="D230" s="27">
        <v>1</v>
      </c>
      <c r="E230" s="5">
        <f>D230*Inventory!D7</f>
        <v>70</v>
      </c>
      <c r="F230" s="5">
        <f>D230*Inventory!C7</f>
        <v>60.416666666666664</v>
      </c>
      <c r="G230" s="5">
        <f t="shared" si="10"/>
        <v>9.5833333333333357</v>
      </c>
      <c r="H230" t="s">
        <v>359</v>
      </c>
      <c r="I230" t="s">
        <v>386</v>
      </c>
    </row>
    <row r="231" spans="1:9" x14ac:dyDescent="0.25">
      <c r="A231" s="1">
        <f t="shared" si="11"/>
        <v>45492</v>
      </c>
      <c r="B231" s="31">
        <f>TIME(15,13,0)</f>
        <v>0.63402777777777775</v>
      </c>
      <c r="C231" t="str">
        <f>Inventory!A23</f>
        <v>Mt kenya milk 500ml</v>
      </c>
      <c r="D231" s="27">
        <v>1</v>
      </c>
      <c r="E231" s="5">
        <f>D231*Inventory!D23</f>
        <v>65</v>
      </c>
      <c r="F231" s="5">
        <f>D231*Inventory!C23</f>
        <v>48.333333333333336</v>
      </c>
      <c r="G231" s="5">
        <f t="shared" si="10"/>
        <v>16.666666666666664</v>
      </c>
      <c r="H231" t="s">
        <v>359</v>
      </c>
      <c r="I231" t="s">
        <v>386</v>
      </c>
    </row>
    <row r="232" spans="1:9" x14ac:dyDescent="0.25">
      <c r="A232" s="1">
        <f t="shared" si="11"/>
        <v>45492</v>
      </c>
      <c r="B232" s="31">
        <f>TIME(15,28,0)</f>
        <v>0.64444444444444449</v>
      </c>
      <c r="C232" t="str">
        <f>Inventory!A121</f>
        <v>Banana</v>
      </c>
      <c r="D232" s="27">
        <v>2</v>
      </c>
      <c r="E232" s="5">
        <f>D232*Inventory!D121</f>
        <v>20</v>
      </c>
      <c r="F232" s="5">
        <f>D232*Inventory!C121</f>
        <v>16.666666666666668</v>
      </c>
      <c r="G232" s="5">
        <f t="shared" si="10"/>
        <v>3.3333333333333321</v>
      </c>
      <c r="H232" t="s">
        <v>359</v>
      </c>
      <c r="I232" t="s">
        <v>399</v>
      </c>
    </row>
    <row r="233" spans="1:9" x14ac:dyDescent="0.25">
      <c r="A233" s="1">
        <f t="shared" si="11"/>
        <v>45492</v>
      </c>
      <c r="B233" s="31">
        <f>TIME(16,1,0)</f>
        <v>0.66736111111111107</v>
      </c>
      <c r="C233" t="str">
        <f>Inventory!A121</f>
        <v>Banana</v>
      </c>
      <c r="D233" s="27">
        <v>1</v>
      </c>
      <c r="E233" s="5">
        <f>D233*Inventory!D121</f>
        <v>10</v>
      </c>
      <c r="F233" s="5">
        <f>D233*Inventory!C121</f>
        <v>8.3333333333333339</v>
      </c>
      <c r="G233" s="5">
        <f t="shared" si="10"/>
        <v>1.6666666666666661</v>
      </c>
      <c r="H233" t="s">
        <v>247</v>
      </c>
    </row>
    <row r="234" spans="1:9" x14ac:dyDescent="0.25">
      <c r="A234" s="1">
        <f t="shared" si="11"/>
        <v>45492</v>
      </c>
      <c r="B234" s="31">
        <f>TIME(16,7,0)</f>
        <v>0.67152777777777783</v>
      </c>
      <c r="C234" t="str">
        <f>Inventory!A34</f>
        <v>Ringoz Paprika</v>
      </c>
      <c r="D234" s="27">
        <v>1</v>
      </c>
      <c r="E234" s="5">
        <f>D234*Inventory!D34</f>
        <v>15</v>
      </c>
      <c r="F234" s="5">
        <f>D234*Inventory!C34</f>
        <v>8.8000000000000007</v>
      </c>
      <c r="G234" s="5">
        <f t="shared" si="10"/>
        <v>6.1999999999999993</v>
      </c>
      <c r="H234" t="s">
        <v>247</v>
      </c>
    </row>
    <row r="235" spans="1:9" x14ac:dyDescent="0.25">
      <c r="A235" s="1">
        <f t="shared" si="11"/>
        <v>45492</v>
      </c>
      <c r="B235" s="31">
        <f>TIME(16,7,0)</f>
        <v>0.67152777777777783</v>
      </c>
      <c r="C235" t="str">
        <f>Inventory!A116</f>
        <v>Tomatoes</v>
      </c>
      <c r="D235" s="27">
        <v>1</v>
      </c>
      <c r="E235" s="5">
        <f>D235*Inventory!D121</f>
        <v>10</v>
      </c>
      <c r="F235" s="5">
        <f>D235*Inventory!C121</f>
        <v>8.3333333333333339</v>
      </c>
      <c r="G235" s="5">
        <f t="shared" si="10"/>
        <v>1.6666666666666661</v>
      </c>
      <c r="H235" t="s">
        <v>247</v>
      </c>
    </row>
    <row r="236" spans="1:9" x14ac:dyDescent="0.25">
      <c r="A236" s="1">
        <f t="shared" si="11"/>
        <v>45492</v>
      </c>
      <c r="B236" s="31">
        <f>TIME(16,11,0)</f>
        <v>0.6743055555555556</v>
      </c>
      <c r="C236" t="str">
        <f>Inventory!A54</f>
        <v>Kdf</v>
      </c>
      <c r="D236" s="27">
        <v>3</v>
      </c>
      <c r="E236" s="5">
        <f>D236*Inventory!D54</f>
        <v>30</v>
      </c>
      <c r="F236" s="5">
        <f>D236*Inventory!C54</f>
        <v>25</v>
      </c>
      <c r="G236" s="5">
        <f t="shared" si="10"/>
        <v>5</v>
      </c>
      <c r="H236" t="s">
        <v>247</v>
      </c>
    </row>
    <row r="237" spans="1:9" x14ac:dyDescent="0.25">
      <c r="A237" s="1">
        <f t="shared" si="11"/>
        <v>45492</v>
      </c>
      <c r="B237" s="31">
        <f>TIME(16,59,0)</f>
        <v>0.70763888888888893</v>
      </c>
      <c r="C237" t="str">
        <f>Inventory!A33</f>
        <v>Festive 800g</v>
      </c>
      <c r="D237" s="27">
        <v>1</v>
      </c>
      <c r="E237" s="5">
        <f>D237*Inventory!D33</f>
        <v>130</v>
      </c>
      <c r="F237" s="5">
        <f>D237*Inventory!C33</f>
        <v>120</v>
      </c>
      <c r="G237" s="5">
        <f t="shared" si="10"/>
        <v>10</v>
      </c>
      <c r="H237" t="s">
        <v>361</v>
      </c>
    </row>
    <row r="238" spans="1:9" x14ac:dyDescent="0.25">
      <c r="A238" s="1">
        <f t="shared" si="11"/>
        <v>45492</v>
      </c>
      <c r="B238" s="31">
        <f>TIME(16,59,0)</f>
        <v>0.70763888888888893</v>
      </c>
      <c r="C238" t="str">
        <f>Inventory!A24</f>
        <v>Brookside milk 500ml</v>
      </c>
      <c r="D238" s="27">
        <v>1</v>
      </c>
      <c r="E238" s="5">
        <f>D238*Inventory!D24</f>
        <v>70</v>
      </c>
      <c r="F238" s="5">
        <f>D238*Inventory!C24</f>
        <v>59</v>
      </c>
      <c r="G238" s="5">
        <f t="shared" si="10"/>
        <v>11</v>
      </c>
      <c r="H238" t="s">
        <v>361</v>
      </c>
    </row>
    <row r="239" spans="1:9" x14ac:dyDescent="0.25">
      <c r="A239" s="1">
        <f t="shared" si="11"/>
        <v>45492</v>
      </c>
      <c r="B239" s="31">
        <f>TIME(17,31,0)</f>
        <v>0.72986111111111107</v>
      </c>
      <c r="C239" t="str">
        <f>Inventory!A45</f>
        <v>Goodday Cookies</v>
      </c>
      <c r="D239" s="27">
        <v>2</v>
      </c>
      <c r="E239" s="5">
        <f>D239*Inventory!D45</f>
        <v>30</v>
      </c>
      <c r="F239" s="5">
        <f>D239*Inventory!C45</f>
        <v>18.666666666666668</v>
      </c>
      <c r="G239" s="5">
        <f t="shared" si="10"/>
        <v>11.333333333333332</v>
      </c>
      <c r="H239" t="s">
        <v>247</v>
      </c>
    </row>
    <row r="240" spans="1:9" x14ac:dyDescent="0.25">
      <c r="A240" s="1">
        <f t="shared" si="11"/>
        <v>45492</v>
      </c>
      <c r="B240" s="31">
        <f>TIME(17,44,0)</f>
        <v>0.73888888888888893</v>
      </c>
      <c r="C240" t="str">
        <f>Inventory!A117</f>
        <v>Cooking Oil Measured</v>
      </c>
      <c r="D240" s="27">
        <v>0.25</v>
      </c>
      <c r="E240" s="5">
        <f>D240*Inventory!D117</f>
        <v>70</v>
      </c>
      <c r="F240" s="5">
        <f>D240*Inventory!C117</f>
        <v>50</v>
      </c>
      <c r="G240" s="5">
        <f t="shared" si="10"/>
        <v>20</v>
      </c>
      <c r="H240" t="s">
        <v>247</v>
      </c>
    </row>
    <row r="241" spans="1:9" x14ac:dyDescent="0.25">
      <c r="A241" s="1">
        <f t="shared" si="11"/>
        <v>45492</v>
      </c>
      <c r="B241" s="31">
        <f>TIME(17,44,0)</f>
        <v>0.73888888888888893</v>
      </c>
      <c r="C241" t="str">
        <f>Inventory!A55</f>
        <v>Ngumu</v>
      </c>
      <c r="D241" s="27">
        <v>7</v>
      </c>
      <c r="E241" s="5">
        <f>D241*Inventory!D55</f>
        <v>70</v>
      </c>
      <c r="F241" s="5">
        <f>D241*Inventory!C55</f>
        <v>58.333333333333336</v>
      </c>
      <c r="G241" s="5">
        <f t="shared" si="10"/>
        <v>11.666666666666664</v>
      </c>
      <c r="H241" t="s">
        <v>247</v>
      </c>
    </row>
    <row r="242" spans="1:9" x14ac:dyDescent="0.25">
      <c r="A242" s="1">
        <f t="shared" si="11"/>
        <v>45492</v>
      </c>
      <c r="B242" s="31">
        <f>TIME(18,39,0)</f>
        <v>0.77708333333333324</v>
      </c>
      <c r="C242" t="str">
        <f>Inventory!A81</f>
        <v>eggs</v>
      </c>
      <c r="D242" s="27">
        <v>2</v>
      </c>
      <c r="E242" s="5">
        <f>D242*Inventory!D81</f>
        <v>40</v>
      </c>
      <c r="F242" s="5">
        <f>D242*Inventory!C81</f>
        <v>28.666666666666668</v>
      </c>
      <c r="G242" s="5">
        <f t="shared" si="10"/>
        <v>11.333333333333332</v>
      </c>
      <c r="H242" t="s">
        <v>361</v>
      </c>
    </row>
    <row r="243" spans="1:9" x14ac:dyDescent="0.25">
      <c r="A243" s="1">
        <f t="shared" si="11"/>
        <v>45492</v>
      </c>
      <c r="B243" s="31">
        <f>TIME(18,44,0)</f>
        <v>0.78055555555555556</v>
      </c>
      <c r="C243" t="str">
        <f>Inventory!A153</f>
        <v>Pishori rice</v>
      </c>
      <c r="D243" s="27">
        <v>0.5</v>
      </c>
      <c r="E243" s="5">
        <f>D243*Inventory!D153</f>
        <v>110</v>
      </c>
      <c r="F243" s="5">
        <f>D243*Inventory!C153</f>
        <v>90</v>
      </c>
      <c r="G243" s="5">
        <f t="shared" si="10"/>
        <v>20</v>
      </c>
      <c r="H243" t="s">
        <v>361</v>
      </c>
    </row>
    <row r="244" spans="1:9" x14ac:dyDescent="0.25">
      <c r="A244" s="1">
        <f t="shared" si="11"/>
        <v>45492</v>
      </c>
      <c r="B244" s="31">
        <f>TIME(18,44,0)</f>
        <v>0.78055555555555556</v>
      </c>
      <c r="C244" t="str">
        <f>Inventory!A154</f>
        <v>waru</v>
      </c>
      <c r="D244" s="27">
        <v>1</v>
      </c>
      <c r="E244" s="5">
        <f>D244*Inventory!D154</f>
        <v>50</v>
      </c>
      <c r="F244" s="5">
        <f>D244*Inventory!C154</f>
        <v>29.999999999999996</v>
      </c>
      <c r="G244" s="5">
        <f t="shared" si="10"/>
        <v>20.000000000000004</v>
      </c>
      <c r="H244" t="s">
        <v>361</v>
      </c>
    </row>
    <row r="245" spans="1:9" x14ac:dyDescent="0.25">
      <c r="A245" s="1">
        <f t="shared" si="11"/>
        <v>45492</v>
      </c>
      <c r="B245" s="31">
        <f>TIME(18,44,0)</f>
        <v>0.78055555555555556</v>
      </c>
      <c r="C245" t="str">
        <f>Inventory!A155</f>
        <v>candle</v>
      </c>
      <c r="D245" s="27">
        <v>1</v>
      </c>
      <c r="E245" s="5">
        <f>D245*Inventory!D155</f>
        <v>15</v>
      </c>
      <c r="F245" s="5">
        <f>D245*Inventory!C155</f>
        <v>9.375</v>
      </c>
      <c r="G245" s="5">
        <f t="shared" si="10"/>
        <v>5.625</v>
      </c>
      <c r="H245" t="s">
        <v>361</v>
      </c>
    </row>
    <row r="246" spans="1:9" x14ac:dyDescent="0.25">
      <c r="A246" s="1">
        <f t="shared" si="11"/>
        <v>45492</v>
      </c>
      <c r="B246" s="31">
        <f>TIME(19,0,0)</f>
        <v>0.79166666666666663</v>
      </c>
      <c r="C246" t="str">
        <f>Inventory!A156</f>
        <v>Sindano rice</v>
      </c>
      <c r="D246" s="27">
        <v>1</v>
      </c>
      <c r="E246" s="5">
        <f>D246*Inventory!D156</f>
        <v>150</v>
      </c>
      <c r="F246" s="5">
        <f>D246*Inventory!C156</f>
        <v>120</v>
      </c>
      <c r="G246" s="5">
        <f t="shared" si="10"/>
        <v>30</v>
      </c>
      <c r="H246" t="s">
        <v>361</v>
      </c>
    </row>
    <row r="247" spans="1:9" x14ac:dyDescent="0.25">
      <c r="A247" s="1">
        <f t="shared" si="11"/>
        <v>45492</v>
      </c>
      <c r="B247" s="31">
        <f>TIME(19,13,0)</f>
        <v>0.80069444444444438</v>
      </c>
      <c r="C247" t="str">
        <f>Inventory!A18</f>
        <v>kinangop250g youghurt</v>
      </c>
      <c r="D247" s="27">
        <v>1</v>
      </c>
      <c r="E247" s="5">
        <f>D247*Inventory!D18</f>
        <v>60</v>
      </c>
      <c r="F247" s="5">
        <f>D247*Inventory!C18</f>
        <v>48.333333333333336</v>
      </c>
      <c r="G247" s="5">
        <f t="shared" si="10"/>
        <v>11.666666666666664</v>
      </c>
      <c r="H247" t="s">
        <v>359</v>
      </c>
      <c r="I247" t="s">
        <v>400</v>
      </c>
    </row>
    <row r="248" spans="1:9" x14ac:dyDescent="0.25">
      <c r="A248" s="1">
        <f t="shared" si="11"/>
        <v>45492</v>
      </c>
      <c r="B248" s="31">
        <f>TIME(19,13,0)</f>
        <v>0.80069444444444438</v>
      </c>
      <c r="C248" t="str">
        <f>Inventory!A16</f>
        <v>Dairy Fresh v</v>
      </c>
      <c r="D248" s="27">
        <v>1</v>
      </c>
      <c r="E248" s="5">
        <f>D248*Inventory!D157</f>
        <v>50</v>
      </c>
      <c r="F248" s="5">
        <f>D248*Inventory!C157</f>
        <v>30</v>
      </c>
      <c r="G248" s="5">
        <f t="shared" si="10"/>
        <v>20</v>
      </c>
      <c r="H248" t="s">
        <v>359</v>
      </c>
      <c r="I248" t="s">
        <v>400</v>
      </c>
    </row>
    <row r="249" spans="1:9" x14ac:dyDescent="0.25">
      <c r="A249" s="1">
        <f t="shared" si="11"/>
        <v>45492</v>
      </c>
      <c r="B249" s="31">
        <f>TIME(19,20,0)</f>
        <v>0.80555555555555547</v>
      </c>
      <c r="C249" t="str">
        <f>Inventory!A48</f>
        <v>Ginger Bisquit</v>
      </c>
      <c r="D249" s="27">
        <v>4</v>
      </c>
      <c r="E249" s="5">
        <f>D249*Inventory!D48</f>
        <v>20</v>
      </c>
      <c r="F249" s="5">
        <f>D249*Inventory!C48</f>
        <v>17.333333333333332</v>
      </c>
      <c r="G249" s="5">
        <f t="shared" si="10"/>
        <v>2.6666666666666679</v>
      </c>
      <c r="H249" t="s">
        <v>247</v>
      </c>
    </row>
    <row r="250" spans="1:9" x14ac:dyDescent="0.25">
      <c r="A250" s="1">
        <f t="shared" si="11"/>
        <v>45492</v>
      </c>
      <c r="B250" s="31">
        <f>TIME(19,18,0)</f>
        <v>0.8041666666666667</v>
      </c>
      <c r="C250" t="str">
        <f>Inventory!A26</f>
        <v>Nescafe 1.5g</v>
      </c>
      <c r="D250" s="27">
        <v>1</v>
      </c>
      <c r="E250" s="5">
        <f>D250*Inventory!D26</f>
        <v>15</v>
      </c>
      <c r="F250" s="5">
        <f>D250*Inventory!C26</f>
        <v>9.1666666666666661</v>
      </c>
      <c r="G250" s="5">
        <f t="shared" si="10"/>
        <v>5.8333333333333339</v>
      </c>
      <c r="H250" t="s">
        <v>361</v>
      </c>
    </row>
    <row r="251" spans="1:9" x14ac:dyDescent="0.25">
      <c r="A251" s="1">
        <f t="shared" si="11"/>
        <v>45492</v>
      </c>
      <c r="B251" s="31">
        <f>TIME(19,18,0)</f>
        <v>0.8041666666666667</v>
      </c>
      <c r="C251" t="str">
        <f>Inventory!A65</f>
        <v>Tropical</v>
      </c>
      <c r="D251" s="27">
        <v>1</v>
      </c>
      <c r="E251" s="5">
        <f>D251*Inventory!D65</f>
        <v>5</v>
      </c>
      <c r="F251" s="5">
        <f>D251*Inventory!C65</f>
        <v>1.5</v>
      </c>
      <c r="G251" s="5">
        <f t="shared" si="10"/>
        <v>3.5</v>
      </c>
      <c r="H251" t="s">
        <v>361</v>
      </c>
    </row>
    <row r="252" spans="1:9" x14ac:dyDescent="0.25">
      <c r="A252" s="1">
        <f t="shared" si="11"/>
        <v>45492</v>
      </c>
      <c r="B252" s="31">
        <f>TIME(19,20,0)</f>
        <v>0.80555555555555547</v>
      </c>
      <c r="C252" t="str">
        <f>Inventory!A132</f>
        <v>Festive Bread 400g</v>
      </c>
      <c r="D252" s="27">
        <v>1</v>
      </c>
      <c r="E252" s="5">
        <f>D252*Inventory!D132</f>
        <v>65</v>
      </c>
      <c r="F252" s="5">
        <f>D252*Inventory!C132</f>
        <v>60</v>
      </c>
      <c r="G252" s="5">
        <f t="shared" si="10"/>
        <v>5</v>
      </c>
      <c r="H252" t="s">
        <v>359</v>
      </c>
      <c r="I252" t="s">
        <v>387</v>
      </c>
    </row>
    <row r="253" spans="1:9" x14ac:dyDescent="0.25">
      <c r="A253" s="1">
        <f t="shared" si="11"/>
        <v>45492</v>
      </c>
      <c r="B253" s="31">
        <f>TIME(19,48,0)</f>
        <v>0.82500000000000007</v>
      </c>
      <c r="C253" t="str">
        <f>Inventory!A147</f>
        <v>Sugar</v>
      </c>
      <c r="D253" s="27">
        <v>0.25</v>
      </c>
      <c r="E253" s="5">
        <f>D253*Inventory!D147</f>
        <v>45</v>
      </c>
      <c r="F253" s="5">
        <f>D253*Inventory!C147</f>
        <v>32.5</v>
      </c>
      <c r="G253" s="5">
        <f t="shared" si="10"/>
        <v>12.5</v>
      </c>
      <c r="H253" t="s">
        <v>359</v>
      </c>
      <c r="I253" t="s">
        <v>387</v>
      </c>
    </row>
    <row r="254" spans="1:9" x14ac:dyDescent="0.25">
      <c r="A254" s="1">
        <f t="shared" si="11"/>
        <v>45492</v>
      </c>
      <c r="B254" s="31">
        <f>TIME(19,52,0)</f>
        <v>0.82777777777777783</v>
      </c>
      <c r="C254" t="str">
        <f>Inventory!A10</f>
        <v>afia 500ml</v>
      </c>
      <c r="D254" s="27">
        <v>1</v>
      </c>
      <c r="E254" s="5">
        <f>D254*Inventory!D10</f>
        <v>85</v>
      </c>
      <c r="F254" s="5">
        <f>D254*Inventory!C10</f>
        <v>70.833333333333329</v>
      </c>
      <c r="G254" s="5">
        <f t="shared" si="10"/>
        <v>14.166666666666671</v>
      </c>
      <c r="H254" t="s">
        <v>361</v>
      </c>
    </row>
    <row r="255" spans="1:9" x14ac:dyDescent="0.25">
      <c r="A255" s="1">
        <f t="shared" si="11"/>
        <v>45492</v>
      </c>
      <c r="B255" s="31">
        <f>TIME(20,7,0)</f>
        <v>0.83819444444444446</v>
      </c>
      <c r="C255" t="str">
        <f>Inventory!A117</f>
        <v>Cooking Oil Measured</v>
      </c>
      <c r="D255" s="27">
        <v>0.25</v>
      </c>
      <c r="E255" s="5">
        <f>D255*Inventory!D117</f>
        <v>70</v>
      </c>
      <c r="F255" s="5">
        <f>D255*Inventory!C117</f>
        <v>50</v>
      </c>
      <c r="G255" s="5">
        <f t="shared" si="10"/>
        <v>20</v>
      </c>
      <c r="H255" t="s">
        <v>247</v>
      </c>
    </row>
    <row r="256" spans="1:9" x14ac:dyDescent="0.25">
      <c r="A256" s="1">
        <f t="shared" si="11"/>
        <v>45492</v>
      </c>
      <c r="B256" s="31">
        <f>TIME(20,7,0)</f>
        <v>0.83819444444444446</v>
      </c>
      <c r="C256" t="str">
        <f>Inventory!A116</f>
        <v>Tomatoes</v>
      </c>
      <c r="D256" s="27">
        <v>1</v>
      </c>
      <c r="E256" s="5">
        <f>D256*Inventory!D116</f>
        <v>10</v>
      </c>
      <c r="F256" s="5">
        <f>D256*Inventory!C116</f>
        <v>5</v>
      </c>
      <c r="G256" s="5">
        <f t="shared" si="10"/>
        <v>5</v>
      </c>
      <c r="H256" t="s">
        <v>247</v>
      </c>
    </row>
    <row r="257" spans="1:9" x14ac:dyDescent="0.25">
      <c r="A257" s="1">
        <f t="shared" si="11"/>
        <v>45492</v>
      </c>
      <c r="B257" s="31">
        <f>TIME(20,18,0)</f>
        <v>0.84583333333333333</v>
      </c>
      <c r="C257" t="str">
        <f>Inventory!A77</f>
        <v>Royco 40pc</v>
      </c>
      <c r="D257" s="27">
        <v>1</v>
      </c>
      <c r="E257" s="5">
        <f>D257*Inventory!D77</f>
        <v>140</v>
      </c>
      <c r="F257" s="5">
        <f>D257*Inventory!C77</f>
        <v>120</v>
      </c>
      <c r="G257" s="5">
        <f t="shared" si="10"/>
        <v>20</v>
      </c>
      <c r="H257" t="s">
        <v>361</v>
      </c>
    </row>
    <row r="258" spans="1:9" x14ac:dyDescent="0.25">
      <c r="A258" s="1">
        <f t="shared" si="11"/>
        <v>45492</v>
      </c>
      <c r="B258" s="31">
        <f>TIME(20,25,0)</f>
        <v>0.85069444444444453</v>
      </c>
      <c r="C258" t="str">
        <f>Inventory!A99</f>
        <v>Colgate 15g</v>
      </c>
      <c r="D258" s="27">
        <v>1</v>
      </c>
      <c r="E258" s="5">
        <f>D258*Inventory!D99</f>
        <v>50</v>
      </c>
      <c r="F258" s="5">
        <f>D258*Inventory!C99</f>
        <v>36.25</v>
      </c>
      <c r="G258" s="5">
        <f t="shared" si="10"/>
        <v>13.75</v>
      </c>
      <c r="H258" t="s">
        <v>361</v>
      </c>
    </row>
    <row r="259" spans="1:9" x14ac:dyDescent="0.25">
      <c r="A259" s="1">
        <f t="shared" si="11"/>
        <v>45492</v>
      </c>
      <c r="B259" s="31">
        <f>TIME(20,25,0)</f>
        <v>0.85069444444444453</v>
      </c>
      <c r="C259" t="str">
        <f>Inventory!A158</f>
        <v>Arimis small</v>
      </c>
      <c r="D259" s="27">
        <v>1</v>
      </c>
      <c r="E259" s="5">
        <f>D259*Inventory!D158</f>
        <v>35</v>
      </c>
      <c r="F259" s="5">
        <f>D259*Inventory!C158</f>
        <v>23.333333333333332</v>
      </c>
      <c r="G259" s="5">
        <f t="shared" ref="G259:G322" si="12">E259-F259</f>
        <v>11.666666666666668</v>
      </c>
      <c r="H259" t="s">
        <v>361</v>
      </c>
    </row>
    <row r="260" spans="1:9" x14ac:dyDescent="0.25">
      <c r="A260" s="1">
        <f t="shared" si="11"/>
        <v>45492</v>
      </c>
      <c r="B260" s="31">
        <f>TIME(20,25,0)</f>
        <v>0.85069444444444453</v>
      </c>
      <c r="C260" t="str">
        <f>Inventory!A122</f>
        <v>Kinangop Fresh Milk 500ml</v>
      </c>
      <c r="D260" s="27">
        <v>1</v>
      </c>
      <c r="E260" s="5">
        <f>D260*Inventory!D122</f>
        <v>60</v>
      </c>
      <c r="F260" s="5">
        <f>D260*Inventory!C122</f>
        <v>55</v>
      </c>
      <c r="G260" s="5">
        <f t="shared" si="12"/>
        <v>5</v>
      </c>
      <c r="H260" t="s">
        <v>361</v>
      </c>
    </row>
    <row r="261" spans="1:9" x14ac:dyDescent="0.25">
      <c r="A261" s="1">
        <f t="shared" si="11"/>
        <v>45492</v>
      </c>
      <c r="B261" s="31">
        <f>TIME(20,44,0)</f>
        <v>0.86388888888888893</v>
      </c>
      <c r="C261" t="str">
        <f>Inventory!A30</f>
        <v>BB Bread 400g</v>
      </c>
      <c r="D261" s="27">
        <v>2</v>
      </c>
      <c r="E261" s="5">
        <f>D261*Inventory!D30</f>
        <v>130</v>
      </c>
      <c r="F261" s="5">
        <f>D261*Inventory!C30</f>
        <v>120</v>
      </c>
      <c r="G261" s="5">
        <f t="shared" si="12"/>
        <v>10</v>
      </c>
      <c r="H261" t="s">
        <v>361</v>
      </c>
    </row>
    <row r="262" spans="1:9" x14ac:dyDescent="0.25">
      <c r="A262" s="1">
        <f t="shared" si="11"/>
        <v>45492</v>
      </c>
      <c r="B262" s="31">
        <f>TIME(20,55,0)</f>
        <v>0.87152777777777779</v>
      </c>
      <c r="C262" t="str">
        <f>Inventory!A30</f>
        <v>BB Bread 400g</v>
      </c>
      <c r="D262" s="27">
        <v>1</v>
      </c>
      <c r="E262" s="5">
        <f>D262*Inventory!D30</f>
        <v>65</v>
      </c>
      <c r="F262" s="5">
        <f>D262*Inventory!C30</f>
        <v>60</v>
      </c>
      <c r="G262" s="5">
        <f t="shared" si="12"/>
        <v>5</v>
      </c>
      <c r="H262" t="s">
        <v>359</v>
      </c>
      <c r="I262" t="s">
        <v>388</v>
      </c>
    </row>
    <row r="263" spans="1:9" x14ac:dyDescent="0.25">
      <c r="A263" s="1">
        <f t="shared" si="11"/>
        <v>45492</v>
      </c>
      <c r="B263" s="31">
        <f>TIME(20,55,0)</f>
        <v>0.87152777777777779</v>
      </c>
      <c r="C263" t="str">
        <f>Inventory!A22</f>
        <v>Brookside Lala Sweetened</v>
      </c>
      <c r="D263" s="27">
        <v>1</v>
      </c>
      <c r="E263" s="5">
        <f>D263*Inventory!D22</f>
        <v>110</v>
      </c>
      <c r="F263" s="5">
        <f>D263*Inventory!C22</f>
        <v>93</v>
      </c>
      <c r="G263" s="5">
        <f t="shared" si="12"/>
        <v>17</v>
      </c>
      <c r="H263" t="s">
        <v>361</v>
      </c>
    </row>
    <row r="264" spans="1:9" x14ac:dyDescent="0.25">
      <c r="A264" s="1">
        <f>DATE(2024,7,20)</f>
        <v>45493</v>
      </c>
      <c r="B264" s="31">
        <f>TIME(7,54,0)</f>
        <v>0.32916666666666666</v>
      </c>
      <c r="C264" t="str">
        <f>Inventory!A30</f>
        <v>BB Bread 400g</v>
      </c>
      <c r="D264" s="27">
        <v>1</v>
      </c>
      <c r="E264" s="5">
        <f>D264*Inventory!D30</f>
        <v>65</v>
      </c>
      <c r="F264" s="5">
        <f>D264*Inventory!C30</f>
        <v>60</v>
      </c>
      <c r="G264" s="5">
        <f t="shared" si="12"/>
        <v>5</v>
      </c>
      <c r="H264" t="s">
        <v>361</v>
      </c>
    </row>
    <row r="265" spans="1:9" x14ac:dyDescent="0.25">
      <c r="A265" s="1">
        <f t="shared" ref="A265:A328" si="13">DATE(2024,7,20)</f>
        <v>45493</v>
      </c>
      <c r="B265" s="31">
        <f>TIME(7,54,0)</f>
        <v>0.32916666666666666</v>
      </c>
      <c r="C265" t="str">
        <f>Inventory!A23</f>
        <v>Mt kenya milk 500ml</v>
      </c>
      <c r="D265" s="27">
        <v>1</v>
      </c>
      <c r="E265" s="5">
        <f>D265*Inventory!D23</f>
        <v>65</v>
      </c>
      <c r="F265" s="5">
        <f>D265*Inventory!C23</f>
        <v>48.333333333333336</v>
      </c>
      <c r="G265" s="5">
        <f t="shared" si="12"/>
        <v>16.666666666666664</v>
      </c>
      <c r="H265" t="s">
        <v>361</v>
      </c>
    </row>
    <row r="266" spans="1:9" x14ac:dyDescent="0.25">
      <c r="A266" s="1">
        <f t="shared" si="13"/>
        <v>45493</v>
      </c>
      <c r="B266" s="31">
        <f>TIME(7,54,0)</f>
        <v>0.32916666666666666</v>
      </c>
      <c r="C266" t="str">
        <f>Inventory!A112</f>
        <v>Downy lavender</v>
      </c>
      <c r="D266" s="27">
        <v>2</v>
      </c>
      <c r="E266" s="5">
        <f>D266*Inventory!D112</f>
        <v>40</v>
      </c>
      <c r="F266" s="5">
        <f>D266*Inventory!C112</f>
        <v>34.666666666666664</v>
      </c>
      <c r="G266" s="5">
        <f t="shared" si="12"/>
        <v>5.3333333333333357</v>
      </c>
      <c r="H266" t="s">
        <v>361</v>
      </c>
    </row>
    <row r="267" spans="1:9" x14ac:dyDescent="0.25">
      <c r="A267" s="1">
        <f t="shared" si="13"/>
        <v>45493</v>
      </c>
      <c r="B267" s="31">
        <f>TIME(8,50,0)</f>
        <v>0.36805555555555558</v>
      </c>
      <c r="C267" t="str">
        <f>Inventory!A84</f>
        <v>Safari</v>
      </c>
      <c r="D267" s="27">
        <v>1</v>
      </c>
      <c r="E267" s="5">
        <f>D267*Inventory!D84</f>
        <v>15</v>
      </c>
      <c r="F267" s="5">
        <f>D267*Inventory!C84</f>
        <v>8.5</v>
      </c>
      <c r="G267" s="5">
        <f t="shared" si="12"/>
        <v>6.5</v>
      </c>
      <c r="H267" t="s">
        <v>247</v>
      </c>
    </row>
    <row r="268" spans="1:9" x14ac:dyDescent="0.25">
      <c r="A268" s="1">
        <f t="shared" si="13"/>
        <v>45493</v>
      </c>
      <c r="B268" s="31">
        <f>TIME(8,56,0)</f>
        <v>0.37222222222222223</v>
      </c>
      <c r="C268" t="str">
        <f>Inventory!A32</f>
        <v>Festive 600g</v>
      </c>
      <c r="D268" s="27">
        <v>1</v>
      </c>
      <c r="E268" s="5">
        <f>D268*Inventory!D32</f>
        <v>100</v>
      </c>
      <c r="F268" s="5">
        <f>D268*Inventory!C32</f>
        <v>90</v>
      </c>
      <c r="G268" s="5">
        <f t="shared" si="12"/>
        <v>10</v>
      </c>
      <c r="H268" t="s">
        <v>247</v>
      </c>
    </row>
    <row r="269" spans="1:9" x14ac:dyDescent="0.25">
      <c r="A269" s="1">
        <f t="shared" si="13"/>
        <v>45493</v>
      </c>
      <c r="B269" s="31">
        <f>TIME(8,56,0)</f>
        <v>0.37222222222222223</v>
      </c>
      <c r="C269" t="str">
        <f>Inventory!A24</f>
        <v>Brookside milk 500ml</v>
      </c>
      <c r="D269" s="27">
        <v>1</v>
      </c>
      <c r="E269" s="5">
        <f>D269*Inventory!D24</f>
        <v>70</v>
      </c>
      <c r="F269" s="5">
        <f>D269*Inventory!C24</f>
        <v>59</v>
      </c>
      <c r="G269" s="5">
        <f t="shared" si="12"/>
        <v>11</v>
      </c>
      <c r="H269" t="s">
        <v>247</v>
      </c>
    </row>
    <row r="270" spans="1:9" x14ac:dyDescent="0.25">
      <c r="A270" s="1">
        <f t="shared" si="13"/>
        <v>45493</v>
      </c>
      <c r="B270" s="31">
        <f>TIME(9,13,0)</f>
        <v>0.3840277777777778</v>
      </c>
      <c r="C270" t="str">
        <f>Inventory!A108</f>
        <v>ariel 75g</v>
      </c>
      <c r="D270" s="27">
        <v>3</v>
      </c>
      <c r="E270" s="5">
        <f>D270*Inventory!D108</f>
        <v>105</v>
      </c>
      <c r="F270" s="5">
        <f>D270*Inventory!C108</f>
        <v>82.5</v>
      </c>
      <c r="G270" s="5">
        <f t="shared" si="12"/>
        <v>22.5</v>
      </c>
      <c r="H270" t="s">
        <v>359</v>
      </c>
      <c r="I270" t="s">
        <v>401</v>
      </c>
    </row>
    <row r="271" spans="1:9" x14ac:dyDescent="0.25">
      <c r="A271" s="1">
        <f t="shared" si="13"/>
        <v>45493</v>
      </c>
      <c r="B271" s="31">
        <f>TIME(9,14,0)</f>
        <v>0.38472222222222219</v>
      </c>
      <c r="C271" t="str">
        <f>Inventory!A81</f>
        <v>eggs</v>
      </c>
      <c r="D271" s="27">
        <v>3</v>
      </c>
      <c r="E271" s="5">
        <f>D271*Inventory!D81</f>
        <v>60</v>
      </c>
      <c r="F271" s="5">
        <f>D271*Inventory!C81</f>
        <v>43</v>
      </c>
      <c r="G271" s="5">
        <f t="shared" si="12"/>
        <v>17</v>
      </c>
      <c r="H271" t="s">
        <v>247</v>
      </c>
    </row>
    <row r="272" spans="1:9" x14ac:dyDescent="0.25">
      <c r="A272" s="1">
        <f t="shared" si="13"/>
        <v>45493</v>
      </c>
      <c r="B272" s="31">
        <f>TIME(9,48,0)</f>
        <v>0.40833333333333338</v>
      </c>
      <c r="C272" t="str">
        <f>Inventory!A52</f>
        <v>Canned cookies</v>
      </c>
      <c r="D272" s="27">
        <v>1</v>
      </c>
      <c r="E272" s="5">
        <f>D272*Inventory!D52</f>
        <v>60</v>
      </c>
      <c r="F272" s="5">
        <f>D272*Inventory!C52</f>
        <v>50</v>
      </c>
      <c r="G272" s="5">
        <f t="shared" si="12"/>
        <v>10</v>
      </c>
      <c r="H272" t="s">
        <v>361</v>
      </c>
    </row>
    <row r="273" spans="1:9" x14ac:dyDescent="0.25">
      <c r="A273" s="1">
        <f t="shared" si="13"/>
        <v>45493</v>
      </c>
      <c r="B273" s="31">
        <f>TIME(9,48,0)</f>
        <v>0.40833333333333338</v>
      </c>
      <c r="C273" t="str">
        <f>Inventory!A18</f>
        <v>kinangop250g youghurt</v>
      </c>
      <c r="D273" s="27">
        <v>2</v>
      </c>
      <c r="E273" s="5">
        <f>D273*Inventory!D18</f>
        <v>120</v>
      </c>
      <c r="F273" s="5">
        <f>D273*Inventory!C18</f>
        <v>96.666666666666671</v>
      </c>
      <c r="G273" s="5">
        <f t="shared" si="12"/>
        <v>23.333333333333329</v>
      </c>
      <c r="H273" t="s">
        <v>361</v>
      </c>
    </row>
    <row r="274" spans="1:9" x14ac:dyDescent="0.25">
      <c r="A274" s="1">
        <f t="shared" si="13"/>
        <v>45493</v>
      </c>
      <c r="B274" s="31">
        <f>TIME(9,52,0)</f>
        <v>0.41111111111111115</v>
      </c>
      <c r="C274" t="str">
        <f>Inventory!A132</f>
        <v>Festive Bread 400g</v>
      </c>
      <c r="D274" s="27">
        <v>1</v>
      </c>
      <c r="E274" s="5">
        <f>D274*Inventory!D132</f>
        <v>65</v>
      </c>
      <c r="F274" s="5">
        <f>D274*Inventory!C132</f>
        <v>60</v>
      </c>
      <c r="G274" s="5">
        <f t="shared" si="12"/>
        <v>5</v>
      </c>
      <c r="H274" t="s">
        <v>361</v>
      </c>
    </row>
    <row r="275" spans="1:9" x14ac:dyDescent="0.25">
      <c r="A275" s="1">
        <f t="shared" si="13"/>
        <v>45493</v>
      </c>
      <c r="B275" s="31">
        <f>TIME(9,26,0)</f>
        <v>0.39305555555555555</v>
      </c>
      <c r="C275" t="str">
        <f>Inventory!A122</f>
        <v>Kinangop Fresh Milk 500ml</v>
      </c>
      <c r="D275" s="27">
        <v>1</v>
      </c>
      <c r="E275" s="5">
        <f>D275*Inventory!D122</f>
        <v>60</v>
      </c>
      <c r="F275" s="5">
        <f>D275*Inventory!C122</f>
        <v>55</v>
      </c>
      <c r="G275" s="5">
        <f t="shared" si="12"/>
        <v>5</v>
      </c>
      <c r="H275" t="s">
        <v>361</v>
      </c>
    </row>
    <row r="276" spans="1:9" x14ac:dyDescent="0.25">
      <c r="A276" s="1">
        <f t="shared" si="13"/>
        <v>45493</v>
      </c>
      <c r="B276" s="31">
        <f>TIME(9,26,0)</f>
        <v>0.39305555555555555</v>
      </c>
      <c r="C276" t="str">
        <f>Inventory!A30</f>
        <v>BB Bread 400g</v>
      </c>
      <c r="D276" s="27">
        <v>1</v>
      </c>
      <c r="E276" s="5">
        <f>D276*Inventory!D30</f>
        <v>65</v>
      </c>
      <c r="F276" s="5">
        <f>D276*Inventory!C30</f>
        <v>60</v>
      </c>
      <c r="G276" s="5">
        <f t="shared" si="12"/>
        <v>5</v>
      </c>
      <c r="H276" t="s">
        <v>361</v>
      </c>
    </row>
    <row r="277" spans="1:9" x14ac:dyDescent="0.25">
      <c r="A277" s="1">
        <f t="shared" si="13"/>
        <v>45493</v>
      </c>
      <c r="B277" s="31">
        <f>TIME(10,9,0)</f>
        <v>0.42291666666666666</v>
      </c>
      <c r="C277" t="str">
        <f>Inventory!A68</f>
        <v>scooter cans</v>
      </c>
      <c r="D277" s="27">
        <v>2</v>
      </c>
      <c r="E277" s="5">
        <f>D277*Inventory!D68</f>
        <v>40</v>
      </c>
      <c r="F277" s="5">
        <f>D277*Inventory!C68</f>
        <v>30</v>
      </c>
      <c r="G277" s="5">
        <f t="shared" si="12"/>
        <v>10</v>
      </c>
      <c r="H277" t="s">
        <v>247</v>
      </c>
    </row>
    <row r="278" spans="1:9" x14ac:dyDescent="0.25">
      <c r="A278" s="1">
        <f t="shared" si="13"/>
        <v>45493</v>
      </c>
      <c r="B278" s="31">
        <f>TIME(10,21,0)</f>
        <v>0.43124999999999997</v>
      </c>
      <c r="C278" t="str">
        <f>Inventory!A61</f>
        <v>Bigdaddy</v>
      </c>
      <c r="D278" s="27">
        <v>1</v>
      </c>
      <c r="E278" s="5">
        <f>D278*Inventory!D61</f>
        <v>10</v>
      </c>
      <c r="F278" s="5">
        <f>D278*Inventory!C61</f>
        <v>6</v>
      </c>
      <c r="G278" s="5">
        <f t="shared" si="12"/>
        <v>4</v>
      </c>
      <c r="H278" t="s">
        <v>247</v>
      </c>
    </row>
    <row r="279" spans="1:9" x14ac:dyDescent="0.25">
      <c r="A279" s="1">
        <f t="shared" si="13"/>
        <v>45493</v>
      </c>
      <c r="B279" s="31">
        <f>TIME(10,42,0)</f>
        <v>0.4458333333333333</v>
      </c>
      <c r="C279" t="str">
        <f>Inventory!A159</f>
        <v>Sunlight 400g</v>
      </c>
      <c r="D279" s="27">
        <v>1</v>
      </c>
      <c r="E279" s="5">
        <f>D279*Inventory!D159</f>
        <v>250</v>
      </c>
      <c r="F279" s="5">
        <f>D279*Inventory!C159</f>
        <v>150</v>
      </c>
      <c r="G279" s="5">
        <f t="shared" si="12"/>
        <v>100</v>
      </c>
      <c r="H279" t="s">
        <v>361</v>
      </c>
    </row>
    <row r="280" spans="1:9" x14ac:dyDescent="0.25">
      <c r="A280" s="1">
        <f t="shared" si="13"/>
        <v>45493</v>
      </c>
      <c r="B280" s="31">
        <f>TIME(10,52,0)</f>
        <v>0.45277777777777778</v>
      </c>
      <c r="C280" t="str">
        <f>Inventory!A61</f>
        <v>Bigdaddy</v>
      </c>
      <c r="D280" s="27">
        <v>2</v>
      </c>
      <c r="E280" s="5">
        <f>D280*Inventory!D61</f>
        <v>20</v>
      </c>
      <c r="F280" s="5">
        <f>D280*Inventory!C61</f>
        <v>12</v>
      </c>
      <c r="G280" s="5">
        <f t="shared" si="12"/>
        <v>8</v>
      </c>
      <c r="H280" t="s">
        <v>247</v>
      </c>
    </row>
    <row r="281" spans="1:9" x14ac:dyDescent="0.25">
      <c r="A281" s="1">
        <f t="shared" si="13"/>
        <v>45493</v>
      </c>
      <c r="B281" s="31">
        <f>TIME(11,2,0)</f>
        <v>0.4597222222222222</v>
      </c>
      <c r="C281" t="str">
        <f>Inventory!A60</f>
        <v>Lollipop</v>
      </c>
      <c r="D281" s="27">
        <v>1</v>
      </c>
      <c r="E281" s="5">
        <f>D281*Inventory!D60</f>
        <v>5</v>
      </c>
      <c r="F281" s="5">
        <f>D281*Inventory!C60</f>
        <v>2.4</v>
      </c>
      <c r="G281" s="5">
        <f t="shared" si="12"/>
        <v>2.6</v>
      </c>
      <c r="H281" t="s">
        <v>247</v>
      </c>
    </row>
    <row r="282" spans="1:9" x14ac:dyDescent="0.25">
      <c r="A282" s="1">
        <f t="shared" si="13"/>
        <v>45493</v>
      </c>
      <c r="B282" s="31">
        <f>TIME(11,2,0)</f>
        <v>0.4597222222222222</v>
      </c>
      <c r="C282" t="str">
        <f>Inventory!A46</f>
        <v>Nuvita Bisquit</v>
      </c>
      <c r="D282" s="27">
        <v>1</v>
      </c>
      <c r="E282" s="5">
        <f>D282*Inventory!D46</f>
        <v>5</v>
      </c>
      <c r="F282" s="5">
        <f>D282*Inventory!C46</f>
        <v>4.166666666666667</v>
      </c>
      <c r="G282" s="5">
        <f t="shared" si="12"/>
        <v>0.83333333333333304</v>
      </c>
      <c r="H282" t="s">
        <v>247</v>
      </c>
    </row>
    <row r="283" spans="1:9" x14ac:dyDescent="0.25">
      <c r="A283" s="1">
        <f t="shared" si="13"/>
        <v>45493</v>
      </c>
      <c r="B283" s="31">
        <f>TIME(11,28,0)</f>
        <v>0.4777777777777778</v>
      </c>
      <c r="C283" t="str">
        <f>Inventory!A84</f>
        <v>Safari</v>
      </c>
      <c r="D283" s="27">
        <v>3</v>
      </c>
      <c r="E283" s="5">
        <f>D283*Inventory!D84</f>
        <v>45</v>
      </c>
      <c r="F283" s="5">
        <f>D283*Inventory!C84</f>
        <v>25.5</v>
      </c>
      <c r="G283" s="5">
        <f t="shared" si="12"/>
        <v>19.5</v>
      </c>
      <c r="H283" t="s">
        <v>361</v>
      </c>
    </row>
    <row r="284" spans="1:9" x14ac:dyDescent="0.25">
      <c r="A284" s="1">
        <f t="shared" si="13"/>
        <v>45493</v>
      </c>
      <c r="B284" s="31">
        <f>TIME(11,47,0)</f>
        <v>0.4909722222222222</v>
      </c>
      <c r="C284" t="str">
        <f>Inventory!A24</f>
        <v>Brookside milk 500ml</v>
      </c>
      <c r="D284" s="27">
        <v>1</v>
      </c>
      <c r="E284" s="5">
        <f>D284*Inventory!D24</f>
        <v>70</v>
      </c>
      <c r="F284" s="5">
        <f>D284*Inventory!C24</f>
        <v>59</v>
      </c>
      <c r="G284" s="5">
        <f t="shared" si="12"/>
        <v>11</v>
      </c>
      <c r="H284" t="s">
        <v>247</v>
      </c>
    </row>
    <row r="285" spans="1:9" x14ac:dyDescent="0.25">
      <c r="A285" s="1">
        <f t="shared" si="13"/>
        <v>45493</v>
      </c>
      <c r="B285" s="31">
        <f>TIME(11,47,0)</f>
        <v>0.4909722222222222</v>
      </c>
      <c r="C285" t="str">
        <f>Inventory!A68</f>
        <v>scooter cans</v>
      </c>
      <c r="D285" s="27">
        <v>1</v>
      </c>
      <c r="E285" s="5">
        <f>D285*Inventory!D68</f>
        <v>20</v>
      </c>
      <c r="F285" s="5">
        <f>D285*Inventory!C68</f>
        <v>15</v>
      </c>
      <c r="G285" s="5">
        <f t="shared" si="12"/>
        <v>5</v>
      </c>
      <c r="H285" t="s">
        <v>247</v>
      </c>
    </row>
    <row r="286" spans="1:9" x14ac:dyDescent="0.25">
      <c r="A286" s="1">
        <f t="shared" si="13"/>
        <v>45493</v>
      </c>
      <c r="B286" s="31">
        <f>TIME(11,47,0)</f>
        <v>0.4909722222222222</v>
      </c>
      <c r="C286" t="str">
        <f>Inventory!A134</f>
        <v>Baloon</v>
      </c>
      <c r="D286" s="27">
        <v>1</v>
      </c>
      <c r="E286" s="5">
        <f>D286*Inventory!D134</f>
        <v>10</v>
      </c>
      <c r="F286" s="5">
        <f>D286*Inventory!C134</f>
        <v>6</v>
      </c>
      <c r="G286" s="5">
        <f t="shared" si="12"/>
        <v>4</v>
      </c>
      <c r="H286" t="s">
        <v>247</v>
      </c>
    </row>
    <row r="287" spans="1:9" x14ac:dyDescent="0.25">
      <c r="A287" s="1">
        <f t="shared" si="13"/>
        <v>45493</v>
      </c>
      <c r="B287" s="31">
        <f>TIME(12,52,0)</f>
        <v>0.53611111111111109</v>
      </c>
      <c r="C287" t="str">
        <f>Inventory!A53</f>
        <v>Mandazi</v>
      </c>
      <c r="D287" s="27">
        <v>6</v>
      </c>
      <c r="E287" s="5">
        <f>D287*Inventory!D53</f>
        <v>30</v>
      </c>
      <c r="F287" s="5">
        <f>D287*Inventory!C53</f>
        <v>25</v>
      </c>
      <c r="G287" s="5">
        <f t="shared" si="12"/>
        <v>5</v>
      </c>
      <c r="H287" t="s">
        <v>359</v>
      </c>
      <c r="I287" t="s">
        <v>398</v>
      </c>
    </row>
    <row r="288" spans="1:9" x14ac:dyDescent="0.25">
      <c r="A288" s="1">
        <f t="shared" si="13"/>
        <v>45493</v>
      </c>
      <c r="B288" s="31">
        <f>TIME(13,14,0)</f>
        <v>0.55138888888888882</v>
      </c>
      <c r="C288" t="str">
        <f>Inventory!A68</f>
        <v>scooter cans</v>
      </c>
      <c r="D288" s="27">
        <v>1</v>
      </c>
      <c r="E288" s="5">
        <f>D288*Inventory!D68</f>
        <v>20</v>
      </c>
      <c r="F288" s="5">
        <f>D288*Inventory!C68</f>
        <v>15</v>
      </c>
      <c r="G288" s="5">
        <f t="shared" si="12"/>
        <v>5</v>
      </c>
      <c r="H288" t="s">
        <v>361</v>
      </c>
    </row>
    <row r="289" spans="1:9" x14ac:dyDescent="0.25">
      <c r="A289" s="1">
        <f t="shared" si="13"/>
        <v>45493</v>
      </c>
      <c r="B289" s="31">
        <f>TIME(13,15,0)</f>
        <v>0.55208333333333337</v>
      </c>
      <c r="C289" t="str">
        <f>Inventory!A10</f>
        <v>afia 500ml</v>
      </c>
      <c r="D289" s="27">
        <v>1</v>
      </c>
      <c r="E289" s="5">
        <f>D289*Inventory!D10</f>
        <v>85</v>
      </c>
      <c r="F289" s="5">
        <f>D289*Inventory!C10</f>
        <v>70.833333333333329</v>
      </c>
      <c r="G289" s="5">
        <f t="shared" si="12"/>
        <v>14.166666666666671</v>
      </c>
      <c r="H289" t="s">
        <v>359</v>
      </c>
      <c r="I289" t="s">
        <v>386</v>
      </c>
    </row>
    <row r="290" spans="1:9" x14ac:dyDescent="0.25">
      <c r="A290" s="1">
        <f t="shared" si="13"/>
        <v>45493</v>
      </c>
      <c r="B290" s="31">
        <f>TIME(13,15,0)</f>
        <v>0.55208333333333337</v>
      </c>
      <c r="C290" t="str">
        <f>Inventory!A55</f>
        <v>Ngumu</v>
      </c>
      <c r="D290" s="27">
        <v>2</v>
      </c>
      <c r="E290" s="5">
        <f>D290*Inventory!D55</f>
        <v>20</v>
      </c>
      <c r="F290" s="5">
        <f>D290*Inventory!C55</f>
        <v>16.666666666666668</v>
      </c>
      <c r="G290" s="5">
        <f t="shared" si="12"/>
        <v>3.3333333333333321</v>
      </c>
      <c r="H290" t="s">
        <v>359</v>
      </c>
      <c r="I290" t="s">
        <v>386</v>
      </c>
    </row>
    <row r="291" spans="1:9" x14ac:dyDescent="0.25">
      <c r="A291" s="1">
        <f t="shared" si="13"/>
        <v>45493</v>
      </c>
      <c r="B291" s="31">
        <f>TIME(13,42,0)</f>
        <v>0.5708333333333333</v>
      </c>
      <c r="C291" t="str">
        <f>Inventory!A154</f>
        <v>waru</v>
      </c>
      <c r="D291" s="27">
        <v>1</v>
      </c>
      <c r="E291" s="5">
        <f>D291*Inventory!D154</f>
        <v>50</v>
      </c>
      <c r="F291" s="5">
        <f>D291*Inventory!C154</f>
        <v>29.999999999999996</v>
      </c>
      <c r="G291" s="5">
        <f t="shared" si="12"/>
        <v>20.000000000000004</v>
      </c>
      <c r="H291" t="s">
        <v>359</v>
      </c>
      <c r="I291" t="s">
        <v>384</v>
      </c>
    </row>
    <row r="292" spans="1:9" x14ac:dyDescent="0.25">
      <c r="A292" s="1">
        <f t="shared" si="13"/>
        <v>45493</v>
      </c>
      <c r="B292" s="31">
        <f>TIME(13,42,0)</f>
        <v>0.5708333333333333</v>
      </c>
      <c r="C292" t="str">
        <f>Inventory!A117</f>
        <v>Cooking Oil Measured</v>
      </c>
      <c r="D292" s="27">
        <v>0.5</v>
      </c>
      <c r="E292" s="5">
        <f>D292*Inventory!D117</f>
        <v>140</v>
      </c>
      <c r="F292" s="5">
        <f>D292*Inventory!C117</f>
        <v>100</v>
      </c>
      <c r="G292" s="5">
        <f t="shared" si="12"/>
        <v>40</v>
      </c>
      <c r="H292" t="s">
        <v>359</v>
      </c>
      <c r="I292" t="s">
        <v>384</v>
      </c>
    </row>
    <row r="293" spans="1:9" x14ac:dyDescent="0.25">
      <c r="A293" s="1">
        <f t="shared" si="13"/>
        <v>45493</v>
      </c>
      <c r="B293" s="31">
        <f>TIME(14,0,0)</f>
        <v>0.58333333333333337</v>
      </c>
      <c r="C293" t="str">
        <f>Inventory!A14</f>
        <v>soda 500ml glass</v>
      </c>
      <c r="D293" s="27">
        <v>1</v>
      </c>
      <c r="E293" s="5">
        <f>D293*Inventory!D14</f>
        <v>55</v>
      </c>
      <c r="F293" s="5">
        <f>D293*Inventory!C14</f>
        <v>50</v>
      </c>
      <c r="G293" s="5">
        <f t="shared" si="12"/>
        <v>5</v>
      </c>
      <c r="H293" t="s">
        <v>247</v>
      </c>
    </row>
    <row r="294" spans="1:9" x14ac:dyDescent="0.25">
      <c r="A294" s="1">
        <f t="shared" si="13"/>
        <v>45493</v>
      </c>
      <c r="B294" s="31">
        <f>TIME(14,0,0)</f>
        <v>0.58333333333333337</v>
      </c>
      <c r="C294" t="str">
        <f>Inventory!A44</f>
        <v>Peanut Cookies</v>
      </c>
      <c r="D294" s="27">
        <v>1</v>
      </c>
      <c r="E294" s="5">
        <f>D294*Inventory!D44</f>
        <v>35</v>
      </c>
      <c r="F294" s="5">
        <f>D294*Inventory!C44</f>
        <v>25</v>
      </c>
      <c r="G294" s="5">
        <f t="shared" si="12"/>
        <v>10</v>
      </c>
      <c r="H294" t="s">
        <v>247</v>
      </c>
    </row>
    <row r="295" spans="1:9" x14ac:dyDescent="0.25">
      <c r="A295" s="1">
        <f t="shared" si="13"/>
        <v>45493</v>
      </c>
      <c r="B295" s="31">
        <f>TIME(14,16,0)</f>
        <v>0.59444444444444444</v>
      </c>
      <c r="C295" t="str">
        <f>Inventory!A8</f>
        <v>soda 350ml plastic</v>
      </c>
      <c r="D295" s="27">
        <v>1</v>
      </c>
      <c r="E295" s="5">
        <f>D295*Inventory!D8</f>
        <v>50</v>
      </c>
      <c r="F295" s="5">
        <f>D295*Inventory!C8</f>
        <v>41.666666666666664</v>
      </c>
      <c r="G295" s="5">
        <f t="shared" si="12"/>
        <v>8.3333333333333357</v>
      </c>
      <c r="H295" t="s">
        <v>361</v>
      </c>
    </row>
    <row r="296" spans="1:9" x14ac:dyDescent="0.25">
      <c r="A296" s="1">
        <f t="shared" si="13"/>
        <v>45493</v>
      </c>
      <c r="B296" s="31">
        <f>TIME(14,16,0)</f>
        <v>0.59444444444444444</v>
      </c>
      <c r="C296" t="str">
        <f>Inventory!A81</f>
        <v>eggs</v>
      </c>
      <c r="D296" s="27">
        <v>6</v>
      </c>
      <c r="E296" s="5">
        <f>D296*Inventory!D81</f>
        <v>120</v>
      </c>
      <c r="F296" s="5">
        <f>D296*Inventory!C81</f>
        <v>86</v>
      </c>
      <c r="G296" s="5">
        <f t="shared" si="12"/>
        <v>34</v>
      </c>
      <c r="H296" t="s">
        <v>361</v>
      </c>
    </row>
    <row r="297" spans="1:9" x14ac:dyDescent="0.25">
      <c r="A297" s="1">
        <f t="shared" si="13"/>
        <v>45493</v>
      </c>
      <c r="B297" s="31">
        <f>TIME(14,17,0)</f>
        <v>0.59513888888888888</v>
      </c>
      <c r="C297" t="str">
        <f>Inventory!A71</f>
        <v>Indomie chicken</v>
      </c>
      <c r="D297" s="27">
        <v>4</v>
      </c>
      <c r="E297" s="5">
        <f>D297*Inventory!D71</f>
        <v>200</v>
      </c>
      <c r="F297" s="5">
        <f>D297*Inventory!C71</f>
        <v>150</v>
      </c>
      <c r="G297" s="5">
        <f t="shared" si="12"/>
        <v>50</v>
      </c>
      <c r="H297" t="s">
        <v>361</v>
      </c>
    </row>
    <row r="298" spans="1:9" x14ac:dyDescent="0.25">
      <c r="A298" s="1">
        <f t="shared" si="13"/>
        <v>45493</v>
      </c>
      <c r="B298" s="31">
        <f>TIME(14,17,0)</f>
        <v>0.59513888888888888</v>
      </c>
      <c r="C298" t="str">
        <f>Inventory!A81</f>
        <v>eggs</v>
      </c>
      <c r="D298" s="27">
        <v>4</v>
      </c>
      <c r="E298" s="5">
        <f>D298*Inventory!D81</f>
        <v>80</v>
      </c>
      <c r="F298" s="5">
        <f>D298*Inventory!C81</f>
        <v>57.333333333333336</v>
      </c>
      <c r="G298" s="5">
        <f t="shared" si="12"/>
        <v>22.666666666666664</v>
      </c>
      <c r="H298" t="s">
        <v>361</v>
      </c>
    </row>
    <row r="299" spans="1:9" x14ac:dyDescent="0.25">
      <c r="A299" s="1">
        <f t="shared" si="13"/>
        <v>45493</v>
      </c>
      <c r="B299" s="31">
        <f>TIME(14,31,0)</f>
        <v>0.60486111111111118</v>
      </c>
      <c r="C299" t="str">
        <f>Inventory!A24</f>
        <v>Brookside milk 500ml</v>
      </c>
      <c r="D299" s="27">
        <v>6</v>
      </c>
      <c r="E299" s="5">
        <f>D299*Inventory!D24</f>
        <v>420</v>
      </c>
      <c r="F299" s="5">
        <f>D299*Inventory!C24</f>
        <v>354</v>
      </c>
      <c r="G299" s="5">
        <f t="shared" si="12"/>
        <v>66</v>
      </c>
      <c r="H299" t="s">
        <v>361</v>
      </c>
    </row>
    <row r="300" spans="1:9" x14ac:dyDescent="0.25">
      <c r="A300" s="1">
        <f t="shared" si="13"/>
        <v>45493</v>
      </c>
      <c r="B300" s="31">
        <f>TIME(14,32,0)</f>
        <v>0.60555555555555551</v>
      </c>
      <c r="C300" t="str">
        <f>Inventory!A14</f>
        <v>soda 500ml glass</v>
      </c>
      <c r="D300" s="27">
        <v>1</v>
      </c>
      <c r="E300" s="5">
        <f>D300*Inventory!D14</f>
        <v>55</v>
      </c>
      <c r="F300" s="5">
        <f>D300*Inventory!C14</f>
        <v>50</v>
      </c>
      <c r="G300" s="5">
        <f t="shared" si="12"/>
        <v>5</v>
      </c>
      <c r="H300" t="s">
        <v>361</v>
      </c>
    </row>
    <row r="301" spans="1:9" x14ac:dyDescent="0.25">
      <c r="A301" s="1">
        <f t="shared" si="13"/>
        <v>45493</v>
      </c>
      <c r="B301" s="31">
        <f>TIME(15,45,0)</f>
        <v>0.65625</v>
      </c>
      <c r="C301" t="str">
        <f>Inventory!A153</f>
        <v>Pishori rice</v>
      </c>
      <c r="D301" s="27">
        <v>0.5</v>
      </c>
      <c r="E301" s="5">
        <f>D301*Inventory!D153</f>
        <v>110</v>
      </c>
      <c r="F301" s="5">
        <f>D301*Inventory!C153</f>
        <v>90</v>
      </c>
      <c r="G301" s="5">
        <f t="shared" si="12"/>
        <v>20</v>
      </c>
      <c r="H301" t="s">
        <v>359</v>
      </c>
      <c r="I301" t="s">
        <v>385</v>
      </c>
    </row>
    <row r="302" spans="1:9" x14ac:dyDescent="0.25">
      <c r="A302" s="1">
        <f t="shared" si="13"/>
        <v>45493</v>
      </c>
      <c r="B302" s="31">
        <f>TIME(16,20,0)</f>
        <v>0.68055555555555547</v>
      </c>
      <c r="C302" t="str">
        <f>Inventory!A81</f>
        <v>eggs</v>
      </c>
      <c r="D302" s="27">
        <v>2</v>
      </c>
      <c r="E302" s="5">
        <f>D302*Inventory!D81</f>
        <v>40</v>
      </c>
      <c r="F302" s="5">
        <f>D302*Inventory!C81</f>
        <v>28.666666666666668</v>
      </c>
      <c r="G302" s="5">
        <f t="shared" si="12"/>
        <v>11.333333333333332</v>
      </c>
      <c r="H302" t="s">
        <v>247</v>
      </c>
    </row>
    <row r="303" spans="1:9" x14ac:dyDescent="0.25">
      <c r="A303" s="1">
        <f t="shared" si="13"/>
        <v>45493</v>
      </c>
      <c r="B303" s="31">
        <f>TIME(16,20,0)</f>
        <v>0.68055555555555547</v>
      </c>
      <c r="C303" t="str">
        <f>Inventory!A116</f>
        <v>Tomatoes</v>
      </c>
      <c r="D303" s="27">
        <v>2</v>
      </c>
      <c r="E303" s="5">
        <f>D303*Inventory!D116</f>
        <v>20</v>
      </c>
      <c r="F303" s="5">
        <f>D303*Inventory!C116</f>
        <v>10</v>
      </c>
      <c r="G303" s="5">
        <f t="shared" si="12"/>
        <v>10</v>
      </c>
      <c r="H303" t="s">
        <v>247</v>
      </c>
    </row>
    <row r="304" spans="1:9" x14ac:dyDescent="0.25">
      <c r="A304" s="1">
        <f t="shared" si="13"/>
        <v>45493</v>
      </c>
      <c r="B304" s="31">
        <f>TIME(16,39,0)</f>
        <v>0.69374999999999998</v>
      </c>
      <c r="C304" t="str">
        <f>Inventory!A67</f>
        <v>Bigboss</v>
      </c>
      <c r="D304" s="27">
        <v>1</v>
      </c>
      <c r="E304" s="5">
        <f>D304*Inventory!D67</f>
        <v>5</v>
      </c>
      <c r="F304" s="5">
        <f>D304*Inventory!C67</f>
        <v>3.5</v>
      </c>
      <c r="G304" s="5">
        <f t="shared" si="12"/>
        <v>1.5</v>
      </c>
      <c r="H304" t="s">
        <v>361</v>
      </c>
    </row>
    <row r="305" spans="1:9" x14ac:dyDescent="0.25">
      <c r="A305" s="1">
        <f t="shared" si="13"/>
        <v>45493</v>
      </c>
      <c r="B305" s="31">
        <f>TIME(16,36,0)</f>
        <v>0.69166666666666676</v>
      </c>
      <c r="C305" t="str">
        <f>Inventory!A46</f>
        <v>Nuvita Bisquit</v>
      </c>
      <c r="D305" s="27">
        <v>2</v>
      </c>
      <c r="E305" s="5">
        <f>D305*Inventory!D46</f>
        <v>10</v>
      </c>
      <c r="F305" s="5">
        <f>D305*Inventory!C46</f>
        <v>8.3333333333333339</v>
      </c>
      <c r="G305" s="5">
        <f t="shared" si="12"/>
        <v>1.6666666666666661</v>
      </c>
      <c r="H305" t="s">
        <v>361</v>
      </c>
    </row>
    <row r="306" spans="1:9" x14ac:dyDescent="0.25">
      <c r="A306" s="1">
        <f t="shared" si="13"/>
        <v>45493</v>
      </c>
      <c r="B306" s="31">
        <f>TIME(16,57,0)</f>
        <v>0.70624999999999993</v>
      </c>
      <c r="C306" t="str">
        <f>Inventory!A54</f>
        <v>Kdf</v>
      </c>
      <c r="D306" s="27">
        <v>2</v>
      </c>
      <c r="E306" s="5">
        <f>D306*Inventory!D54</f>
        <v>20</v>
      </c>
      <c r="F306" s="5">
        <f>D306*Inventory!C54</f>
        <v>16.666666666666668</v>
      </c>
      <c r="G306" s="5">
        <f t="shared" si="12"/>
        <v>3.3333333333333321</v>
      </c>
      <c r="H306" t="s">
        <v>359</v>
      </c>
      <c r="I306" t="s">
        <v>386</v>
      </c>
    </row>
    <row r="307" spans="1:9" x14ac:dyDescent="0.25">
      <c r="A307" s="1">
        <f t="shared" si="13"/>
        <v>45493</v>
      </c>
      <c r="B307" s="31">
        <f>TIME(16,57,0)</f>
        <v>0.70624999999999993</v>
      </c>
      <c r="C307" t="str">
        <f>Inventory!A10</f>
        <v>afia 500ml</v>
      </c>
      <c r="D307" s="27">
        <v>1</v>
      </c>
      <c r="E307" s="5">
        <f>D307*Inventory!D10</f>
        <v>85</v>
      </c>
      <c r="F307" s="5">
        <f>D307*Inventory!C10</f>
        <v>70.833333333333329</v>
      </c>
      <c r="G307" s="5">
        <f t="shared" si="12"/>
        <v>14.166666666666671</v>
      </c>
      <c r="H307" t="s">
        <v>359</v>
      </c>
      <c r="I307" t="s">
        <v>386</v>
      </c>
    </row>
    <row r="308" spans="1:9" x14ac:dyDescent="0.25">
      <c r="A308" s="1">
        <f t="shared" si="13"/>
        <v>45493</v>
      </c>
      <c r="B308" s="31">
        <f>TIME(17,24,0)</f>
        <v>0.72499999999999998</v>
      </c>
      <c r="C308" t="str">
        <f>Inventory!A60</f>
        <v>Lollipop</v>
      </c>
      <c r="D308" s="27">
        <v>1</v>
      </c>
      <c r="E308" s="5">
        <f>D308*Inventory!D60</f>
        <v>5</v>
      </c>
      <c r="F308" s="5">
        <f>D308*Inventory!C60</f>
        <v>2.4</v>
      </c>
      <c r="G308" s="5">
        <f t="shared" si="12"/>
        <v>2.6</v>
      </c>
      <c r="H308" t="s">
        <v>247</v>
      </c>
    </row>
    <row r="309" spans="1:9" x14ac:dyDescent="0.25">
      <c r="A309" s="1">
        <f t="shared" si="13"/>
        <v>45493</v>
      </c>
      <c r="B309" s="31">
        <f>TIME(17,50,0)</f>
        <v>0.74305555555555547</v>
      </c>
      <c r="C309" t="str">
        <f>Inventory!A50</f>
        <v>Ring Cake</v>
      </c>
      <c r="D309" s="27">
        <v>1</v>
      </c>
      <c r="E309" s="5">
        <f>D309*Inventory!D50</f>
        <v>50</v>
      </c>
      <c r="F309" s="5">
        <f>D309*Inventory!C50</f>
        <v>45</v>
      </c>
      <c r="G309" s="5">
        <f t="shared" si="12"/>
        <v>5</v>
      </c>
      <c r="H309" t="s">
        <v>402</v>
      </c>
    </row>
    <row r="310" spans="1:9" x14ac:dyDescent="0.25">
      <c r="A310" s="1">
        <f t="shared" si="13"/>
        <v>45493</v>
      </c>
      <c r="B310" s="31">
        <f>TIME(17,50,0)</f>
        <v>0.74305555555555547</v>
      </c>
      <c r="C310" t="str">
        <f>Inventory!A50</f>
        <v>Ring Cake</v>
      </c>
      <c r="D310" s="27">
        <v>1</v>
      </c>
      <c r="E310" s="5">
        <f>D310*Inventory!D50</f>
        <v>50</v>
      </c>
      <c r="F310" s="5">
        <f>D310*Inventory!C50</f>
        <v>45</v>
      </c>
      <c r="G310" s="5">
        <f t="shared" si="12"/>
        <v>5</v>
      </c>
      <c r="H310" t="s">
        <v>361</v>
      </c>
    </row>
    <row r="311" spans="1:9" x14ac:dyDescent="0.25">
      <c r="A311" s="1">
        <f t="shared" si="13"/>
        <v>45493</v>
      </c>
      <c r="B311" s="31">
        <f>TIME(18,22,0)</f>
        <v>0.76527777777777783</v>
      </c>
      <c r="C311" t="str">
        <f>Inventory!A32</f>
        <v>Festive 600g</v>
      </c>
      <c r="D311" s="27">
        <v>1</v>
      </c>
      <c r="E311" s="5">
        <f>D311*Inventory!D32</f>
        <v>100</v>
      </c>
      <c r="F311" s="5">
        <f>D311*Inventory!C32</f>
        <v>90</v>
      </c>
      <c r="G311" s="5">
        <f t="shared" si="12"/>
        <v>10</v>
      </c>
      <c r="H311" t="s">
        <v>361</v>
      </c>
    </row>
    <row r="312" spans="1:9" x14ac:dyDescent="0.25">
      <c r="A312" s="1">
        <f t="shared" si="13"/>
        <v>45493</v>
      </c>
      <c r="B312" s="31">
        <f>TIME(18,22,0)</f>
        <v>0.76527777777777783</v>
      </c>
      <c r="C312" t="str">
        <f>Inventory!A33</f>
        <v>Festive 800g</v>
      </c>
      <c r="D312" s="27">
        <v>1</v>
      </c>
      <c r="E312" s="5">
        <f>D312*Inventory!D33</f>
        <v>130</v>
      </c>
      <c r="F312" s="5">
        <f>D312*Inventory!C33</f>
        <v>120</v>
      </c>
      <c r="G312" s="5">
        <f t="shared" si="12"/>
        <v>10</v>
      </c>
      <c r="H312" t="s">
        <v>361</v>
      </c>
    </row>
    <row r="313" spans="1:9" x14ac:dyDescent="0.25">
      <c r="A313" s="1">
        <f t="shared" si="13"/>
        <v>45493</v>
      </c>
      <c r="B313" s="31">
        <f>TIME(18,32,0)</f>
        <v>0.77222222222222225</v>
      </c>
      <c r="C313" t="str">
        <f>Inventory!A7</f>
        <v>soda 500ml plastic</v>
      </c>
      <c r="D313" s="27">
        <v>1</v>
      </c>
      <c r="E313" s="5">
        <f>D313*Inventory!D7</f>
        <v>70</v>
      </c>
      <c r="F313" s="5">
        <f>D313*Inventory!C7</f>
        <v>60.416666666666664</v>
      </c>
      <c r="G313" s="5">
        <f t="shared" si="12"/>
        <v>9.5833333333333357</v>
      </c>
      <c r="H313" t="s">
        <v>359</v>
      </c>
      <c r="I313" t="s">
        <v>403</v>
      </c>
    </row>
    <row r="314" spans="1:9" x14ac:dyDescent="0.25">
      <c r="A314" s="1">
        <f t="shared" si="13"/>
        <v>45493</v>
      </c>
      <c r="B314" s="31">
        <f>TIME(19,30,0)</f>
        <v>0.8125</v>
      </c>
      <c r="C314" t="str">
        <f>Inventory!A71</f>
        <v>Indomie chicken</v>
      </c>
      <c r="D314" s="27">
        <v>2</v>
      </c>
      <c r="E314" s="5">
        <f>D314*Inventory!D71</f>
        <v>100</v>
      </c>
      <c r="F314" s="5">
        <f>D314*Inventory!C71</f>
        <v>75</v>
      </c>
      <c r="G314" s="5">
        <f t="shared" si="12"/>
        <v>25</v>
      </c>
      <c r="H314" t="s">
        <v>359</v>
      </c>
      <c r="I314" t="s">
        <v>404</v>
      </c>
    </row>
    <row r="315" spans="1:9" x14ac:dyDescent="0.25">
      <c r="A315" s="1">
        <f t="shared" si="13"/>
        <v>45493</v>
      </c>
      <c r="B315" s="31">
        <f t="shared" ref="B315:B332" si="14">TIME(19,30,0)</f>
        <v>0.8125</v>
      </c>
      <c r="C315" t="str">
        <f>Inventory!A125</f>
        <v>Dhania</v>
      </c>
      <c r="D315" s="27">
        <v>4</v>
      </c>
      <c r="E315" s="5">
        <f>D315*Inventory!D125</f>
        <v>20</v>
      </c>
      <c r="F315" s="5">
        <f>D315*Inventory!C125</f>
        <v>13.333333333333334</v>
      </c>
      <c r="G315" s="5">
        <f t="shared" si="12"/>
        <v>6.6666666666666661</v>
      </c>
      <c r="H315" t="s">
        <v>359</v>
      </c>
      <c r="I315" t="s">
        <v>404</v>
      </c>
    </row>
    <row r="316" spans="1:9" x14ac:dyDescent="0.25">
      <c r="A316" s="1">
        <f t="shared" si="13"/>
        <v>45493</v>
      </c>
      <c r="B316" s="31">
        <f t="shared" si="14"/>
        <v>0.8125</v>
      </c>
      <c r="C316" t="str">
        <f>Inventory!A115</f>
        <v>Onion</v>
      </c>
      <c r="D316" s="27">
        <v>3</v>
      </c>
      <c r="E316" s="5">
        <f>D316*Inventory!D115</f>
        <v>30</v>
      </c>
      <c r="F316" s="5">
        <f>D316*Inventory!C115</f>
        <v>24</v>
      </c>
      <c r="G316" s="5">
        <f t="shared" si="12"/>
        <v>6</v>
      </c>
      <c r="H316" t="s">
        <v>359</v>
      </c>
      <c r="I316" t="s">
        <v>404</v>
      </c>
    </row>
    <row r="317" spans="1:9" x14ac:dyDescent="0.25">
      <c r="A317" s="1">
        <f t="shared" si="13"/>
        <v>45493</v>
      </c>
      <c r="B317" s="31">
        <f t="shared" si="14"/>
        <v>0.8125</v>
      </c>
      <c r="C317" t="str">
        <f>Inventory!A116</f>
        <v>Tomatoes</v>
      </c>
      <c r="D317" s="27">
        <v>5</v>
      </c>
      <c r="E317" s="5">
        <f>D317*Inventory!D115</f>
        <v>50</v>
      </c>
      <c r="F317" s="5">
        <f>D317*Inventory!C115</f>
        <v>40</v>
      </c>
      <c r="G317" s="5">
        <f t="shared" si="12"/>
        <v>10</v>
      </c>
      <c r="H317" t="s">
        <v>359</v>
      </c>
      <c r="I317" t="s">
        <v>404</v>
      </c>
    </row>
    <row r="318" spans="1:9" x14ac:dyDescent="0.25">
      <c r="A318" s="1">
        <f t="shared" si="13"/>
        <v>45493</v>
      </c>
      <c r="B318" s="31">
        <f t="shared" si="14"/>
        <v>0.8125</v>
      </c>
      <c r="C318" t="str">
        <f>Inventory!A88</f>
        <v>Ajab 1kg</v>
      </c>
      <c r="D318" s="27">
        <v>1</v>
      </c>
      <c r="E318" s="5">
        <f>D318*Inventory!D88</f>
        <v>120</v>
      </c>
      <c r="F318" s="5">
        <f>D318*Inventory!C88</f>
        <v>87.5</v>
      </c>
      <c r="G318" s="5">
        <f t="shared" si="12"/>
        <v>32.5</v>
      </c>
      <c r="H318" t="s">
        <v>359</v>
      </c>
      <c r="I318" t="s">
        <v>404</v>
      </c>
    </row>
    <row r="319" spans="1:9" x14ac:dyDescent="0.25">
      <c r="A319" s="1">
        <f t="shared" si="13"/>
        <v>45493</v>
      </c>
      <c r="B319" s="31">
        <f t="shared" si="14"/>
        <v>0.8125</v>
      </c>
      <c r="C319" t="str">
        <f>Inventory!A89</f>
        <v>Tukuza 1kg</v>
      </c>
      <c r="D319" s="27">
        <v>1</v>
      </c>
      <c r="E319" s="5">
        <f>D319*Inventory!D89</f>
        <v>90</v>
      </c>
      <c r="F319" s="5">
        <f>D319*Inventory!C89</f>
        <v>61.25</v>
      </c>
      <c r="G319" s="5">
        <f t="shared" si="12"/>
        <v>28.75</v>
      </c>
      <c r="H319" t="s">
        <v>359</v>
      </c>
      <c r="I319" t="s">
        <v>404</v>
      </c>
    </row>
    <row r="320" spans="1:9" x14ac:dyDescent="0.25">
      <c r="A320" s="1">
        <f t="shared" si="13"/>
        <v>45493</v>
      </c>
      <c r="B320" s="31">
        <f t="shared" si="14"/>
        <v>0.8125</v>
      </c>
      <c r="C320" t="str">
        <f>Inventory!A153</f>
        <v>Pishori rice</v>
      </c>
      <c r="D320" s="27">
        <v>1</v>
      </c>
      <c r="E320" s="5">
        <f>D320*Inventory!D153</f>
        <v>220</v>
      </c>
      <c r="F320" s="5">
        <f>D320*Inventory!C153</f>
        <v>180</v>
      </c>
      <c r="G320" s="5">
        <f t="shared" si="12"/>
        <v>40</v>
      </c>
      <c r="H320" t="s">
        <v>359</v>
      </c>
      <c r="I320" t="s">
        <v>404</v>
      </c>
    </row>
    <row r="321" spans="1:9" x14ac:dyDescent="0.25">
      <c r="A321" s="1">
        <f t="shared" si="13"/>
        <v>45493</v>
      </c>
      <c r="B321" s="31">
        <f t="shared" si="14"/>
        <v>0.8125</v>
      </c>
      <c r="C321" t="str">
        <f>Inventory!A81</f>
        <v>eggs</v>
      </c>
      <c r="D321" s="27">
        <v>5</v>
      </c>
      <c r="E321" s="5">
        <f>D321*Inventory!D81</f>
        <v>100</v>
      </c>
      <c r="F321" s="5">
        <f>D321*Inventory!C81</f>
        <v>71.666666666666671</v>
      </c>
      <c r="G321" s="5">
        <f t="shared" si="12"/>
        <v>28.333333333333329</v>
      </c>
      <c r="H321" t="s">
        <v>359</v>
      </c>
      <c r="I321" t="s">
        <v>404</v>
      </c>
    </row>
    <row r="322" spans="1:9" x14ac:dyDescent="0.25">
      <c r="A322" s="1">
        <f t="shared" si="13"/>
        <v>45493</v>
      </c>
      <c r="B322" s="31">
        <f t="shared" si="14"/>
        <v>0.8125</v>
      </c>
      <c r="C322" t="str">
        <f>Inventory!A122</f>
        <v>Kinangop Fresh Milk 500ml</v>
      </c>
      <c r="D322" s="27">
        <v>1</v>
      </c>
      <c r="E322" s="5">
        <f>D322*Inventory!D122</f>
        <v>60</v>
      </c>
      <c r="F322" s="5">
        <f>D322*Inventory!C122</f>
        <v>55</v>
      </c>
      <c r="G322" s="5">
        <f t="shared" si="12"/>
        <v>5</v>
      </c>
      <c r="H322" t="s">
        <v>359</v>
      </c>
      <c r="I322" t="s">
        <v>404</v>
      </c>
    </row>
    <row r="323" spans="1:9" x14ac:dyDescent="0.25">
      <c r="A323" s="1">
        <f t="shared" si="13"/>
        <v>45493</v>
      </c>
      <c r="B323" s="31">
        <f t="shared" si="14"/>
        <v>0.8125</v>
      </c>
      <c r="C323" t="str">
        <f>Inventory!A132</f>
        <v>Festive Bread 400g</v>
      </c>
      <c r="D323" s="27">
        <v>1</v>
      </c>
      <c r="E323" s="5">
        <f>D323*Inventory!D132</f>
        <v>65</v>
      </c>
      <c r="F323" s="5">
        <f>D323*Inventory!C132</f>
        <v>60</v>
      </c>
      <c r="G323" s="5">
        <f t="shared" ref="G323:G386" si="15">E323-F323</f>
        <v>5</v>
      </c>
      <c r="H323" t="s">
        <v>359</v>
      </c>
      <c r="I323" t="s">
        <v>404</v>
      </c>
    </row>
    <row r="324" spans="1:9" x14ac:dyDescent="0.25">
      <c r="A324" s="1">
        <f t="shared" si="13"/>
        <v>45493</v>
      </c>
      <c r="B324" s="31">
        <f t="shared" si="14"/>
        <v>0.8125</v>
      </c>
      <c r="C324" t="str">
        <f>Inventory!A14</f>
        <v>soda 500ml glass</v>
      </c>
      <c r="D324" s="27">
        <v>1</v>
      </c>
      <c r="E324" s="5">
        <f>D324*Inventory!D14</f>
        <v>55</v>
      </c>
      <c r="F324" s="5">
        <f>D324*Inventory!C14</f>
        <v>50</v>
      </c>
      <c r="G324" s="5">
        <f t="shared" si="15"/>
        <v>5</v>
      </c>
      <c r="H324" t="s">
        <v>359</v>
      </c>
      <c r="I324" t="s">
        <v>404</v>
      </c>
    </row>
    <row r="325" spans="1:9" x14ac:dyDescent="0.25">
      <c r="A325" s="1">
        <f t="shared" si="13"/>
        <v>45493</v>
      </c>
      <c r="B325" s="31">
        <f t="shared" si="14"/>
        <v>0.8125</v>
      </c>
      <c r="C325" t="str">
        <f>Inventory!A93</f>
        <v>Hanaan Tissue</v>
      </c>
      <c r="D325" s="27">
        <v>1</v>
      </c>
      <c r="E325" s="5">
        <f>D325*Inventory!D93</f>
        <v>50</v>
      </c>
      <c r="F325" s="5">
        <f>D325*Inventory!C88</f>
        <v>87.5</v>
      </c>
      <c r="G325" s="5">
        <f t="shared" si="15"/>
        <v>-37.5</v>
      </c>
      <c r="H325" t="s">
        <v>359</v>
      </c>
      <c r="I325" t="s">
        <v>404</v>
      </c>
    </row>
    <row r="326" spans="1:9" x14ac:dyDescent="0.25">
      <c r="A326" s="1">
        <f t="shared" si="13"/>
        <v>45493</v>
      </c>
      <c r="B326" s="31">
        <f t="shared" si="14"/>
        <v>0.8125</v>
      </c>
      <c r="C326" t="str">
        <f>Inventory!A147</f>
        <v>Sugar</v>
      </c>
      <c r="D326" s="27">
        <v>0.5</v>
      </c>
      <c r="E326" s="5">
        <f>D326*Inventory!D147</f>
        <v>90</v>
      </c>
      <c r="F326" s="5">
        <f>D326*Inventory!C93</f>
        <v>21.5</v>
      </c>
      <c r="G326" s="5">
        <f t="shared" si="15"/>
        <v>68.5</v>
      </c>
      <c r="H326" t="s">
        <v>359</v>
      </c>
      <c r="I326" t="s">
        <v>404</v>
      </c>
    </row>
    <row r="327" spans="1:9" x14ac:dyDescent="0.25">
      <c r="A327" s="1">
        <f t="shared" si="13"/>
        <v>45493</v>
      </c>
      <c r="B327" s="31">
        <f t="shared" si="14"/>
        <v>0.8125</v>
      </c>
      <c r="C327" t="str">
        <f>Inventory!A26</f>
        <v>Nescafe 1.5g</v>
      </c>
      <c r="D327" s="27">
        <v>2</v>
      </c>
      <c r="E327" s="5">
        <f>D327*Inventory!D26</f>
        <v>30</v>
      </c>
      <c r="F327" s="5">
        <f>D327*Inventory!C26</f>
        <v>18.333333333333332</v>
      </c>
      <c r="G327" s="5">
        <f t="shared" si="15"/>
        <v>11.666666666666668</v>
      </c>
      <c r="H327" t="s">
        <v>359</v>
      </c>
      <c r="I327" t="s">
        <v>404</v>
      </c>
    </row>
    <row r="328" spans="1:9" x14ac:dyDescent="0.25">
      <c r="A328" s="1">
        <f t="shared" si="13"/>
        <v>45493</v>
      </c>
      <c r="B328" s="31">
        <f t="shared" si="14"/>
        <v>0.8125</v>
      </c>
      <c r="C328" t="str">
        <f>Inventory!A29</f>
        <v>Tangawizi Tea 50g</v>
      </c>
      <c r="D328" s="27">
        <v>1</v>
      </c>
      <c r="E328" s="5">
        <f>D328*Inventory!D29</f>
        <v>35</v>
      </c>
      <c r="F328" s="5">
        <f>D328*Inventory!C29</f>
        <v>29.166666666666668</v>
      </c>
      <c r="G328" s="5">
        <f t="shared" si="15"/>
        <v>5.8333333333333321</v>
      </c>
      <c r="H328" t="s">
        <v>359</v>
      </c>
      <c r="I328" t="s">
        <v>404</v>
      </c>
    </row>
    <row r="329" spans="1:9" x14ac:dyDescent="0.25">
      <c r="A329" s="1">
        <f t="shared" ref="A329:A342" si="16">DATE(2024,7,20)</f>
        <v>45493</v>
      </c>
      <c r="B329" s="31">
        <f t="shared" si="14"/>
        <v>0.8125</v>
      </c>
      <c r="C329" t="str">
        <f>Inventory!A28</f>
        <v>Fahari Tea 50g</v>
      </c>
      <c r="D329" s="27">
        <v>1</v>
      </c>
      <c r="E329" s="5">
        <f>D329*Inventory!D28</f>
        <v>30</v>
      </c>
      <c r="F329" s="5">
        <f>D329*Inventory!C28</f>
        <v>17.5</v>
      </c>
      <c r="G329" s="5">
        <f t="shared" si="15"/>
        <v>12.5</v>
      </c>
      <c r="H329" t="s">
        <v>359</v>
      </c>
      <c r="I329" t="s">
        <v>404</v>
      </c>
    </row>
    <row r="330" spans="1:9" x14ac:dyDescent="0.25">
      <c r="A330" s="1">
        <f t="shared" si="16"/>
        <v>45493</v>
      </c>
      <c r="B330" s="31">
        <f t="shared" si="14"/>
        <v>0.8125</v>
      </c>
      <c r="C330" t="str">
        <f>Inventory!A80</f>
        <v>Blueband 250g</v>
      </c>
      <c r="D330" s="27">
        <v>1</v>
      </c>
      <c r="E330" s="5">
        <f>D330*Inventory!D80</f>
        <v>190</v>
      </c>
      <c r="F330" s="5">
        <f>D330*Inventory!C80</f>
        <v>140</v>
      </c>
      <c r="G330" s="5">
        <f t="shared" si="15"/>
        <v>50</v>
      </c>
      <c r="H330" t="s">
        <v>359</v>
      </c>
      <c r="I330" t="s">
        <v>404</v>
      </c>
    </row>
    <row r="331" spans="1:9" x14ac:dyDescent="0.25">
      <c r="A331" s="1">
        <f t="shared" si="16"/>
        <v>45493</v>
      </c>
      <c r="B331" s="31">
        <f t="shared" si="14"/>
        <v>0.8125</v>
      </c>
      <c r="C331" t="str">
        <f>Inventory!A160</f>
        <v>Geisha big</v>
      </c>
      <c r="D331" s="27">
        <v>1</v>
      </c>
      <c r="E331" s="5">
        <f>D331*Inventory!D160</f>
        <v>120</v>
      </c>
      <c r="F331" s="5">
        <f>D331*Inventory!C160</f>
        <v>95</v>
      </c>
      <c r="G331" s="5">
        <f t="shared" si="15"/>
        <v>25</v>
      </c>
      <c r="H331" t="s">
        <v>359</v>
      </c>
      <c r="I331" t="s">
        <v>404</v>
      </c>
    </row>
    <row r="332" spans="1:9" x14ac:dyDescent="0.25">
      <c r="A332" s="1">
        <f t="shared" si="16"/>
        <v>45493</v>
      </c>
      <c r="B332" s="31">
        <f t="shared" si="14"/>
        <v>0.8125</v>
      </c>
      <c r="C332" t="str">
        <f>Inventory!A161</f>
        <v>Ndimu</v>
      </c>
      <c r="D332" s="27">
        <v>1</v>
      </c>
      <c r="E332" s="5">
        <f>D332*Inventory!D161</f>
        <v>20</v>
      </c>
      <c r="F332" s="5">
        <f>D332*Inventory!C161</f>
        <v>8.3333333333333339</v>
      </c>
      <c r="G332" s="5">
        <f t="shared" si="15"/>
        <v>11.666666666666666</v>
      </c>
      <c r="H332" t="s">
        <v>359</v>
      </c>
      <c r="I332" t="s">
        <v>404</v>
      </c>
    </row>
    <row r="333" spans="1:9" x14ac:dyDescent="0.25">
      <c r="A333" s="1">
        <f t="shared" si="16"/>
        <v>45493</v>
      </c>
      <c r="B333" s="31">
        <f>TIME(19,42,0)</f>
        <v>0.8208333333333333</v>
      </c>
      <c r="C333" t="str">
        <f>Inventory!A81</f>
        <v>eggs</v>
      </c>
      <c r="D333" s="27">
        <v>5</v>
      </c>
      <c r="E333" s="5">
        <f>D333*Inventory!D81</f>
        <v>100</v>
      </c>
      <c r="F333" s="5">
        <f>D333*Inventory!C81</f>
        <v>71.666666666666671</v>
      </c>
      <c r="G333" s="5">
        <f t="shared" si="15"/>
        <v>28.333333333333329</v>
      </c>
      <c r="H333" t="s">
        <v>361</v>
      </c>
    </row>
    <row r="334" spans="1:9" x14ac:dyDescent="0.25">
      <c r="A334" s="1">
        <f t="shared" si="16"/>
        <v>45493</v>
      </c>
      <c r="B334" s="31">
        <f>TIME(19,42,0)</f>
        <v>0.8208333333333333</v>
      </c>
      <c r="C334" t="str">
        <f>Inventory!A122</f>
        <v>Kinangop Fresh Milk 500ml</v>
      </c>
      <c r="D334" s="27">
        <v>2</v>
      </c>
      <c r="E334" s="5">
        <f>D334*Inventory!D122</f>
        <v>120</v>
      </c>
      <c r="F334" s="5">
        <f>D334*Inventory!C122</f>
        <v>110</v>
      </c>
      <c r="G334" s="5">
        <f t="shared" si="15"/>
        <v>10</v>
      </c>
      <c r="H334" t="s">
        <v>361</v>
      </c>
    </row>
    <row r="335" spans="1:9" x14ac:dyDescent="0.25">
      <c r="A335" s="1">
        <f t="shared" si="16"/>
        <v>45493</v>
      </c>
      <c r="B335" s="31">
        <f>TIME(20,28,0)</f>
        <v>0.85277777777777775</v>
      </c>
      <c r="C335" t="str">
        <f>Inventory!A117</f>
        <v>Cooking Oil Measured</v>
      </c>
      <c r="D335" s="27">
        <v>0.5</v>
      </c>
      <c r="E335" s="5">
        <f>D335*Inventory!D117</f>
        <v>140</v>
      </c>
      <c r="F335" s="5">
        <f>D335*Inventory!C117</f>
        <v>100</v>
      </c>
      <c r="G335" s="5">
        <f t="shared" si="15"/>
        <v>40</v>
      </c>
      <c r="H335" t="s">
        <v>361</v>
      </c>
    </row>
    <row r="336" spans="1:9" x14ac:dyDescent="0.25">
      <c r="A336" s="1">
        <f t="shared" si="16"/>
        <v>45493</v>
      </c>
      <c r="B336" s="31">
        <f>TIME(20,30,0)</f>
        <v>0.85416666666666663</v>
      </c>
      <c r="C336" t="str">
        <f>Inventory!A36</f>
        <v>Tamu  Tamu Green</v>
      </c>
      <c r="D336" s="27">
        <v>1</v>
      </c>
      <c r="E336" s="5">
        <f>D336*Inventory!D36</f>
        <v>15</v>
      </c>
      <c r="F336" s="5">
        <f>D336*Inventory!C36</f>
        <v>8.6</v>
      </c>
      <c r="G336" s="5">
        <f t="shared" si="15"/>
        <v>6.4</v>
      </c>
      <c r="H336" t="s">
        <v>247</v>
      </c>
    </row>
    <row r="337" spans="1:9" x14ac:dyDescent="0.25">
      <c r="A337" s="1">
        <f t="shared" si="16"/>
        <v>45493</v>
      </c>
      <c r="B337" s="31">
        <f>TIME(20,30,0)</f>
        <v>0.85416666666666663</v>
      </c>
      <c r="C337" t="str">
        <f>Inventory!A64</f>
        <v>Sodacans</v>
      </c>
      <c r="D337" s="27">
        <v>1</v>
      </c>
      <c r="E337" s="5">
        <f>D337*Inventory!D64</f>
        <v>20</v>
      </c>
      <c r="F337" s="5">
        <f>D337*Inventory!C64</f>
        <v>15</v>
      </c>
      <c r="G337" s="5">
        <f t="shared" si="15"/>
        <v>5</v>
      </c>
      <c r="H337" t="s">
        <v>247</v>
      </c>
    </row>
    <row r="338" spans="1:9" x14ac:dyDescent="0.25">
      <c r="A338" s="1">
        <f t="shared" si="16"/>
        <v>45493</v>
      </c>
      <c r="B338" s="31">
        <f>TIME(20,30,0)</f>
        <v>0.85416666666666663</v>
      </c>
      <c r="C338" t="str">
        <f>Inventory!A63</f>
        <v>Gomba</v>
      </c>
      <c r="D338" s="27">
        <v>2</v>
      </c>
      <c r="E338" s="5">
        <f>D338*Inventory!D63</f>
        <v>5</v>
      </c>
      <c r="F338" s="5">
        <f>D338*Inventory!C63</f>
        <v>3.6</v>
      </c>
      <c r="G338" s="5">
        <f t="shared" si="15"/>
        <v>1.4</v>
      </c>
      <c r="H338" t="s">
        <v>247</v>
      </c>
    </row>
    <row r="339" spans="1:9" x14ac:dyDescent="0.25">
      <c r="A339" s="1">
        <f t="shared" si="16"/>
        <v>45493</v>
      </c>
      <c r="B339" s="31">
        <f>TIME(20,30,0)</f>
        <v>0.85416666666666663</v>
      </c>
      <c r="C339" t="str">
        <f>Inventory!A47</f>
        <v>Lemon Bisquit</v>
      </c>
      <c r="D339" s="27">
        <v>1</v>
      </c>
      <c r="E339" s="5">
        <f>D339*Inventory!D47</f>
        <v>5</v>
      </c>
      <c r="F339" s="5">
        <f>D339*Inventory!C47</f>
        <v>4.333333333333333</v>
      </c>
      <c r="G339" s="5">
        <f t="shared" si="15"/>
        <v>0.66666666666666696</v>
      </c>
      <c r="H339" t="s">
        <v>247</v>
      </c>
    </row>
    <row r="340" spans="1:9" x14ac:dyDescent="0.25">
      <c r="A340" s="1">
        <f t="shared" si="16"/>
        <v>45493</v>
      </c>
      <c r="B340" s="31">
        <f>TIME(20,36,0)</f>
        <v>0.85833333333333339</v>
      </c>
      <c r="C340" t="str">
        <f>Inventory!A154</f>
        <v>waru</v>
      </c>
      <c r="D340" s="27">
        <v>2</v>
      </c>
      <c r="E340" s="5">
        <f>D340*Inventory!D154</f>
        <v>100</v>
      </c>
      <c r="F340" s="5">
        <f>D340*Inventory!C154</f>
        <v>59.999999999999993</v>
      </c>
      <c r="G340" s="5">
        <f t="shared" si="15"/>
        <v>40.000000000000007</v>
      </c>
      <c r="H340" t="s">
        <v>359</v>
      </c>
      <c r="I340" t="s">
        <v>398</v>
      </c>
    </row>
    <row r="341" spans="1:9" x14ac:dyDescent="0.25">
      <c r="A341" s="1">
        <f t="shared" si="16"/>
        <v>45493</v>
      </c>
      <c r="B341" s="31">
        <f>TIME(20,51,0)</f>
        <v>0.86875000000000002</v>
      </c>
      <c r="C341" t="str">
        <f>Inventory!A122</f>
        <v>Kinangop Fresh Milk 500ml</v>
      </c>
      <c r="D341" s="27">
        <v>1</v>
      </c>
      <c r="E341" s="5">
        <f>D341*Inventory!D122</f>
        <v>60</v>
      </c>
      <c r="F341" s="5">
        <f>D341*Inventory!C122</f>
        <v>55</v>
      </c>
      <c r="G341" s="5">
        <f t="shared" si="15"/>
        <v>5</v>
      </c>
      <c r="H341" t="s">
        <v>361</v>
      </c>
    </row>
    <row r="342" spans="1:9" x14ac:dyDescent="0.25">
      <c r="A342" s="1">
        <f t="shared" si="16"/>
        <v>45493</v>
      </c>
      <c r="B342" s="31">
        <f>TIME(20,51,0)</f>
        <v>0.86875000000000002</v>
      </c>
      <c r="C342" t="str">
        <f>Inventory!A30</f>
        <v>BB Bread 400g</v>
      </c>
      <c r="D342" s="27">
        <v>1</v>
      </c>
      <c r="E342" s="5">
        <f>D342*Inventory!D30</f>
        <v>65</v>
      </c>
      <c r="F342" s="5">
        <f>D342*Inventory!C30</f>
        <v>60</v>
      </c>
      <c r="G342" s="5">
        <f t="shared" si="15"/>
        <v>5</v>
      </c>
      <c r="H342" t="s">
        <v>361</v>
      </c>
    </row>
    <row r="343" spans="1:9" x14ac:dyDescent="0.25">
      <c r="A343" s="1">
        <f>DATE(2024,7,21)</f>
        <v>45494</v>
      </c>
      <c r="B343" s="31">
        <f>TIME(7,50,0)</f>
        <v>0.3263888888888889</v>
      </c>
      <c r="C343" t="str">
        <f>Inventory!A30</f>
        <v>BB Bread 400g</v>
      </c>
      <c r="D343" s="27">
        <v>1</v>
      </c>
      <c r="E343" s="5">
        <f>D343*Inventory!D30</f>
        <v>65</v>
      </c>
      <c r="F343" s="5">
        <f>D343*Inventory!C30</f>
        <v>60</v>
      </c>
      <c r="G343" s="5">
        <f t="shared" si="15"/>
        <v>5</v>
      </c>
      <c r="H343" t="s">
        <v>359</v>
      </c>
      <c r="I343" t="s">
        <v>384</v>
      </c>
    </row>
    <row r="344" spans="1:9" x14ac:dyDescent="0.25">
      <c r="A344" s="1">
        <f t="shared" ref="A344:A404" si="17">DATE(2024,7,21)</f>
        <v>45494</v>
      </c>
      <c r="B344" s="31">
        <f>TIME(7,50,0)</f>
        <v>0.3263888888888889</v>
      </c>
      <c r="C344" t="str">
        <f>Inventory!A23</f>
        <v>Mt kenya milk 500ml</v>
      </c>
      <c r="D344" s="27">
        <v>1</v>
      </c>
      <c r="E344" s="5">
        <f>D344*Inventory!D23</f>
        <v>65</v>
      </c>
      <c r="F344" s="5">
        <f>D344*Inventory!C23</f>
        <v>48.333333333333336</v>
      </c>
      <c r="G344" s="5">
        <f t="shared" si="15"/>
        <v>16.666666666666664</v>
      </c>
      <c r="H344" t="s">
        <v>359</v>
      </c>
      <c r="I344" t="s">
        <v>384</v>
      </c>
    </row>
    <row r="345" spans="1:9" x14ac:dyDescent="0.25">
      <c r="A345" s="1">
        <f t="shared" si="17"/>
        <v>45494</v>
      </c>
      <c r="B345" s="31">
        <f>TIME(7,50,0)</f>
        <v>0.3263888888888889</v>
      </c>
      <c r="C345" t="str">
        <f>Inventory!A110</f>
        <v>omo 75g</v>
      </c>
      <c r="D345" s="27">
        <v>1</v>
      </c>
      <c r="E345" s="5">
        <f>D345*Inventory!D110</f>
        <v>35</v>
      </c>
      <c r="F345" s="5">
        <f>D345*Inventory!C110</f>
        <v>27.5</v>
      </c>
      <c r="G345" s="5">
        <f t="shared" si="15"/>
        <v>7.5</v>
      </c>
      <c r="H345" t="s">
        <v>359</v>
      </c>
      <c r="I345" t="s">
        <v>384</v>
      </c>
    </row>
    <row r="346" spans="1:9" x14ac:dyDescent="0.25">
      <c r="A346" s="1">
        <f t="shared" si="17"/>
        <v>45494</v>
      </c>
      <c r="B346" s="31">
        <f>TIME(7,52,0)</f>
        <v>0.32777777777777778</v>
      </c>
      <c r="C346" t="str">
        <f>Inventory!A84</f>
        <v>Safari</v>
      </c>
      <c r="D346" s="27">
        <v>4</v>
      </c>
      <c r="E346" s="5">
        <f>D346*Inventory!D84</f>
        <v>60</v>
      </c>
      <c r="F346" s="5">
        <f>D346*Inventory!C84</f>
        <v>34</v>
      </c>
      <c r="G346" s="5">
        <f t="shared" si="15"/>
        <v>26</v>
      </c>
      <c r="H346" t="s">
        <v>361</v>
      </c>
    </row>
    <row r="347" spans="1:9" x14ac:dyDescent="0.25">
      <c r="A347" s="1">
        <f t="shared" si="17"/>
        <v>45494</v>
      </c>
      <c r="B347" s="31">
        <f>TIME(7,52,0)</f>
        <v>0.32777777777777778</v>
      </c>
      <c r="C347" t="str">
        <f>Inventory!A162</f>
        <v>Match Box</v>
      </c>
      <c r="D347" s="27">
        <v>1</v>
      </c>
      <c r="E347" s="5">
        <f>D347*Inventory!D162</f>
        <v>5</v>
      </c>
      <c r="F347" s="5">
        <f>D347*Inventory!C162</f>
        <v>2.3611111111111112</v>
      </c>
      <c r="G347" s="5">
        <f t="shared" si="15"/>
        <v>2.6388888888888888</v>
      </c>
      <c r="H347" t="s">
        <v>361</v>
      </c>
    </row>
    <row r="348" spans="1:9" x14ac:dyDescent="0.25">
      <c r="A348" s="1">
        <f t="shared" si="17"/>
        <v>45494</v>
      </c>
      <c r="B348" s="31">
        <f>TIME(7,56,0)</f>
        <v>0.33055555555555555</v>
      </c>
      <c r="C348" t="str">
        <f>Inventory!A132</f>
        <v>Festive Bread 400g</v>
      </c>
      <c r="D348" s="27">
        <v>1</v>
      </c>
      <c r="E348" s="5">
        <f>D348*Inventory!D132</f>
        <v>65</v>
      </c>
      <c r="F348" s="5">
        <f>D348*Inventory!C132</f>
        <v>60</v>
      </c>
      <c r="G348" s="5">
        <f t="shared" si="15"/>
        <v>5</v>
      </c>
      <c r="H348" t="s">
        <v>359</v>
      </c>
      <c r="I348" t="s">
        <v>391</v>
      </c>
    </row>
    <row r="349" spans="1:9" x14ac:dyDescent="0.25">
      <c r="A349" s="1">
        <f t="shared" si="17"/>
        <v>45494</v>
      </c>
      <c r="B349" s="31">
        <f>TIME(7,56,0)</f>
        <v>0.33055555555555555</v>
      </c>
      <c r="C349" t="str">
        <f>Inventory!A122</f>
        <v>Kinangop Fresh Milk 500ml</v>
      </c>
      <c r="D349" s="27">
        <v>1</v>
      </c>
      <c r="E349" s="5">
        <f>D349*Inventory!D122</f>
        <v>60</v>
      </c>
      <c r="F349" s="5">
        <f>D349*Inventory!C122</f>
        <v>55</v>
      </c>
      <c r="G349" s="5">
        <f t="shared" si="15"/>
        <v>5</v>
      </c>
      <c r="H349" t="s">
        <v>359</v>
      </c>
      <c r="I349" t="s">
        <v>391</v>
      </c>
    </row>
    <row r="350" spans="1:9" x14ac:dyDescent="0.25">
      <c r="A350" s="1">
        <f t="shared" si="17"/>
        <v>45494</v>
      </c>
      <c r="B350" s="31">
        <f>TIME(8,17,0)</f>
        <v>0.34513888888888888</v>
      </c>
      <c r="C350" t="str">
        <f>Inventory!A132</f>
        <v>Festive Bread 400g</v>
      </c>
      <c r="D350" s="27">
        <v>1</v>
      </c>
      <c r="E350" s="5">
        <f>D350*Inventory!D132</f>
        <v>65</v>
      </c>
      <c r="F350" s="5">
        <f>D350*Inventory!C132</f>
        <v>60</v>
      </c>
      <c r="G350" s="5">
        <f t="shared" si="15"/>
        <v>5</v>
      </c>
      <c r="H350" t="s">
        <v>361</v>
      </c>
    </row>
    <row r="351" spans="1:9" x14ac:dyDescent="0.25">
      <c r="A351" s="1">
        <f t="shared" si="17"/>
        <v>45494</v>
      </c>
      <c r="B351" s="31">
        <f>TIME(8,45,0)</f>
        <v>0.36458333333333331</v>
      </c>
      <c r="C351" t="str">
        <f>Inventory!A24</f>
        <v>Brookside milk 500ml</v>
      </c>
      <c r="D351" s="27">
        <v>1</v>
      </c>
      <c r="E351" s="5">
        <f>D351*Inventory!D24</f>
        <v>70</v>
      </c>
      <c r="F351" s="5">
        <f>D351*Inventory!C24</f>
        <v>59</v>
      </c>
      <c r="G351" s="5">
        <f t="shared" si="15"/>
        <v>11</v>
      </c>
      <c r="H351" t="s">
        <v>247</v>
      </c>
    </row>
    <row r="352" spans="1:9" x14ac:dyDescent="0.25">
      <c r="A352" s="1">
        <f t="shared" si="17"/>
        <v>45494</v>
      </c>
      <c r="B352" s="31">
        <f>TIME(9,20,0)</f>
        <v>0.3888888888888889</v>
      </c>
      <c r="C352" t="str">
        <f>Inventory!A30</f>
        <v>BB Bread 400g</v>
      </c>
      <c r="D352" s="27">
        <v>1</v>
      </c>
      <c r="E352" s="5">
        <f>D352*Inventory!D30</f>
        <v>65</v>
      </c>
      <c r="F352" s="5">
        <f>D352*Inventory!C30</f>
        <v>60</v>
      </c>
      <c r="G352" s="5">
        <f t="shared" si="15"/>
        <v>5</v>
      </c>
      <c r="H352" t="s">
        <v>359</v>
      </c>
      <c r="I352" t="s">
        <v>392</v>
      </c>
    </row>
    <row r="353" spans="1:9" x14ac:dyDescent="0.25">
      <c r="A353" s="1">
        <f t="shared" si="17"/>
        <v>45494</v>
      </c>
      <c r="B353" s="31">
        <f>TIME(9,20,0)</f>
        <v>0.3888888888888889</v>
      </c>
      <c r="C353" t="str">
        <f>Inventory!A162</f>
        <v>Match Box</v>
      </c>
      <c r="D353" s="27">
        <v>1</v>
      </c>
      <c r="E353" s="5">
        <f>D353*Inventory!D162</f>
        <v>5</v>
      </c>
      <c r="F353" s="5">
        <f>D353*Inventory!C162</f>
        <v>2.3611111111111112</v>
      </c>
      <c r="G353" s="5">
        <f t="shared" si="15"/>
        <v>2.6388888888888888</v>
      </c>
      <c r="H353" t="s">
        <v>359</v>
      </c>
      <c r="I353" t="s">
        <v>392</v>
      </c>
    </row>
    <row r="354" spans="1:9" x14ac:dyDescent="0.25">
      <c r="A354" s="1">
        <f t="shared" si="17"/>
        <v>45494</v>
      </c>
      <c r="B354" s="31">
        <f>TIME(9,20,0)</f>
        <v>0.3888888888888889</v>
      </c>
      <c r="C354" t="str">
        <f>Inventory!A158</f>
        <v>Arimis small</v>
      </c>
      <c r="D354" s="27">
        <v>1</v>
      </c>
      <c r="E354" s="5">
        <f>D354*Inventory!D158</f>
        <v>35</v>
      </c>
      <c r="F354" s="5">
        <f>D354*Inventory!C158</f>
        <v>23.333333333333332</v>
      </c>
      <c r="G354" s="5">
        <f t="shared" si="15"/>
        <v>11.666666666666668</v>
      </c>
      <c r="H354" t="s">
        <v>359</v>
      </c>
      <c r="I354" t="s">
        <v>405</v>
      </c>
    </row>
    <row r="355" spans="1:9" x14ac:dyDescent="0.25">
      <c r="A355" s="1">
        <f t="shared" si="17"/>
        <v>45494</v>
      </c>
      <c r="B355" s="31">
        <f>TIME(9,37,0)</f>
        <v>0.40069444444444446</v>
      </c>
      <c r="C355" t="str">
        <f>Inventory!A132</f>
        <v>Festive Bread 400g</v>
      </c>
      <c r="D355" s="27">
        <v>1</v>
      </c>
      <c r="E355" s="5">
        <f>D355*Inventory!D132</f>
        <v>65</v>
      </c>
      <c r="F355" s="5">
        <f>D355*Inventory!C132</f>
        <v>60</v>
      </c>
      <c r="G355" s="5">
        <f t="shared" si="15"/>
        <v>5</v>
      </c>
      <c r="H355" t="s">
        <v>359</v>
      </c>
      <c r="I355" t="s">
        <v>389</v>
      </c>
    </row>
    <row r="356" spans="1:9" x14ac:dyDescent="0.25">
      <c r="A356" s="1">
        <f t="shared" si="17"/>
        <v>45494</v>
      </c>
      <c r="B356" s="31">
        <f>TIME(9,37,0)</f>
        <v>0.40069444444444446</v>
      </c>
      <c r="C356" t="str">
        <f>Inventory!A121</f>
        <v>Banana</v>
      </c>
      <c r="D356" s="27">
        <v>5</v>
      </c>
      <c r="E356" s="5">
        <f>D356*Inventory!D121</f>
        <v>50</v>
      </c>
      <c r="F356" s="5">
        <f>D356*Inventory!C121</f>
        <v>41.666666666666671</v>
      </c>
      <c r="G356" s="5">
        <f t="shared" si="15"/>
        <v>8.3333333333333286</v>
      </c>
      <c r="H356" t="s">
        <v>359</v>
      </c>
      <c r="I356" t="s">
        <v>389</v>
      </c>
    </row>
    <row r="357" spans="1:9" x14ac:dyDescent="0.25">
      <c r="A357" s="1">
        <f t="shared" si="17"/>
        <v>45494</v>
      </c>
      <c r="B357" s="31">
        <f>TIME(9,47,0)</f>
        <v>0.40763888888888888</v>
      </c>
      <c r="C357" t="str">
        <f>Inventory!A81</f>
        <v>eggs</v>
      </c>
      <c r="D357" s="27">
        <v>6</v>
      </c>
      <c r="E357" s="5">
        <f>D357*Inventory!D81</f>
        <v>120</v>
      </c>
      <c r="F357" s="5">
        <f>D357*Inventory!C81</f>
        <v>86</v>
      </c>
      <c r="G357" s="5">
        <f t="shared" si="15"/>
        <v>34</v>
      </c>
      <c r="H357" t="s">
        <v>361</v>
      </c>
    </row>
    <row r="358" spans="1:9" x14ac:dyDescent="0.25">
      <c r="A358" s="1">
        <f t="shared" si="17"/>
        <v>45494</v>
      </c>
      <c r="B358" s="31">
        <f>TIME(10,14,0)</f>
        <v>0.42638888888888887</v>
      </c>
      <c r="C358" t="str">
        <f>Inventory!A111</f>
        <v>omo 20g</v>
      </c>
      <c r="D358" s="27">
        <v>2</v>
      </c>
      <c r="E358" s="5">
        <f>D358*Inventory!D111</f>
        <v>30</v>
      </c>
      <c r="F358" s="5">
        <f>D358*Inventory!C111</f>
        <v>18.333333333333332</v>
      </c>
      <c r="G358" s="5">
        <f t="shared" si="15"/>
        <v>11.666666666666668</v>
      </c>
      <c r="H358" t="s">
        <v>247</v>
      </c>
    </row>
    <row r="359" spans="1:9" x14ac:dyDescent="0.25">
      <c r="A359" s="1">
        <f t="shared" si="17"/>
        <v>45494</v>
      </c>
      <c r="B359" s="31">
        <f>TIME(10,24,0)</f>
        <v>0.43333333333333335</v>
      </c>
      <c r="C359" t="str">
        <f>Inventory!A18</f>
        <v>kinangop250g youghurt</v>
      </c>
      <c r="D359" s="27">
        <v>2</v>
      </c>
      <c r="E359" s="5">
        <f>D359*Inventory!D18</f>
        <v>120</v>
      </c>
      <c r="F359" s="5">
        <f>D359*Inventory!C18</f>
        <v>96.666666666666671</v>
      </c>
      <c r="G359" s="5">
        <f t="shared" si="15"/>
        <v>23.333333333333329</v>
      </c>
      <c r="H359" t="s">
        <v>361</v>
      </c>
    </row>
    <row r="360" spans="1:9" x14ac:dyDescent="0.25">
      <c r="A360" s="1">
        <f t="shared" si="17"/>
        <v>45494</v>
      </c>
      <c r="B360" s="31">
        <f>TIME(10,24,0)</f>
        <v>0.43333333333333335</v>
      </c>
      <c r="C360" t="str">
        <f>Inventory!A37</f>
        <v>Tamu Tamu Red</v>
      </c>
      <c r="D360" s="27">
        <v>2</v>
      </c>
      <c r="E360" s="5">
        <f>D360*Inventory!D37</f>
        <v>30</v>
      </c>
      <c r="F360" s="5">
        <f>D360*Inventory!C37</f>
        <v>17.2</v>
      </c>
      <c r="G360" s="5">
        <f t="shared" si="15"/>
        <v>12.8</v>
      </c>
      <c r="H360" t="s">
        <v>361</v>
      </c>
    </row>
    <row r="361" spans="1:9" x14ac:dyDescent="0.25">
      <c r="A361" s="1">
        <f t="shared" si="17"/>
        <v>45494</v>
      </c>
      <c r="B361" s="31">
        <f>TIME(10,24,0)</f>
        <v>0.43333333333333335</v>
      </c>
      <c r="C361" t="str">
        <f>Inventory!A40</f>
        <v>Glucose 10g</v>
      </c>
      <c r="D361" s="27">
        <v>2</v>
      </c>
      <c r="E361" s="5">
        <f>D361*Inventory!D40</f>
        <v>10</v>
      </c>
      <c r="F361" s="5">
        <f>D361*Inventory!C40</f>
        <v>7.5</v>
      </c>
      <c r="G361" s="5">
        <f t="shared" si="15"/>
        <v>2.5</v>
      </c>
      <c r="H361" t="s">
        <v>361</v>
      </c>
    </row>
    <row r="362" spans="1:9" x14ac:dyDescent="0.25">
      <c r="A362" s="1">
        <f t="shared" si="17"/>
        <v>45494</v>
      </c>
      <c r="B362" s="31">
        <f>TIME(10,24,0)</f>
        <v>0.43333333333333335</v>
      </c>
      <c r="C362" t="str">
        <f>Inventory!A50</f>
        <v>Ring Cake</v>
      </c>
      <c r="D362" s="27">
        <v>2</v>
      </c>
      <c r="E362" s="5">
        <f>D362*Inventory!D50</f>
        <v>100</v>
      </c>
      <c r="F362" s="5">
        <f>D362*Inventory!C50</f>
        <v>90</v>
      </c>
      <c r="G362" s="5">
        <f t="shared" si="15"/>
        <v>10</v>
      </c>
      <c r="H362" t="s">
        <v>361</v>
      </c>
    </row>
    <row r="363" spans="1:9" x14ac:dyDescent="0.25">
      <c r="A363" s="1">
        <f t="shared" si="17"/>
        <v>45494</v>
      </c>
      <c r="B363" s="31">
        <f>TIME(10,30,0)</f>
        <v>0.4375</v>
      </c>
      <c r="C363" t="str">
        <f>Inventory!A106</f>
        <v xml:space="preserve">Whitewash </v>
      </c>
      <c r="D363" s="27">
        <v>1</v>
      </c>
      <c r="E363" s="5">
        <f>D363*Inventory!D106</f>
        <v>50</v>
      </c>
      <c r="F363" s="5">
        <f>D363*Inventory!C106</f>
        <v>33.75</v>
      </c>
      <c r="G363" s="5">
        <f t="shared" si="15"/>
        <v>16.25</v>
      </c>
      <c r="H363" t="s">
        <v>361</v>
      </c>
    </row>
    <row r="364" spans="1:9" x14ac:dyDescent="0.25">
      <c r="A364" s="1">
        <f t="shared" si="17"/>
        <v>45494</v>
      </c>
      <c r="B364" s="31">
        <f>TIME(10,30,0)</f>
        <v>0.4375</v>
      </c>
      <c r="C364" t="str">
        <f>Inventory!A111</f>
        <v>omo 20g</v>
      </c>
      <c r="D364" s="27">
        <v>1</v>
      </c>
      <c r="E364" s="5">
        <f>D364*Inventory!D111</f>
        <v>15</v>
      </c>
      <c r="F364" s="5">
        <f>D364*Inventory!C111</f>
        <v>9.1666666666666661</v>
      </c>
      <c r="G364" s="5">
        <f t="shared" si="15"/>
        <v>5.8333333333333339</v>
      </c>
      <c r="H364" t="s">
        <v>361</v>
      </c>
    </row>
    <row r="365" spans="1:9" x14ac:dyDescent="0.25">
      <c r="A365" s="1">
        <f t="shared" si="17"/>
        <v>45494</v>
      </c>
      <c r="B365" s="31">
        <f>TIME(11,4,0)</f>
        <v>0.46111111111111108</v>
      </c>
      <c r="C365" t="str">
        <f>Inventory!A4</f>
        <v>300ml water</v>
      </c>
      <c r="D365" s="27">
        <v>1</v>
      </c>
      <c r="E365" s="5">
        <f>D365*Inventory!D4</f>
        <v>30</v>
      </c>
      <c r="F365" s="5">
        <f>D365*Inventory!C4</f>
        <v>12.5</v>
      </c>
      <c r="G365" s="5">
        <f t="shared" si="15"/>
        <v>17.5</v>
      </c>
      <c r="H365" t="s">
        <v>359</v>
      </c>
      <c r="I365" t="s">
        <v>386</v>
      </c>
    </row>
    <row r="366" spans="1:9" x14ac:dyDescent="0.25">
      <c r="A366" s="1">
        <f t="shared" si="17"/>
        <v>45494</v>
      </c>
      <c r="B366" s="31">
        <f>TIME(11,4,0)</f>
        <v>0.46111111111111108</v>
      </c>
      <c r="C366" t="str">
        <f>Inventory!A41</f>
        <v>Glucose 50g</v>
      </c>
      <c r="D366" s="27">
        <v>1</v>
      </c>
      <c r="E366" s="5">
        <f>D366*Inventory!D41</f>
        <v>30</v>
      </c>
      <c r="F366" s="5">
        <f>D366*Inventory!C41</f>
        <v>15.833333333333334</v>
      </c>
      <c r="G366" s="5">
        <f t="shared" si="15"/>
        <v>14.166666666666666</v>
      </c>
      <c r="H366" t="s">
        <v>359</v>
      </c>
      <c r="I366" t="s">
        <v>386</v>
      </c>
    </row>
    <row r="367" spans="1:9" x14ac:dyDescent="0.25">
      <c r="A367" s="1">
        <f t="shared" si="17"/>
        <v>45494</v>
      </c>
      <c r="B367" s="31">
        <f>TIME(11,44,0)</f>
        <v>0.48888888888888887</v>
      </c>
      <c r="C367" t="str">
        <f>Inventory!A106</f>
        <v xml:space="preserve">Whitewash </v>
      </c>
      <c r="D367" s="27">
        <v>1</v>
      </c>
      <c r="E367" s="5">
        <f>D367*Inventory!D106</f>
        <v>50</v>
      </c>
      <c r="F367" s="5">
        <f>D367*Inventory!C106</f>
        <v>33.75</v>
      </c>
      <c r="G367" s="5">
        <f t="shared" si="15"/>
        <v>16.25</v>
      </c>
      <c r="H367" t="s">
        <v>359</v>
      </c>
      <c r="I367" t="s">
        <v>394</v>
      </c>
    </row>
    <row r="368" spans="1:9" x14ac:dyDescent="0.25">
      <c r="A368" s="1">
        <f t="shared" si="17"/>
        <v>45494</v>
      </c>
      <c r="B368" s="31">
        <f>TIME(12,21,0)</f>
        <v>0.51458333333333328</v>
      </c>
      <c r="C368" t="str">
        <f>Inventory!A120</f>
        <v>Icepop</v>
      </c>
      <c r="D368" s="27">
        <v>2</v>
      </c>
      <c r="E368" s="5">
        <f>D368*Inventory!D120</f>
        <v>30</v>
      </c>
      <c r="F368" s="5">
        <f>D368*Inventory!C120</f>
        <v>15</v>
      </c>
      <c r="G368" s="5">
        <f t="shared" si="15"/>
        <v>15</v>
      </c>
      <c r="H368" t="s">
        <v>247</v>
      </c>
    </row>
    <row r="369" spans="1:9" x14ac:dyDescent="0.25">
      <c r="A369" s="1">
        <f t="shared" si="17"/>
        <v>45494</v>
      </c>
      <c r="B369" s="31">
        <f>TIME(12,21,0)</f>
        <v>0.51458333333333328</v>
      </c>
      <c r="C369" t="str">
        <f>Inventory!A58</f>
        <v>Patco</v>
      </c>
      <c r="D369" s="27">
        <v>2</v>
      </c>
      <c r="E369" s="5">
        <f>D369*Inventory!D58</f>
        <v>5</v>
      </c>
      <c r="F369" s="5">
        <f>D369*Inventory!C58</f>
        <v>2.4</v>
      </c>
      <c r="G369" s="5">
        <f t="shared" si="15"/>
        <v>2.6</v>
      </c>
      <c r="H369" t="s">
        <v>247</v>
      </c>
    </row>
    <row r="370" spans="1:9" x14ac:dyDescent="0.25">
      <c r="A370" s="1">
        <f t="shared" si="17"/>
        <v>45494</v>
      </c>
      <c r="B370" s="31">
        <f>TIME(12,41,0)</f>
        <v>0.52847222222222223</v>
      </c>
      <c r="C370" t="str">
        <f>Inventory!A126</f>
        <v>Royco cubes</v>
      </c>
      <c r="D370" s="27">
        <v>2</v>
      </c>
      <c r="E370" s="5">
        <f>D370*Inventory!D126</f>
        <v>10</v>
      </c>
      <c r="F370" s="5">
        <f>D370*Inventory!C126</f>
        <v>6</v>
      </c>
      <c r="G370" s="5">
        <f t="shared" si="15"/>
        <v>4</v>
      </c>
      <c r="H370" t="s">
        <v>359</v>
      </c>
      <c r="I370" t="s">
        <v>384</v>
      </c>
    </row>
    <row r="371" spans="1:9" x14ac:dyDescent="0.25">
      <c r="A371" s="1">
        <f t="shared" si="17"/>
        <v>45494</v>
      </c>
      <c r="B371" s="31">
        <f>TIME(13,49,0)</f>
        <v>0.5756944444444444</v>
      </c>
      <c r="C371" t="str">
        <f>Inventory!A52</f>
        <v>Canned cookies</v>
      </c>
      <c r="D371" s="27">
        <v>1</v>
      </c>
      <c r="E371" s="5">
        <f>D371*Inventory!D52</f>
        <v>60</v>
      </c>
      <c r="F371" s="5">
        <f>D371*Inventory!C52</f>
        <v>50</v>
      </c>
      <c r="G371" s="5">
        <f t="shared" si="15"/>
        <v>10</v>
      </c>
      <c r="H371" t="s">
        <v>247</v>
      </c>
    </row>
    <row r="372" spans="1:9" x14ac:dyDescent="0.25">
      <c r="A372" s="1">
        <f t="shared" si="17"/>
        <v>45494</v>
      </c>
      <c r="B372" s="31">
        <f>TIME(14,30,0)</f>
        <v>0.60416666666666663</v>
      </c>
      <c r="C372" t="str">
        <f>Inventory!A120</f>
        <v>Icepop</v>
      </c>
      <c r="D372" s="27">
        <v>1</v>
      </c>
      <c r="E372" s="5">
        <f>D372*Inventory!D120</f>
        <v>15</v>
      </c>
      <c r="F372" s="5">
        <f>D372*Inventory!C120</f>
        <v>7.5</v>
      </c>
      <c r="G372" s="5">
        <f t="shared" si="15"/>
        <v>7.5</v>
      </c>
      <c r="H372" t="s">
        <v>361</v>
      </c>
    </row>
    <row r="373" spans="1:9" x14ac:dyDescent="0.25">
      <c r="A373" s="1">
        <f t="shared" si="17"/>
        <v>45494</v>
      </c>
      <c r="B373" s="31">
        <f>TIME(14,30,0)</f>
        <v>0.60416666666666663</v>
      </c>
      <c r="C373" t="str">
        <f>Inventory!A61</f>
        <v>Bigdaddy</v>
      </c>
      <c r="D373" s="27">
        <v>2</v>
      </c>
      <c r="E373" s="5">
        <f>D373*Inventory!D61</f>
        <v>20</v>
      </c>
      <c r="F373" s="5">
        <f>D373*Inventory!C61</f>
        <v>12</v>
      </c>
      <c r="G373" s="5">
        <f t="shared" si="15"/>
        <v>8</v>
      </c>
      <c r="H373" t="s">
        <v>361</v>
      </c>
    </row>
    <row r="374" spans="1:9" x14ac:dyDescent="0.25">
      <c r="A374" s="1">
        <f t="shared" si="17"/>
        <v>45494</v>
      </c>
      <c r="B374" s="31">
        <f>TIME(14,30,0)</f>
        <v>0.60416666666666663</v>
      </c>
      <c r="C374" t="str">
        <f>Inventory!A163</f>
        <v>Super Glue</v>
      </c>
      <c r="D374" s="27">
        <v>1</v>
      </c>
      <c r="E374" s="5">
        <f>D374*Inventory!D163</f>
        <v>30</v>
      </c>
      <c r="F374" s="5">
        <f>D374*Inventory!C163</f>
        <v>23.333333333333332</v>
      </c>
      <c r="G374" s="5">
        <f t="shared" si="15"/>
        <v>6.6666666666666679</v>
      </c>
      <c r="H374" t="s">
        <v>361</v>
      </c>
    </row>
    <row r="375" spans="1:9" x14ac:dyDescent="0.25">
      <c r="A375" s="1">
        <f t="shared" si="17"/>
        <v>45494</v>
      </c>
      <c r="B375" s="31">
        <f>TIME(14,50,0)</f>
        <v>0.61805555555555558</v>
      </c>
      <c r="C375" t="str">
        <f>Inventory!A90</f>
        <v>Pembe 2kg</v>
      </c>
      <c r="D375" s="27">
        <v>1</v>
      </c>
      <c r="E375" s="5">
        <f>D375*Inventory!D90</f>
        <v>160</v>
      </c>
      <c r="F375" s="5">
        <f>D375*Inventory!C90</f>
        <v>123.33333333333333</v>
      </c>
      <c r="G375" s="5">
        <f t="shared" si="15"/>
        <v>36.666666666666671</v>
      </c>
      <c r="H375" t="s">
        <v>359</v>
      </c>
      <c r="I375" t="s">
        <v>392</v>
      </c>
    </row>
    <row r="376" spans="1:9" x14ac:dyDescent="0.25">
      <c r="A376" s="1">
        <f t="shared" si="17"/>
        <v>45494</v>
      </c>
      <c r="B376" s="31">
        <f>TIME(15,24,0)</f>
        <v>0.64166666666666672</v>
      </c>
      <c r="C376" t="str">
        <f>Inventory!A84</f>
        <v>Safari</v>
      </c>
      <c r="D376" s="27">
        <v>4</v>
      </c>
      <c r="E376" s="5">
        <f>D376*Inventory!D84</f>
        <v>60</v>
      </c>
      <c r="F376" s="5">
        <f>D376*Inventory!C84</f>
        <v>34</v>
      </c>
      <c r="G376" s="5">
        <f t="shared" si="15"/>
        <v>26</v>
      </c>
      <c r="H376" t="s">
        <v>361</v>
      </c>
    </row>
    <row r="377" spans="1:9" x14ac:dyDescent="0.25">
      <c r="A377" s="1">
        <f t="shared" si="17"/>
        <v>45494</v>
      </c>
      <c r="B377" s="31">
        <f>TIME(15,24,0)</f>
        <v>0.64166666666666672</v>
      </c>
      <c r="C377" t="str">
        <f>Inventory!A116</f>
        <v>Tomatoes</v>
      </c>
      <c r="D377" s="27">
        <v>2</v>
      </c>
      <c r="E377" s="5">
        <f>D377*Inventory!D116</f>
        <v>20</v>
      </c>
      <c r="F377" s="5">
        <f>D377*Inventory!C116</f>
        <v>10</v>
      </c>
      <c r="G377" s="5">
        <f t="shared" si="15"/>
        <v>10</v>
      </c>
      <c r="H377" t="s">
        <v>359</v>
      </c>
      <c r="I377" t="s">
        <v>391</v>
      </c>
    </row>
    <row r="378" spans="1:9" x14ac:dyDescent="0.25">
      <c r="A378" s="1">
        <f t="shared" si="17"/>
        <v>45494</v>
      </c>
      <c r="B378" s="31">
        <f>TIME(15,24,0)</f>
        <v>0.64166666666666672</v>
      </c>
      <c r="C378" t="str">
        <f>Inventory!A115</f>
        <v>Onion</v>
      </c>
      <c r="D378" s="27">
        <v>1</v>
      </c>
      <c r="E378" s="5">
        <f>D378*Inventory!D115</f>
        <v>10</v>
      </c>
      <c r="F378" s="5">
        <f>D378*Inventory!C115</f>
        <v>8</v>
      </c>
      <c r="G378" s="5">
        <f t="shared" si="15"/>
        <v>2</v>
      </c>
      <c r="H378" t="s">
        <v>359</v>
      </c>
      <c r="I378" t="s">
        <v>391</v>
      </c>
    </row>
    <row r="379" spans="1:9" x14ac:dyDescent="0.25">
      <c r="A379" s="1">
        <f t="shared" si="17"/>
        <v>45494</v>
      </c>
      <c r="B379" s="31">
        <f>TIME(15,24,0)</f>
        <v>0.64166666666666672</v>
      </c>
      <c r="C379" t="str">
        <f>Inventory!A125</f>
        <v>Dhania</v>
      </c>
      <c r="D379" s="27">
        <v>2</v>
      </c>
      <c r="E379" s="5">
        <f>D379*Inventory!D125</f>
        <v>10</v>
      </c>
      <c r="F379" s="5">
        <f>D379*Inventory!C125</f>
        <v>6.666666666666667</v>
      </c>
      <c r="G379" s="5">
        <f t="shared" si="15"/>
        <v>3.333333333333333</v>
      </c>
      <c r="H379" t="s">
        <v>359</v>
      </c>
      <c r="I379" t="s">
        <v>391</v>
      </c>
    </row>
    <row r="380" spans="1:9" x14ac:dyDescent="0.25">
      <c r="A380" s="1">
        <f t="shared" si="17"/>
        <v>45494</v>
      </c>
      <c r="B380" s="31">
        <f>TIME(15,29,0)</f>
        <v>0.64513888888888882</v>
      </c>
      <c r="C380" t="str">
        <f>Inventory!A116</f>
        <v>Tomatoes</v>
      </c>
      <c r="D380" s="27">
        <v>3</v>
      </c>
      <c r="E380" s="5">
        <f>D380*Inventory!D116</f>
        <v>30</v>
      </c>
      <c r="F380" s="5">
        <f>D380*Inventory!C116</f>
        <v>15</v>
      </c>
      <c r="G380" s="5">
        <f t="shared" si="15"/>
        <v>15</v>
      </c>
      <c r="H380" t="s">
        <v>247</v>
      </c>
    </row>
    <row r="381" spans="1:9" x14ac:dyDescent="0.25">
      <c r="A381" s="1">
        <f t="shared" si="17"/>
        <v>45494</v>
      </c>
      <c r="B381" s="31">
        <f>TIME(15,29,0)</f>
        <v>0.64513888888888882</v>
      </c>
      <c r="C381" t="str">
        <f>Inventory!A123</f>
        <v>Mt Kenya milk 200ml</v>
      </c>
      <c r="D381" s="27">
        <v>1</v>
      </c>
      <c r="E381" s="5">
        <f>D381*Inventory!D123</f>
        <v>35</v>
      </c>
      <c r="F381" s="5">
        <f>D381*Inventory!C123</f>
        <v>24.285714285714285</v>
      </c>
      <c r="G381" s="5">
        <f t="shared" si="15"/>
        <v>10.714285714285715</v>
      </c>
      <c r="H381" t="s">
        <v>361</v>
      </c>
    </row>
    <row r="382" spans="1:9" x14ac:dyDescent="0.25">
      <c r="A382" s="1">
        <f t="shared" si="17"/>
        <v>45494</v>
      </c>
      <c r="B382" s="31">
        <f>TIME(15,45,0)</f>
        <v>0.65625</v>
      </c>
      <c r="C382" t="str">
        <f>Inventory!A6</f>
        <v xml:space="preserve"> soda 1.25lts</v>
      </c>
      <c r="D382" s="27">
        <v>1</v>
      </c>
      <c r="E382" s="5">
        <f>D382*Inventory!D6</f>
        <v>130</v>
      </c>
      <c r="F382" s="5">
        <f>D382*Inventory!C6</f>
        <v>112.5</v>
      </c>
      <c r="G382" s="5">
        <f t="shared" si="15"/>
        <v>17.5</v>
      </c>
      <c r="H382" t="s">
        <v>359</v>
      </c>
      <c r="I382" t="s">
        <v>389</v>
      </c>
    </row>
    <row r="383" spans="1:9" x14ac:dyDescent="0.25">
      <c r="A383" s="1">
        <f t="shared" si="17"/>
        <v>45494</v>
      </c>
      <c r="B383" s="31">
        <f>TIME(16,42,0)</f>
        <v>0.6958333333333333</v>
      </c>
      <c r="C383" t="str">
        <f>Inventory!A117</f>
        <v>Cooking Oil Measured</v>
      </c>
      <c r="D383" s="27">
        <v>0.25</v>
      </c>
      <c r="E383" s="5">
        <f>D383*Inventory!D117</f>
        <v>70</v>
      </c>
      <c r="F383" s="5">
        <f>D383*Inventory!C117</f>
        <v>50</v>
      </c>
      <c r="G383" s="5">
        <f t="shared" si="15"/>
        <v>20</v>
      </c>
      <c r="H383" t="s">
        <v>247</v>
      </c>
    </row>
    <row r="384" spans="1:9" x14ac:dyDescent="0.25">
      <c r="A384" s="1">
        <f t="shared" si="17"/>
        <v>45494</v>
      </c>
      <c r="B384" s="31">
        <f>TIME(16,42,0)</f>
        <v>0.6958333333333333</v>
      </c>
      <c r="C384" t="str">
        <f>Inventory!A23</f>
        <v>Mt kenya milk 500ml</v>
      </c>
      <c r="D384" s="27">
        <v>2</v>
      </c>
      <c r="E384" s="5">
        <f>D384*Inventory!D23</f>
        <v>130</v>
      </c>
      <c r="F384" s="5">
        <f>D384*Inventory!C23</f>
        <v>96.666666666666671</v>
      </c>
      <c r="G384" s="5">
        <f t="shared" si="15"/>
        <v>33.333333333333329</v>
      </c>
      <c r="H384" t="s">
        <v>247</v>
      </c>
    </row>
    <row r="385" spans="1:9" x14ac:dyDescent="0.25">
      <c r="A385" s="1">
        <f t="shared" si="17"/>
        <v>45494</v>
      </c>
      <c r="B385" s="31">
        <f>TIME(17,24,0)</f>
        <v>0.72499999999999998</v>
      </c>
      <c r="C385" t="str">
        <f>Inventory!A136</f>
        <v>Safaricom 10 Credit</v>
      </c>
      <c r="D385" s="27">
        <v>2</v>
      </c>
      <c r="E385" s="5">
        <f>D385*Inventory!D136</f>
        <v>20</v>
      </c>
      <c r="F385" s="5">
        <f>D385*Inventory!C136</f>
        <v>18</v>
      </c>
      <c r="G385" s="5">
        <f t="shared" si="15"/>
        <v>2</v>
      </c>
      <c r="H385" t="s">
        <v>247</v>
      </c>
    </row>
    <row r="386" spans="1:9" x14ac:dyDescent="0.25">
      <c r="A386" s="1">
        <f t="shared" si="17"/>
        <v>45494</v>
      </c>
      <c r="B386" s="31">
        <f>TIME(17,24,0)</f>
        <v>0.72499999999999998</v>
      </c>
      <c r="C386" t="str">
        <f>Inventory!A164</f>
        <v>Rasor Blade</v>
      </c>
      <c r="D386" s="27">
        <v>1</v>
      </c>
      <c r="E386" s="5">
        <f>D386*Inventory!D164</f>
        <v>5</v>
      </c>
      <c r="F386" s="5">
        <f>D386*Inventory!C164</f>
        <v>2</v>
      </c>
      <c r="G386" s="5">
        <f t="shared" si="15"/>
        <v>3</v>
      </c>
      <c r="H386" t="s">
        <v>247</v>
      </c>
    </row>
    <row r="387" spans="1:9" x14ac:dyDescent="0.25">
      <c r="A387" s="1">
        <f t="shared" si="17"/>
        <v>45494</v>
      </c>
      <c r="B387" s="31">
        <f>TIME(17,43,0)</f>
        <v>0.73819444444444438</v>
      </c>
      <c r="C387" t="str">
        <f>Inventory!A84</f>
        <v>Safari</v>
      </c>
      <c r="D387" s="27">
        <v>2</v>
      </c>
      <c r="E387" s="5">
        <f>D387*Inventory!D84</f>
        <v>30</v>
      </c>
      <c r="F387" s="5">
        <f>D387*Inventory!C84</f>
        <v>17</v>
      </c>
      <c r="G387" s="5">
        <f t="shared" ref="G387:G450" si="18">E387-F387</f>
        <v>13</v>
      </c>
      <c r="H387" t="s">
        <v>361</v>
      </c>
    </row>
    <row r="388" spans="1:9" x14ac:dyDescent="0.25">
      <c r="A388" s="1">
        <f t="shared" si="17"/>
        <v>45494</v>
      </c>
      <c r="B388" s="31">
        <f>TIME(17,50,0)</f>
        <v>0.74305555555555547</v>
      </c>
      <c r="C388" t="str">
        <f>Inventory!A78</f>
        <v>Tomato paste</v>
      </c>
      <c r="D388" s="27">
        <v>1</v>
      </c>
      <c r="E388" s="5">
        <f>D388*Inventory!D78</f>
        <v>30</v>
      </c>
      <c r="F388" s="5">
        <f>D388*Inventory!C78</f>
        <v>12.5</v>
      </c>
      <c r="G388" s="5">
        <f t="shared" si="18"/>
        <v>17.5</v>
      </c>
      <c r="H388" t="s">
        <v>361</v>
      </c>
    </row>
    <row r="389" spans="1:9" x14ac:dyDescent="0.25">
      <c r="A389" s="1">
        <f t="shared" si="17"/>
        <v>45494</v>
      </c>
      <c r="B389" s="31">
        <f>TIME(17,50,0)</f>
        <v>0.74305555555555547</v>
      </c>
      <c r="C389" t="str">
        <f>Inventory!A144</f>
        <v>Drinking Chocolate 20g</v>
      </c>
      <c r="D389" s="27">
        <v>1</v>
      </c>
      <c r="E389" s="5">
        <f>D389*Inventory!D144</f>
        <v>20</v>
      </c>
      <c r="F389" s="5">
        <f>D389*Inventory!C144</f>
        <v>10.416666666666666</v>
      </c>
      <c r="G389" s="5">
        <f t="shared" si="18"/>
        <v>9.5833333333333339</v>
      </c>
      <c r="H389" t="s">
        <v>361</v>
      </c>
    </row>
    <row r="390" spans="1:9" x14ac:dyDescent="0.25">
      <c r="A390" s="1">
        <f t="shared" si="17"/>
        <v>45494</v>
      </c>
      <c r="B390" s="31">
        <f>TIME(17,50,0)</f>
        <v>0.74305555555555547</v>
      </c>
      <c r="C390" t="str">
        <f>Inventory!A54</f>
        <v>Kdf</v>
      </c>
      <c r="D390" s="27">
        <v>2</v>
      </c>
      <c r="E390" s="5">
        <f>D390*Inventory!D54</f>
        <v>20</v>
      </c>
      <c r="F390" s="5">
        <f>D390*Inventory!C54</f>
        <v>16.666666666666668</v>
      </c>
      <c r="G390" s="5">
        <f t="shared" si="18"/>
        <v>3.3333333333333321</v>
      </c>
      <c r="H390" t="s">
        <v>361</v>
      </c>
    </row>
    <row r="391" spans="1:9" x14ac:dyDescent="0.25">
      <c r="A391" s="1">
        <f t="shared" si="17"/>
        <v>45494</v>
      </c>
      <c r="B391" s="31">
        <f>TIME(17,50,0)</f>
        <v>0.74305555555555547</v>
      </c>
      <c r="C391" t="str">
        <f>Inventory!A30</f>
        <v>BB Bread 400g</v>
      </c>
      <c r="D391" s="27">
        <v>1</v>
      </c>
      <c r="E391" s="5">
        <f>D391*Inventory!D30</f>
        <v>65</v>
      </c>
      <c r="F391" s="5">
        <f>D391*Inventory!C30</f>
        <v>60</v>
      </c>
      <c r="G391" s="5">
        <f t="shared" si="18"/>
        <v>5</v>
      </c>
      <c r="H391" t="s">
        <v>361</v>
      </c>
    </row>
    <row r="392" spans="1:9" x14ac:dyDescent="0.25">
      <c r="A392" s="1">
        <f t="shared" si="17"/>
        <v>45494</v>
      </c>
      <c r="B392" s="31">
        <f>TIME(18,1,0)</f>
        <v>0.75069444444444444</v>
      </c>
      <c r="C392" t="str">
        <f>Inventory!A117</f>
        <v>Cooking Oil Measured</v>
      </c>
      <c r="D392" s="27">
        <v>0.25</v>
      </c>
      <c r="E392" s="5">
        <f>D392*Inventory!D117</f>
        <v>70</v>
      </c>
      <c r="F392" s="5">
        <f>D392*Inventory!C117</f>
        <v>50</v>
      </c>
      <c r="G392" s="5">
        <f t="shared" si="18"/>
        <v>20</v>
      </c>
      <c r="H392" t="s">
        <v>361</v>
      </c>
    </row>
    <row r="393" spans="1:9" x14ac:dyDescent="0.25">
      <c r="A393" s="1">
        <f t="shared" si="17"/>
        <v>45494</v>
      </c>
      <c r="B393" s="31">
        <f>TIME(18,32,0)</f>
        <v>0.77222222222222225</v>
      </c>
      <c r="C393" t="str">
        <f>Inventory!A116</f>
        <v>Tomatoes</v>
      </c>
      <c r="D393" s="27">
        <v>3</v>
      </c>
      <c r="E393" s="5">
        <f>D393*Inventory!D116</f>
        <v>30</v>
      </c>
      <c r="F393" s="5">
        <f>D393*Inventory!C116</f>
        <v>15</v>
      </c>
      <c r="G393" s="5">
        <f t="shared" si="18"/>
        <v>15</v>
      </c>
      <c r="H393" t="s">
        <v>361</v>
      </c>
    </row>
    <row r="394" spans="1:9" x14ac:dyDescent="0.25">
      <c r="A394" s="1">
        <f t="shared" si="17"/>
        <v>45494</v>
      </c>
      <c r="B394" s="31">
        <f>TIME(18,32,0)</f>
        <v>0.77222222222222225</v>
      </c>
      <c r="C394" t="str">
        <f>Inventory!A115</f>
        <v>Onion</v>
      </c>
      <c r="D394" s="27">
        <v>1</v>
      </c>
      <c r="E394" s="5">
        <f>D394*Inventory!D115</f>
        <v>10</v>
      </c>
      <c r="F394" s="5">
        <f>D394*Inventory!C115</f>
        <v>8</v>
      </c>
      <c r="G394" s="5">
        <f t="shared" si="18"/>
        <v>2</v>
      </c>
      <c r="H394" t="s">
        <v>361</v>
      </c>
    </row>
    <row r="395" spans="1:9" x14ac:dyDescent="0.25">
      <c r="A395" s="1">
        <f t="shared" si="17"/>
        <v>45494</v>
      </c>
      <c r="B395" s="31">
        <f>TIME(18,32,0)</f>
        <v>0.77222222222222225</v>
      </c>
      <c r="C395" t="str">
        <f>Inventory!A45</f>
        <v>Goodday Cookies</v>
      </c>
      <c r="D395" s="27">
        <v>1</v>
      </c>
      <c r="E395" s="5">
        <f>D395*Inventory!D45</f>
        <v>15</v>
      </c>
      <c r="F395" s="5">
        <f>D395*Inventory!C45</f>
        <v>9.3333333333333339</v>
      </c>
      <c r="G395" s="5">
        <f t="shared" si="18"/>
        <v>5.6666666666666661</v>
      </c>
      <c r="H395" t="s">
        <v>361</v>
      </c>
    </row>
    <row r="396" spans="1:9" x14ac:dyDescent="0.25">
      <c r="A396" s="1">
        <f t="shared" si="17"/>
        <v>45494</v>
      </c>
      <c r="B396" s="31">
        <f>TIME(18,32,0)</f>
        <v>0.77222222222222225</v>
      </c>
      <c r="C396" t="str">
        <f>Inventory!A67</f>
        <v>Bigboss</v>
      </c>
      <c r="D396" s="27">
        <v>3</v>
      </c>
      <c r="E396" s="5">
        <f>D396*Inventory!D67</f>
        <v>15</v>
      </c>
      <c r="F396" s="5">
        <f>D396*Inventory!C67</f>
        <v>10.5</v>
      </c>
      <c r="G396" s="5">
        <f t="shared" si="18"/>
        <v>4.5</v>
      </c>
      <c r="H396" t="s">
        <v>361</v>
      </c>
    </row>
    <row r="397" spans="1:9" x14ac:dyDescent="0.25">
      <c r="A397" s="1">
        <f t="shared" si="17"/>
        <v>45494</v>
      </c>
      <c r="B397" s="31">
        <f>TIME(18,37,0)</f>
        <v>0.77569444444444446</v>
      </c>
      <c r="C397" t="str">
        <f>Inventory!A81</f>
        <v>eggs</v>
      </c>
      <c r="D397" s="27">
        <v>3</v>
      </c>
      <c r="E397" s="5">
        <f>D397*Inventory!D81</f>
        <v>60</v>
      </c>
      <c r="F397" s="5">
        <f>D397*Inventory!C81</f>
        <v>43</v>
      </c>
      <c r="G397" s="5">
        <f t="shared" si="18"/>
        <v>17</v>
      </c>
      <c r="H397" t="s">
        <v>359</v>
      </c>
      <c r="I397" t="s">
        <v>406</v>
      </c>
    </row>
    <row r="398" spans="1:9" x14ac:dyDescent="0.25">
      <c r="A398" s="1">
        <f t="shared" si="17"/>
        <v>45494</v>
      </c>
      <c r="B398" s="31">
        <f>TIME(18,37,0)</f>
        <v>0.77569444444444446</v>
      </c>
      <c r="C398" t="str">
        <f>Inventory!A116</f>
        <v>Tomatoes</v>
      </c>
      <c r="D398" s="27">
        <v>1</v>
      </c>
      <c r="E398" s="5">
        <f>D398*Inventory!D116</f>
        <v>10</v>
      </c>
      <c r="F398" s="5">
        <f>D398*Inventory!C116</f>
        <v>5</v>
      </c>
      <c r="G398" s="5">
        <f t="shared" si="18"/>
        <v>5</v>
      </c>
      <c r="H398" t="s">
        <v>359</v>
      </c>
      <c r="I398" t="s">
        <v>406</v>
      </c>
    </row>
    <row r="399" spans="1:9" x14ac:dyDescent="0.25">
      <c r="A399" s="1">
        <f t="shared" si="17"/>
        <v>45494</v>
      </c>
      <c r="B399" s="31">
        <f>TIME(18,57,0)</f>
        <v>0.7895833333333333</v>
      </c>
      <c r="C399" t="str">
        <f>Inventory!A165</f>
        <v>Rubber</v>
      </c>
      <c r="D399" s="27">
        <v>1</v>
      </c>
      <c r="E399" s="5">
        <f>D399*Inventory!D165</f>
        <v>10</v>
      </c>
      <c r="F399" s="5">
        <f>D399*Inventory!C165</f>
        <v>5.6</v>
      </c>
      <c r="G399" s="5">
        <f t="shared" si="18"/>
        <v>4.4000000000000004</v>
      </c>
      <c r="H399" t="s">
        <v>359</v>
      </c>
      <c r="I399" t="s">
        <v>389</v>
      </c>
    </row>
    <row r="400" spans="1:9" x14ac:dyDescent="0.25">
      <c r="A400" s="1">
        <f t="shared" si="17"/>
        <v>45494</v>
      </c>
      <c r="B400" s="31">
        <f>TIME(18,57,0)</f>
        <v>0.7895833333333333</v>
      </c>
      <c r="C400" t="str">
        <f>Inventory!A122</f>
        <v>Kinangop Fresh Milk 500ml</v>
      </c>
      <c r="D400" s="27">
        <v>2</v>
      </c>
      <c r="E400" s="5">
        <f>D400*Inventory!D122</f>
        <v>120</v>
      </c>
      <c r="F400" s="5">
        <f>D400*Inventory!C122</f>
        <v>110</v>
      </c>
      <c r="G400" s="5">
        <f t="shared" si="18"/>
        <v>10</v>
      </c>
      <c r="H400" t="s">
        <v>359</v>
      </c>
      <c r="I400" t="s">
        <v>389</v>
      </c>
    </row>
    <row r="401" spans="1:9" x14ac:dyDescent="0.25">
      <c r="A401" s="1">
        <f t="shared" si="17"/>
        <v>45494</v>
      </c>
      <c r="B401" s="31">
        <f>TIME(19,33,0)</f>
        <v>0.81458333333333333</v>
      </c>
      <c r="C401" t="str">
        <f>Inventory!A166</f>
        <v>Arimis big</v>
      </c>
      <c r="D401" s="27">
        <v>1</v>
      </c>
      <c r="E401" s="5">
        <f>D401*Inventory!D166</f>
        <v>60</v>
      </c>
      <c r="F401" s="5">
        <f>D401*Inventory!C166</f>
        <v>45.833333333333336</v>
      </c>
      <c r="G401" s="5">
        <f t="shared" si="18"/>
        <v>14.166666666666664</v>
      </c>
      <c r="H401" t="s">
        <v>361</v>
      </c>
    </row>
    <row r="402" spans="1:9" x14ac:dyDescent="0.25">
      <c r="A402" s="1">
        <f t="shared" si="17"/>
        <v>45494</v>
      </c>
      <c r="B402" s="31">
        <f>TIME(20,21,0)</f>
        <v>0.84791666666666676</v>
      </c>
      <c r="C402" t="str">
        <f>Inventory!A167</f>
        <v>Curry Powder</v>
      </c>
      <c r="D402" s="27">
        <v>1</v>
      </c>
      <c r="E402" s="5">
        <f>D402*Inventory!D167</f>
        <v>15</v>
      </c>
      <c r="F402" s="5">
        <f>D402*Inventory!C167</f>
        <v>7.5</v>
      </c>
      <c r="G402" s="5">
        <f t="shared" si="18"/>
        <v>7.5</v>
      </c>
      <c r="H402" t="s">
        <v>247</v>
      </c>
    </row>
    <row r="403" spans="1:9" x14ac:dyDescent="0.25">
      <c r="A403" s="1">
        <f t="shared" si="17"/>
        <v>45494</v>
      </c>
      <c r="B403" s="31">
        <f>TIME(20,21,0)</f>
        <v>0.84791666666666676</v>
      </c>
      <c r="C403" t="str">
        <f>Inventory!A168</f>
        <v>Garlic</v>
      </c>
      <c r="D403" s="27">
        <v>1</v>
      </c>
      <c r="E403" s="5">
        <f>D403*Inventory!D168</f>
        <v>30</v>
      </c>
      <c r="F403" s="5">
        <f>D403*Inventory!C168</f>
        <v>20</v>
      </c>
      <c r="G403" s="5">
        <f t="shared" si="18"/>
        <v>10</v>
      </c>
      <c r="H403" t="s">
        <v>247</v>
      </c>
    </row>
    <row r="404" spans="1:9" x14ac:dyDescent="0.25">
      <c r="A404" s="1">
        <f t="shared" si="17"/>
        <v>45494</v>
      </c>
      <c r="B404" s="31">
        <f>TIME(20,22,0)</f>
        <v>0.84861111111111109</v>
      </c>
      <c r="C404" t="str">
        <f>Inventory!A169</f>
        <v>210 Maize Meal 2kg</v>
      </c>
      <c r="D404" s="27">
        <v>1</v>
      </c>
      <c r="E404" s="5">
        <f>D404*Inventory!D169</f>
        <v>160</v>
      </c>
      <c r="F404" s="5">
        <f>D404*Inventory!C169</f>
        <v>117.08333333333333</v>
      </c>
      <c r="G404" s="5">
        <f t="shared" si="18"/>
        <v>42.916666666666671</v>
      </c>
      <c r="H404" t="s">
        <v>359</v>
      </c>
      <c r="I404" t="s">
        <v>398</v>
      </c>
    </row>
    <row r="405" spans="1:9" x14ac:dyDescent="0.25">
      <c r="A405" s="1">
        <f>DATE(2024,7,22)</f>
        <v>45495</v>
      </c>
      <c r="B405" s="31">
        <f>TIME(7,31,0)</f>
        <v>0.31319444444444444</v>
      </c>
      <c r="C405" t="str">
        <f>Inventory!A84</f>
        <v>Safari</v>
      </c>
      <c r="D405" s="27">
        <v>3</v>
      </c>
      <c r="E405" s="5">
        <f>D405*Inventory!D84</f>
        <v>45</v>
      </c>
      <c r="F405" s="5">
        <f>D405*Inventory!C84</f>
        <v>25.5</v>
      </c>
      <c r="G405" s="5">
        <f t="shared" si="18"/>
        <v>19.5</v>
      </c>
      <c r="H405" t="s">
        <v>361</v>
      </c>
    </row>
    <row r="406" spans="1:9" x14ac:dyDescent="0.25">
      <c r="A406" s="1">
        <f>DATE(2024,7,22)</f>
        <v>45495</v>
      </c>
      <c r="B406" s="31">
        <f>TIME(7,48,0)</f>
        <v>0.32500000000000001</v>
      </c>
      <c r="C406" t="str">
        <f>Inventory!A26</f>
        <v>Nescafe 1.5g</v>
      </c>
      <c r="D406" s="27">
        <v>1</v>
      </c>
      <c r="E406" s="5">
        <f>D406*Inventory!D26</f>
        <v>15</v>
      </c>
      <c r="F406" s="5">
        <f>D406*Inventory!C26</f>
        <v>9.1666666666666661</v>
      </c>
      <c r="G406" s="5">
        <f t="shared" si="18"/>
        <v>5.8333333333333339</v>
      </c>
      <c r="H406" t="s">
        <v>361</v>
      </c>
    </row>
    <row r="407" spans="1:9" x14ac:dyDescent="0.25">
      <c r="A407" s="1">
        <f t="shared" ref="A407:A453" si="19">DATE(2024,7,22)</f>
        <v>45495</v>
      </c>
      <c r="B407" s="31">
        <f>TIME(8,5,0)</f>
        <v>0.33680555555555558</v>
      </c>
      <c r="C407" t="str">
        <f>Inventory!A83</f>
        <v>Sportsman</v>
      </c>
      <c r="D407" s="27">
        <v>1</v>
      </c>
      <c r="E407" s="5">
        <f>D407*Inventory!D83</f>
        <v>20</v>
      </c>
      <c r="F407" s="5">
        <f>D407*Inventory!C83</f>
        <v>13</v>
      </c>
      <c r="G407" s="5">
        <f t="shared" si="18"/>
        <v>7</v>
      </c>
      <c r="H407" t="s">
        <v>247</v>
      </c>
    </row>
    <row r="408" spans="1:9" x14ac:dyDescent="0.25">
      <c r="A408" s="1">
        <f t="shared" si="19"/>
        <v>45495</v>
      </c>
      <c r="B408" s="31">
        <f>TIME(8,31,0)</f>
        <v>0.35486111111111113</v>
      </c>
      <c r="C408" t="str">
        <f>Inventory!A132</f>
        <v>Festive Bread 400g</v>
      </c>
      <c r="D408" s="27">
        <v>1</v>
      </c>
      <c r="E408" s="5">
        <f>D408*Inventory!D132</f>
        <v>65</v>
      </c>
      <c r="F408" s="5">
        <f>D408*Inventory!C132</f>
        <v>60</v>
      </c>
      <c r="G408" s="5">
        <f t="shared" si="18"/>
        <v>5</v>
      </c>
      <c r="H408" t="s">
        <v>247</v>
      </c>
    </row>
    <row r="409" spans="1:9" x14ac:dyDescent="0.25">
      <c r="A409" s="1">
        <f t="shared" si="19"/>
        <v>45495</v>
      </c>
      <c r="B409" s="31">
        <f>TIME(8,43,0)</f>
        <v>0.36319444444444443</v>
      </c>
      <c r="C409" t="str">
        <f>Inventory!A30</f>
        <v>BB Bread 400g</v>
      </c>
      <c r="D409" s="27">
        <v>1</v>
      </c>
      <c r="E409" s="5">
        <f>D409*Inventory!D30</f>
        <v>65</v>
      </c>
      <c r="F409" s="5">
        <f>D409*Inventory!C30</f>
        <v>60</v>
      </c>
      <c r="G409" s="5">
        <f t="shared" si="18"/>
        <v>5</v>
      </c>
      <c r="H409" t="s">
        <v>359</v>
      </c>
      <c r="I409" t="s">
        <v>392</v>
      </c>
    </row>
    <row r="410" spans="1:9" x14ac:dyDescent="0.25">
      <c r="A410" s="1">
        <f t="shared" si="19"/>
        <v>45495</v>
      </c>
      <c r="B410" s="31">
        <f>TIME(8,56,0)</f>
        <v>0.37222222222222223</v>
      </c>
      <c r="C410" t="str">
        <f>Inventory!A12</f>
        <v>predator</v>
      </c>
      <c r="D410" s="27">
        <v>1</v>
      </c>
      <c r="E410" s="5">
        <f>D410*Inventory!D12</f>
        <v>70</v>
      </c>
      <c r="F410" s="5">
        <f>D410*Inventory!C12</f>
        <v>54.166666666666664</v>
      </c>
      <c r="G410" s="5">
        <f t="shared" si="18"/>
        <v>15.833333333333336</v>
      </c>
      <c r="H410" t="s">
        <v>247</v>
      </c>
    </row>
    <row r="411" spans="1:9" x14ac:dyDescent="0.25">
      <c r="A411" s="1">
        <f t="shared" si="19"/>
        <v>45495</v>
      </c>
      <c r="B411" s="31">
        <f>TIME(8,56,0)</f>
        <v>0.37222222222222223</v>
      </c>
      <c r="C411" t="str">
        <f>Inventory!A44</f>
        <v>Peanut Cookies</v>
      </c>
      <c r="D411" s="27">
        <v>1</v>
      </c>
      <c r="E411" s="5">
        <f>D411*Inventory!D44</f>
        <v>35</v>
      </c>
      <c r="F411" s="5">
        <f>D411*Inventory!C44</f>
        <v>25</v>
      </c>
      <c r="G411" s="5">
        <f t="shared" si="18"/>
        <v>10</v>
      </c>
      <c r="H411" t="s">
        <v>247</v>
      </c>
    </row>
    <row r="412" spans="1:9" x14ac:dyDescent="0.25">
      <c r="A412" s="1">
        <f t="shared" si="19"/>
        <v>45495</v>
      </c>
      <c r="B412" s="31">
        <f>TIME(9,7,0)</f>
        <v>0.37986111111111115</v>
      </c>
      <c r="C412" t="str">
        <f>Inventory!A83</f>
        <v>Sportsman</v>
      </c>
      <c r="D412" s="27">
        <v>2</v>
      </c>
      <c r="E412" s="5">
        <f>D412*Inventory!D83</f>
        <v>40</v>
      </c>
      <c r="F412" s="5">
        <f>D412*Inventory!C83</f>
        <v>26</v>
      </c>
      <c r="G412" s="5">
        <f t="shared" si="18"/>
        <v>14</v>
      </c>
      <c r="H412" t="s">
        <v>361</v>
      </c>
    </row>
    <row r="413" spans="1:9" x14ac:dyDescent="0.25">
      <c r="A413" s="1">
        <f t="shared" si="19"/>
        <v>45495</v>
      </c>
      <c r="B413" s="31">
        <f>TIME(9,34,0)</f>
        <v>0.39861111111111108</v>
      </c>
      <c r="C413" t="str">
        <f>Inventory!A122</f>
        <v>Kinangop Fresh Milk 500ml</v>
      </c>
      <c r="D413" s="27">
        <v>1</v>
      </c>
      <c r="E413" s="5">
        <f>D413*Inventory!D122</f>
        <v>60</v>
      </c>
      <c r="F413" s="5">
        <f>D413*Inventory!C122</f>
        <v>55</v>
      </c>
      <c r="G413" s="5">
        <f t="shared" si="18"/>
        <v>5</v>
      </c>
      <c r="H413" t="s">
        <v>359</v>
      </c>
      <c r="I413" t="s">
        <v>385</v>
      </c>
    </row>
    <row r="414" spans="1:9" x14ac:dyDescent="0.25">
      <c r="A414" s="1">
        <f t="shared" si="19"/>
        <v>45495</v>
      </c>
      <c r="B414" s="31">
        <f>TIME(10,11,0)</f>
        <v>0.42430555555555555</v>
      </c>
      <c r="C414" t="str">
        <f>Inventory!A94</f>
        <v>Bella Tissue</v>
      </c>
      <c r="D414" s="27">
        <v>2</v>
      </c>
      <c r="E414" s="5">
        <f>D414*Inventory!D90</f>
        <v>320</v>
      </c>
      <c r="F414" s="5">
        <f>D414*Inventory!C90</f>
        <v>246.66666666666666</v>
      </c>
      <c r="G414" s="5">
        <f t="shared" si="18"/>
        <v>73.333333333333343</v>
      </c>
      <c r="H414" t="s">
        <v>247</v>
      </c>
    </row>
    <row r="415" spans="1:9" x14ac:dyDescent="0.25">
      <c r="A415" s="1">
        <f t="shared" si="19"/>
        <v>45495</v>
      </c>
      <c r="B415" s="31">
        <f>TIME(10,40,0)</f>
        <v>0.44444444444444442</v>
      </c>
      <c r="C415" t="str">
        <f>Inventory!A83</f>
        <v>Sportsman</v>
      </c>
      <c r="D415" s="27">
        <v>2</v>
      </c>
      <c r="E415" s="5">
        <f>D415*Inventory!D83</f>
        <v>40</v>
      </c>
      <c r="F415" s="5">
        <f>D415*Inventory!C83</f>
        <v>26</v>
      </c>
      <c r="G415" s="5">
        <f t="shared" si="18"/>
        <v>14</v>
      </c>
      <c r="H415" t="s">
        <v>361</v>
      </c>
    </row>
    <row r="416" spans="1:9" x14ac:dyDescent="0.25">
      <c r="A416" s="1">
        <f t="shared" si="19"/>
        <v>45495</v>
      </c>
      <c r="B416" s="31">
        <f>TIME(11,51,0)</f>
        <v>0.49374999999999997</v>
      </c>
      <c r="C416" t="str">
        <f>Inventory!A147</f>
        <v>Sugar</v>
      </c>
      <c r="D416" s="27">
        <v>0.5</v>
      </c>
      <c r="E416" s="5">
        <f>D416*Inventory!D147</f>
        <v>90</v>
      </c>
      <c r="F416" s="5">
        <f>D416*Inventory!C147</f>
        <v>65</v>
      </c>
      <c r="G416" s="5">
        <f t="shared" si="18"/>
        <v>25</v>
      </c>
      <c r="H416" t="s">
        <v>361</v>
      </c>
    </row>
    <row r="417" spans="1:9" x14ac:dyDescent="0.25">
      <c r="A417" s="1">
        <f t="shared" si="19"/>
        <v>45495</v>
      </c>
      <c r="B417" s="31">
        <f>TIME(13,32,0)</f>
        <v>0.56388888888888888</v>
      </c>
      <c r="C417" t="str">
        <f>Inventory!A116</f>
        <v>Tomatoes</v>
      </c>
      <c r="D417" s="27">
        <v>10</v>
      </c>
      <c r="E417" s="5">
        <f>D417*Inventory!D116</f>
        <v>100</v>
      </c>
      <c r="F417" s="5">
        <f>D417*Inventory!C116</f>
        <v>50</v>
      </c>
      <c r="G417" s="5">
        <f t="shared" si="18"/>
        <v>50</v>
      </c>
      <c r="H417" t="s">
        <v>361</v>
      </c>
    </row>
    <row r="418" spans="1:9" x14ac:dyDescent="0.25">
      <c r="A418" s="1">
        <f t="shared" si="19"/>
        <v>45495</v>
      </c>
      <c r="B418" s="31">
        <f>TIME(13,35,0)</f>
        <v>0.56597222222222221</v>
      </c>
      <c r="C418" t="str">
        <f>Inventory!A3</f>
        <v>1.5ltrs water</v>
      </c>
      <c r="D418" s="27">
        <v>1</v>
      </c>
      <c r="E418" s="5">
        <f>D418*Inventory!D3</f>
        <v>70</v>
      </c>
      <c r="F418" s="5">
        <f>D418*Inventory!C3</f>
        <v>25</v>
      </c>
      <c r="G418" s="5">
        <f t="shared" si="18"/>
        <v>45</v>
      </c>
      <c r="H418" t="s">
        <v>359</v>
      </c>
      <c r="I418" t="s">
        <v>386</v>
      </c>
    </row>
    <row r="419" spans="1:9" x14ac:dyDescent="0.25">
      <c r="A419" s="1">
        <f t="shared" si="19"/>
        <v>45495</v>
      </c>
      <c r="B419" s="31">
        <f>TIME(13,35,0)</f>
        <v>0.56597222222222221</v>
      </c>
      <c r="C419" t="str">
        <f>Inventory!A65</f>
        <v>Tropical</v>
      </c>
      <c r="D419" s="27">
        <v>2</v>
      </c>
      <c r="E419" s="5">
        <f>D419*Inventory!D65</f>
        <v>10</v>
      </c>
      <c r="F419" s="5">
        <f>D419*Inventory!C65</f>
        <v>3</v>
      </c>
      <c r="G419" s="5">
        <f t="shared" si="18"/>
        <v>7</v>
      </c>
      <c r="H419" t="s">
        <v>359</v>
      </c>
      <c r="I419" t="s">
        <v>386</v>
      </c>
    </row>
    <row r="420" spans="1:9" x14ac:dyDescent="0.25">
      <c r="A420" s="1">
        <f t="shared" si="19"/>
        <v>45495</v>
      </c>
      <c r="B420" s="31">
        <f>TIME(14,12,0)</f>
        <v>0.59166666666666667</v>
      </c>
      <c r="C420" t="str">
        <f>Inventory!A71</f>
        <v>Indomie chicken</v>
      </c>
      <c r="D420" s="27">
        <v>2</v>
      </c>
      <c r="E420" s="5">
        <f>D420*Inventory!D71</f>
        <v>100</v>
      </c>
      <c r="F420" s="5">
        <f>D420*Inventory!C71</f>
        <v>75</v>
      </c>
      <c r="G420" s="5">
        <f t="shared" si="18"/>
        <v>25</v>
      </c>
      <c r="H420" t="s">
        <v>247</v>
      </c>
    </row>
    <row r="421" spans="1:9" x14ac:dyDescent="0.25">
      <c r="A421" s="1">
        <f t="shared" si="19"/>
        <v>45495</v>
      </c>
      <c r="B421" s="31">
        <f>TIME(14,12,0)</f>
        <v>0.59166666666666667</v>
      </c>
      <c r="C421" t="str">
        <f>Inventory!A170</f>
        <v>Scissors</v>
      </c>
      <c r="D421" s="27">
        <v>1</v>
      </c>
      <c r="E421" s="5">
        <f>D421*Inventory!D170</f>
        <v>30</v>
      </c>
      <c r="F421" s="5">
        <f>D421*Inventory!C170</f>
        <v>15</v>
      </c>
      <c r="G421" s="5">
        <f t="shared" si="18"/>
        <v>15</v>
      </c>
      <c r="H421" t="s">
        <v>247</v>
      </c>
    </row>
    <row r="422" spans="1:9" x14ac:dyDescent="0.25">
      <c r="A422" s="1">
        <f t="shared" si="19"/>
        <v>45495</v>
      </c>
      <c r="B422" s="31">
        <f>TIME(14,31,0)</f>
        <v>0.60486111111111118</v>
      </c>
      <c r="C422" t="str">
        <f>Inventory!A140</f>
        <v>Airtel 50 Credit</v>
      </c>
      <c r="D422" s="27">
        <v>2</v>
      </c>
      <c r="E422" s="5">
        <f>D422*Inventory!D140</f>
        <v>100</v>
      </c>
      <c r="F422" s="5">
        <f>D422*Inventory!C140</f>
        <v>94</v>
      </c>
      <c r="G422" s="5">
        <f t="shared" si="18"/>
        <v>6</v>
      </c>
      <c r="H422" t="s">
        <v>247</v>
      </c>
    </row>
    <row r="423" spans="1:9" x14ac:dyDescent="0.25">
      <c r="A423" s="1">
        <f t="shared" si="19"/>
        <v>45495</v>
      </c>
      <c r="B423" s="31">
        <f>TIME(14,48,0)</f>
        <v>0.6166666666666667</v>
      </c>
      <c r="C423" t="str">
        <f>Inventory!A10</f>
        <v>afia 500ml</v>
      </c>
      <c r="D423" s="27">
        <v>1</v>
      </c>
      <c r="E423" s="5">
        <f>D423*Inventory!D10</f>
        <v>85</v>
      </c>
      <c r="F423" s="5">
        <f>D423*Inventory!C10</f>
        <v>70.833333333333329</v>
      </c>
      <c r="G423" s="5">
        <f t="shared" si="18"/>
        <v>14.166666666666671</v>
      </c>
      <c r="H423" t="s">
        <v>359</v>
      </c>
      <c r="I423" t="s">
        <v>386</v>
      </c>
    </row>
    <row r="424" spans="1:9" x14ac:dyDescent="0.25">
      <c r="A424" s="1">
        <f t="shared" si="19"/>
        <v>45495</v>
      </c>
      <c r="B424" s="31">
        <f>TIME(14,48,0)</f>
        <v>0.6166666666666667</v>
      </c>
      <c r="C424" t="str">
        <f>Inventory!A171</f>
        <v>Coconut Cakes</v>
      </c>
      <c r="D424" s="27">
        <v>2</v>
      </c>
      <c r="E424" s="5">
        <f>D424*Inventory!D171</f>
        <v>20</v>
      </c>
      <c r="F424" s="5">
        <f>D424*Inventory!C171</f>
        <v>16.666666666666668</v>
      </c>
      <c r="G424" s="5">
        <f t="shared" si="18"/>
        <v>3.3333333333333321</v>
      </c>
      <c r="H424" t="s">
        <v>359</v>
      </c>
      <c r="I424" t="s">
        <v>386</v>
      </c>
    </row>
    <row r="425" spans="1:9" x14ac:dyDescent="0.25">
      <c r="A425" s="1">
        <f t="shared" si="19"/>
        <v>45495</v>
      </c>
      <c r="B425" s="31">
        <f>TIME(14,49,0)</f>
        <v>0.61736111111111114</v>
      </c>
      <c r="C425" t="str">
        <f>Inventory!A153</f>
        <v>Pishori rice</v>
      </c>
      <c r="D425" s="27">
        <v>1</v>
      </c>
      <c r="E425" s="5">
        <f>D425*Inventory!D153</f>
        <v>220</v>
      </c>
      <c r="F425" s="5">
        <f>D425*Inventory!C153</f>
        <v>180</v>
      </c>
      <c r="G425" s="5">
        <f t="shared" si="18"/>
        <v>40</v>
      </c>
      <c r="H425" t="s">
        <v>359</v>
      </c>
      <c r="I425" t="s">
        <v>385</v>
      </c>
    </row>
    <row r="426" spans="1:9" x14ac:dyDescent="0.25">
      <c r="A426" s="1">
        <f t="shared" si="19"/>
        <v>45495</v>
      </c>
      <c r="B426" s="31">
        <f>TIME(14,51,0)</f>
        <v>0.61875000000000002</v>
      </c>
      <c r="C426" t="str">
        <f>Inventory!A13</f>
        <v>soda 300ml glass</v>
      </c>
      <c r="D426" s="27">
        <v>1</v>
      </c>
      <c r="E426" s="5">
        <f>D426*Inventory!D13</f>
        <v>40</v>
      </c>
      <c r="F426" s="5">
        <f>D426*Inventory!C13</f>
        <v>32.5</v>
      </c>
      <c r="G426" s="5">
        <f t="shared" si="18"/>
        <v>7.5</v>
      </c>
      <c r="H426" t="s">
        <v>361</v>
      </c>
    </row>
    <row r="427" spans="1:9" x14ac:dyDescent="0.25">
      <c r="A427" s="1">
        <f t="shared" si="19"/>
        <v>45495</v>
      </c>
      <c r="B427" s="31">
        <f>TIME(14,51,0)</f>
        <v>0.61875000000000002</v>
      </c>
      <c r="C427" t="str">
        <f>Inventory!A49</f>
        <v>Half pound cake</v>
      </c>
      <c r="D427" s="27">
        <v>1</v>
      </c>
      <c r="E427" s="5">
        <f>D427*Inventory!D49</f>
        <v>100</v>
      </c>
      <c r="F427" s="5">
        <f>D427*Inventory!C49</f>
        <v>90</v>
      </c>
      <c r="G427" s="5">
        <f t="shared" si="18"/>
        <v>10</v>
      </c>
      <c r="H427" t="s">
        <v>361</v>
      </c>
    </row>
    <row r="428" spans="1:9" x14ac:dyDescent="0.25">
      <c r="A428" s="1">
        <f t="shared" si="19"/>
        <v>45495</v>
      </c>
      <c r="B428" s="31">
        <f>TIME(15,46,0)</f>
        <v>0.65694444444444444</v>
      </c>
      <c r="C428" t="str">
        <f>Inventory!A5</f>
        <v>soda 2lts</v>
      </c>
      <c r="D428" s="27">
        <v>1</v>
      </c>
      <c r="E428" s="5">
        <f>D428*Inventory!D5</f>
        <v>200</v>
      </c>
      <c r="F428" s="5">
        <f>D428*Inventory!C5</f>
        <v>176.66666666666666</v>
      </c>
      <c r="G428" s="5">
        <f t="shared" si="18"/>
        <v>23.333333333333343</v>
      </c>
      <c r="H428" t="s">
        <v>247</v>
      </c>
    </row>
    <row r="429" spans="1:9" x14ac:dyDescent="0.25">
      <c r="A429" s="1">
        <f t="shared" si="19"/>
        <v>45495</v>
      </c>
      <c r="B429" s="31">
        <f>TIME(15,46,0)</f>
        <v>0.65694444444444444</v>
      </c>
      <c r="C429" t="str">
        <f>Inventory!A110</f>
        <v>omo 75g</v>
      </c>
      <c r="D429" s="27">
        <v>1</v>
      </c>
      <c r="E429" s="5">
        <f>D429*Inventory!D110</f>
        <v>35</v>
      </c>
      <c r="F429" s="5">
        <f>D429*Inventory!C110</f>
        <v>27.5</v>
      </c>
      <c r="G429" s="5">
        <f t="shared" si="18"/>
        <v>7.5</v>
      </c>
      <c r="H429" t="s">
        <v>247</v>
      </c>
    </row>
    <row r="430" spans="1:9" x14ac:dyDescent="0.25">
      <c r="A430" s="1">
        <f t="shared" si="19"/>
        <v>45495</v>
      </c>
      <c r="B430" s="31">
        <f>TIME(16,22,0)</f>
        <v>0.68194444444444446</v>
      </c>
      <c r="C430" t="str">
        <f>Inventory!A30</f>
        <v>BB Bread 400g</v>
      </c>
      <c r="D430" s="27">
        <v>1</v>
      </c>
      <c r="E430" s="5">
        <f>D430*Inventory!D30</f>
        <v>65</v>
      </c>
      <c r="F430" s="5">
        <f>D430*Inventory!C30</f>
        <v>60</v>
      </c>
      <c r="G430" s="5">
        <f t="shared" si="18"/>
        <v>5</v>
      </c>
      <c r="H430" t="s">
        <v>361</v>
      </c>
    </row>
    <row r="431" spans="1:9" x14ac:dyDescent="0.25">
      <c r="A431" s="1">
        <f t="shared" si="19"/>
        <v>45495</v>
      </c>
      <c r="B431" s="31">
        <f>TIME(17,15,0)</f>
        <v>0.71875</v>
      </c>
      <c r="C431" t="str">
        <f>Inventory!A134</f>
        <v>Baloon</v>
      </c>
      <c r="D431" s="27">
        <v>2</v>
      </c>
      <c r="E431" s="5">
        <f>D431*Inventory!D134</f>
        <v>20</v>
      </c>
      <c r="F431" s="5">
        <f>D431*Inventory!C134</f>
        <v>12</v>
      </c>
      <c r="G431" s="5">
        <f t="shared" si="18"/>
        <v>8</v>
      </c>
      <c r="H431" t="s">
        <v>247</v>
      </c>
    </row>
    <row r="432" spans="1:9" x14ac:dyDescent="0.25">
      <c r="A432" s="1">
        <f t="shared" si="19"/>
        <v>45495</v>
      </c>
      <c r="B432" s="31">
        <f>TIME(18,47,0)</f>
        <v>0.78263888888888899</v>
      </c>
      <c r="C432" t="str">
        <f>Inventory!A64</f>
        <v>Sodacans</v>
      </c>
      <c r="D432" s="27">
        <v>1</v>
      </c>
      <c r="E432" s="5">
        <f>D432*Inventory!D64</f>
        <v>20</v>
      </c>
      <c r="F432" s="5">
        <f>D432*Inventory!C64</f>
        <v>15</v>
      </c>
      <c r="G432" s="5">
        <f t="shared" si="18"/>
        <v>5</v>
      </c>
      <c r="H432" t="s">
        <v>247</v>
      </c>
    </row>
    <row r="433" spans="1:9" x14ac:dyDescent="0.25">
      <c r="A433" s="1">
        <f t="shared" si="19"/>
        <v>45495</v>
      </c>
      <c r="B433" s="31">
        <f>TIME(18,50,0)</f>
        <v>0.78472222222222221</v>
      </c>
      <c r="C433" t="str">
        <f>Inventory!A81</f>
        <v>eggs</v>
      </c>
      <c r="D433" s="27">
        <v>4</v>
      </c>
      <c r="E433" s="5">
        <f>D433*Inventory!D81</f>
        <v>80</v>
      </c>
      <c r="F433" s="5">
        <f>D433*Inventory!C81</f>
        <v>57.333333333333336</v>
      </c>
      <c r="G433" s="5">
        <f t="shared" si="18"/>
        <v>22.666666666666664</v>
      </c>
      <c r="H433" t="s">
        <v>361</v>
      </c>
    </row>
    <row r="434" spans="1:9" x14ac:dyDescent="0.25">
      <c r="A434" s="1">
        <f t="shared" si="19"/>
        <v>45495</v>
      </c>
      <c r="B434" s="31">
        <f>TIME(18,50,0)</f>
        <v>0.78472222222222221</v>
      </c>
      <c r="C434" t="str">
        <f>Inventory!A171</f>
        <v>Coconut Cakes</v>
      </c>
      <c r="D434" s="27">
        <v>4</v>
      </c>
      <c r="E434" s="5">
        <f>D434*Inventory!D171</f>
        <v>40</v>
      </c>
      <c r="F434" s="5">
        <f>D434*Inventory!C171</f>
        <v>33.333333333333336</v>
      </c>
      <c r="G434" s="5">
        <f t="shared" si="18"/>
        <v>6.6666666666666643</v>
      </c>
      <c r="H434" t="s">
        <v>361</v>
      </c>
    </row>
    <row r="435" spans="1:9" x14ac:dyDescent="0.25">
      <c r="A435" s="1">
        <f t="shared" si="19"/>
        <v>45495</v>
      </c>
      <c r="B435" s="31">
        <f>TIME(19,8,0)</f>
        <v>0.79722222222222217</v>
      </c>
      <c r="C435" t="str">
        <f>Inventory!A132</f>
        <v>Festive Bread 400g</v>
      </c>
      <c r="D435" s="27">
        <v>1</v>
      </c>
      <c r="E435" s="5">
        <f>D435*Inventory!D132</f>
        <v>65</v>
      </c>
      <c r="F435" s="5">
        <f>D435*Inventory!C132</f>
        <v>60</v>
      </c>
      <c r="G435" s="5">
        <f t="shared" si="18"/>
        <v>5</v>
      </c>
      <c r="H435" t="s">
        <v>361</v>
      </c>
    </row>
    <row r="436" spans="1:9" x14ac:dyDescent="0.25">
      <c r="A436" s="1">
        <f t="shared" si="19"/>
        <v>45495</v>
      </c>
      <c r="B436" s="31">
        <f>TIME(19,29,0)</f>
        <v>0.81180555555555556</v>
      </c>
      <c r="C436" t="str">
        <f>Inventory!A10</f>
        <v>afia 500ml</v>
      </c>
      <c r="D436" s="27">
        <v>1</v>
      </c>
      <c r="E436" s="5">
        <f>D436*Inventory!D85</f>
        <v>30</v>
      </c>
      <c r="F436" s="5">
        <f>D436*Inventory!C85</f>
        <v>23.333333333333332</v>
      </c>
      <c r="G436" s="5">
        <f t="shared" si="18"/>
        <v>6.6666666666666679</v>
      </c>
      <c r="H436" t="s">
        <v>361</v>
      </c>
    </row>
    <row r="437" spans="1:9" x14ac:dyDescent="0.25">
      <c r="A437" s="1">
        <f t="shared" si="19"/>
        <v>45495</v>
      </c>
      <c r="B437" s="31">
        <f>TIME(19,39,0)</f>
        <v>0.81874999999999998</v>
      </c>
      <c r="C437" t="str">
        <f>Inventory!A172</f>
        <v>Ginger</v>
      </c>
      <c r="D437" s="27">
        <v>2</v>
      </c>
      <c r="E437" s="5">
        <f>D437*Inventory!D172</f>
        <v>40</v>
      </c>
      <c r="F437" s="5">
        <f>D437*Inventory!C172</f>
        <v>20</v>
      </c>
      <c r="G437" s="5">
        <f t="shared" si="18"/>
        <v>20</v>
      </c>
      <c r="H437" t="s">
        <v>361</v>
      </c>
    </row>
    <row r="438" spans="1:9" x14ac:dyDescent="0.25">
      <c r="A438" s="1">
        <f t="shared" si="19"/>
        <v>45495</v>
      </c>
      <c r="B438" s="31">
        <f>TIME(19,42,0)</f>
        <v>0.8208333333333333</v>
      </c>
      <c r="C438" t="str">
        <f>Inventory!A122</f>
        <v>Kinangop Fresh Milk 500ml</v>
      </c>
      <c r="D438" s="27">
        <v>1</v>
      </c>
      <c r="E438" s="5">
        <f>D438*Inventory!D122</f>
        <v>60</v>
      </c>
      <c r="F438" s="5">
        <f>D438*Inventory!C122</f>
        <v>55</v>
      </c>
      <c r="G438" s="5">
        <f t="shared" si="18"/>
        <v>5</v>
      </c>
      <c r="H438" t="s">
        <v>359</v>
      </c>
      <c r="I438" t="s">
        <v>390</v>
      </c>
    </row>
    <row r="439" spans="1:9" x14ac:dyDescent="0.25">
      <c r="A439" s="1">
        <f t="shared" si="19"/>
        <v>45495</v>
      </c>
      <c r="B439" s="31">
        <f t="shared" ref="B439:B444" si="20">TIME(20,1,0)</f>
        <v>0.8340277777777777</v>
      </c>
      <c r="C439" t="str">
        <f>Inventory!A173</f>
        <v>Blueband 100g</v>
      </c>
      <c r="D439" s="27">
        <v>1</v>
      </c>
      <c r="E439" s="5">
        <f>D439*Inventory!D173</f>
        <v>70</v>
      </c>
      <c r="F439" s="5">
        <f>D439*Inventory!C173</f>
        <v>58.333333333333336</v>
      </c>
      <c r="G439" s="5">
        <f t="shared" si="18"/>
        <v>11.666666666666664</v>
      </c>
      <c r="H439" t="s">
        <v>359</v>
      </c>
      <c r="I439" t="s">
        <v>404</v>
      </c>
    </row>
    <row r="440" spans="1:9" x14ac:dyDescent="0.25">
      <c r="A440" s="1">
        <f t="shared" si="19"/>
        <v>45495</v>
      </c>
      <c r="B440" s="31">
        <f t="shared" si="20"/>
        <v>0.8340277777777777</v>
      </c>
      <c r="C440" t="str">
        <f>Inventory!A171</f>
        <v>Coconut Cakes</v>
      </c>
      <c r="D440" s="27">
        <v>6</v>
      </c>
      <c r="E440" s="5">
        <f>D440*Inventory!D171</f>
        <v>60</v>
      </c>
      <c r="F440" s="5">
        <f>D440*Inventory!C171</f>
        <v>50</v>
      </c>
      <c r="G440" s="5">
        <f t="shared" si="18"/>
        <v>10</v>
      </c>
      <c r="H440" t="s">
        <v>359</v>
      </c>
      <c r="I440" t="s">
        <v>404</v>
      </c>
    </row>
    <row r="441" spans="1:9" x14ac:dyDescent="0.25">
      <c r="A441" s="1">
        <f t="shared" si="19"/>
        <v>45495</v>
      </c>
      <c r="B441" s="31">
        <f t="shared" si="20"/>
        <v>0.8340277777777777</v>
      </c>
      <c r="C441" t="str">
        <f>Inventory!A132</f>
        <v>Festive Bread 400g</v>
      </c>
      <c r="D441" s="27">
        <v>1</v>
      </c>
      <c r="E441" s="5">
        <f>D441*Inventory!D132</f>
        <v>65</v>
      </c>
      <c r="F441" s="5">
        <f>D441*Inventory!C132</f>
        <v>60</v>
      </c>
      <c r="G441" s="5">
        <f t="shared" si="18"/>
        <v>5</v>
      </c>
      <c r="H441" t="s">
        <v>359</v>
      </c>
      <c r="I441" t="s">
        <v>404</v>
      </c>
    </row>
    <row r="442" spans="1:9" x14ac:dyDescent="0.25">
      <c r="A442" s="1">
        <f t="shared" si="19"/>
        <v>45495</v>
      </c>
      <c r="B442" s="31">
        <f t="shared" si="20"/>
        <v>0.8340277777777777</v>
      </c>
      <c r="C442" t="str">
        <f>Inventory!A81</f>
        <v>eggs</v>
      </c>
      <c r="D442" s="27">
        <v>6</v>
      </c>
      <c r="E442" s="5">
        <f>D442*Inventory!D81</f>
        <v>120</v>
      </c>
      <c r="F442" s="5">
        <f>D442*Inventory!C81</f>
        <v>86</v>
      </c>
      <c r="G442" s="5">
        <f t="shared" si="18"/>
        <v>34</v>
      </c>
      <c r="H442" t="s">
        <v>359</v>
      </c>
      <c r="I442" t="s">
        <v>404</v>
      </c>
    </row>
    <row r="443" spans="1:9" x14ac:dyDescent="0.25">
      <c r="A443" s="1">
        <f t="shared" si="19"/>
        <v>45495</v>
      </c>
      <c r="B443" s="31">
        <f t="shared" si="20"/>
        <v>0.8340277777777777</v>
      </c>
      <c r="C443" t="str">
        <f>Inventory!A24</f>
        <v>Brookside milk 500ml</v>
      </c>
      <c r="D443" s="27">
        <v>1</v>
      </c>
      <c r="E443" s="5">
        <f>D443*Inventory!D24</f>
        <v>70</v>
      </c>
      <c r="F443" s="5">
        <f>D443*Inventory!C24</f>
        <v>59</v>
      </c>
      <c r="G443" s="5">
        <f t="shared" si="18"/>
        <v>11</v>
      </c>
      <c r="H443" t="s">
        <v>359</v>
      </c>
      <c r="I443" t="s">
        <v>404</v>
      </c>
    </row>
    <row r="444" spans="1:9" x14ac:dyDescent="0.25">
      <c r="A444" s="1">
        <f t="shared" si="19"/>
        <v>45495</v>
      </c>
      <c r="B444" s="31">
        <f t="shared" si="20"/>
        <v>0.8340277777777777</v>
      </c>
      <c r="C444" t="str">
        <f>Inventory!A14</f>
        <v>soda 500ml glass</v>
      </c>
      <c r="D444" s="27">
        <v>1</v>
      </c>
      <c r="E444" s="5">
        <f>D444*Inventory!D14</f>
        <v>55</v>
      </c>
      <c r="F444" s="5">
        <f>D444*Inventory!C14</f>
        <v>50</v>
      </c>
      <c r="G444" s="5">
        <f t="shared" si="18"/>
        <v>5</v>
      </c>
      <c r="H444" t="s">
        <v>359</v>
      </c>
      <c r="I444" t="s">
        <v>404</v>
      </c>
    </row>
    <row r="445" spans="1:9" x14ac:dyDescent="0.25">
      <c r="A445" s="1">
        <f t="shared" si="19"/>
        <v>45495</v>
      </c>
      <c r="B445" s="31">
        <f>TIME(20,3,0)</f>
        <v>0.8354166666666667</v>
      </c>
      <c r="C445" t="str">
        <f>Inventory!A117</f>
        <v>Cooking Oil Measured</v>
      </c>
      <c r="D445" s="27">
        <v>0.25</v>
      </c>
      <c r="E445" s="5">
        <f>D445*Inventory!D117</f>
        <v>70</v>
      </c>
      <c r="F445" s="5">
        <f>D445*Inventory!C117</f>
        <v>50</v>
      </c>
      <c r="G445" s="5">
        <f t="shared" si="18"/>
        <v>20</v>
      </c>
      <c r="H445" t="s">
        <v>361</v>
      </c>
    </row>
    <row r="446" spans="1:9" x14ac:dyDescent="0.25">
      <c r="A446" s="1">
        <f t="shared" si="19"/>
        <v>45495</v>
      </c>
      <c r="B446" s="31">
        <f>TIME(20,11,0)</f>
        <v>0.84097222222222223</v>
      </c>
      <c r="C446" t="str">
        <f>Inventory!A148</f>
        <v>Cabbage</v>
      </c>
      <c r="D446" s="27">
        <v>1</v>
      </c>
      <c r="E446" s="5">
        <f>D446*Inventory!D148</f>
        <v>180</v>
      </c>
      <c r="F446" s="5">
        <f>D446*Inventory!C148</f>
        <v>120</v>
      </c>
      <c r="G446" s="5">
        <f t="shared" si="18"/>
        <v>60</v>
      </c>
      <c r="H446" t="s">
        <v>359</v>
      </c>
      <c r="I446" t="s">
        <v>389</v>
      </c>
    </row>
    <row r="447" spans="1:9" x14ac:dyDescent="0.25">
      <c r="A447" s="1">
        <f t="shared" si="19"/>
        <v>45495</v>
      </c>
      <c r="B447" s="31">
        <f>TIME(20,13,0)</f>
        <v>0.84236111111111101</v>
      </c>
      <c r="C447" t="str">
        <f>Inventory!A2</f>
        <v>5ltrs water</v>
      </c>
      <c r="D447" s="27">
        <v>1</v>
      </c>
      <c r="E447" s="5">
        <f>D447*Inventory!D2</f>
        <v>120</v>
      </c>
      <c r="F447" s="5">
        <f>D447*Inventory!C2</f>
        <v>75</v>
      </c>
      <c r="G447" s="5">
        <f t="shared" si="18"/>
        <v>45</v>
      </c>
      <c r="H447" t="s">
        <v>359</v>
      </c>
      <c r="I447" t="s">
        <v>384</v>
      </c>
    </row>
    <row r="448" spans="1:9" x14ac:dyDescent="0.25">
      <c r="A448" s="1">
        <f t="shared" si="19"/>
        <v>45495</v>
      </c>
      <c r="B448" s="31">
        <f>TIME(20,13,0)</f>
        <v>0.84236111111111101</v>
      </c>
      <c r="C448" t="str">
        <f>Inventory!A81</f>
        <v>eggs</v>
      </c>
      <c r="D448" s="27">
        <v>3</v>
      </c>
      <c r="E448" s="5">
        <f>D448*Inventory!D81</f>
        <v>60</v>
      </c>
      <c r="F448" s="5">
        <f>D448*Inventory!C81</f>
        <v>43</v>
      </c>
      <c r="G448" s="5">
        <f t="shared" si="18"/>
        <v>17</v>
      </c>
      <c r="H448" t="s">
        <v>359</v>
      </c>
      <c r="I448" t="s">
        <v>384</v>
      </c>
    </row>
    <row r="449" spans="1:12" x14ac:dyDescent="0.25">
      <c r="A449" s="1">
        <f t="shared" si="19"/>
        <v>45495</v>
      </c>
      <c r="B449" s="31">
        <f>TIME(20,13,0)</f>
        <v>0.84236111111111101</v>
      </c>
      <c r="C449" t="str">
        <f>Inventory!A115</f>
        <v>Onion</v>
      </c>
      <c r="D449" s="27">
        <v>1</v>
      </c>
      <c r="E449" s="5">
        <f>D449*Inventory!D115</f>
        <v>10</v>
      </c>
      <c r="F449" s="5">
        <f>D449*Inventory!C115</f>
        <v>8</v>
      </c>
      <c r="G449" s="5">
        <f t="shared" si="18"/>
        <v>2</v>
      </c>
      <c r="H449" t="s">
        <v>359</v>
      </c>
      <c r="I449" t="s">
        <v>384</v>
      </c>
    </row>
    <row r="450" spans="1:12" x14ac:dyDescent="0.25">
      <c r="A450" s="1">
        <f t="shared" si="19"/>
        <v>45495</v>
      </c>
      <c r="B450" s="31">
        <f>TIME(20,24,0)</f>
        <v>0.85</v>
      </c>
      <c r="C450" t="str">
        <f>Inventory!A89</f>
        <v>Tukuza 1kg</v>
      </c>
      <c r="D450" s="27">
        <v>1</v>
      </c>
      <c r="E450" s="5">
        <f>D450*Inventory!D89</f>
        <v>90</v>
      </c>
      <c r="F450" s="5">
        <f>D450*Inventory!C89</f>
        <v>61.25</v>
      </c>
      <c r="G450" s="5">
        <f t="shared" si="18"/>
        <v>28.75</v>
      </c>
      <c r="H450" t="s">
        <v>359</v>
      </c>
      <c r="I450" t="s">
        <v>389</v>
      </c>
    </row>
    <row r="451" spans="1:12" x14ac:dyDescent="0.25">
      <c r="A451" s="1">
        <f t="shared" si="19"/>
        <v>45495</v>
      </c>
      <c r="B451" s="31">
        <f>TIME(20,53,0)</f>
        <v>0.87013888888888891</v>
      </c>
      <c r="C451" t="str">
        <f>Inventory!A54</f>
        <v>Kdf</v>
      </c>
      <c r="D451" s="27">
        <v>1</v>
      </c>
      <c r="E451" s="5">
        <f>D451*Inventory!D84</f>
        <v>15</v>
      </c>
      <c r="F451" s="5">
        <f>D451*Inventory!C84</f>
        <v>8.5</v>
      </c>
      <c r="G451" s="5">
        <f t="shared" ref="G451:G501" si="21">E451-F451</f>
        <v>6.5</v>
      </c>
      <c r="H451" t="s">
        <v>359</v>
      </c>
      <c r="I451" t="s">
        <v>385</v>
      </c>
    </row>
    <row r="452" spans="1:12" x14ac:dyDescent="0.25">
      <c r="A452" s="1">
        <f t="shared" si="19"/>
        <v>45495</v>
      </c>
      <c r="B452" s="31">
        <f>TIME(20,53,0)</f>
        <v>0.87013888888888891</v>
      </c>
      <c r="C452" t="str">
        <f>Inventory!A123</f>
        <v>Mt Kenya milk 200ml</v>
      </c>
      <c r="D452" s="27">
        <v>1</v>
      </c>
      <c r="E452" s="5">
        <f>D452*Inventory!D123</f>
        <v>35</v>
      </c>
      <c r="F452" s="5">
        <f>D452*Inventory!C123</f>
        <v>24.285714285714285</v>
      </c>
      <c r="G452" s="5">
        <f t="shared" si="21"/>
        <v>10.714285714285715</v>
      </c>
      <c r="H452" t="s">
        <v>359</v>
      </c>
      <c r="I452" t="s">
        <v>385</v>
      </c>
    </row>
    <row r="453" spans="1:12" x14ac:dyDescent="0.25">
      <c r="A453" s="1">
        <f t="shared" si="19"/>
        <v>45495</v>
      </c>
      <c r="B453" s="31">
        <f>TIME(20,57,0)</f>
        <v>0.87291666666666667</v>
      </c>
      <c r="D453" s="27"/>
      <c r="F453" s="5"/>
      <c r="J453" t="s">
        <v>400</v>
      </c>
      <c r="K453">
        <v>145</v>
      </c>
      <c r="L453" t="s">
        <v>361</v>
      </c>
    </row>
    <row r="454" spans="1:12" x14ac:dyDescent="0.25">
      <c r="A454" s="1">
        <f>DATE(2024,7,23)</f>
        <v>45496</v>
      </c>
      <c r="B454" s="31">
        <f>TIME(8,22,0)</f>
        <v>0.34861111111111115</v>
      </c>
      <c r="C454" t="str">
        <f>Inventory!A87</f>
        <v>Ajab 2kg</v>
      </c>
      <c r="D454" s="27">
        <v>1</v>
      </c>
      <c r="E454" s="5">
        <f>D454*Inventory!D87</f>
        <v>220</v>
      </c>
      <c r="F454" s="5">
        <f>D454*Inventory!C87</f>
        <v>175</v>
      </c>
      <c r="G454" s="5">
        <f t="shared" si="21"/>
        <v>45</v>
      </c>
      <c r="H454" t="s">
        <v>359</v>
      </c>
      <c r="I454" t="s">
        <v>392</v>
      </c>
    </row>
    <row r="455" spans="1:12" x14ac:dyDescent="0.25">
      <c r="A455" s="1">
        <f t="shared" ref="A455:A521" si="22">DATE(2024,7,23)</f>
        <v>45496</v>
      </c>
      <c r="B455" s="31">
        <f>TIME(8,48,0)</f>
        <v>0.3666666666666667</v>
      </c>
      <c r="C455" t="str">
        <f>Inventory!A122</f>
        <v>Kinangop Fresh Milk 500ml</v>
      </c>
      <c r="D455" s="27">
        <v>1</v>
      </c>
      <c r="E455" s="5">
        <f>D455*Inventory!D122</f>
        <v>60</v>
      </c>
      <c r="F455" s="5">
        <f>D455*Inventory!C122</f>
        <v>55</v>
      </c>
      <c r="G455" s="5">
        <f t="shared" si="21"/>
        <v>5</v>
      </c>
      <c r="H455" t="s">
        <v>359</v>
      </c>
      <c r="I455" t="s">
        <v>385</v>
      </c>
    </row>
    <row r="456" spans="1:12" x14ac:dyDescent="0.25">
      <c r="A456" s="1">
        <f t="shared" si="22"/>
        <v>45496</v>
      </c>
      <c r="B456" s="31">
        <f>TIME(8,48,0)</f>
        <v>0.3666666666666667</v>
      </c>
      <c r="C456" t="str">
        <f>Inventory!A30</f>
        <v>BB Bread 400g</v>
      </c>
      <c r="D456" s="27">
        <v>1</v>
      </c>
      <c r="E456" s="5">
        <f>D456*Inventory!D30</f>
        <v>65</v>
      </c>
      <c r="F456" s="5">
        <f>D456*Inventory!C30</f>
        <v>60</v>
      </c>
      <c r="G456" s="5">
        <f t="shared" si="21"/>
        <v>5</v>
      </c>
      <c r="H456" t="s">
        <v>359</v>
      </c>
      <c r="I456" t="s">
        <v>385</v>
      </c>
    </row>
    <row r="457" spans="1:12" x14ac:dyDescent="0.25">
      <c r="A457" s="1">
        <f t="shared" si="22"/>
        <v>45496</v>
      </c>
      <c r="B457" s="31">
        <f>TIME(9,11,0)</f>
        <v>0.38263888888888892</v>
      </c>
      <c r="C457" t="str">
        <f>Inventory!A32</f>
        <v>Festive 600g</v>
      </c>
      <c r="D457" s="27">
        <v>1</v>
      </c>
      <c r="E457" s="5">
        <f>D457*Inventory!D32</f>
        <v>100</v>
      </c>
      <c r="F457" s="5">
        <f>D457*Inventory!C32</f>
        <v>90</v>
      </c>
      <c r="G457" s="5">
        <f t="shared" si="21"/>
        <v>10</v>
      </c>
      <c r="H457" t="s">
        <v>247</v>
      </c>
    </row>
    <row r="458" spans="1:12" x14ac:dyDescent="0.25">
      <c r="A458" s="1">
        <f t="shared" si="22"/>
        <v>45496</v>
      </c>
      <c r="B458" s="31">
        <f>TIME(9,11,0)</f>
        <v>0.38263888888888892</v>
      </c>
      <c r="C458" t="str">
        <f>Inventory!A132</f>
        <v>Festive Bread 400g</v>
      </c>
      <c r="D458" s="27">
        <v>1</v>
      </c>
      <c r="E458" s="5">
        <f>D458*Inventory!D132</f>
        <v>65</v>
      </c>
      <c r="F458" s="5">
        <f>D458*Inventory!C132</f>
        <v>60</v>
      </c>
      <c r="G458" s="5">
        <f t="shared" si="21"/>
        <v>5</v>
      </c>
      <c r="H458" t="s">
        <v>247</v>
      </c>
    </row>
    <row r="459" spans="1:12" x14ac:dyDescent="0.25">
      <c r="A459" s="1">
        <f t="shared" si="22"/>
        <v>45496</v>
      </c>
      <c r="B459" s="31">
        <f>TIME(9,11,0)</f>
        <v>0.38263888888888892</v>
      </c>
      <c r="C459" t="str">
        <f>Inventory!A63</f>
        <v>Gomba</v>
      </c>
      <c r="D459" s="27">
        <v>2</v>
      </c>
      <c r="E459" s="5">
        <f>D459*Inventory!D63</f>
        <v>5</v>
      </c>
      <c r="F459" s="5">
        <f>D459*Inventory!C63</f>
        <v>3.6</v>
      </c>
      <c r="G459" s="5">
        <f t="shared" si="21"/>
        <v>1.4</v>
      </c>
      <c r="H459" t="s">
        <v>247</v>
      </c>
    </row>
    <row r="460" spans="1:12" x14ac:dyDescent="0.25">
      <c r="A460" s="1">
        <f t="shared" si="22"/>
        <v>45496</v>
      </c>
      <c r="B460" s="31">
        <f>TIME(9,22,0)</f>
        <v>0.39027777777777778</v>
      </c>
      <c r="C460" t="str">
        <f>Inventory!A62</f>
        <v>Cough drops</v>
      </c>
      <c r="D460" s="27">
        <v>2</v>
      </c>
      <c r="E460" s="5">
        <f>D460*Inventory!D62</f>
        <v>10</v>
      </c>
      <c r="F460" s="5">
        <f>D460*Inventory!C62</f>
        <v>8</v>
      </c>
      <c r="G460" s="5">
        <f t="shared" si="21"/>
        <v>2</v>
      </c>
      <c r="H460" t="s">
        <v>361</v>
      </c>
    </row>
    <row r="461" spans="1:12" x14ac:dyDescent="0.25">
      <c r="A461" s="1">
        <f t="shared" si="22"/>
        <v>45496</v>
      </c>
      <c r="B461" s="31">
        <f>TIME(9,27,0)</f>
        <v>0.39374999999999999</v>
      </c>
      <c r="C461" t="str">
        <f>Inventory!A30</f>
        <v>BB Bread 400g</v>
      </c>
      <c r="D461" s="27">
        <v>1</v>
      </c>
      <c r="E461" s="5">
        <f>D461*Inventory!D30</f>
        <v>65</v>
      </c>
      <c r="F461" s="5">
        <f>D461*Inventory!C30</f>
        <v>60</v>
      </c>
      <c r="G461" s="5">
        <f t="shared" si="21"/>
        <v>5</v>
      </c>
      <c r="H461" t="s">
        <v>247</v>
      </c>
    </row>
    <row r="462" spans="1:12" x14ac:dyDescent="0.25">
      <c r="A462" s="1">
        <f t="shared" si="22"/>
        <v>45496</v>
      </c>
      <c r="B462" s="31">
        <f>TIME(9,32,0)</f>
        <v>0.3972222222222222</v>
      </c>
      <c r="C462" t="str">
        <f>Inventory!A174</f>
        <v>Blueband 500g</v>
      </c>
      <c r="D462" s="27">
        <v>1</v>
      </c>
      <c r="E462" s="5">
        <f>D462*Inventory!D174</f>
        <v>350</v>
      </c>
      <c r="F462" s="5">
        <f>D462*Inventory!C174</f>
        <v>250</v>
      </c>
      <c r="G462" s="5">
        <f t="shared" si="21"/>
        <v>100</v>
      </c>
      <c r="H462" t="s">
        <v>361</v>
      </c>
    </row>
    <row r="463" spans="1:12" x14ac:dyDescent="0.25">
      <c r="A463" s="1">
        <f t="shared" si="22"/>
        <v>45496</v>
      </c>
      <c r="B463" s="31">
        <f>TIME(9,34,0)</f>
        <v>0.39861111111111108</v>
      </c>
      <c r="C463" t="str">
        <f>Inventory!A122</f>
        <v>Kinangop Fresh Milk 500ml</v>
      </c>
      <c r="D463" s="27">
        <v>1</v>
      </c>
      <c r="E463" s="5">
        <f>D463*Inventory!D122</f>
        <v>60</v>
      </c>
      <c r="F463" s="5">
        <f>D463*Inventory!C122</f>
        <v>55</v>
      </c>
      <c r="G463" s="5">
        <f t="shared" si="21"/>
        <v>5</v>
      </c>
      <c r="H463" t="s">
        <v>359</v>
      </c>
      <c r="I463" t="s">
        <v>389</v>
      </c>
    </row>
    <row r="464" spans="1:12" x14ac:dyDescent="0.25">
      <c r="A464" s="1">
        <f t="shared" si="22"/>
        <v>45496</v>
      </c>
      <c r="B464" s="31">
        <f>TIME(9,44,0)</f>
        <v>0.4055555555555555</v>
      </c>
      <c r="C464" t="str">
        <f>Inventory!A9</f>
        <v>minutemaid 400ml</v>
      </c>
      <c r="D464" s="27">
        <v>1</v>
      </c>
      <c r="E464" s="5">
        <f>D464*Inventory!D9</f>
        <v>85</v>
      </c>
      <c r="F464" s="5">
        <f>D464*Inventory!C9</f>
        <v>62.5</v>
      </c>
      <c r="G464" s="5">
        <f t="shared" si="21"/>
        <v>22.5</v>
      </c>
      <c r="H464" t="s">
        <v>359</v>
      </c>
      <c r="I464" t="s">
        <v>407</v>
      </c>
    </row>
    <row r="465" spans="1:9" x14ac:dyDescent="0.25">
      <c r="A465" s="1">
        <f t="shared" si="22"/>
        <v>45496</v>
      </c>
      <c r="B465" s="31">
        <f>TIME(9,44,0)</f>
        <v>0.4055555555555555</v>
      </c>
      <c r="C465" t="str">
        <f>Inventory!A134</f>
        <v>Baloon</v>
      </c>
      <c r="D465" s="27">
        <v>3</v>
      </c>
      <c r="E465" s="5">
        <f>D465*Inventory!D134</f>
        <v>30</v>
      </c>
      <c r="F465" s="5">
        <f>D465*Inventory!C134</f>
        <v>18</v>
      </c>
      <c r="G465" s="5">
        <f t="shared" si="21"/>
        <v>12</v>
      </c>
      <c r="H465" t="s">
        <v>359</v>
      </c>
      <c r="I465" t="s">
        <v>407</v>
      </c>
    </row>
    <row r="466" spans="1:9" x14ac:dyDescent="0.25">
      <c r="A466" s="1">
        <f t="shared" si="22"/>
        <v>45496</v>
      </c>
      <c r="B466" s="31">
        <f>TIME(9,44,0)</f>
        <v>0.4055555555555555</v>
      </c>
      <c r="C466" t="str">
        <f>Inventory!A35</f>
        <v>Bitez</v>
      </c>
      <c r="D466" s="27">
        <v>3</v>
      </c>
      <c r="E466" s="5">
        <f>D466*Inventory!D35</f>
        <v>45</v>
      </c>
      <c r="F466" s="5">
        <f>D466*Inventory!C35</f>
        <v>26.400000000000002</v>
      </c>
      <c r="G466" s="5">
        <f t="shared" si="21"/>
        <v>18.599999999999998</v>
      </c>
      <c r="H466" t="s">
        <v>359</v>
      </c>
      <c r="I466" t="s">
        <v>407</v>
      </c>
    </row>
    <row r="467" spans="1:9" x14ac:dyDescent="0.25">
      <c r="A467" s="1">
        <f t="shared" si="22"/>
        <v>45496</v>
      </c>
      <c r="B467" s="31">
        <f>TIME(9,48,0)</f>
        <v>0.40833333333333338</v>
      </c>
      <c r="C467" t="str">
        <f>Inventory!A137</f>
        <v>Safaricom 50 Credit</v>
      </c>
      <c r="D467" s="27">
        <v>2</v>
      </c>
      <c r="E467" s="5">
        <f>D467*Inventory!D137</f>
        <v>100</v>
      </c>
      <c r="F467" s="5">
        <f>D467*Inventory!C137</f>
        <v>94</v>
      </c>
      <c r="G467" s="5">
        <f t="shared" si="21"/>
        <v>6</v>
      </c>
      <c r="H467" t="s">
        <v>247</v>
      </c>
    </row>
    <row r="468" spans="1:9" x14ac:dyDescent="0.25">
      <c r="A468" s="1">
        <f t="shared" si="22"/>
        <v>45496</v>
      </c>
      <c r="B468" s="31">
        <f>TIME(10,58,0)</f>
        <v>0.45694444444444443</v>
      </c>
      <c r="C468" t="str">
        <f>Inventory!A12</f>
        <v>predator</v>
      </c>
      <c r="D468" s="27">
        <v>1</v>
      </c>
      <c r="E468" s="5">
        <f>D468*Inventory!D12</f>
        <v>70</v>
      </c>
      <c r="F468" s="5">
        <f>D468*Inventory!C12</f>
        <v>54.166666666666664</v>
      </c>
      <c r="G468" s="5">
        <f t="shared" si="21"/>
        <v>15.833333333333336</v>
      </c>
      <c r="H468" t="s">
        <v>247</v>
      </c>
    </row>
    <row r="469" spans="1:9" x14ac:dyDescent="0.25">
      <c r="A469" s="1">
        <f t="shared" si="22"/>
        <v>45496</v>
      </c>
      <c r="B469" s="31">
        <f>TIME(10,59,0)</f>
        <v>0.45763888888888887</v>
      </c>
      <c r="C469" t="str">
        <f>Inventory!A37</f>
        <v>Tamu Tamu Red</v>
      </c>
      <c r="D469" s="27">
        <v>2</v>
      </c>
      <c r="E469" s="5">
        <f>D469*Inventory!D37</f>
        <v>30</v>
      </c>
      <c r="F469" s="5">
        <f>D469*Inventory!C37</f>
        <v>17.2</v>
      </c>
      <c r="G469" s="5">
        <f t="shared" si="21"/>
        <v>12.8</v>
      </c>
      <c r="H469" t="s">
        <v>359</v>
      </c>
      <c r="I469" t="s">
        <v>389</v>
      </c>
    </row>
    <row r="470" spans="1:9" x14ac:dyDescent="0.25">
      <c r="A470" s="1">
        <f t="shared" si="22"/>
        <v>45496</v>
      </c>
      <c r="B470" s="31">
        <f>TIME(11,50,0)</f>
        <v>0.49305555555555558</v>
      </c>
      <c r="C470" t="str">
        <f>Inventory!A16</f>
        <v>Dairy Fresh v</v>
      </c>
      <c r="D470" s="27">
        <v>1</v>
      </c>
      <c r="E470" s="5">
        <f>D470*Inventory!D16</f>
        <v>85</v>
      </c>
      <c r="F470" s="5">
        <f>D470*Inventory!C16</f>
        <v>75</v>
      </c>
      <c r="G470" s="5">
        <f t="shared" si="21"/>
        <v>10</v>
      </c>
      <c r="H470" t="s">
        <v>247</v>
      </c>
    </row>
    <row r="471" spans="1:9" x14ac:dyDescent="0.25">
      <c r="A471" s="1">
        <f t="shared" si="22"/>
        <v>45496</v>
      </c>
      <c r="B471" s="31">
        <f>TIME(11,50,0)</f>
        <v>0.49305555555555558</v>
      </c>
      <c r="C471" t="str">
        <f>Inventory!A64</f>
        <v>Sodacans</v>
      </c>
      <c r="D471" s="27">
        <v>1</v>
      </c>
      <c r="E471" s="5">
        <f>D471*Inventory!D64</f>
        <v>20</v>
      </c>
      <c r="F471" s="5">
        <f>D471*Inventory!C64</f>
        <v>15</v>
      </c>
      <c r="G471" s="5">
        <f t="shared" si="21"/>
        <v>5</v>
      </c>
      <c r="H471" t="s">
        <v>247</v>
      </c>
    </row>
    <row r="472" spans="1:9" x14ac:dyDescent="0.25">
      <c r="A472" s="1">
        <f t="shared" si="22"/>
        <v>45496</v>
      </c>
      <c r="B472" s="31">
        <f>TIME(11,50,0)</f>
        <v>0.49305555555555558</v>
      </c>
      <c r="C472" t="str">
        <f>Inventory!A120</f>
        <v>Icepop</v>
      </c>
      <c r="D472" s="27">
        <v>1</v>
      </c>
      <c r="E472" s="5">
        <f>D472*Inventory!D120</f>
        <v>15</v>
      </c>
      <c r="F472" s="5">
        <f>D472*Inventory!C120</f>
        <v>7.5</v>
      </c>
      <c r="G472" s="5">
        <f t="shared" si="21"/>
        <v>7.5</v>
      </c>
      <c r="H472" t="s">
        <v>247</v>
      </c>
    </row>
    <row r="473" spans="1:9" x14ac:dyDescent="0.25">
      <c r="A473" s="1">
        <f t="shared" si="22"/>
        <v>45496</v>
      </c>
      <c r="B473" s="31">
        <f>TIME(11,58,0)</f>
        <v>0.49861111111111112</v>
      </c>
      <c r="C473" t="str">
        <f>Inventory!A30</f>
        <v>BB Bread 400g</v>
      </c>
      <c r="D473" s="27">
        <v>1</v>
      </c>
      <c r="E473" s="5">
        <f>D473*Inventory!D30</f>
        <v>65</v>
      </c>
      <c r="F473" s="5">
        <f>D473*Inventory!C30</f>
        <v>60</v>
      </c>
      <c r="G473" s="5">
        <f t="shared" si="21"/>
        <v>5</v>
      </c>
      <c r="H473" t="s">
        <v>359</v>
      </c>
      <c r="I473" t="s">
        <v>386</v>
      </c>
    </row>
    <row r="474" spans="1:9" x14ac:dyDescent="0.25">
      <c r="A474" s="1">
        <f t="shared" si="22"/>
        <v>45496</v>
      </c>
      <c r="B474" s="31">
        <f>TIME(11,58,0)</f>
        <v>0.49861111111111112</v>
      </c>
      <c r="C474" t="str">
        <f>Inventory!A25</f>
        <v>Crown Gold Milk 500ml</v>
      </c>
      <c r="D474" s="27">
        <v>2</v>
      </c>
      <c r="E474" s="5">
        <f>D474*Inventory!D25</f>
        <v>130</v>
      </c>
      <c r="F474" s="5">
        <f>D474*Inventory!C25</f>
        <v>108.33333333333333</v>
      </c>
      <c r="G474" s="5">
        <f t="shared" si="21"/>
        <v>21.666666666666671</v>
      </c>
      <c r="H474" t="s">
        <v>359</v>
      </c>
      <c r="I474" t="s">
        <v>386</v>
      </c>
    </row>
    <row r="475" spans="1:9" x14ac:dyDescent="0.25">
      <c r="A475" s="1">
        <f t="shared" si="22"/>
        <v>45496</v>
      </c>
      <c r="B475" s="31">
        <f>TIME(11,58,0)</f>
        <v>0.49861111111111112</v>
      </c>
      <c r="C475" t="str">
        <f>Inventory!A173</f>
        <v>Blueband 100g</v>
      </c>
      <c r="D475" s="27">
        <v>1</v>
      </c>
      <c r="E475" s="5">
        <f>D475*Inventory!D173</f>
        <v>70</v>
      </c>
      <c r="F475" s="5">
        <f>D475*Inventory!C173</f>
        <v>58.333333333333336</v>
      </c>
      <c r="G475" s="5">
        <f t="shared" si="21"/>
        <v>11.666666666666664</v>
      </c>
      <c r="H475" t="s">
        <v>359</v>
      </c>
      <c r="I475" t="s">
        <v>386</v>
      </c>
    </row>
    <row r="476" spans="1:9" x14ac:dyDescent="0.25">
      <c r="A476" s="1">
        <f t="shared" si="22"/>
        <v>45496</v>
      </c>
      <c r="B476" s="31">
        <f>TIME(12,25,0)</f>
        <v>0.51736111111111105</v>
      </c>
      <c r="C476" t="str">
        <f>Inventory!A175</f>
        <v>Kichungi small</v>
      </c>
      <c r="D476" s="27">
        <v>1</v>
      </c>
      <c r="E476" s="5">
        <f>D476*Inventory!D175</f>
        <v>20</v>
      </c>
      <c r="F476" s="5">
        <f>D476*Inventory!C175</f>
        <v>15</v>
      </c>
      <c r="G476" s="5">
        <f t="shared" si="21"/>
        <v>5</v>
      </c>
      <c r="H476" t="s">
        <v>359</v>
      </c>
      <c r="I476" t="s">
        <v>386</v>
      </c>
    </row>
    <row r="477" spans="1:9" x14ac:dyDescent="0.25">
      <c r="A477" s="1">
        <f t="shared" si="22"/>
        <v>45496</v>
      </c>
      <c r="B477" s="31">
        <f>TIME(12,36,0)</f>
        <v>0.52500000000000002</v>
      </c>
      <c r="C477" t="str">
        <f>Inventory!A12</f>
        <v>predator</v>
      </c>
      <c r="D477" s="27">
        <v>1</v>
      </c>
      <c r="E477" s="5">
        <f>D477*Inventory!D12</f>
        <v>70</v>
      </c>
      <c r="F477" s="5">
        <f>D477*Inventory!C12</f>
        <v>54.166666666666664</v>
      </c>
      <c r="G477" s="5">
        <f t="shared" si="21"/>
        <v>15.833333333333336</v>
      </c>
      <c r="H477" t="s">
        <v>247</v>
      </c>
    </row>
    <row r="478" spans="1:9" x14ac:dyDescent="0.25">
      <c r="A478" s="1">
        <f t="shared" si="22"/>
        <v>45496</v>
      </c>
      <c r="B478" s="31">
        <f>TIME(12,36,0)</f>
        <v>0.52500000000000002</v>
      </c>
      <c r="C478" t="str">
        <f>Inventory!A44</f>
        <v>Peanut Cookies</v>
      </c>
      <c r="D478" s="27">
        <v>1</v>
      </c>
      <c r="E478" s="5">
        <f>D478*Inventory!D44</f>
        <v>35</v>
      </c>
      <c r="F478" s="5">
        <f>D478*Inventory!C44</f>
        <v>25</v>
      </c>
      <c r="G478" s="5">
        <f t="shared" si="21"/>
        <v>10</v>
      </c>
      <c r="H478" t="s">
        <v>247</v>
      </c>
    </row>
    <row r="479" spans="1:9" x14ac:dyDescent="0.25">
      <c r="A479" s="1">
        <f t="shared" si="22"/>
        <v>45496</v>
      </c>
      <c r="B479" s="31">
        <f>TIME(13,54,0)</f>
        <v>0.57916666666666672</v>
      </c>
      <c r="C479" t="str">
        <f>Inventory!A68</f>
        <v>scooter cans</v>
      </c>
      <c r="D479" s="27">
        <v>1</v>
      </c>
      <c r="E479" s="5">
        <f>D479*Inventory!D68</f>
        <v>20</v>
      </c>
      <c r="F479" s="5">
        <f>D479*Inventory!C68</f>
        <v>15</v>
      </c>
      <c r="G479" s="5">
        <f t="shared" si="21"/>
        <v>5</v>
      </c>
      <c r="H479" t="s">
        <v>247</v>
      </c>
    </row>
    <row r="480" spans="1:9" x14ac:dyDescent="0.25">
      <c r="A480" s="1">
        <f t="shared" si="22"/>
        <v>45496</v>
      </c>
      <c r="B480" s="31">
        <f>TIME(13,54,0)</f>
        <v>0.57916666666666672</v>
      </c>
      <c r="C480" t="str">
        <f>Inventory!A34</f>
        <v>Ringoz Paprika</v>
      </c>
      <c r="D480" s="27">
        <v>1</v>
      </c>
      <c r="E480" s="5">
        <f>D480*Inventory!D34</f>
        <v>15</v>
      </c>
      <c r="F480" s="5">
        <f>D480*Inventory!C34</f>
        <v>8.8000000000000007</v>
      </c>
      <c r="G480" s="5">
        <f t="shared" si="21"/>
        <v>6.1999999999999993</v>
      </c>
      <c r="H480" t="s">
        <v>247</v>
      </c>
    </row>
    <row r="481" spans="1:12" x14ac:dyDescent="0.25">
      <c r="A481" s="1">
        <f t="shared" si="22"/>
        <v>45496</v>
      </c>
      <c r="B481" s="31">
        <f>TIME(13,54,0)</f>
        <v>0.57916666666666672</v>
      </c>
      <c r="C481" t="str">
        <f>Inventory!A60</f>
        <v>Lollipop</v>
      </c>
      <c r="D481" s="27">
        <v>1</v>
      </c>
      <c r="E481" s="5">
        <f>D481*Inventory!D60</f>
        <v>5</v>
      </c>
      <c r="F481" s="5">
        <f>D481*Inventory!C60</f>
        <v>2.4</v>
      </c>
      <c r="G481" s="5">
        <f t="shared" si="21"/>
        <v>2.6</v>
      </c>
      <c r="H481" t="s">
        <v>247</v>
      </c>
    </row>
    <row r="482" spans="1:12" x14ac:dyDescent="0.25">
      <c r="A482" s="1">
        <f t="shared" si="22"/>
        <v>45496</v>
      </c>
      <c r="B482" s="31">
        <f>TIME(14,5,0)</f>
        <v>0.58680555555555558</v>
      </c>
      <c r="C482" t="str">
        <f>Inventory!A74</f>
        <v>kensalt 200g</v>
      </c>
      <c r="D482" s="27">
        <v>1</v>
      </c>
      <c r="E482" s="5">
        <f>D482*Inventory!D74</f>
        <v>15</v>
      </c>
      <c r="F482" s="5">
        <f>D482*Inventory!C74</f>
        <v>5.5</v>
      </c>
      <c r="G482" s="5">
        <f t="shared" si="21"/>
        <v>9.5</v>
      </c>
      <c r="H482" t="s">
        <v>247</v>
      </c>
    </row>
    <row r="483" spans="1:12" x14ac:dyDescent="0.25">
      <c r="A483" s="1">
        <f t="shared" si="22"/>
        <v>45496</v>
      </c>
      <c r="B483" s="31">
        <f>TIME(14,5,0)</f>
        <v>0.58680555555555558</v>
      </c>
      <c r="C483" t="str">
        <f>Inventory!A126</f>
        <v>Royco cubes</v>
      </c>
      <c r="D483" s="27">
        <v>1</v>
      </c>
      <c r="E483" s="5">
        <f>D483*Inventory!D126</f>
        <v>5</v>
      </c>
      <c r="F483" s="5">
        <f>D483*Inventory!C126</f>
        <v>3</v>
      </c>
      <c r="G483" s="5">
        <f t="shared" si="21"/>
        <v>2</v>
      </c>
      <c r="H483" t="s">
        <v>247</v>
      </c>
    </row>
    <row r="484" spans="1:12" x14ac:dyDescent="0.25">
      <c r="A484" s="1">
        <f t="shared" si="22"/>
        <v>45496</v>
      </c>
      <c r="B484" s="31">
        <f>TIME(14,7,0)</f>
        <v>0.58819444444444446</v>
      </c>
      <c r="C484" t="str">
        <f>Inventory!A81</f>
        <v>eggs</v>
      </c>
      <c r="D484" s="27">
        <v>4</v>
      </c>
      <c r="E484" s="5">
        <f>D484*Inventory!D81</f>
        <v>80</v>
      </c>
      <c r="F484" s="5">
        <f>D484*Inventory!C81</f>
        <v>57.333333333333336</v>
      </c>
      <c r="G484" s="5">
        <f t="shared" si="21"/>
        <v>22.666666666666664</v>
      </c>
      <c r="H484" t="s">
        <v>247</v>
      </c>
    </row>
    <row r="485" spans="1:12" x14ac:dyDescent="0.25">
      <c r="A485" s="1">
        <f t="shared" si="22"/>
        <v>45496</v>
      </c>
      <c r="B485" s="31">
        <f>TIME(15,12,0)</f>
        <v>0.6333333333333333</v>
      </c>
      <c r="C485" t="str">
        <f>Inventory!A63</f>
        <v>Gomba</v>
      </c>
      <c r="D485" s="27">
        <v>4</v>
      </c>
      <c r="E485" s="5">
        <f>D485*Inventory!D63</f>
        <v>10</v>
      </c>
      <c r="F485" s="5">
        <f>D485*Inventory!C63</f>
        <v>7.2</v>
      </c>
      <c r="G485" s="5">
        <f t="shared" si="21"/>
        <v>2.8</v>
      </c>
      <c r="H485" t="s">
        <v>247</v>
      </c>
    </row>
    <row r="486" spans="1:12" x14ac:dyDescent="0.25">
      <c r="A486" s="1">
        <f t="shared" si="22"/>
        <v>45496</v>
      </c>
      <c r="B486" s="31">
        <f>TIME(15,12,0)</f>
        <v>0.6333333333333333</v>
      </c>
      <c r="D486" s="27"/>
      <c r="F486" s="5"/>
      <c r="J486" t="s">
        <v>406</v>
      </c>
      <c r="K486">
        <v>20</v>
      </c>
      <c r="L486" t="s">
        <v>361</v>
      </c>
    </row>
    <row r="487" spans="1:12" x14ac:dyDescent="0.25">
      <c r="A487" s="1">
        <f t="shared" si="22"/>
        <v>45496</v>
      </c>
      <c r="B487" s="31">
        <f>TIME(15,44,0)</f>
        <v>0.65555555555555556</v>
      </c>
      <c r="C487" t="str">
        <f>Inventory!A6</f>
        <v xml:space="preserve"> soda 1.25lts</v>
      </c>
      <c r="D487" s="27">
        <v>1</v>
      </c>
      <c r="E487" s="5">
        <f>D487*Inventory!D6</f>
        <v>130</v>
      </c>
      <c r="F487" s="5">
        <f>D487*Inventory!C6</f>
        <v>112.5</v>
      </c>
      <c r="G487" s="5">
        <f t="shared" si="21"/>
        <v>17.5</v>
      </c>
      <c r="H487" t="s">
        <v>359</v>
      </c>
      <c r="I487" t="s">
        <v>389</v>
      </c>
    </row>
    <row r="488" spans="1:12" x14ac:dyDescent="0.25">
      <c r="A488" s="1">
        <f t="shared" si="22"/>
        <v>45496</v>
      </c>
      <c r="B488" s="31">
        <f>TIME(15,47,0)</f>
        <v>0.65763888888888888</v>
      </c>
      <c r="C488" t="str">
        <f>Inventory!A8</f>
        <v>soda 350ml plastic</v>
      </c>
      <c r="D488" s="27">
        <v>1</v>
      </c>
      <c r="E488" s="5">
        <f>D488*Inventory!D8</f>
        <v>50</v>
      </c>
      <c r="F488" s="5">
        <f>D488*Inventory!C8</f>
        <v>41.666666666666664</v>
      </c>
      <c r="G488" s="5">
        <f t="shared" si="21"/>
        <v>8.3333333333333357</v>
      </c>
      <c r="H488" t="s">
        <v>361</v>
      </c>
    </row>
    <row r="489" spans="1:12" x14ac:dyDescent="0.25">
      <c r="A489" s="1">
        <f t="shared" si="22"/>
        <v>45496</v>
      </c>
      <c r="B489" s="31">
        <f>TIME(15,47,0)</f>
        <v>0.65763888888888888</v>
      </c>
      <c r="C489" t="str">
        <f>Inventory!A171</f>
        <v>Coconut Cakes</v>
      </c>
      <c r="D489" s="27">
        <v>1</v>
      </c>
      <c r="E489" s="5">
        <f>D489*Inventory!D171</f>
        <v>10</v>
      </c>
      <c r="F489" s="5">
        <f>D489*Inventory!C171</f>
        <v>8.3333333333333339</v>
      </c>
      <c r="G489" s="5">
        <f t="shared" si="21"/>
        <v>1.6666666666666661</v>
      </c>
      <c r="H489" t="s">
        <v>361</v>
      </c>
    </row>
    <row r="490" spans="1:12" x14ac:dyDescent="0.25">
      <c r="A490" s="1">
        <f t="shared" si="22"/>
        <v>45496</v>
      </c>
      <c r="B490" s="31">
        <f>TIME(16,6,0)</f>
        <v>0.67083333333333339</v>
      </c>
      <c r="C490" t="str">
        <f>Inventory!A163</f>
        <v>Super Glue</v>
      </c>
      <c r="D490" s="27">
        <v>1</v>
      </c>
      <c r="E490" s="5">
        <f>D490*Inventory!D163</f>
        <v>30</v>
      </c>
      <c r="F490" s="5">
        <f>D490*Inventory!C163</f>
        <v>23.333333333333332</v>
      </c>
      <c r="G490" s="5">
        <f t="shared" si="21"/>
        <v>6.6666666666666679</v>
      </c>
      <c r="H490" t="s">
        <v>361</v>
      </c>
    </row>
    <row r="491" spans="1:12" x14ac:dyDescent="0.25">
      <c r="A491" s="1">
        <f t="shared" si="22"/>
        <v>45496</v>
      </c>
      <c r="B491" s="31">
        <f>TIME(16,37,0)</f>
        <v>0.69236111111111109</v>
      </c>
      <c r="C491" t="str">
        <f>Inventory!A25</f>
        <v>Crown Gold Milk 500ml</v>
      </c>
      <c r="D491" s="27">
        <v>4</v>
      </c>
      <c r="E491" s="5">
        <f>D491*Inventory!D25</f>
        <v>260</v>
      </c>
      <c r="F491" s="5">
        <f>D491*Inventory!C25</f>
        <v>216.66666666666666</v>
      </c>
      <c r="G491" s="5">
        <f t="shared" si="21"/>
        <v>43.333333333333343</v>
      </c>
      <c r="H491" t="s">
        <v>361</v>
      </c>
    </row>
    <row r="492" spans="1:12" x14ac:dyDescent="0.25">
      <c r="A492" s="1">
        <f t="shared" si="22"/>
        <v>45496</v>
      </c>
      <c r="B492" s="31">
        <f>TIME(16,50,0)</f>
        <v>0.70138888888888884</v>
      </c>
      <c r="C492" t="str">
        <f>Inventory!A24</f>
        <v>Brookside milk 500ml</v>
      </c>
      <c r="D492" s="27">
        <v>1</v>
      </c>
      <c r="E492" s="5">
        <f>D492*Inventory!D24</f>
        <v>70</v>
      </c>
      <c r="F492" s="5">
        <f>D492*Inventory!C24</f>
        <v>59</v>
      </c>
      <c r="G492" s="5">
        <f t="shared" si="21"/>
        <v>11</v>
      </c>
      <c r="H492" t="s">
        <v>361</v>
      </c>
    </row>
    <row r="493" spans="1:12" x14ac:dyDescent="0.25">
      <c r="A493" s="1">
        <f t="shared" si="22"/>
        <v>45496</v>
      </c>
      <c r="B493" s="31">
        <f>TIME(16,50,0)</f>
        <v>0.70138888888888884</v>
      </c>
      <c r="C493" t="str">
        <f>Inventory!A23</f>
        <v>Mt kenya milk 500ml</v>
      </c>
      <c r="D493" s="27">
        <v>1</v>
      </c>
      <c r="E493" s="5">
        <f>D493*Inventory!D23</f>
        <v>65</v>
      </c>
      <c r="F493" s="5">
        <f>D493*Inventory!C23</f>
        <v>48.333333333333336</v>
      </c>
      <c r="G493" s="5">
        <f t="shared" si="21"/>
        <v>16.666666666666664</v>
      </c>
      <c r="H493" t="s">
        <v>361</v>
      </c>
    </row>
    <row r="494" spans="1:12" x14ac:dyDescent="0.25">
      <c r="A494" s="1">
        <f t="shared" si="22"/>
        <v>45496</v>
      </c>
      <c r="B494" s="31">
        <f>TIME(16,50,0)</f>
        <v>0.70138888888888884</v>
      </c>
      <c r="C494" t="str">
        <f>Inventory!A132</f>
        <v>Festive Bread 400g</v>
      </c>
      <c r="D494" s="27">
        <v>1</v>
      </c>
      <c r="E494" s="5">
        <f>D494*Inventory!D132</f>
        <v>65</v>
      </c>
      <c r="F494" s="5">
        <f>D494*Inventory!C132</f>
        <v>60</v>
      </c>
      <c r="G494" s="5">
        <f t="shared" si="21"/>
        <v>5</v>
      </c>
      <c r="H494" t="s">
        <v>361</v>
      </c>
    </row>
    <row r="495" spans="1:12" x14ac:dyDescent="0.25">
      <c r="A495" s="1">
        <f t="shared" si="22"/>
        <v>45496</v>
      </c>
      <c r="B495" s="31">
        <f>TIME(17,49,0)</f>
        <v>0.74236111111111114</v>
      </c>
      <c r="C495" t="str">
        <f>Inventory!A24</f>
        <v>Brookside milk 500ml</v>
      </c>
      <c r="D495" s="27">
        <v>1</v>
      </c>
      <c r="E495" s="5">
        <f>D495*Inventory!D24</f>
        <v>70</v>
      </c>
      <c r="F495" s="5">
        <f>D495*Inventory!C24</f>
        <v>59</v>
      </c>
      <c r="G495" s="5">
        <f t="shared" si="21"/>
        <v>11</v>
      </c>
      <c r="H495" t="s">
        <v>247</v>
      </c>
    </row>
    <row r="496" spans="1:12" x14ac:dyDescent="0.25">
      <c r="A496" s="1">
        <f t="shared" si="22"/>
        <v>45496</v>
      </c>
      <c r="B496" s="31">
        <f>TIME(17,49,0)</f>
        <v>0.74236111111111114</v>
      </c>
      <c r="C496" t="str">
        <f>Inventory!A40</f>
        <v>Glucose 10g</v>
      </c>
      <c r="D496" s="27">
        <v>1</v>
      </c>
      <c r="E496" s="5">
        <f>D496*Inventory!D40</f>
        <v>5</v>
      </c>
      <c r="F496" s="5">
        <f>D496*Inventory!C40</f>
        <v>3.75</v>
      </c>
      <c r="G496" s="5">
        <f t="shared" si="21"/>
        <v>1.25</v>
      </c>
      <c r="H496" t="s">
        <v>247</v>
      </c>
    </row>
    <row r="497" spans="1:12" x14ac:dyDescent="0.25">
      <c r="A497" s="1">
        <f t="shared" si="22"/>
        <v>45496</v>
      </c>
      <c r="B497" s="31">
        <f>TIME(18,31,0)</f>
        <v>0.7715277777777777</v>
      </c>
      <c r="C497" t="str">
        <f>Inventory!A116</f>
        <v>Tomatoes</v>
      </c>
      <c r="D497" s="27">
        <v>1</v>
      </c>
      <c r="E497" s="5">
        <f>D497*Inventory!D116</f>
        <v>10</v>
      </c>
      <c r="F497" s="5">
        <f>D497*Inventory!C116</f>
        <v>5</v>
      </c>
      <c r="G497" s="5">
        <f t="shared" si="21"/>
        <v>5</v>
      </c>
      <c r="H497" t="s">
        <v>361</v>
      </c>
    </row>
    <row r="498" spans="1:12" x14ac:dyDescent="0.25">
      <c r="A498" s="1">
        <f t="shared" si="22"/>
        <v>45496</v>
      </c>
      <c r="B498" s="31">
        <f>TIME(18,31,0)</f>
        <v>0.7715277777777777</v>
      </c>
      <c r="C498" t="str">
        <f>Inventory!A115</f>
        <v>Onion</v>
      </c>
      <c r="D498" s="27">
        <v>3</v>
      </c>
      <c r="E498" s="5">
        <f>D498*Inventory!D115</f>
        <v>30</v>
      </c>
      <c r="F498" s="5">
        <f>D498*Inventory!C115</f>
        <v>24</v>
      </c>
      <c r="G498" s="5">
        <f t="shared" si="21"/>
        <v>6</v>
      </c>
      <c r="H498" t="s">
        <v>361</v>
      </c>
    </row>
    <row r="499" spans="1:12" x14ac:dyDescent="0.25">
      <c r="A499" s="1">
        <f t="shared" si="22"/>
        <v>45496</v>
      </c>
      <c r="B499" s="31">
        <f>TIME(18,33,0)</f>
        <v>0.7729166666666667</v>
      </c>
      <c r="C499" t="str">
        <f>Inventory!A86</f>
        <v>Medium Colgate Toothbrush</v>
      </c>
      <c r="D499" s="27">
        <v>1</v>
      </c>
      <c r="E499" s="5">
        <f>D499*Inventory!D86</f>
        <v>40</v>
      </c>
      <c r="F499" s="5">
        <f>D499*Inventory!C86</f>
        <v>25</v>
      </c>
      <c r="G499" s="5">
        <f t="shared" si="21"/>
        <v>15</v>
      </c>
      <c r="H499" t="s">
        <v>361</v>
      </c>
    </row>
    <row r="500" spans="1:12" x14ac:dyDescent="0.25">
      <c r="A500" s="1">
        <f t="shared" si="22"/>
        <v>45496</v>
      </c>
      <c r="B500" s="31">
        <f>TIME(18,33,0)</f>
        <v>0.7729166666666667</v>
      </c>
      <c r="C500" t="str">
        <f>Inventory!A97</f>
        <v>Softcare pads</v>
      </c>
      <c r="D500" s="27">
        <v>1</v>
      </c>
      <c r="E500" s="5">
        <f>D500*Inventory!D97</f>
        <v>85</v>
      </c>
      <c r="F500" s="5">
        <f>D500*Inventory!C97</f>
        <v>66</v>
      </c>
      <c r="G500" s="5">
        <f t="shared" si="21"/>
        <v>19</v>
      </c>
      <c r="H500" t="s">
        <v>361</v>
      </c>
    </row>
    <row r="501" spans="1:12" x14ac:dyDescent="0.25">
      <c r="A501" s="1">
        <f t="shared" si="22"/>
        <v>45496</v>
      </c>
      <c r="B501" s="31">
        <f>TIME(18,45,0)</f>
        <v>0.78125</v>
      </c>
      <c r="C501" t="str">
        <f>Inventory!A4</f>
        <v>300ml water</v>
      </c>
      <c r="D501" s="27">
        <v>1</v>
      </c>
      <c r="E501" s="5">
        <f>D501*Inventory!D4</f>
        <v>30</v>
      </c>
      <c r="F501" s="5">
        <f>D501*Inventory!C4</f>
        <v>12.5</v>
      </c>
      <c r="G501" s="5">
        <f t="shared" si="21"/>
        <v>17.5</v>
      </c>
      <c r="H501" t="s">
        <v>361</v>
      </c>
    </row>
    <row r="502" spans="1:12" x14ac:dyDescent="0.25">
      <c r="A502" s="1">
        <f t="shared" si="22"/>
        <v>45496</v>
      </c>
      <c r="B502" s="31">
        <f>TIME(18,45,0)</f>
        <v>0.78125</v>
      </c>
      <c r="C502" t="str">
        <f>Inventory!A61</f>
        <v>Bigdaddy</v>
      </c>
      <c r="D502" s="27">
        <v>3</v>
      </c>
      <c r="E502" s="5">
        <f>D502*Inventory!D61</f>
        <v>30</v>
      </c>
      <c r="F502" s="5">
        <f>D502*Inventory!C61</f>
        <v>18</v>
      </c>
      <c r="G502" s="5">
        <f t="shared" ref="G502:G521" si="23">E502-F502</f>
        <v>12</v>
      </c>
      <c r="H502" t="s">
        <v>361</v>
      </c>
    </row>
    <row r="503" spans="1:12" x14ac:dyDescent="0.25">
      <c r="A503" s="1">
        <f t="shared" si="22"/>
        <v>45496</v>
      </c>
      <c r="B503" s="31">
        <f>TIME(18,51,0)</f>
        <v>0.78541666666666676</v>
      </c>
      <c r="C503" t="str">
        <f>Inventory!A81</f>
        <v>eggs</v>
      </c>
      <c r="D503" s="27">
        <v>1</v>
      </c>
      <c r="E503" s="5">
        <f>D503*Inventory!D81</f>
        <v>20</v>
      </c>
      <c r="F503" s="5">
        <f>D503*Inventory!C81</f>
        <v>14.333333333333334</v>
      </c>
      <c r="G503" s="5">
        <f t="shared" si="23"/>
        <v>5.6666666666666661</v>
      </c>
      <c r="H503" t="s">
        <v>247</v>
      </c>
    </row>
    <row r="504" spans="1:12" x14ac:dyDescent="0.25">
      <c r="A504" s="1">
        <f t="shared" si="22"/>
        <v>45496</v>
      </c>
      <c r="B504" s="31">
        <f>TIME(18,51,0)</f>
        <v>0.78541666666666676</v>
      </c>
      <c r="C504" t="str">
        <f>Inventory!A115</f>
        <v>Onion</v>
      </c>
      <c r="D504" s="27">
        <v>1</v>
      </c>
      <c r="E504" s="5">
        <f>D504*Inventory!D115</f>
        <v>10</v>
      </c>
      <c r="F504" s="5">
        <f>D504*Inventory!C115</f>
        <v>8</v>
      </c>
      <c r="G504" s="5">
        <f t="shared" si="23"/>
        <v>2</v>
      </c>
      <c r="H504" t="s">
        <v>247</v>
      </c>
    </row>
    <row r="505" spans="1:12" x14ac:dyDescent="0.25">
      <c r="A505" s="1">
        <f t="shared" si="22"/>
        <v>45496</v>
      </c>
      <c r="B505" s="31">
        <f>TIME(18,51,0)</f>
        <v>0.78541666666666676</v>
      </c>
      <c r="C505" t="str">
        <f>Inventory!A116</f>
        <v>Tomatoes</v>
      </c>
      <c r="D505" s="27">
        <v>1</v>
      </c>
      <c r="E505" s="5">
        <f>D505*Inventory!D116</f>
        <v>10</v>
      </c>
      <c r="F505" s="5">
        <f>D505*Inventory!C116</f>
        <v>5</v>
      </c>
      <c r="G505" s="5">
        <f t="shared" si="23"/>
        <v>5</v>
      </c>
      <c r="H505" t="s">
        <v>247</v>
      </c>
    </row>
    <row r="506" spans="1:12" x14ac:dyDescent="0.25">
      <c r="A506" s="1">
        <f t="shared" si="22"/>
        <v>45496</v>
      </c>
      <c r="B506" s="31">
        <f>TIME(19,2,0)</f>
        <v>0.79305555555555562</v>
      </c>
      <c r="D506" s="27"/>
      <c r="F506" s="5"/>
      <c r="J506" t="s">
        <v>408</v>
      </c>
      <c r="K506">
        <v>95</v>
      </c>
      <c r="L506" t="s">
        <v>361</v>
      </c>
    </row>
    <row r="507" spans="1:12" x14ac:dyDescent="0.25">
      <c r="A507" s="1">
        <f t="shared" si="22"/>
        <v>45496</v>
      </c>
      <c r="B507" s="31">
        <f t="shared" ref="B507:B512" si="24">TIME(19,25,0)</f>
        <v>0.80902777777777779</v>
      </c>
      <c r="C507" t="str">
        <f>Inventory!A123</f>
        <v>Mt Kenya milk 200ml</v>
      </c>
      <c r="D507" s="27">
        <v>2</v>
      </c>
      <c r="E507" s="5">
        <f>D507*Inventory!D123</f>
        <v>70</v>
      </c>
      <c r="F507" s="5">
        <f>D507*Inventory!C123</f>
        <v>48.571428571428569</v>
      </c>
      <c r="G507" s="5">
        <f t="shared" si="23"/>
        <v>21.428571428571431</v>
      </c>
      <c r="H507" t="s">
        <v>247</v>
      </c>
    </row>
    <row r="508" spans="1:12" x14ac:dyDescent="0.25">
      <c r="A508" s="1">
        <f t="shared" si="22"/>
        <v>45496</v>
      </c>
      <c r="B508" s="31">
        <f t="shared" si="24"/>
        <v>0.80902777777777779</v>
      </c>
      <c r="D508" s="27"/>
      <c r="F508" s="5"/>
      <c r="J508" t="s">
        <v>386</v>
      </c>
      <c r="K508">
        <v>360</v>
      </c>
      <c r="L508" t="s">
        <v>361</v>
      </c>
    </row>
    <row r="509" spans="1:12" x14ac:dyDescent="0.25">
      <c r="A509" s="1">
        <f t="shared" si="22"/>
        <v>45496</v>
      </c>
      <c r="B509" s="31">
        <f t="shared" si="24"/>
        <v>0.80902777777777779</v>
      </c>
      <c r="C509" t="str">
        <f>Inventory!A31</f>
        <v>BB Bread 200g</v>
      </c>
      <c r="D509" s="27">
        <v>1</v>
      </c>
      <c r="E509" s="5">
        <f>D509*Inventory!D31</f>
        <v>40</v>
      </c>
      <c r="F509" s="5">
        <f>D509*Inventory!C31</f>
        <v>35</v>
      </c>
      <c r="G509" s="5">
        <f t="shared" si="23"/>
        <v>5</v>
      </c>
      <c r="H509" t="s">
        <v>247</v>
      </c>
    </row>
    <row r="510" spans="1:12" x14ac:dyDescent="0.25">
      <c r="A510" s="1">
        <f t="shared" si="22"/>
        <v>45496</v>
      </c>
      <c r="B510" s="31">
        <f t="shared" si="24"/>
        <v>0.80902777777777779</v>
      </c>
      <c r="C510" t="str">
        <f>Inventory!A176</f>
        <v>hoho</v>
      </c>
      <c r="D510" s="27">
        <v>2</v>
      </c>
      <c r="E510" s="5">
        <f>D510*Inventory!D176</f>
        <v>20</v>
      </c>
      <c r="F510" s="5">
        <f>D510*Inventory!C176</f>
        <v>13.333333333333334</v>
      </c>
      <c r="G510" s="5">
        <f t="shared" si="23"/>
        <v>6.6666666666666661</v>
      </c>
      <c r="H510" t="s">
        <v>247</v>
      </c>
    </row>
    <row r="511" spans="1:12" x14ac:dyDescent="0.25">
      <c r="A511" s="1">
        <f t="shared" si="22"/>
        <v>45496</v>
      </c>
      <c r="B511" s="31">
        <f t="shared" si="24"/>
        <v>0.80902777777777779</v>
      </c>
      <c r="C511" t="str">
        <f>Inventory!A125</f>
        <v>Dhania</v>
      </c>
      <c r="D511" s="27">
        <v>1</v>
      </c>
      <c r="E511" s="5">
        <f>D511*Inventory!D125</f>
        <v>5</v>
      </c>
      <c r="F511" s="5">
        <f>D511*Inventory!C125</f>
        <v>3.3333333333333335</v>
      </c>
      <c r="G511" s="5">
        <f t="shared" si="23"/>
        <v>1.6666666666666665</v>
      </c>
      <c r="H511" t="s">
        <v>247</v>
      </c>
    </row>
    <row r="512" spans="1:12" x14ac:dyDescent="0.25">
      <c r="A512" s="1">
        <f t="shared" si="22"/>
        <v>45496</v>
      </c>
      <c r="B512" s="31">
        <f t="shared" si="24"/>
        <v>0.80902777777777779</v>
      </c>
      <c r="C512" t="str">
        <f>Inventory!A116</f>
        <v>Tomatoes</v>
      </c>
      <c r="D512" s="27">
        <v>6</v>
      </c>
      <c r="E512" s="5">
        <f>D512*Inventory!D116</f>
        <v>60</v>
      </c>
      <c r="F512" s="5">
        <f>D512*Inventory!C116</f>
        <v>30</v>
      </c>
      <c r="G512" s="5">
        <f t="shared" si="23"/>
        <v>30</v>
      </c>
      <c r="H512" t="s">
        <v>247</v>
      </c>
    </row>
    <row r="513" spans="1:12" x14ac:dyDescent="0.25">
      <c r="A513" s="1">
        <f t="shared" si="22"/>
        <v>45496</v>
      </c>
      <c r="B513" s="31">
        <f>TIME(19,33,0)</f>
        <v>0.81458333333333333</v>
      </c>
      <c r="C513" t="str">
        <f>Inventory!A9</f>
        <v>minutemaid 400ml</v>
      </c>
      <c r="D513" s="27">
        <v>1</v>
      </c>
      <c r="E513" s="5">
        <f>D513*Inventory!D9</f>
        <v>85</v>
      </c>
      <c r="F513" s="5">
        <f>D513*Inventory!C9</f>
        <v>62.5</v>
      </c>
      <c r="G513" s="5">
        <f t="shared" si="23"/>
        <v>22.5</v>
      </c>
      <c r="H513" t="s">
        <v>247</v>
      </c>
    </row>
    <row r="514" spans="1:12" x14ac:dyDescent="0.25">
      <c r="A514" s="1">
        <f t="shared" si="22"/>
        <v>45496</v>
      </c>
      <c r="B514" s="31">
        <f>TIME(19,33,0)</f>
        <v>0.81458333333333333</v>
      </c>
      <c r="C514" t="str">
        <f>Inventory!A45</f>
        <v>Goodday Cookies</v>
      </c>
      <c r="D514" s="27">
        <v>1</v>
      </c>
      <c r="E514" s="5">
        <f>D514*Inventory!D45</f>
        <v>15</v>
      </c>
      <c r="F514" s="5">
        <f>D514*Inventory!C45</f>
        <v>9.3333333333333339</v>
      </c>
      <c r="G514" s="5">
        <f t="shared" si="23"/>
        <v>5.6666666666666661</v>
      </c>
      <c r="H514" t="s">
        <v>247</v>
      </c>
    </row>
    <row r="515" spans="1:12" x14ac:dyDescent="0.25">
      <c r="A515" s="1">
        <f t="shared" si="22"/>
        <v>45496</v>
      </c>
      <c r="B515" s="31">
        <f>TIME(19,34,0)</f>
        <v>0.81527777777777777</v>
      </c>
      <c r="C515" t="str">
        <f>Inventory!A121</f>
        <v>Banana</v>
      </c>
      <c r="D515" s="27">
        <v>1</v>
      </c>
      <c r="E515" s="5">
        <f>D515*Inventory!D121</f>
        <v>10</v>
      </c>
      <c r="F515" s="5">
        <f>D515*Inventory!C121</f>
        <v>8.3333333333333339</v>
      </c>
      <c r="G515" s="5">
        <f t="shared" si="23"/>
        <v>1.6666666666666661</v>
      </c>
      <c r="H515" t="s">
        <v>359</v>
      </c>
      <c r="I515" t="s">
        <v>397</v>
      </c>
    </row>
    <row r="516" spans="1:12" x14ac:dyDescent="0.25">
      <c r="A516" s="1">
        <f t="shared" si="22"/>
        <v>45496</v>
      </c>
      <c r="B516" s="31">
        <f>TIME(19,35,0)</f>
        <v>0.81597222222222221</v>
      </c>
      <c r="C516" t="str">
        <f>Inventory!A122</f>
        <v>Kinangop Fresh Milk 500ml</v>
      </c>
      <c r="D516" s="27">
        <v>1</v>
      </c>
      <c r="E516" s="5">
        <f>D516*Inventory!D122</f>
        <v>60</v>
      </c>
      <c r="F516" s="5">
        <f>D516*Inventory!C122</f>
        <v>55</v>
      </c>
      <c r="G516" s="5">
        <f t="shared" si="23"/>
        <v>5</v>
      </c>
      <c r="H516" t="s">
        <v>361</v>
      </c>
    </row>
    <row r="517" spans="1:12" x14ac:dyDescent="0.25">
      <c r="A517" s="1">
        <f t="shared" si="22"/>
        <v>45496</v>
      </c>
      <c r="B517" s="31">
        <f>TIME(19,28,0)</f>
        <v>0.81111111111111101</v>
      </c>
      <c r="C517" t="str">
        <f>Inventory!A88</f>
        <v>Ajab 1kg</v>
      </c>
      <c r="D517" s="27">
        <v>1</v>
      </c>
      <c r="E517" s="5">
        <f>D517*Inventory!D88</f>
        <v>120</v>
      </c>
      <c r="F517" s="5">
        <f>D517*Inventory!C88</f>
        <v>87.5</v>
      </c>
      <c r="G517" s="5">
        <f t="shared" si="23"/>
        <v>32.5</v>
      </c>
      <c r="H517" t="s">
        <v>361</v>
      </c>
    </row>
    <row r="518" spans="1:12" x14ac:dyDescent="0.25">
      <c r="A518" s="1">
        <f t="shared" si="22"/>
        <v>45496</v>
      </c>
      <c r="B518" s="31">
        <f>TIME(19,28,0)</f>
        <v>0.81111111111111101</v>
      </c>
      <c r="C518" t="str">
        <f>Inventory!A123</f>
        <v>Mt Kenya milk 200ml</v>
      </c>
      <c r="D518" s="27">
        <v>1</v>
      </c>
      <c r="E518" s="5">
        <f>D518*Inventory!D123</f>
        <v>35</v>
      </c>
      <c r="F518" s="5">
        <f>D518*Inventory!C123</f>
        <v>24.285714285714285</v>
      </c>
      <c r="G518" s="5">
        <f t="shared" si="23"/>
        <v>10.714285714285715</v>
      </c>
      <c r="H518" t="s">
        <v>361</v>
      </c>
    </row>
    <row r="519" spans="1:12" x14ac:dyDescent="0.25">
      <c r="A519" s="1">
        <f t="shared" si="22"/>
        <v>45496</v>
      </c>
      <c r="B519" s="31">
        <f>TIME(20,6,0)</f>
        <v>0.83750000000000002</v>
      </c>
      <c r="D519" s="27"/>
      <c r="F519" s="5"/>
      <c r="J519" t="s">
        <v>390</v>
      </c>
      <c r="K519">
        <v>180</v>
      </c>
      <c r="L519" t="s">
        <v>361</v>
      </c>
    </row>
    <row r="520" spans="1:12" x14ac:dyDescent="0.25">
      <c r="A520" s="1">
        <f t="shared" si="22"/>
        <v>45496</v>
      </c>
      <c r="B520" s="31">
        <f>TIME(20,7,0)</f>
        <v>0.83819444444444446</v>
      </c>
      <c r="C520" t="str">
        <f>Inventory!A2</f>
        <v>5ltrs water</v>
      </c>
      <c r="D520" s="27">
        <v>1</v>
      </c>
      <c r="E520" s="5">
        <f>D520*Inventory!D2</f>
        <v>120</v>
      </c>
      <c r="F520" s="5">
        <f>D520*Inventory!C2</f>
        <v>75</v>
      </c>
      <c r="G520" s="5">
        <f t="shared" si="23"/>
        <v>45</v>
      </c>
      <c r="H520" t="s">
        <v>361</v>
      </c>
    </row>
    <row r="521" spans="1:12" x14ac:dyDescent="0.25">
      <c r="A521" s="1">
        <f t="shared" si="22"/>
        <v>45496</v>
      </c>
      <c r="B521" s="31">
        <f>TIME(20,16,0)</f>
        <v>0.84444444444444444</v>
      </c>
      <c r="C521" t="str">
        <f>Inventory!A86</f>
        <v>Medium Colgate Toothbrush</v>
      </c>
      <c r="D521" s="27">
        <v>1</v>
      </c>
      <c r="E521" s="5">
        <f>D521*Inventory!D86</f>
        <v>40</v>
      </c>
      <c r="F521" s="5">
        <f>D521*Inventory!C86</f>
        <v>25</v>
      </c>
      <c r="G521" s="5">
        <f t="shared" si="23"/>
        <v>15</v>
      </c>
      <c r="H521" t="s">
        <v>361</v>
      </c>
    </row>
    <row r="522" spans="1:12" x14ac:dyDescent="0.25">
      <c r="A522" s="1">
        <f>DATE(2024,7,24)</f>
        <v>45497</v>
      </c>
      <c r="B522" s="31">
        <f>TIME(8,25,0)</f>
        <v>0.35069444444444442</v>
      </c>
      <c r="C522" t="str">
        <f>Inventory!A83</f>
        <v>Sportsman</v>
      </c>
      <c r="D522" s="27">
        <v>1</v>
      </c>
      <c r="E522" s="5">
        <f>D522*Inventory!D83</f>
        <v>20</v>
      </c>
      <c r="F522" s="5">
        <f>D522*Inventory!C83</f>
        <v>13</v>
      </c>
      <c r="G522" s="5">
        <f>E522-F522</f>
        <v>7</v>
      </c>
      <c r="H522" t="s">
        <v>247</v>
      </c>
    </row>
    <row r="523" spans="1:12" x14ac:dyDescent="0.25">
      <c r="A523" s="1">
        <f t="shared" ref="A523:A582" si="25">DATE(2024,7,24)</f>
        <v>45497</v>
      </c>
      <c r="B523" s="31">
        <f>TIME(9,10,0)</f>
        <v>0.38194444444444442</v>
      </c>
      <c r="C523" t="str">
        <f>Inventory!A123</f>
        <v>Mt Kenya milk 200ml</v>
      </c>
      <c r="D523" s="27">
        <v>1</v>
      </c>
      <c r="E523" s="5">
        <f>D523*Inventory!D123</f>
        <v>35</v>
      </c>
      <c r="F523" s="5">
        <f>D523*Inventory!C123</f>
        <v>24.285714285714285</v>
      </c>
      <c r="G523" s="5">
        <f t="shared" ref="G523:G538" si="26">E523-F523</f>
        <v>10.714285714285715</v>
      </c>
      <c r="H523" t="s">
        <v>359</v>
      </c>
      <c r="I523" t="s">
        <v>387</v>
      </c>
    </row>
    <row r="524" spans="1:12" x14ac:dyDescent="0.25">
      <c r="A524" s="1">
        <f t="shared" si="25"/>
        <v>45497</v>
      </c>
      <c r="B524" s="31">
        <f>TIME(9,18,0)</f>
        <v>0.38750000000000001</v>
      </c>
      <c r="C524" t="str">
        <f>Inventory!A137</f>
        <v>Safaricom 50 Credit</v>
      </c>
      <c r="D524" s="27">
        <v>1</v>
      </c>
      <c r="E524" s="5">
        <f>D524*Inventory!D137</f>
        <v>50</v>
      </c>
      <c r="F524" s="5">
        <f>D524*Inventory!C137</f>
        <v>47</v>
      </c>
      <c r="G524" s="5">
        <f t="shared" si="26"/>
        <v>3</v>
      </c>
      <c r="H524" t="s">
        <v>247</v>
      </c>
    </row>
    <row r="525" spans="1:12" x14ac:dyDescent="0.25">
      <c r="A525" s="1">
        <f t="shared" si="25"/>
        <v>45497</v>
      </c>
      <c r="B525" s="31">
        <f>TIME(9,30,0)</f>
        <v>0.39583333333333331</v>
      </c>
      <c r="C525" t="str">
        <f>Inventory!A135</f>
        <v>Safaricom 20 Credit</v>
      </c>
      <c r="D525" s="27">
        <v>1</v>
      </c>
      <c r="E525" s="5">
        <f>D525*Inventory!D135</f>
        <v>20</v>
      </c>
      <c r="F525" s="5">
        <f>D525*Inventory!C138</f>
        <v>18</v>
      </c>
      <c r="G525" s="5">
        <f>E525-F525</f>
        <v>2</v>
      </c>
      <c r="H525" t="s">
        <v>247</v>
      </c>
    </row>
    <row r="526" spans="1:12" x14ac:dyDescent="0.25">
      <c r="A526" s="1">
        <f t="shared" si="25"/>
        <v>45497</v>
      </c>
      <c r="B526" s="31">
        <f>TIME(10,9,0)</f>
        <v>0.42291666666666666</v>
      </c>
      <c r="C526" t="str">
        <f>Inventory!A54</f>
        <v>Kdf</v>
      </c>
      <c r="D526" s="27">
        <v>4</v>
      </c>
      <c r="E526" s="5">
        <f>D526*Inventory!D54</f>
        <v>40</v>
      </c>
      <c r="F526" s="5">
        <f>D526*Inventory!C134</f>
        <v>24</v>
      </c>
      <c r="G526" s="5">
        <f>E526-F526</f>
        <v>16</v>
      </c>
      <c r="H526" t="s">
        <v>247</v>
      </c>
    </row>
    <row r="527" spans="1:12" x14ac:dyDescent="0.25">
      <c r="A527" s="1">
        <f t="shared" si="25"/>
        <v>45497</v>
      </c>
      <c r="B527" s="31">
        <f>TIME(10,30,0)</f>
        <v>0.4375</v>
      </c>
      <c r="C527" t="str">
        <f>Inventory!A44</f>
        <v>Peanut Cookies</v>
      </c>
      <c r="D527" s="27">
        <v>1</v>
      </c>
      <c r="E527" s="5">
        <f>D527*Inventory!D44</f>
        <v>35</v>
      </c>
      <c r="F527" s="5">
        <f>D527*Inventory!C44</f>
        <v>25</v>
      </c>
      <c r="G527" s="5">
        <f t="shared" si="26"/>
        <v>10</v>
      </c>
      <c r="H527" t="s">
        <v>247</v>
      </c>
    </row>
    <row r="528" spans="1:12" x14ac:dyDescent="0.25">
      <c r="A528" s="1">
        <f t="shared" si="25"/>
        <v>45497</v>
      </c>
      <c r="B528" s="31">
        <f>TIME(10,30,0)</f>
        <v>0.4375</v>
      </c>
      <c r="C528" t="str">
        <f>Inventory!A12</f>
        <v>predator</v>
      </c>
      <c r="D528" s="27">
        <v>1</v>
      </c>
      <c r="E528" s="5">
        <f>D528*Inventory!D12</f>
        <v>70</v>
      </c>
      <c r="F528" s="5">
        <f>D528*Inventory!C12</f>
        <v>54.166666666666664</v>
      </c>
      <c r="G528" s="5">
        <f t="shared" si="26"/>
        <v>15.833333333333336</v>
      </c>
      <c r="H528" t="s">
        <v>247</v>
      </c>
    </row>
    <row r="529" spans="1:12" x14ac:dyDescent="0.25">
      <c r="A529" s="1">
        <f t="shared" si="25"/>
        <v>45497</v>
      </c>
      <c r="B529" s="31">
        <f>TIME(11,25,0)</f>
        <v>0.47569444444444442</v>
      </c>
      <c r="C529" t="str">
        <f>Inventory!A95</f>
        <v>Poa Pekee Tissue</v>
      </c>
      <c r="D529" s="27">
        <v>1</v>
      </c>
      <c r="E529" s="5">
        <f>D529*Inventory!D95</f>
        <v>30</v>
      </c>
      <c r="F529" s="5">
        <f>D529*Inventory!C95</f>
        <v>13.333333333333334</v>
      </c>
      <c r="G529" s="5">
        <f t="shared" si="26"/>
        <v>16.666666666666664</v>
      </c>
      <c r="H529" t="s">
        <v>247</v>
      </c>
    </row>
    <row r="530" spans="1:12" x14ac:dyDescent="0.25">
      <c r="A530" s="1">
        <f t="shared" si="25"/>
        <v>45497</v>
      </c>
      <c r="B530" s="31">
        <f>TIME(11,25,0)</f>
        <v>0.47569444444444442</v>
      </c>
      <c r="D530" s="27"/>
      <c r="F530" s="5"/>
      <c r="J530" t="s">
        <v>395</v>
      </c>
      <c r="K530">
        <v>160</v>
      </c>
      <c r="L530" t="s">
        <v>247</v>
      </c>
    </row>
    <row r="531" spans="1:12" x14ac:dyDescent="0.25">
      <c r="A531" s="1">
        <f t="shared" si="25"/>
        <v>45497</v>
      </c>
      <c r="B531" s="31">
        <f>TIME(11,27,0)</f>
        <v>0.4770833333333333</v>
      </c>
      <c r="C531" t="str">
        <f>Inventory!A30</f>
        <v>BB Bread 400g</v>
      </c>
      <c r="D531" s="27">
        <v>1</v>
      </c>
      <c r="E531" s="5">
        <f>D531*Inventory!D30</f>
        <v>65</v>
      </c>
      <c r="F531" s="5">
        <f>D531*Inventory!C30</f>
        <v>60</v>
      </c>
      <c r="G531" s="5">
        <f t="shared" si="26"/>
        <v>5</v>
      </c>
      <c r="H531" t="s">
        <v>361</v>
      </c>
    </row>
    <row r="532" spans="1:12" x14ac:dyDescent="0.25">
      <c r="A532" s="1">
        <f t="shared" si="25"/>
        <v>45497</v>
      </c>
      <c r="B532" s="31">
        <f>TIME(11,50,0)</f>
        <v>0.49305555555555558</v>
      </c>
      <c r="C532" t="str">
        <f>Inventory!A81</f>
        <v>eggs</v>
      </c>
      <c r="D532" s="27">
        <v>2</v>
      </c>
      <c r="E532" s="5">
        <f>D532*Inventory!D81</f>
        <v>40</v>
      </c>
      <c r="F532" s="5">
        <f>D532*Inventory!C81</f>
        <v>28.666666666666668</v>
      </c>
      <c r="G532" s="5">
        <f t="shared" si="26"/>
        <v>11.333333333333332</v>
      </c>
      <c r="H532" t="s">
        <v>359</v>
      </c>
      <c r="I532" t="s">
        <v>395</v>
      </c>
    </row>
    <row r="533" spans="1:12" x14ac:dyDescent="0.25">
      <c r="A533" s="1">
        <f t="shared" si="25"/>
        <v>45497</v>
      </c>
      <c r="B533" s="31">
        <f>TIME(11,50,0)</f>
        <v>0.49305555555555558</v>
      </c>
      <c r="C533" t="str">
        <f>Inventory!A116</f>
        <v>Tomatoes</v>
      </c>
      <c r="D533" s="27">
        <v>2</v>
      </c>
      <c r="E533" s="5">
        <f>D533*Inventory!D116</f>
        <v>20</v>
      </c>
      <c r="F533" s="5">
        <f>D533*Inventory!C116</f>
        <v>10</v>
      </c>
      <c r="G533" s="5">
        <f t="shared" si="26"/>
        <v>10</v>
      </c>
      <c r="H533" t="s">
        <v>359</v>
      </c>
      <c r="I533" t="s">
        <v>395</v>
      </c>
    </row>
    <row r="534" spans="1:12" x14ac:dyDescent="0.25">
      <c r="A534" s="1">
        <f t="shared" si="25"/>
        <v>45497</v>
      </c>
      <c r="B534" s="31">
        <f>TIME(11,55,0)</f>
        <v>0.49652777777777773</v>
      </c>
      <c r="C534" t="str">
        <f>Inventory!A8</f>
        <v>soda 350ml plastic</v>
      </c>
      <c r="D534" s="27">
        <v>1</v>
      </c>
      <c r="E534" s="5">
        <f>D534*Inventory!D8</f>
        <v>50</v>
      </c>
      <c r="F534" s="5">
        <f>D534*Inventory!C8</f>
        <v>41.666666666666664</v>
      </c>
      <c r="G534" s="5">
        <f t="shared" si="26"/>
        <v>8.3333333333333357</v>
      </c>
      <c r="H534" t="s">
        <v>247</v>
      </c>
    </row>
    <row r="535" spans="1:12" x14ac:dyDescent="0.25">
      <c r="A535" s="1">
        <f t="shared" si="25"/>
        <v>45497</v>
      </c>
      <c r="B535" s="31">
        <f>TIME(11,55,0)</f>
        <v>0.49652777777777773</v>
      </c>
      <c r="C535" t="str">
        <f>Inventory!A55</f>
        <v>Ngumu</v>
      </c>
      <c r="D535" s="27">
        <v>2</v>
      </c>
      <c r="E535" s="5">
        <f>D535*Inventory!D55</f>
        <v>20</v>
      </c>
      <c r="F535" s="5">
        <f>D535*Inventory!C55</f>
        <v>16.666666666666668</v>
      </c>
      <c r="G535" s="5">
        <f t="shared" si="26"/>
        <v>3.3333333333333321</v>
      </c>
      <c r="H535" t="s">
        <v>247</v>
      </c>
    </row>
    <row r="536" spans="1:12" x14ac:dyDescent="0.25">
      <c r="A536" s="1">
        <f t="shared" si="25"/>
        <v>45497</v>
      </c>
      <c r="B536" s="31">
        <f>TIME(12,59,0)</f>
        <v>0.54097222222222219</v>
      </c>
      <c r="C536" t="str">
        <f>Inventory!A61</f>
        <v>Bigdaddy</v>
      </c>
      <c r="D536" s="27">
        <v>2</v>
      </c>
      <c r="E536" s="5">
        <f>Table4[[#This Row],[qty]]*(VLOOKUP(Table4[[#This Row],[item_sold]],Table6[],4,FALSE))</f>
        <v>20</v>
      </c>
      <c r="F536" s="5">
        <f>(VLOOKUP(Table4[[#This Row],[item_sold]],Table6[],3,FALSE))*Table4[[#This Row],[qty]]</f>
        <v>12</v>
      </c>
      <c r="G536" s="5">
        <f t="shared" si="26"/>
        <v>8</v>
      </c>
      <c r="H536" t="s">
        <v>247</v>
      </c>
    </row>
    <row r="537" spans="1:12" x14ac:dyDescent="0.25">
      <c r="A537" s="1">
        <f t="shared" si="25"/>
        <v>45497</v>
      </c>
      <c r="B537" s="31">
        <f>TIME(13,29,0)</f>
        <v>0.56180555555555556</v>
      </c>
      <c r="C537" t="str">
        <f>Inventory!A95</f>
        <v>Poa Pekee Tissue</v>
      </c>
      <c r="D537" s="27">
        <v>1</v>
      </c>
      <c r="E537" s="5">
        <f>Table4[[#This Row],[qty]]*(VLOOKUP(Table4[[#This Row],[item_sold]],Table6[],4,FALSE))</f>
        <v>30</v>
      </c>
      <c r="F537" s="5">
        <f>(VLOOKUP(Table4[[#This Row],[item_sold]],Table6[],3,FALSE))*Table4[[#This Row],[qty]]</f>
        <v>13.333333333333334</v>
      </c>
      <c r="G537" s="5">
        <f t="shared" si="26"/>
        <v>16.666666666666664</v>
      </c>
      <c r="H537" t="s">
        <v>247</v>
      </c>
    </row>
    <row r="538" spans="1:12" x14ac:dyDescent="0.25">
      <c r="A538" s="1">
        <f t="shared" si="25"/>
        <v>45497</v>
      </c>
      <c r="B538" s="31">
        <f>TIME(13,44,0)</f>
        <v>0.57222222222222219</v>
      </c>
      <c r="C538" t="str">
        <f>Inventory!A11</f>
        <v>afia 300ml</v>
      </c>
      <c r="D538" s="27">
        <v>1</v>
      </c>
      <c r="E538" s="5">
        <f>Table4[[#This Row],[qty]]*(VLOOKUP(Table4[[#This Row],[item_sold]],Table6[],4,FALSE))</f>
        <v>60</v>
      </c>
      <c r="F538" s="5">
        <f>(VLOOKUP(Table4[[#This Row],[item_sold]],Table6[],3,FALSE))*Table4[[#This Row],[qty]]</f>
        <v>45.833333333333336</v>
      </c>
      <c r="G538" s="5">
        <f t="shared" si="26"/>
        <v>14.166666666666664</v>
      </c>
      <c r="H538" t="s">
        <v>361</v>
      </c>
    </row>
    <row r="539" spans="1:12" x14ac:dyDescent="0.25">
      <c r="A539" s="1">
        <f t="shared" si="25"/>
        <v>45497</v>
      </c>
      <c r="B539" s="31">
        <f>TIME(13,44,0)</f>
        <v>0.57222222222222219</v>
      </c>
      <c r="C539" t="str">
        <f>Inventory!A8</f>
        <v>soda 350ml plastic</v>
      </c>
      <c r="D539" s="27">
        <v>1</v>
      </c>
      <c r="E539" s="5">
        <f>Table4[[#This Row],[qty]]*(VLOOKUP(Table4[[#This Row],[item_sold]],Table6[],4,FALSE))</f>
        <v>50</v>
      </c>
      <c r="F539" s="5">
        <f>(VLOOKUP(Table4[[#This Row],[item_sold]],Table6[],3,FALSE))*Table4[[#This Row],[qty]]</f>
        <v>41.666666666666664</v>
      </c>
      <c r="G539" s="5">
        <f t="shared" ref="G539:G603" si="27">E539-F539</f>
        <v>8.3333333333333357</v>
      </c>
      <c r="H539" t="s">
        <v>361</v>
      </c>
    </row>
    <row r="540" spans="1:12" x14ac:dyDescent="0.25">
      <c r="A540" s="1">
        <f t="shared" si="25"/>
        <v>45497</v>
      </c>
      <c r="B540" s="31">
        <f>TIME(13,44,0)</f>
        <v>0.57222222222222219</v>
      </c>
      <c r="C540" t="str">
        <f>Inventory!A9</f>
        <v>minutemaid 400ml</v>
      </c>
      <c r="D540" s="27">
        <v>1</v>
      </c>
      <c r="E540" s="5">
        <f>Table4[[#This Row],[qty]]*(VLOOKUP(Table4[[#This Row],[item_sold]],Table6[],4,FALSE))</f>
        <v>85</v>
      </c>
      <c r="F540" s="5">
        <f>(VLOOKUP(Table4[[#This Row],[item_sold]],Table6[],3,FALSE))*Table4[[#This Row],[qty]]</f>
        <v>62.5</v>
      </c>
      <c r="G540" s="5">
        <f t="shared" si="27"/>
        <v>22.5</v>
      </c>
      <c r="H540" t="s">
        <v>361</v>
      </c>
    </row>
    <row r="541" spans="1:12" x14ac:dyDescent="0.25">
      <c r="A541" s="1">
        <f t="shared" si="25"/>
        <v>45497</v>
      </c>
      <c r="B541" s="31">
        <f>TIME(13,44,0)</f>
        <v>0.57222222222222219</v>
      </c>
      <c r="C541" t="str">
        <f>Inventory!A60</f>
        <v>Lollipop</v>
      </c>
      <c r="D541" s="27">
        <v>2</v>
      </c>
      <c r="E541" s="5">
        <f>Table4[[#This Row],[qty]]*(VLOOKUP(Table4[[#This Row],[item_sold]],Table6[],4,FALSE))</f>
        <v>10</v>
      </c>
      <c r="F541" s="5">
        <f>(VLOOKUP(Table4[[#This Row],[item_sold]],Table6[],3,FALSE))*Table4[[#This Row],[qty]]</f>
        <v>4.8</v>
      </c>
      <c r="G541" s="5">
        <f t="shared" si="27"/>
        <v>5.2</v>
      </c>
      <c r="H541" t="s">
        <v>361</v>
      </c>
    </row>
    <row r="542" spans="1:12" x14ac:dyDescent="0.25">
      <c r="A542" s="1">
        <f t="shared" si="25"/>
        <v>45497</v>
      </c>
      <c r="B542" s="31">
        <f>TIME(13,44,0)</f>
        <v>0.57222222222222219</v>
      </c>
      <c r="C542" t="str">
        <f>Inventory!A55</f>
        <v>Ngumu</v>
      </c>
      <c r="D542" s="27">
        <v>10</v>
      </c>
      <c r="E542" s="5">
        <f>Table4[[#This Row],[qty]]*(VLOOKUP(Table4[[#This Row],[item_sold]],Table6[],4,FALSE))</f>
        <v>100</v>
      </c>
      <c r="F542" s="5">
        <f>(VLOOKUP(Table4[[#This Row],[item_sold]],Table6[],3,FALSE))*Table4[[#This Row],[qty]]</f>
        <v>83.333333333333343</v>
      </c>
      <c r="G542" s="5">
        <f t="shared" si="27"/>
        <v>16.666666666666657</v>
      </c>
      <c r="H542" t="s">
        <v>361</v>
      </c>
    </row>
    <row r="543" spans="1:12" x14ac:dyDescent="0.25">
      <c r="A543" s="1">
        <f t="shared" si="25"/>
        <v>45497</v>
      </c>
      <c r="B543" s="31">
        <f>TIME(14,20,0)</f>
        <v>0.59722222222222221</v>
      </c>
      <c r="C543" t="str">
        <f>Inventory!A13</f>
        <v>soda 300ml glass</v>
      </c>
      <c r="D543" s="27">
        <v>1</v>
      </c>
      <c r="E543" s="5">
        <f>Table4[[#This Row],[qty]]*(VLOOKUP(Table4[[#This Row],[item_sold]],Table6[],4,FALSE))</f>
        <v>40</v>
      </c>
      <c r="F543" s="5">
        <f>(VLOOKUP(Table4[[#This Row],[item_sold]],Table6[],3,FALSE))*Table4[[#This Row],[qty]]</f>
        <v>32.5</v>
      </c>
      <c r="G543" s="5">
        <f t="shared" si="27"/>
        <v>7.5</v>
      </c>
      <c r="H543" t="s">
        <v>361</v>
      </c>
    </row>
    <row r="544" spans="1:12" x14ac:dyDescent="0.25">
      <c r="A544" s="1">
        <f t="shared" si="25"/>
        <v>45497</v>
      </c>
      <c r="B544" s="31">
        <f>TIME(14,20,0)</f>
        <v>0.59722222222222221</v>
      </c>
      <c r="C544" t="str">
        <f>Inventory!A44</f>
        <v>Peanut Cookies</v>
      </c>
      <c r="D544" s="27">
        <v>1</v>
      </c>
      <c r="E544" s="5">
        <f>Table4[[#This Row],[qty]]*(VLOOKUP(Table4[[#This Row],[item_sold]],Table6[],4,FALSE))</f>
        <v>35</v>
      </c>
      <c r="F544" s="5">
        <f>(VLOOKUP(Table4[[#This Row],[item_sold]],Table6[],3,FALSE))*Table4[[#This Row],[qty]]</f>
        <v>25</v>
      </c>
      <c r="G544" s="5">
        <f t="shared" si="27"/>
        <v>10</v>
      </c>
      <c r="H544" t="s">
        <v>361</v>
      </c>
    </row>
    <row r="545" spans="1:8" x14ac:dyDescent="0.25">
      <c r="A545" s="1">
        <f t="shared" si="25"/>
        <v>45497</v>
      </c>
      <c r="B545" s="31">
        <f>TIME(14,23,0)</f>
        <v>0.59930555555555554</v>
      </c>
      <c r="C545" t="str">
        <f>Inventory!A81</f>
        <v>eggs</v>
      </c>
      <c r="D545" s="27">
        <v>4</v>
      </c>
      <c r="E545" s="5">
        <f>Table4[[#This Row],[qty]]*(VLOOKUP(Table4[[#This Row],[item_sold]],Table6[],4,FALSE))</f>
        <v>80</v>
      </c>
      <c r="F545" s="5">
        <f>(VLOOKUP(Table4[[#This Row],[item_sold]],Table6[],3,FALSE))*Table4[[#This Row],[qty]]</f>
        <v>57.333333333333336</v>
      </c>
      <c r="G545" s="5">
        <f t="shared" si="27"/>
        <v>22.666666666666664</v>
      </c>
      <c r="H545" t="s">
        <v>361</v>
      </c>
    </row>
    <row r="546" spans="1:8" x14ac:dyDescent="0.25">
      <c r="A546" s="1">
        <f t="shared" si="25"/>
        <v>45497</v>
      </c>
      <c r="B546" s="31">
        <f>TIME(14,23,0)</f>
        <v>0.59930555555555554</v>
      </c>
      <c r="C546" t="str">
        <f>Inventory!A116</f>
        <v>Tomatoes</v>
      </c>
      <c r="D546" s="27">
        <v>1</v>
      </c>
      <c r="E546" s="5">
        <f>Table4[[#This Row],[qty]]*(VLOOKUP(Table4[[#This Row],[item_sold]],Table6[],4,FALSE))</f>
        <v>10</v>
      </c>
      <c r="F546" s="5">
        <f>(VLOOKUP(Table4[[#This Row],[item_sold]],Table6[],3,FALSE))*Table4[[#This Row],[qty]]</f>
        <v>5</v>
      </c>
      <c r="G546" s="5">
        <f t="shared" si="27"/>
        <v>5</v>
      </c>
      <c r="H546" t="s">
        <v>361</v>
      </c>
    </row>
    <row r="547" spans="1:8" x14ac:dyDescent="0.25">
      <c r="A547" s="1">
        <f t="shared" si="25"/>
        <v>45497</v>
      </c>
      <c r="B547" s="31">
        <f>TIME(14,23,0)</f>
        <v>0.59930555555555554</v>
      </c>
      <c r="C547" t="str">
        <f>Inventory!A167</f>
        <v>Curry Powder</v>
      </c>
      <c r="D547" s="27">
        <v>1</v>
      </c>
      <c r="E547" s="5">
        <f>Table4[[#This Row],[qty]]*(VLOOKUP(Table4[[#This Row],[item_sold]],Table6[],4,FALSE))</f>
        <v>15</v>
      </c>
      <c r="F547" s="5">
        <f>(VLOOKUP(Table4[[#This Row],[item_sold]],Table6[],3,FALSE))*Table4[[#This Row],[qty]]</f>
        <v>7.5</v>
      </c>
      <c r="G547" s="5">
        <f t="shared" si="27"/>
        <v>7.5</v>
      </c>
      <c r="H547" t="s">
        <v>361</v>
      </c>
    </row>
    <row r="548" spans="1:8" x14ac:dyDescent="0.25">
      <c r="A548" s="1">
        <f t="shared" si="25"/>
        <v>45497</v>
      </c>
      <c r="B548" s="31">
        <f>TIME(14,23,0)</f>
        <v>0.59930555555555554</v>
      </c>
      <c r="C548" t="str">
        <f>Inventory!A125</f>
        <v>Dhania</v>
      </c>
      <c r="D548" s="27">
        <v>1</v>
      </c>
      <c r="E548" s="5">
        <f>Table4[[#This Row],[qty]]*(VLOOKUP(Table4[[#This Row],[item_sold]],Table6[],4,FALSE))</f>
        <v>5</v>
      </c>
      <c r="F548" s="5">
        <f>(VLOOKUP(Table4[[#This Row],[item_sold]],Table6[],3,FALSE))*Table4[[#This Row],[qty]]</f>
        <v>3.3333333333333335</v>
      </c>
      <c r="G548" s="5">
        <f t="shared" si="27"/>
        <v>1.6666666666666665</v>
      </c>
      <c r="H548" t="s">
        <v>361</v>
      </c>
    </row>
    <row r="549" spans="1:8" x14ac:dyDescent="0.25">
      <c r="A549" s="1">
        <f t="shared" si="25"/>
        <v>45497</v>
      </c>
      <c r="B549" s="31">
        <f>TIME(14,30,0)</f>
        <v>0.60416666666666663</v>
      </c>
      <c r="C549" t="str">
        <f>Inventory!A53</f>
        <v>Mandazi</v>
      </c>
      <c r="D549" s="27">
        <v>4</v>
      </c>
      <c r="E549" s="5">
        <f>Table4[[#This Row],[qty]]*(VLOOKUP(Table4[[#This Row],[item_sold]],Table6[],4,FALSE))</f>
        <v>20</v>
      </c>
      <c r="F549" s="5">
        <f>(VLOOKUP(Table4[[#This Row],[item_sold]],Table6[],3,FALSE))*Table4[[#This Row],[qty]]</f>
        <v>16.666666666666668</v>
      </c>
      <c r="G549" s="5">
        <f t="shared" si="27"/>
        <v>3.3333333333333321</v>
      </c>
      <c r="H549" t="s">
        <v>361</v>
      </c>
    </row>
    <row r="550" spans="1:8" x14ac:dyDescent="0.25">
      <c r="A550" s="1">
        <f t="shared" si="25"/>
        <v>45497</v>
      </c>
      <c r="B550" s="31">
        <f>TIME(15,30,0)</f>
        <v>0.64583333333333337</v>
      </c>
      <c r="C550" t="str">
        <f>Inventory!A13</f>
        <v>soda 300ml glass</v>
      </c>
      <c r="D550" s="27">
        <v>1</v>
      </c>
      <c r="E550" s="5">
        <f>Table4[[#This Row],[qty]]*(VLOOKUP(Table4[[#This Row],[item_sold]],Table6[],4,FALSE))</f>
        <v>40</v>
      </c>
      <c r="F550" s="5">
        <f>(VLOOKUP(Table4[[#This Row],[item_sold]],Table6[],3,FALSE))*Table4[[#This Row],[qty]]</f>
        <v>32.5</v>
      </c>
      <c r="G550" s="5">
        <f t="shared" si="27"/>
        <v>7.5</v>
      </c>
      <c r="H550" t="s">
        <v>247</v>
      </c>
    </row>
    <row r="551" spans="1:8" x14ac:dyDescent="0.25">
      <c r="A551" s="1">
        <f t="shared" si="25"/>
        <v>45497</v>
      </c>
      <c r="B551" s="31">
        <f>TIME(15,50,0)</f>
        <v>0.65972222222222221</v>
      </c>
      <c r="C551" t="str">
        <f>Inventory!A13</f>
        <v>soda 300ml glass</v>
      </c>
      <c r="D551" s="27">
        <v>1</v>
      </c>
      <c r="E551" s="5">
        <f>Table4[[#This Row],[qty]]*(VLOOKUP(Table4[[#This Row],[item_sold]],Table6[],4,FALSE))</f>
        <v>40</v>
      </c>
      <c r="F551" s="5">
        <f>(VLOOKUP(Table4[[#This Row],[item_sold]],Table6[],3,FALSE))*Table4[[#This Row],[qty]]</f>
        <v>32.5</v>
      </c>
      <c r="G551" s="5">
        <f t="shared" si="27"/>
        <v>7.5</v>
      </c>
      <c r="H551" t="s">
        <v>247</v>
      </c>
    </row>
    <row r="552" spans="1:8" x14ac:dyDescent="0.25">
      <c r="A552" s="1">
        <f t="shared" si="25"/>
        <v>45497</v>
      </c>
      <c r="B552" s="31">
        <f>TIME(16,7,0)</f>
        <v>0.67152777777777783</v>
      </c>
      <c r="C552" t="str">
        <f>Inventory!A7</f>
        <v>soda 500ml plastic</v>
      </c>
      <c r="D552" s="27">
        <v>1</v>
      </c>
      <c r="E552" s="5">
        <f>Table4[[#This Row],[qty]]*(VLOOKUP(Table4[[#This Row],[item_sold]],Table6[],4,FALSE))</f>
        <v>70</v>
      </c>
      <c r="F552" s="5">
        <f>(VLOOKUP(Table4[[#This Row],[item_sold]],Table6[],3,FALSE))*Table4[[#This Row],[qty]]</f>
        <v>60.416666666666664</v>
      </c>
      <c r="G552" s="5">
        <f t="shared" si="27"/>
        <v>9.5833333333333357</v>
      </c>
      <c r="H552" t="s">
        <v>361</v>
      </c>
    </row>
    <row r="553" spans="1:8" x14ac:dyDescent="0.25">
      <c r="A553" s="1">
        <f t="shared" si="25"/>
        <v>45497</v>
      </c>
      <c r="B553" s="31">
        <f>TIME(16,7,0)</f>
        <v>0.67152777777777783</v>
      </c>
      <c r="C553" t="str">
        <f>Inventory!A4</f>
        <v>300ml water</v>
      </c>
      <c r="D553" s="27">
        <v>1</v>
      </c>
      <c r="E553" s="5">
        <f>Table4[[#This Row],[qty]]*(VLOOKUP(Table4[[#This Row],[item_sold]],Table6[],4,FALSE))</f>
        <v>30</v>
      </c>
      <c r="F553" s="5">
        <f>(VLOOKUP(Table4[[#This Row],[item_sold]],Table6[],3,FALSE))*Table4[[#This Row],[qty]]</f>
        <v>12.5</v>
      </c>
      <c r="G553" s="5">
        <f t="shared" si="27"/>
        <v>17.5</v>
      </c>
      <c r="H553" t="s">
        <v>361</v>
      </c>
    </row>
    <row r="554" spans="1:8" x14ac:dyDescent="0.25">
      <c r="A554" s="1">
        <f t="shared" si="25"/>
        <v>45497</v>
      </c>
      <c r="B554" s="31">
        <f>TIME(16,26,0)</f>
        <v>0.68472222222222223</v>
      </c>
      <c r="C554" t="str">
        <f>Inventory!A143</f>
        <v>Royco Beef Mchuzi Mix</v>
      </c>
      <c r="D554" s="27">
        <v>2</v>
      </c>
      <c r="E554" s="5">
        <f>Table4[[#This Row],[qty]]*(VLOOKUP(Table4[[#This Row],[item_sold]],Table6[],4,FALSE))</f>
        <v>20</v>
      </c>
      <c r="F554" s="5">
        <f>(VLOOKUP(Table4[[#This Row],[item_sold]],Table6[],3,FALSE))*Table4[[#This Row],[qty]]</f>
        <v>16.666666666666668</v>
      </c>
      <c r="G554" s="5">
        <f t="shared" si="27"/>
        <v>3.3333333333333321</v>
      </c>
      <c r="H554" t="s">
        <v>247</v>
      </c>
    </row>
    <row r="555" spans="1:8" x14ac:dyDescent="0.25">
      <c r="A555" s="1">
        <f t="shared" si="25"/>
        <v>45497</v>
      </c>
      <c r="B555" s="31">
        <f>TIME(17,51,0)</f>
        <v>0.74375000000000002</v>
      </c>
      <c r="C555" t="str">
        <f>Inventory!A122</f>
        <v>Kinangop Fresh Milk 500ml</v>
      </c>
      <c r="D555" s="27">
        <v>4</v>
      </c>
      <c r="E555" s="5">
        <f>Table4[[#This Row],[qty]]*(VLOOKUP(Table4[[#This Row],[item_sold]],Table6[],4,FALSE))</f>
        <v>240</v>
      </c>
      <c r="F555" s="5">
        <f>(VLOOKUP(Table4[[#This Row],[item_sold]],Table6[],3,FALSE))*Table4[[#This Row],[qty]]</f>
        <v>220</v>
      </c>
      <c r="G555" s="5">
        <f t="shared" si="27"/>
        <v>20</v>
      </c>
      <c r="H555" t="s">
        <v>247</v>
      </c>
    </row>
    <row r="556" spans="1:8" x14ac:dyDescent="0.25">
      <c r="A556" s="1">
        <f t="shared" si="25"/>
        <v>45497</v>
      </c>
      <c r="B556" s="31">
        <f>TIME(17,51,0)</f>
        <v>0.74375000000000002</v>
      </c>
      <c r="C556" t="str">
        <f>Inventory!A34</f>
        <v>Ringoz Paprika</v>
      </c>
      <c r="D556" s="27">
        <v>1</v>
      </c>
      <c r="E556" s="5">
        <f>Table4[[#This Row],[qty]]*(VLOOKUP(Table4[[#This Row],[item_sold]],Table6[],4,FALSE))</f>
        <v>15</v>
      </c>
      <c r="F556" s="5">
        <f>(VLOOKUP(Table4[[#This Row],[item_sold]],Table6[],3,FALSE))*Table4[[#This Row],[qty]]</f>
        <v>8.8000000000000007</v>
      </c>
      <c r="G556" s="5">
        <f t="shared" si="27"/>
        <v>6.1999999999999993</v>
      </c>
      <c r="H556" t="s">
        <v>247</v>
      </c>
    </row>
    <row r="557" spans="1:8" x14ac:dyDescent="0.25">
      <c r="A557" s="1">
        <f t="shared" si="25"/>
        <v>45497</v>
      </c>
      <c r="B557" s="31">
        <f>TIME(17,51,0)</f>
        <v>0.74375000000000002</v>
      </c>
      <c r="C557" t="str">
        <f>Inventory!A134</f>
        <v>Baloon</v>
      </c>
      <c r="D557" s="27">
        <v>3</v>
      </c>
      <c r="E557" s="5">
        <f>Table4[[#This Row],[qty]]*(VLOOKUP(Table4[[#This Row],[item_sold]],Table6[],4,FALSE))</f>
        <v>30</v>
      </c>
      <c r="F557" s="5">
        <f>(VLOOKUP(Table4[[#This Row],[item_sold]],Table6[],3,FALSE))*Table4[[#This Row],[qty]]</f>
        <v>18</v>
      </c>
      <c r="G557" s="5">
        <f t="shared" si="27"/>
        <v>12</v>
      </c>
      <c r="H557" t="s">
        <v>247</v>
      </c>
    </row>
    <row r="558" spans="1:8" x14ac:dyDescent="0.25">
      <c r="A558" s="1">
        <f t="shared" si="25"/>
        <v>45497</v>
      </c>
      <c r="B558" s="31">
        <f>TIME(18,39,0)</f>
        <v>0.77708333333333324</v>
      </c>
      <c r="C558" t="str">
        <f>Inventory!A12</f>
        <v>predator</v>
      </c>
      <c r="D558" s="27">
        <v>1</v>
      </c>
      <c r="E558" s="5">
        <f>Table4[[#This Row],[qty]]*(VLOOKUP(Table4[[#This Row],[item_sold]],Table6[],4,FALSE))</f>
        <v>70</v>
      </c>
      <c r="F558" s="5">
        <f>(VLOOKUP(Table4[[#This Row],[item_sold]],Table6[],3,FALSE))*Table4[[#This Row],[qty]]</f>
        <v>54.166666666666664</v>
      </c>
      <c r="G558" s="5">
        <f t="shared" si="27"/>
        <v>15.833333333333336</v>
      </c>
      <c r="H558" t="s">
        <v>361</v>
      </c>
    </row>
    <row r="559" spans="1:8" x14ac:dyDescent="0.25">
      <c r="A559" s="1">
        <f t="shared" si="25"/>
        <v>45497</v>
      </c>
      <c r="B559" s="31">
        <f>TIME(18,46,0)</f>
        <v>0.78194444444444444</v>
      </c>
      <c r="C559" t="str">
        <f>Inventory!A177</f>
        <v>Kamande</v>
      </c>
      <c r="D559" s="27">
        <v>1</v>
      </c>
      <c r="E559" s="5">
        <f>Table4[[#This Row],[qty]]*(VLOOKUP(Table4[[#This Row],[item_sold]],Table6[],4,FALSE))</f>
        <v>350</v>
      </c>
      <c r="F559" s="5">
        <f>(VLOOKUP(Table4[[#This Row],[item_sold]],Table6[],3,FALSE))*Table4[[#This Row],[qty]]</f>
        <v>300</v>
      </c>
      <c r="G559" s="5">
        <f t="shared" si="27"/>
        <v>50</v>
      </c>
      <c r="H559" t="s">
        <v>361</v>
      </c>
    </row>
    <row r="560" spans="1:8" x14ac:dyDescent="0.25">
      <c r="A560" s="1">
        <f t="shared" si="25"/>
        <v>45497</v>
      </c>
      <c r="B560" s="31">
        <f>TIME(18,46,0)</f>
        <v>0.78194444444444444</v>
      </c>
      <c r="C560" t="str">
        <f>Inventory!A178</f>
        <v>Yellow Beans</v>
      </c>
      <c r="D560" s="27">
        <v>1</v>
      </c>
      <c r="E560" s="5">
        <f>Table4[[#This Row],[qty]]*(VLOOKUP(Table4[[#This Row],[item_sold]],Table6[],4,FALSE))</f>
        <v>180</v>
      </c>
      <c r="F560" s="5">
        <f>(VLOOKUP(Table4[[#This Row],[item_sold]],Table6[],3,FALSE))*Table4[[#This Row],[qty]]</f>
        <v>125</v>
      </c>
      <c r="G560" s="5">
        <f t="shared" si="27"/>
        <v>55</v>
      </c>
      <c r="H560" t="s">
        <v>361</v>
      </c>
    </row>
    <row r="561" spans="1:9" x14ac:dyDescent="0.25">
      <c r="A561" s="1">
        <f t="shared" si="25"/>
        <v>45497</v>
      </c>
      <c r="B561" s="31">
        <f>TIME(18,46,0)</f>
        <v>0.78194444444444444</v>
      </c>
      <c r="C561" t="str">
        <f>Inventory!A2</f>
        <v>5ltrs water</v>
      </c>
      <c r="D561" s="27">
        <v>1</v>
      </c>
      <c r="E561" s="5">
        <f>Table4[[#This Row],[qty]]*(VLOOKUP(Table4[[#This Row],[item_sold]],Table6[],4,FALSE))</f>
        <v>120</v>
      </c>
      <c r="F561" s="5">
        <f>(VLOOKUP(Table4[[#This Row],[item_sold]],Table6[],3,FALSE))*Table4[[#This Row],[qty]]</f>
        <v>75</v>
      </c>
      <c r="G561" s="5">
        <f t="shared" si="27"/>
        <v>45</v>
      </c>
      <c r="H561" t="s">
        <v>361</v>
      </c>
    </row>
    <row r="562" spans="1:9" x14ac:dyDescent="0.25">
      <c r="A562" s="1">
        <f t="shared" si="25"/>
        <v>45497</v>
      </c>
      <c r="B562" s="31">
        <f>TIME(18,48,0)</f>
        <v>0.78333333333333333</v>
      </c>
      <c r="C562" t="str">
        <f>Inventory!A179</f>
        <v>Kienyeji  Eggs</v>
      </c>
      <c r="D562" s="27">
        <v>10</v>
      </c>
      <c r="E562" s="5">
        <f>Table4[[#This Row],[qty]]*(VLOOKUP(Table4[[#This Row],[item_sold]],Table6[],4,FALSE))</f>
        <v>300</v>
      </c>
      <c r="F562" s="5">
        <f>(VLOOKUP(Table4[[#This Row],[item_sold]],Table6[],3,FALSE))*Table4[[#This Row],[qty]]</f>
        <v>200</v>
      </c>
      <c r="G562" s="5">
        <f t="shared" si="27"/>
        <v>100</v>
      </c>
      <c r="H562" t="s">
        <v>361</v>
      </c>
    </row>
    <row r="563" spans="1:9" x14ac:dyDescent="0.25">
      <c r="A563" s="1">
        <f t="shared" si="25"/>
        <v>45497</v>
      </c>
      <c r="B563" s="31">
        <f>TIME(18,49,0)</f>
        <v>0.78402777777777777</v>
      </c>
      <c r="C563" t="str">
        <f>Inventory!A115</f>
        <v>Onion</v>
      </c>
      <c r="D563" s="27">
        <v>10</v>
      </c>
      <c r="E563" s="5">
        <f>Table4[[#This Row],[qty]]*(VLOOKUP(Table4[[#This Row],[item_sold]],Table6[],4,FALSE))</f>
        <v>100</v>
      </c>
      <c r="F563" s="5">
        <f>(VLOOKUP(Table4[[#This Row],[item_sold]],Table6[],3,FALSE))*Table4[[#This Row],[qty]]</f>
        <v>80</v>
      </c>
      <c r="G563" s="5">
        <f t="shared" si="27"/>
        <v>20</v>
      </c>
      <c r="H563" t="s">
        <v>359</v>
      </c>
      <c r="I563" t="s">
        <v>408</v>
      </c>
    </row>
    <row r="564" spans="1:9" x14ac:dyDescent="0.25">
      <c r="A564" s="1">
        <f t="shared" si="25"/>
        <v>45497</v>
      </c>
      <c r="B564" s="31">
        <f>TIME(18,49,0)</f>
        <v>0.78402777777777777</v>
      </c>
      <c r="C564" t="str">
        <f>Inventory!A61</f>
        <v>Bigdaddy</v>
      </c>
      <c r="D564" s="27">
        <v>1</v>
      </c>
      <c r="E564" s="5">
        <f>Table4[[#This Row],[qty]]*(VLOOKUP(Table4[[#This Row],[item_sold]],Table6[],4,FALSE))</f>
        <v>10</v>
      </c>
      <c r="F564" s="5">
        <f>(VLOOKUP(Table4[[#This Row],[item_sold]],Table6[],3,FALSE))*Table4[[#This Row],[qty]]</f>
        <v>6</v>
      </c>
      <c r="G564" s="5">
        <f t="shared" si="27"/>
        <v>4</v>
      </c>
      <c r="H564" t="s">
        <v>359</v>
      </c>
      <c r="I564" t="s">
        <v>408</v>
      </c>
    </row>
    <row r="565" spans="1:9" x14ac:dyDescent="0.25">
      <c r="A565" s="1">
        <f t="shared" si="25"/>
        <v>45497</v>
      </c>
      <c r="B565" s="31">
        <f>TIME(18,53,0)</f>
        <v>0.78680555555555554</v>
      </c>
      <c r="C565" t="str">
        <f>Inventory!A47</f>
        <v>Lemon Bisquit</v>
      </c>
      <c r="D565" s="27">
        <v>1</v>
      </c>
      <c r="E565" s="5">
        <f>Table4[[#This Row],[qty]]*(VLOOKUP(Table4[[#This Row],[item_sold]],Table6[],4,FALSE))</f>
        <v>5</v>
      </c>
      <c r="F565" s="5">
        <f>(VLOOKUP(Table4[[#This Row],[item_sold]],Table6[],3,FALSE))*Table4[[#This Row],[qty]]</f>
        <v>4.333333333333333</v>
      </c>
      <c r="G565" s="5">
        <f t="shared" si="27"/>
        <v>0.66666666666666696</v>
      </c>
      <c r="H565" t="s">
        <v>247</v>
      </c>
    </row>
    <row r="566" spans="1:9" x14ac:dyDescent="0.25">
      <c r="A566" s="1">
        <f t="shared" si="25"/>
        <v>45497</v>
      </c>
      <c r="B566" s="31">
        <f>TIME(18,53,0)</f>
        <v>0.78680555555555554</v>
      </c>
      <c r="C566" t="str">
        <f>Inventory!A67</f>
        <v>Bigboss</v>
      </c>
      <c r="D566" s="27">
        <v>1</v>
      </c>
      <c r="E566" s="5">
        <f>Table4[[#This Row],[qty]]*(VLOOKUP(Table4[[#This Row],[item_sold]],Table6[],4,FALSE))</f>
        <v>5</v>
      </c>
      <c r="F566" s="5">
        <f>(VLOOKUP(Table4[[#This Row],[item_sold]],Table6[],3,FALSE))*Table4[[#This Row],[qty]]</f>
        <v>3.5</v>
      </c>
      <c r="G566" s="5">
        <f t="shared" si="27"/>
        <v>1.5</v>
      </c>
      <c r="H566" t="s">
        <v>247</v>
      </c>
    </row>
    <row r="567" spans="1:9" x14ac:dyDescent="0.25">
      <c r="A567" s="1">
        <f t="shared" si="25"/>
        <v>45497</v>
      </c>
      <c r="B567" s="31">
        <f>TIME(18,55,0)</f>
        <v>0.78819444444444453</v>
      </c>
      <c r="C567" t="str">
        <f>Inventory!A24</f>
        <v>Brookside milk 500ml</v>
      </c>
      <c r="D567" s="27">
        <v>1</v>
      </c>
      <c r="E567" s="5">
        <f>Table4[[#This Row],[qty]]*(VLOOKUP(Table4[[#This Row],[item_sold]],Table6[],4,FALSE))</f>
        <v>70</v>
      </c>
      <c r="F567" s="5">
        <f>(VLOOKUP(Table4[[#This Row],[item_sold]],Table6[],3,FALSE))*Table4[[#This Row],[qty]]</f>
        <v>59</v>
      </c>
      <c r="G567" s="5">
        <f t="shared" si="27"/>
        <v>11</v>
      </c>
      <c r="H567" t="s">
        <v>359</v>
      </c>
      <c r="I567" t="s">
        <v>389</v>
      </c>
    </row>
    <row r="568" spans="1:9" x14ac:dyDescent="0.25">
      <c r="A568" s="1">
        <f t="shared" si="25"/>
        <v>45497</v>
      </c>
      <c r="B568" s="31">
        <f>TIME(18,55,0)</f>
        <v>0.78819444444444453</v>
      </c>
      <c r="C568" t="str">
        <f>Inventory!A162</f>
        <v>Match Box</v>
      </c>
      <c r="D568" s="27">
        <v>1</v>
      </c>
      <c r="E568" s="5">
        <f>Table4[[#This Row],[qty]]*(VLOOKUP(Table4[[#This Row],[item_sold]],Table6[],4,FALSE))</f>
        <v>5</v>
      </c>
      <c r="F568" s="5">
        <f>(VLOOKUP(Table4[[#This Row],[item_sold]],Table6[],3,FALSE))*Table4[[#This Row],[qty]]</f>
        <v>2.3611111111111112</v>
      </c>
      <c r="G568" s="5">
        <f t="shared" si="27"/>
        <v>2.6388888888888888</v>
      </c>
      <c r="H568" t="s">
        <v>359</v>
      </c>
      <c r="I568" t="s">
        <v>389</v>
      </c>
    </row>
    <row r="569" spans="1:9" x14ac:dyDescent="0.25">
      <c r="A569" s="1">
        <f t="shared" si="25"/>
        <v>45497</v>
      </c>
      <c r="B569" s="31">
        <f>TIME(18,57,0)</f>
        <v>0.7895833333333333</v>
      </c>
      <c r="C569" t="str">
        <f>Inventory!A13</f>
        <v>soda 300ml glass</v>
      </c>
      <c r="D569" s="27">
        <v>1</v>
      </c>
      <c r="E569" s="5">
        <f>Table4[[#This Row],[qty]]*(VLOOKUP(Table4[[#This Row],[item_sold]],Table6[],4,FALSE))</f>
        <v>40</v>
      </c>
      <c r="F569" s="5">
        <f>(VLOOKUP(Table4[[#This Row],[item_sold]],Table6[],3,FALSE))*Table4[[#This Row],[qty]]</f>
        <v>32.5</v>
      </c>
      <c r="G569" s="5">
        <f t="shared" si="27"/>
        <v>7.5</v>
      </c>
      <c r="H569" t="s">
        <v>361</v>
      </c>
    </row>
    <row r="570" spans="1:9" x14ac:dyDescent="0.25">
      <c r="A570" s="1">
        <f t="shared" si="25"/>
        <v>45497</v>
      </c>
      <c r="B570" s="31">
        <f>TIME(19,3,0)</f>
        <v>0.79375000000000007</v>
      </c>
      <c r="C570" t="str">
        <f>Inventory!A7</f>
        <v>soda 500ml plastic</v>
      </c>
      <c r="D570" s="27">
        <v>1</v>
      </c>
      <c r="E570" s="5">
        <f>Table4[[#This Row],[qty]]*(VLOOKUP(Table4[[#This Row],[item_sold]],Table6[],4,FALSE))</f>
        <v>70</v>
      </c>
      <c r="F570" s="5">
        <f>(VLOOKUP(Table4[[#This Row],[item_sold]],Table6[],3,FALSE))*Table4[[#This Row],[qty]]</f>
        <v>60.416666666666664</v>
      </c>
      <c r="G570" s="5">
        <f t="shared" si="27"/>
        <v>9.5833333333333357</v>
      </c>
      <c r="H570" t="s">
        <v>361</v>
      </c>
    </row>
    <row r="571" spans="1:9" x14ac:dyDescent="0.25">
      <c r="A571" s="1">
        <f t="shared" si="25"/>
        <v>45497</v>
      </c>
      <c r="B571" s="31">
        <f>TIME(19,3,0)</f>
        <v>0.79375000000000007</v>
      </c>
      <c r="C571" t="str">
        <f>Inventory!A45</f>
        <v>Goodday Cookies</v>
      </c>
      <c r="D571" s="27">
        <v>1</v>
      </c>
      <c r="E571" s="5">
        <f>Table4[[#This Row],[qty]]*(VLOOKUP(Table4[[#This Row],[item_sold]],Table6[],4,FALSE))</f>
        <v>15</v>
      </c>
      <c r="F571" s="5">
        <f>(VLOOKUP(Table4[[#This Row],[item_sold]],Table6[],3,FALSE))*Table4[[#This Row],[qty]]</f>
        <v>9.3333333333333339</v>
      </c>
      <c r="G571" s="5">
        <f t="shared" si="27"/>
        <v>5.6666666666666661</v>
      </c>
      <c r="H571" t="s">
        <v>361</v>
      </c>
    </row>
    <row r="572" spans="1:9" x14ac:dyDescent="0.25">
      <c r="A572" s="1">
        <f t="shared" si="25"/>
        <v>45497</v>
      </c>
      <c r="B572" s="31">
        <f>TIME(19,13,0)</f>
        <v>0.80069444444444438</v>
      </c>
      <c r="C572" t="str">
        <f>Inventory!A117</f>
        <v>Cooking Oil Measured</v>
      </c>
      <c r="D572" s="27">
        <v>0.25</v>
      </c>
      <c r="E572" s="5">
        <f>Table4[[#This Row],[qty]]*(VLOOKUP(Table4[[#This Row],[item_sold]],Table6[],4,FALSE))</f>
        <v>70</v>
      </c>
      <c r="F572" s="5">
        <f>(VLOOKUP(Table4[[#This Row],[item_sold]],Table6[],3,FALSE))*Table4[[#This Row],[qty]]</f>
        <v>50</v>
      </c>
      <c r="G572" s="5">
        <f t="shared" si="27"/>
        <v>20</v>
      </c>
      <c r="H572" t="s">
        <v>361</v>
      </c>
    </row>
    <row r="573" spans="1:9" x14ac:dyDescent="0.25">
      <c r="A573" s="1">
        <f t="shared" si="25"/>
        <v>45497</v>
      </c>
      <c r="B573" s="31">
        <f>TIME(19,14,0)</f>
        <v>0.80138888888888893</v>
      </c>
      <c r="C573" t="str">
        <f>Inventory!A47</f>
        <v>Lemon Bisquit</v>
      </c>
      <c r="D573" s="27">
        <v>2</v>
      </c>
      <c r="E573" s="5">
        <f>Table4[[#This Row],[qty]]*(VLOOKUP(Table4[[#This Row],[item_sold]],Table6[],4,FALSE))</f>
        <v>10</v>
      </c>
      <c r="F573" s="5">
        <f>(VLOOKUP(Table4[[#This Row],[item_sold]],Table6[],3,FALSE))*Table4[[#This Row],[qty]]</f>
        <v>8.6666666666666661</v>
      </c>
      <c r="G573" s="5">
        <f t="shared" si="27"/>
        <v>1.3333333333333339</v>
      </c>
      <c r="H573" t="s">
        <v>359</v>
      </c>
      <c r="I573" t="s">
        <v>394</v>
      </c>
    </row>
    <row r="574" spans="1:9" x14ac:dyDescent="0.25">
      <c r="A574" s="1">
        <f t="shared" si="25"/>
        <v>45497</v>
      </c>
      <c r="B574" s="31">
        <f>TIME(19,40,0)</f>
        <v>0.81944444444444453</v>
      </c>
      <c r="C574" t="str">
        <f>Inventory!A169</f>
        <v>210 Maize Meal 2kg</v>
      </c>
      <c r="D574" s="27">
        <v>1</v>
      </c>
      <c r="E574" s="5">
        <f>Table4[[#This Row],[qty]]*(VLOOKUP(Table4[[#This Row],[item_sold]],Table6[],4,FALSE))</f>
        <v>160</v>
      </c>
      <c r="F574" s="5">
        <f>(VLOOKUP(Table4[[#This Row],[item_sold]],Table6[],3,FALSE))*Table4[[#This Row],[qty]]</f>
        <v>117.08333333333333</v>
      </c>
      <c r="G574" s="5">
        <f t="shared" si="27"/>
        <v>42.916666666666671</v>
      </c>
      <c r="H574" t="s">
        <v>361</v>
      </c>
    </row>
    <row r="575" spans="1:9" x14ac:dyDescent="0.25">
      <c r="A575" s="1">
        <f t="shared" si="25"/>
        <v>45497</v>
      </c>
      <c r="B575" s="31">
        <f>TIME(19,42,0)</f>
        <v>0.8208333333333333</v>
      </c>
      <c r="C575" t="str">
        <f>Inventory!A81</f>
        <v>eggs</v>
      </c>
      <c r="D575" s="27">
        <v>2</v>
      </c>
      <c r="E575" s="5">
        <f>Table4[[#This Row],[qty]]*(VLOOKUP(Table4[[#This Row],[item_sold]],Table6[],4,FALSE))</f>
        <v>40</v>
      </c>
      <c r="F575" s="5">
        <f>(VLOOKUP(Table4[[#This Row],[item_sold]],Table6[],3,FALSE))*Table4[[#This Row],[qty]]</f>
        <v>28.666666666666668</v>
      </c>
      <c r="G575" s="5">
        <f t="shared" si="27"/>
        <v>11.333333333333332</v>
      </c>
      <c r="H575" t="s">
        <v>361</v>
      </c>
    </row>
    <row r="576" spans="1:9" x14ac:dyDescent="0.25">
      <c r="A576" s="1">
        <f t="shared" si="25"/>
        <v>45497</v>
      </c>
      <c r="B576" s="31">
        <f>TIME(20,2,0)</f>
        <v>0.83472222222222225</v>
      </c>
      <c r="C576" t="str">
        <f>Inventory!A30</f>
        <v>BB Bread 400g</v>
      </c>
      <c r="D576" s="27">
        <v>1</v>
      </c>
      <c r="E576" s="5">
        <f>Table4[[#This Row],[qty]]*(VLOOKUP(Table4[[#This Row],[item_sold]],Table6[],4,FALSE))</f>
        <v>65</v>
      </c>
      <c r="F576" s="5">
        <f>(VLOOKUP(Table4[[#This Row],[item_sold]],Table6[],3,FALSE))*Table4[[#This Row],[qty]]</f>
        <v>60</v>
      </c>
      <c r="G576" s="5">
        <f t="shared" si="27"/>
        <v>5</v>
      </c>
      <c r="H576" t="s">
        <v>247</v>
      </c>
    </row>
    <row r="577" spans="1:12" x14ac:dyDescent="0.25">
      <c r="A577" s="1">
        <f t="shared" si="25"/>
        <v>45497</v>
      </c>
      <c r="B577" s="31">
        <f>TIME(20,2,0)</f>
        <v>0.83472222222222225</v>
      </c>
      <c r="C577" t="str">
        <f>Inventory!A7</f>
        <v>soda 500ml plastic</v>
      </c>
      <c r="D577" s="27">
        <v>1</v>
      </c>
      <c r="E577" s="5">
        <f>Table4[[#This Row],[qty]]*(VLOOKUP(Table4[[#This Row],[item_sold]],Table6[],4,FALSE))</f>
        <v>70</v>
      </c>
      <c r="F577" s="5">
        <f>(VLOOKUP(Table4[[#This Row],[item_sold]],Table6[],3,FALSE))*Table4[[#This Row],[qty]]</f>
        <v>60.416666666666664</v>
      </c>
      <c r="G577" s="5">
        <f t="shared" si="27"/>
        <v>9.5833333333333357</v>
      </c>
      <c r="H577" t="s">
        <v>359</v>
      </c>
      <c r="I577" t="s">
        <v>403</v>
      </c>
    </row>
    <row r="578" spans="1:12" x14ac:dyDescent="0.25">
      <c r="A578" s="1">
        <f t="shared" si="25"/>
        <v>45497</v>
      </c>
      <c r="B578" s="31">
        <f>TIME(20,30,0)</f>
        <v>0.85416666666666663</v>
      </c>
      <c r="C578" t="str">
        <f>Inventory!A154</f>
        <v>waru</v>
      </c>
      <c r="D578" s="27">
        <v>1</v>
      </c>
      <c r="E578" s="5">
        <f>Table4[[#This Row],[qty]]*(VLOOKUP(Table4[[#This Row],[item_sold]],Table6[],4,FALSE))</f>
        <v>50</v>
      </c>
      <c r="F578" s="5">
        <f>(VLOOKUP(Table4[[#This Row],[item_sold]],Table6[],3,FALSE))*Table4[[#This Row],[qty]]</f>
        <v>29.999999999999996</v>
      </c>
      <c r="G578" s="5">
        <f t="shared" si="27"/>
        <v>20.000000000000004</v>
      </c>
      <c r="H578" t="s">
        <v>247</v>
      </c>
    </row>
    <row r="579" spans="1:12" x14ac:dyDescent="0.25">
      <c r="A579" s="1">
        <f t="shared" si="25"/>
        <v>45497</v>
      </c>
      <c r="B579" s="31">
        <f>TIME(20,30,0)</f>
        <v>0.85416666666666663</v>
      </c>
      <c r="C579" t="str">
        <f>Inventory!A71</f>
        <v>Indomie chicken</v>
      </c>
      <c r="D579" s="27">
        <v>1</v>
      </c>
      <c r="E579" s="5">
        <f>Table4[[#This Row],[qty]]*(VLOOKUP(Table4[[#This Row],[item_sold]],Table6[],4,FALSE))</f>
        <v>50</v>
      </c>
      <c r="F579" s="5">
        <f>(VLOOKUP(Table4[[#This Row],[item_sold]],Table6[],3,FALSE))*Table4[[#This Row],[qty]]</f>
        <v>37.5</v>
      </c>
      <c r="G579" s="5">
        <f t="shared" si="27"/>
        <v>12.5</v>
      </c>
      <c r="H579" t="s">
        <v>247</v>
      </c>
    </row>
    <row r="580" spans="1:12" x14ac:dyDescent="0.25">
      <c r="A580" s="1">
        <f t="shared" si="25"/>
        <v>45497</v>
      </c>
      <c r="B580" s="31">
        <f>TIME(20,50,0)</f>
        <v>0.86805555555555547</v>
      </c>
      <c r="C580" t="str">
        <f>Inventory!A87</f>
        <v>Ajab 2kg</v>
      </c>
      <c r="D580" s="27">
        <v>1</v>
      </c>
      <c r="E580" s="5">
        <f>Table4[[#This Row],[qty]]*(VLOOKUP(Table4[[#This Row],[item_sold]],Table6[],4,FALSE))</f>
        <v>220</v>
      </c>
      <c r="F580" s="5">
        <f>(VLOOKUP(Table4[[#This Row],[item_sold]],Table6[],3,FALSE))*Table4[[#This Row],[qty]]</f>
        <v>175</v>
      </c>
      <c r="G580" s="5">
        <f t="shared" si="27"/>
        <v>45</v>
      </c>
      <c r="H580" t="s">
        <v>359</v>
      </c>
      <c r="I580" t="s">
        <v>385</v>
      </c>
    </row>
    <row r="581" spans="1:12" x14ac:dyDescent="0.25">
      <c r="A581" s="1">
        <f t="shared" si="25"/>
        <v>45497</v>
      </c>
      <c r="B581" s="31">
        <f>TIME(20,50,0)</f>
        <v>0.86805555555555547</v>
      </c>
      <c r="C581" t="str">
        <f>Inventory!A123</f>
        <v>Mt Kenya milk 200ml</v>
      </c>
      <c r="D581" s="27">
        <v>1</v>
      </c>
      <c r="E581" s="5">
        <f>Table4[[#This Row],[qty]]*(VLOOKUP(Table4[[#This Row],[item_sold]],Table6[],4,FALSE))</f>
        <v>35</v>
      </c>
      <c r="F581" s="5">
        <f>(VLOOKUP(Table4[[#This Row],[item_sold]],Table6[],3,FALSE))*Table4[[#This Row],[qty]]</f>
        <v>24.285714285714285</v>
      </c>
      <c r="G581" s="5">
        <f t="shared" si="27"/>
        <v>10.714285714285715</v>
      </c>
      <c r="H581" t="s">
        <v>359</v>
      </c>
      <c r="I581" t="s">
        <v>385</v>
      </c>
    </row>
    <row r="582" spans="1:12" x14ac:dyDescent="0.25">
      <c r="A582" s="1">
        <f t="shared" si="25"/>
        <v>45497</v>
      </c>
      <c r="B582" s="31">
        <f>TIME(20,50,0)</f>
        <v>0.86805555555555547</v>
      </c>
      <c r="C582" t="str">
        <f>Inventory!A22</f>
        <v>Brookside Lala Sweetened</v>
      </c>
      <c r="D582" s="27">
        <v>1</v>
      </c>
      <c r="E582" s="5">
        <f>Table4[[#This Row],[qty]]*(VLOOKUP(Table4[[#This Row],[item_sold]],Table6[],4,FALSE))</f>
        <v>110</v>
      </c>
      <c r="F582" s="5">
        <f>(VLOOKUP(Table4[[#This Row],[item_sold]],Table6[],3,FALSE))*Table4[[#This Row],[qty]]</f>
        <v>93</v>
      </c>
      <c r="G582" s="5">
        <f t="shared" si="27"/>
        <v>17</v>
      </c>
      <c r="H582" t="s">
        <v>359</v>
      </c>
      <c r="I582" t="s">
        <v>385</v>
      </c>
    </row>
    <row r="583" spans="1:12" x14ac:dyDescent="0.25">
      <c r="A583" s="1">
        <f>DATE(2024,7,25)</f>
        <v>45498</v>
      </c>
      <c r="B583" s="31">
        <f>TIME(9,7,0)</f>
        <v>0.37986111111111115</v>
      </c>
      <c r="C583" t="str">
        <f>Inventory!A122</f>
        <v>Kinangop Fresh Milk 500ml</v>
      </c>
      <c r="D583" s="27">
        <v>1</v>
      </c>
      <c r="E583" s="5">
        <f>Table4[[#This Row],[qty]]*(VLOOKUP(Table4[[#This Row],[item_sold]],Table6[],4,FALSE))</f>
        <v>60</v>
      </c>
      <c r="F583" s="5">
        <f>(VLOOKUP(Table4[[#This Row],[item_sold]],Table6[],3,FALSE))*Table4[[#This Row],[qty]]</f>
        <v>55</v>
      </c>
      <c r="G583" s="5">
        <f t="shared" si="27"/>
        <v>5</v>
      </c>
      <c r="H583" t="s">
        <v>359</v>
      </c>
      <c r="I583" t="s">
        <v>385</v>
      </c>
    </row>
    <row r="584" spans="1:12" x14ac:dyDescent="0.25">
      <c r="A584" s="1">
        <f t="shared" ref="A584:A640" si="28">DATE(2024,7,25)</f>
        <v>45498</v>
      </c>
      <c r="B584" s="31">
        <f>TIME(9,7,0)</f>
        <v>0.37986111111111115</v>
      </c>
      <c r="C584" t="str">
        <f>Inventory!A29</f>
        <v>Tangawizi Tea 50g</v>
      </c>
      <c r="D584" s="27">
        <v>1</v>
      </c>
      <c r="E584" s="5">
        <f>Table4[[#This Row],[qty]]*(VLOOKUP(Table4[[#This Row],[item_sold]],Table6[],4,FALSE))</f>
        <v>35</v>
      </c>
      <c r="F584" s="5">
        <f>(VLOOKUP(Table4[[#This Row],[item_sold]],Table6[],3,FALSE))*Table4[[#This Row],[qty]]</f>
        <v>29.166666666666668</v>
      </c>
      <c r="G584" s="5">
        <f t="shared" si="27"/>
        <v>5.8333333333333321</v>
      </c>
      <c r="H584" t="s">
        <v>359</v>
      </c>
      <c r="I584" t="s">
        <v>385</v>
      </c>
    </row>
    <row r="585" spans="1:12" x14ac:dyDescent="0.25">
      <c r="A585" s="1">
        <f t="shared" si="28"/>
        <v>45498</v>
      </c>
      <c r="B585" s="31">
        <f>TIME(10,37,0)</f>
        <v>0.44236111111111115</v>
      </c>
      <c r="C585" t="str">
        <f>Inventory!A135</f>
        <v>Safaricom 20 Credit</v>
      </c>
      <c r="D585" s="27">
        <v>1</v>
      </c>
      <c r="E585" s="5">
        <f>Table4[[#This Row],[qty]]*(VLOOKUP(Table4[[#This Row],[item_sold]],Table6[],4,FALSE))</f>
        <v>20</v>
      </c>
      <c r="F585" s="5">
        <f>(VLOOKUP(Table4[[#This Row],[item_sold]],Table6[],3,FALSE))*Table4[[#This Row],[qty]]</f>
        <v>18</v>
      </c>
      <c r="G585" s="5">
        <f t="shared" si="27"/>
        <v>2</v>
      </c>
      <c r="H585" t="s">
        <v>247</v>
      </c>
    </row>
    <row r="586" spans="1:12" x14ac:dyDescent="0.25">
      <c r="A586" s="1">
        <f t="shared" si="28"/>
        <v>45498</v>
      </c>
      <c r="B586" s="31">
        <f>TIME(11,24,0)</f>
        <v>0.47500000000000003</v>
      </c>
      <c r="C586" t="str">
        <f>Inventory!A109</f>
        <v>ariel 10g</v>
      </c>
      <c r="D586" s="27">
        <v>2</v>
      </c>
      <c r="E586" s="5">
        <f>Table4[[#This Row],[qty]]*(VLOOKUP(Table4[[#This Row],[item_sold]],Table6[],4,FALSE))</f>
        <v>30</v>
      </c>
      <c r="F586" s="5">
        <f>(VLOOKUP(Table4[[#This Row],[item_sold]],Table6[],3,FALSE))*Table4[[#This Row],[qty]]</f>
        <v>18.333333333333332</v>
      </c>
      <c r="G586" s="5">
        <f t="shared" si="27"/>
        <v>11.666666666666668</v>
      </c>
      <c r="H586" t="s">
        <v>247</v>
      </c>
    </row>
    <row r="587" spans="1:12" x14ac:dyDescent="0.25">
      <c r="A587" s="1">
        <f t="shared" si="28"/>
        <v>45498</v>
      </c>
      <c r="B587" s="31">
        <f>TIME(11,24,0)</f>
        <v>0.47500000000000003</v>
      </c>
      <c r="C587" t="str">
        <f>Inventory!A65</f>
        <v>Tropical</v>
      </c>
      <c r="D587" s="27">
        <v>1</v>
      </c>
      <c r="E587" s="5">
        <f>Table4[[#This Row],[qty]]*(VLOOKUP(Table4[[#This Row],[item_sold]],Table6[],4,FALSE))</f>
        <v>5</v>
      </c>
      <c r="F587" s="5">
        <f>(VLOOKUP(Table4[[#This Row],[item_sold]],Table6[],3,FALSE))*Table4[[#This Row],[qty]]</f>
        <v>1.5</v>
      </c>
      <c r="G587" s="5">
        <f t="shared" si="27"/>
        <v>3.5</v>
      </c>
      <c r="H587" t="s">
        <v>247</v>
      </c>
    </row>
    <row r="588" spans="1:12" x14ac:dyDescent="0.25">
      <c r="A588" s="1">
        <f t="shared" si="28"/>
        <v>45498</v>
      </c>
      <c r="B588" s="31">
        <f>TIME(11,56,0)</f>
        <v>0.49722222222222223</v>
      </c>
      <c r="C588" t="str">
        <f>Inventory!A107</f>
        <v>Jik</v>
      </c>
      <c r="D588" s="27">
        <v>1</v>
      </c>
      <c r="E588" s="5">
        <f>Table4[[#This Row],[qty]]*(VLOOKUP(Table4[[#This Row],[item_sold]],Table6[],4,FALSE))</f>
        <v>50</v>
      </c>
      <c r="F588" s="5">
        <f>(VLOOKUP(Table4[[#This Row],[item_sold]],Table6[],3,FALSE))*Table4[[#This Row],[qty]]</f>
        <v>38.333333333333336</v>
      </c>
      <c r="G588" s="5">
        <f t="shared" si="27"/>
        <v>11.666666666666664</v>
      </c>
      <c r="H588" t="s">
        <v>359</v>
      </c>
      <c r="I588" t="s">
        <v>384</v>
      </c>
    </row>
    <row r="589" spans="1:12" x14ac:dyDescent="0.25">
      <c r="A589" s="1">
        <f t="shared" si="28"/>
        <v>45498</v>
      </c>
      <c r="B589" s="31">
        <f>TIME(11,56,0)</f>
        <v>0.49722222222222223</v>
      </c>
      <c r="C589" t="str">
        <f>Inventory!A110</f>
        <v>omo 75g</v>
      </c>
      <c r="D589" s="27">
        <v>1</v>
      </c>
      <c r="E589" s="5">
        <f>Table4[[#This Row],[qty]]*(VLOOKUP(Table4[[#This Row],[item_sold]],Table6[],4,FALSE))</f>
        <v>35</v>
      </c>
      <c r="F589" s="5">
        <f>(VLOOKUP(Table4[[#This Row],[item_sold]],Table6[],3,FALSE))*Table4[[#This Row],[qty]]</f>
        <v>27.5</v>
      </c>
      <c r="G589" s="5">
        <f t="shared" si="27"/>
        <v>7.5</v>
      </c>
      <c r="H589" t="s">
        <v>359</v>
      </c>
      <c r="I589" t="s">
        <v>384</v>
      </c>
    </row>
    <row r="590" spans="1:12" x14ac:dyDescent="0.25">
      <c r="A590" s="1">
        <f t="shared" si="28"/>
        <v>45498</v>
      </c>
      <c r="B590" s="31">
        <f>TIME(12,51,0)</f>
        <v>0.53541666666666665</v>
      </c>
      <c r="D590" s="27"/>
      <c r="F590" s="5"/>
      <c r="J590" t="s">
        <v>404</v>
      </c>
      <c r="K590">
        <v>1915</v>
      </c>
      <c r="L590" t="s">
        <v>361</v>
      </c>
    </row>
    <row r="591" spans="1:12" x14ac:dyDescent="0.25">
      <c r="A591" s="1">
        <f t="shared" si="28"/>
        <v>45498</v>
      </c>
      <c r="B591" s="31">
        <f t="shared" ref="B591:B596" si="29">TIME(13,38,0)</f>
        <v>0.56805555555555554</v>
      </c>
      <c r="C591" t="str">
        <f>Inventory!A14</f>
        <v>soda 500ml glass</v>
      </c>
      <c r="D591" s="27">
        <v>1</v>
      </c>
      <c r="E591" s="5">
        <f>Table4[[#This Row],[qty]]*(VLOOKUP(Table4[[#This Row],[item_sold]],Table6[],4,FALSE))</f>
        <v>55</v>
      </c>
      <c r="F591" s="5">
        <f>(VLOOKUP(Table4[[#This Row],[item_sold]],Table6[],3,FALSE))*Table4[[#This Row],[qty]]</f>
        <v>50</v>
      </c>
      <c r="G591" s="5">
        <f t="shared" si="27"/>
        <v>5</v>
      </c>
      <c r="H591" t="s">
        <v>247</v>
      </c>
    </row>
    <row r="592" spans="1:12" x14ac:dyDescent="0.25">
      <c r="A592" s="1">
        <f t="shared" si="28"/>
        <v>45498</v>
      </c>
      <c r="B592" s="31">
        <f t="shared" si="29"/>
        <v>0.56805555555555554</v>
      </c>
      <c r="C592" t="str">
        <f>Inventory!A171</f>
        <v>Coconut Cakes</v>
      </c>
      <c r="D592" s="27">
        <v>1</v>
      </c>
      <c r="E592" s="5">
        <f>Table4[[#This Row],[qty]]*(VLOOKUP(Table4[[#This Row],[item_sold]],Table6[],4,FALSE))</f>
        <v>10</v>
      </c>
      <c r="F592" s="5">
        <f>(VLOOKUP(Table4[[#This Row],[item_sold]],Table6[],3,FALSE))*Table4[[#This Row],[qty]]</f>
        <v>8.3333333333333339</v>
      </c>
      <c r="G592" s="5">
        <f t="shared" si="27"/>
        <v>1.6666666666666661</v>
      </c>
      <c r="H592" t="s">
        <v>247</v>
      </c>
    </row>
    <row r="593" spans="1:9" x14ac:dyDescent="0.25">
      <c r="A593" s="1">
        <f t="shared" si="28"/>
        <v>45498</v>
      </c>
      <c r="B593" s="31">
        <f t="shared" si="29"/>
        <v>0.56805555555555554</v>
      </c>
      <c r="C593" t="str">
        <f>Inventory!A47</f>
        <v>Lemon Bisquit</v>
      </c>
      <c r="D593" s="27">
        <v>1</v>
      </c>
      <c r="E593" s="5">
        <f>Table4[[#This Row],[qty]]*(VLOOKUP(Table4[[#This Row],[item_sold]],Table6[],4,FALSE))</f>
        <v>5</v>
      </c>
      <c r="F593" s="5">
        <f>(VLOOKUP(Table4[[#This Row],[item_sold]],Table6[],3,FALSE))*Table4[[#This Row],[qty]]</f>
        <v>4.333333333333333</v>
      </c>
      <c r="G593" s="5">
        <f t="shared" si="27"/>
        <v>0.66666666666666696</v>
      </c>
      <c r="H593" t="s">
        <v>247</v>
      </c>
    </row>
    <row r="594" spans="1:9" x14ac:dyDescent="0.25">
      <c r="A594" s="1">
        <f t="shared" si="28"/>
        <v>45498</v>
      </c>
      <c r="B594" s="31">
        <f t="shared" si="29"/>
        <v>0.56805555555555554</v>
      </c>
      <c r="C594" t="str">
        <f>Inventory!A14</f>
        <v>soda 500ml glass</v>
      </c>
      <c r="D594" s="27">
        <v>1</v>
      </c>
      <c r="E594" s="5">
        <f>Table4[[#This Row],[qty]]*(VLOOKUP(Table4[[#This Row],[item_sold]],Table6[],4,FALSE))</f>
        <v>55</v>
      </c>
      <c r="F594" s="5">
        <f>(VLOOKUP(Table4[[#This Row],[item_sold]],Table6[],3,FALSE))*Table4[[#This Row],[qty]]</f>
        <v>50</v>
      </c>
      <c r="G594" s="5">
        <f t="shared" si="27"/>
        <v>5</v>
      </c>
      <c r="H594" t="s">
        <v>361</v>
      </c>
    </row>
    <row r="595" spans="1:9" x14ac:dyDescent="0.25">
      <c r="A595" s="1">
        <f t="shared" si="28"/>
        <v>45498</v>
      </c>
      <c r="B595" s="31">
        <f t="shared" si="29"/>
        <v>0.56805555555555554</v>
      </c>
      <c r="C595" t="str">
        <f>Inventory!A48</f>
        <v>Ginger Bisquit</v>
      </c>
      <c r="D595" s="27">
        <v>2</v>
      </c>
      <c r="E595" s="5">
        <f>Table4[[#This Row],[qty]]*(VLOOKUP(Table4[[#This Row],[item_sold]],Table6[],4,FALSE))</f>
        <v>10</v>
      </c>
      <c r="F595" s="5">
        <f>(VLOOKUP(Table4[[#This Row],[item_sold]],Table6[],3,FALSE))*Table4[[#This Row],[qty]]</f>
        <v>8.6666666666666661</v>
      </c>
      <c r="G595" s="5">
        <f t="shared" si="27"/>
        <v>1.3333333333333339</v>
      </c>
      <c r="H595" t="s">
        <v>361</v>
      </c>
    </row>
    <row r="596" spans="1:9" x14ac:dyDescent="0.25">
      <c r="A596" s="1">
        <f t="shared" si="28"/>
        <v>45498</v>
      </c>
      <c r="B596" s="31">
        <f t="shared" si="29"/>
        <v>0.56805555555555554</v>
      </c>
      <c r="C596" t="str">
        <f>Inventory!A46</f>
        <v>Nuvita Bisquit</v>
      </c>
      <c r="D596" s="27">
        <v>1</v>
      </c>
      <c r="E596" s="5">
        <f>Table4[[#This Row],[qty]]*(VLOOKUP(Table4[[#This Row],[item_sold]],Table6[],4,FALSE))</f>
        <v>5</v>
      </c>
      <c r="F596" s="5">
        <f>(VLOOKUP(Table4[[#This Row],[item_sold]],Table6[],3,FALSE))*Table4[[#This Row],[qty]]</f>
        <v>4.166666666666667</v>
      </c>
      <c r="G596" s="5">
        <f t="shared" si="27"/>
        <v>0.83333333333333304</v>
      </c>
      <c r="H596" t="s">
        <v>247</v>
      </c>
    </row>
    <row r="597" spans="1:9" x14ac:dyDescent="0.25">
      <c r="A597" s="1">
        <f t="shared" si="28"/>
        <v>45498</v>
      </c>
      <c r="B597" s="31">
        <f>TIME(13,47,0)</f>
        <v>0.57430555555555551</v>
      </c>
      <c r="C597" t="str">
        <f>Inventory!A71</f>
        <v>Indomie chicken</v>
      </c>
      <c r="D597" s="27">
        <v>3</v>
      </c>
      <c r="E597" s="5">
        <f>Table4[[#This Row],[qty]]*(VLOOKUP(Table4[[#This Row],[item_sold]],Table6[],4,FALSE))</f>
        <v>150</v>
      </c>
      <c r="F597" s="5">
        <f>(VLOOKUP(Table4[[#This Row],[item_sold]],Table6[],3,FALSE))*Table4[[#This Row],[qty]]</f>
        <v>112.5</v>
      </c>
      <c r="G597" s="5">
        <f t="shared" si="27"/>
        <v>37.5</v>
      </c>
      <c r="H597" t="s">
        <v>359</v>
      </c>
      <c r="I597" t="s">
        <v>394</v>
      </c>
    </row>
    <row r="598" spans="1:9" x14ac:dyDescent="0.25">
      <c r="A598" s="1">
        <f t="shared" si="28"/>
        <v>45498</v>
      </c>
      <c r="B598" s="31">
        <f>TIME(13,47,0)</f>
        <v>0.57430555555555551</v>
      </c>
      <c r="C598" t="str">
        <f>Inventory!A81</f>
        <v>eggs</v>
      </c>
      <c r="D598" s="27">
        <v>3</v>
      </c>
      <c r="E598" s="5">
        <f>Table4[[#This Row],[qty]]*(VLOOKUP(Table4[[#This Row],[item_sold]],Table6[],4,FALSE))</f>
        <v>60</v>
      </c>
      <c r="F598" s="5">
        <f>(VLOOKUP(Table4[[#This Row],[item_sold]],Table6[],3,FALSE))*Table4[[#This Row],[qty]]</f>
        <v>43</v>
      </c>
      <c r="G598" s="5">
        <f t="shared" si="27"/>
        <v>17</v>
      </c>
      <c r="H598" t="s">
        <v>359</v>
      </c>
      <c r="I598" t="s">
        <v>394</v>
      </c>
    </row>
    <row r="599" spans="1:9" x14ac:dyDescent="0.25">
      <c r="A599" s="1">
        <f t="shared" si="28"/>
        <v>45498</v>
      </c>
      <c r="B599" s="31">
        <f>TIME(14,35,0)</f>
        <v>0.60763888888888895</v>
      </c>
      <c r="C599" t="str">
        <f>Inventory!A154</f>
        <v>waru</v>
      </c>
      <c r="D599" s="27">
        <v>2</v>
      </c>
      <c r="E599" s="5">
        <f>Table4[[#This Row],[qty]]*(VLOOKUP(Table4[[#This Row],[item_sold]],Table6[],4,FALSE))</f>
        <v>100</v>
      </c>
      <c r="F599" s="5">
        <f>(VLOOKUP(Table4[[#This Row],[item_sold]],Table6[],3,FALSE))*Table4[[#This Row],[qty]]</f>
        <v>59.999999999999993</v>
      </c>
      <c r="G599" s="5">
        <f t="shared" si="27"/>
        <v>40.000000000000007</v>
      </c>
      <c r="H599" t="s">
        <v>359</v>
      </c>
      <c r="I599" t="s">
        <v>385</v>
      </c>
    </row>
    <row r="600" spans="1:9" x14ac:dyDescent="0.25">
      <c r="A600" s="1">
        <f t="shared" si="28"/>
        <v>45498</v>
      </c>
      <c r="B600" s="31">
        <f>TIME(14,35,0)</f>
        <v>0.60763888888888895</v>
      </c>
      <c r="C600" t="str">
        <f>Inventory!A153</f>
        <v>Pishori rice</v>
      </c>
      <c r="D600" s="27">
        <v>1</v>
      </c>
      <c r="E600" s="5">
        <f>Table4[[#This Row],[qty]]*(VLOOKUP(Table4[[#This Row],[item_sold]],Table6[],4,FALSE))</f>
        <v>220</v>
      </c>
      <c r="F600" s="5">
        <f>(VLOOKUP(Table4[[#This Row],[item_sold]],Table6[],3,FALSE))*Table4[[#This Row],[qty]]</f>
        <v>180</v>
      </c>
      <c r="G600" s="5">
        <f t="shared" si="27"/>
        <v>40</v>
      </c>
      <c r="H600" t="s">
        <v>359</v>
      </c>
      <c r="I600" t="s">
        <v>385</v>
      </c>
    </row>
    <row r="601" spans="1:9" x14ac:dyDescent="0.25">
      <c r="A601" s="1">
        <f t="shared" si="28"/>
        <v>45498</v>
      </c>
      <c r="B601" s="31">
        <f>TIME(15,3,0)</f>
        <v>0.62708333333333333</v>
      </c>
      <c r="C601" t="str">
        <f>Inventory!A81</f>
        <v>eggs</v>
      </c>
      <c r="D601" s="27">
        <v>2</v>
      </c>
      <c r="E601" s="5">
        <f>Table4[[#This Row],[qty]]*(VLOOKUP(Table4[[#This Row],[item_sold]],Table6[],4,FALSE))</f>
        <v>40</v>
      </c>
      <c r="F601" s="5">
        <f>(VLOOKUP(Table4[[#This Row],[item_sold]],Table6[],3,FALSE))*Table4[[#This Row],[qty]]</f>
        <v>28.666666666666668</v>
      </c>
      <c r="G601" s="5">
        <f t="shared" si="27"/>
        <v>11.333333333333332</v>
      </c>
      <c r="H601" t="s">
        <v>361</v>
      </c>
    </row>
    <row r="602" spans="1:9" x14ac:dyDescent="0.25">
      <c r="A602" s="1">
        <f t="shared" si="28"/>
        <v>45498</v>
      </c>
      <c r="B602" s="31">
        <f>TIME(15,3,0)</f>
        <v>0.62708333333333333</v>
      </c>
      <c r="C602" t="str">
        <f>Inventory!A171</f>
        <v>Coconut Cakes</v>
      </c>
      <c r="D602" s="27">
        <v>1</v>
      </c>
      <c r="E602" s="5">
        <f>Table4[[#This Row],[qty]]*(VLOOKUP(Table4[[#This Row],[item_sold]],Table6[],4,FALSE))</f>
        <v>10</v>
      </c>
      <c r="F602" s="5">
        <f>(VLOOKUP(Table4[[#This Row],[item_sold]],Table6[],3,FALSE))*Table4[[#This Row],[qty]]</f>
        <v>8.3333333333333339</v>
      </c>
      <c r="G602" s="5">
        <f t="shared" si="27"/>
        <v>1.6666666666666661</v>
      </c>
      <c r="H602" t="s">
        <v>361</v>
      </c>
    </row>
    <row r="603" spans="1:9" x14ac:dyDescent="0.25">
      <c r="A603" s="1">
        <f t="shared" si="28"/>
        <v>45498</v>
      </c>
      <c r="B603" s="31">
        <f>TIME(15,7,0)</f>
        <v>0.62986111111111109</v>
      </c>
      <c r="C603" t="str">
        <f>Inventory!A13</f>
        <v>soda 300ml glass</v>
      </c>
      <c r="D603" s="27">
        <v>1</v>
      </c>
      <c r="E603" s="5">
        <f>Table4[[#This Row],[qty]]*(VLOOKUP(Table4[[#This Row],[item_sold]],Table6[],4,FALSE))</f>
        <v>40</v>
      </c>
      <c r="F603" s="5">
        <f>(VLOOKUP(Table4[[#This Row],[item_sold]],Table6[],3,FALSE))*Table4[[#This Row],[qty]]</f>
        <v>32.5</v>
      </c>
      <c r="G603" s="5">
        <f t="shared" si="27"/>
        <v>7.5</v>
      </c>
      <c r="H603" t="s">
        <v>361</v>
      </c>
    </row>
    <row r="604" spans="1:9" x14ac:dyDescent="0.25">
      <c r="A604" s="1">
        <f t="shared" si="28"/>
        <v>45498</v>
      </c>
      <c r="B604" s="31">
        <f>TIME(15,7,0)</f>
        <v>0.62986111111111109</v>
      </c>
      <c r="C604" t="str">
        <f>Inventory!A171</f>
        <v>Coconut Cakes</v>
      </c>
      <c r="D604" s="27">
        <v>1</v>
      </c>
      <c r="E604" s="5">
        <f>Table4[[#This Row],[qty]]*(VLOOKUP(Table4[[#This Row],[item_sold]],Table6[],4,FALSE))</f>
        <v>10</v>
      </c>
      <c r="F604" s="5">
        <f>(VLOOKUP(Table4[[#This Row],[item_sold]],Table6[],3,FALSE))*Table4[[#This Row],[qty]]</f>
        <v>8.3333333333333339</v>
      </c>
      <c r="G604" s="5">
        <f t="shared" ref="G604:G611" si="30">E604-F604</f>
        <v>1.6666666666666661</v>
      </c>
      <c r="H604" t="s">
        <v>361</v>
      </c>
    </row>
    <row r="605" spans="1:9" x14ac:dyDescent="0.25">
      <c r="A605" s="1">
        <f t="shared" si="28"/>
        <v>45498</v>
      </c>
      <c r="B605" s="31">
        <f>TIME(15,15,0)</f>
        <v>0.63541666666666663</v>
      </c>
      <c r="C605" t="str">
        <f>Inventory!A122</f>
        <v>Kinangop Fresh Milk 500ml</v>
      </c>
      <c r="D605" s="27">
        <v>3</v>
      </c>
      <c r="E605" s="5">
        <f>Table4[[#This Row],[qty]]*(VLOOKUP(Table4[[#This Row],[item_sold]],Table6[],4,FALSE))</f>
        <v>180</v>
      </c>
      <c r="F605" s="5">
        <f>(VLOOKUP(Table4[[#This Row],[item_sold]],Table6[],3,FALSE))*Table4[[#This Row],[qty]]</f>
        <v>165</v>
      </c>
      <c r="G605" s="5">
        <f t="shared" si="30"/>
        <v>15</v>
      </c>
      <c r="H605" t="s">
        <v>247</v>
      </c>
    </row>
    <row r="606" spans="1:9" x14ac:dyDescent="0.25">
      <c r="A606" s="1">
        <f t="shared" si="28"/>
        <v>45498</v>
      </c>
      <c r="B606" s="31">
        <f>TIME(15,15,0)</f>
        <v>0.63541666666666663</v>
      </c>
      <c r="C606" t="str">
        <f>Inventory!A134</f>
        <v>Baloon</v>
      </c>
      <c r="D606" s="27">
        <v>1</v>
      </c>
      <c r="E606" s="5">
        <f>Table4[[#This Row],[qty]]*(VLOOKUP(Table4[[#This Row],[item_sold]],Table6[],4,FALSE))</f>
        <v>10</v>
      </c>
      <c r="F606" s="5">
        <f>(VLOOKUP(Table4[[#This Row],[item_sold]],Table6[],3,FALSE))*Table4[[#This Row],[qty]]</f>
        <v>6</v>
      </c>
      <c r="G606" s="5">
        <f t="shared" si="30"/>
        <v>4</v>
      </c>
      <c r="H606" t="s">
        <v>247</v>
      </c>
    </row>
    <row r="607" spans="1:9" x14ac:dyDescent="0.25">
      <c r="A607" s="1">
        <f t="shared" si="28"/>
        <v>45498</v>
      </c>
      <c r="B607" s="31">
        <f>TIME(16,5,0)</f>
        <v>0.67013888888888884</v>
      </c>
      <c r="C607" t="str">
        <f>Inventory!A7</f>
        <v>soda 500ml plastic</v>
      </c>
      <c r="D607" s="27">
        <v>1</v>
      </c>
      <c r="E607" s="5">
        <f>Table4[[#This Row],[qty]]*(VLOOKUP(Table4[[#This Row],[item_sold]],Table6[],4,FALSE))</f>
        <v>70</v>
      </c>
      <c r="F607" s="5">
        <f>(VLOOKUP(Table4[[#This Row],[item_sold]],Table6[],3,FALSE))*Table4[[#This Row],[qty]]</f>
        <v>60.416666666666664</v>
      </c>
      <c r="G607" s="5">
        <f t="shared" si="30"/>
        <v>9.5833333333333357</v>
      </c>
      <c r="H607" t="s">
        <v>361</v>
      </c>
    </row>
    <row r="608" spans="1:9" x14ac:dyDescent="0.25">
      <c r="A608" s="1">
        <f t="shared" si="28"/>
        <v>45498</v>
      </c>
      <c r="B608" s="31">
        <f>TIME(16,5,0)</f>
        <v>0.67013888888888884</v>
      </c>
      <c r="C608" t="str">
        <f>Inventory!A31</f>
        <v>BB Bread 200g</v>
      </c>
      <c r="D608" s="27">
        <v>1</v>
      </c>
      <c r="E608" s="5">
        <f>Table4[[#This Row],[qty]]*(VLOOKUP(Table4[[#This Row],[item_sold]],Table6[],4,FALSE))</f>
        <v>40</v>
      </c>
      <c r="F608" s="5">
        <f>(VLOOKUP(Table4[[#This Row],[item_sold]],Table6[],3,FALSE))*Table4[[#This Row],[qty]]</f>
        <v>35</v>
      </c>
      <c r="G608" s="5">
        <f t="shared" si="30"/>
        <v>5</v>
      </c>
      <c r="H608" t="s">
        <v>361</v>
      </c>
    </row>
    <row r="609" spans="1:9" x14ac:dyDescent="0.25">
      <c r="A609" s="1">
        <f t="shared" si="28"/>
        <v>45498</v>
      </c>
      <c r="B609" s="31">
        <f>TIME(16,5,0)</f>
        <v>0.67013888888888884</v>
      </c>
      <c r="C609" t="str">
        <f>Inventory!A4</f>
        <v>300ml water</v>
      </c>
      <c r="D609" s="27">
        <v>1</v>
      </c>
      <c r="E609" s="5">
        <f>Table4[[#This Row],[qty]]*(VLOOKUP(Table4[[#This Row],[item_sold]],Table6[],4,FALSE))</f>
        <v>30</v>
      </c>
      <c r="F609" s="5">
        <f>(VLOOKUP(Table4[[#This Row],[item_sold]],Table6[],3,FALSE))*Table4[[#This Row],[qty]]</f>
        <v>12.5</v>
      </c>
      <c r="G609" s="5">
        <f t="shared" si="30"/>
        <v>17.5</v>
      </c>
      <c r="H609" t="s">
        <v>361</v>
      </c>
    </row>
    <row r="610" spans="1:9" x14ac:dyDescent="0.25">
      <c r="A610" s="1">
        <f t="shared" si="28"/>
        <v>45498</v>
      </c>
      <c r="B610" s="31">
        <f>TIME(16,47,0)</f>
        <v>0.69930555555555562</v>
      </c>
      <c r="C610" t="str">
        <f>Inventory!A81</f>
        <v>eggs</v>
      </c>
      <c r="D610" s="27">
        <v>10</v>
      </c>
      <c r="E610" s="5">
        <f>Table4[[#This Row],[qty]]*(VLOOKUP(Table4[[#This Row],[item_sold]],Table6[],4,FALSE))</f>
        <v>200</v>
      </c>
      <c r="F610" s="5">
        <f>(VLOOKUP(Table4[[#This Row],[item_sold]],Table6[],3,FALSE))*Table4[[#This Row],[qty]]</f>
        <v>143.33333333333334</v>
      </c>
      <c r="G610" s="5">
        <f t="shared" si="30"/>
        <v>56.666666666666657</v>
      </c>
      <c r="H610" t="s">
        <v>247</v>
      </c>
    </row>
    <row r="611" spans="1:9" x14ac:dyDescent="0.25">
      <c r="A611" s="1">
        <f t="shared" si="28"/>
        <v>45498</v>
      </c>
      <c r="B611" s="31">
        <f>TIME(16,47,0)</f>
        <v>0.69930555555555562</v>
      </c>
      <c r="C611" t="str">
        <f>Inventory!A32</f>
        <v>Festive 600g</v>
      </c>
      <c r="D611" s="27">
        <v>1</v>
      </c>
      <c r="E611" s="5">
        <f>Table4[[#This Row],[qty]]*(VLOOKUP(Table4[[#This Row],[item_sold]],Table6[],4,FALSE))</f>
        <v>100</v>
      </c>
      <c r="F611" s="5">
        <f>(VLOOKUP(Table4[[#This Row],[item_sold]],Table6[],3,FALSE))*Table4[[#This Row],[qty]]</f>
        <v>90</v>
      </c>
      <c r="G611" s="5">
        <f t="shared" si="30"/>
        <v>10</v>
      </c>
      <c r="H611" t="s">
        <v>247</v>
      </c>
    </row>
    <row r="612" spans="1:9" x14ac:dyDescent="0.25">
      <c r="A612" s="1">
        <f t="shared" si="28"/>
        <v>45498</v>
      </c>
      <c r="B612" s="31">
        <f>TIME(16,49,0)</f>
        <v>0.7006944444444444</v>
      </c>
      <c r="C612" t="str">
        <f>Inventory!A32</f>
        <v>Festive 600g</v>
      </c>
      <c r="D612" s="27">
        <v>1</v>
      </c>
      <c r="E612" s="5">
        <f>Table4[[#This Row],[qty]]*(VLOOKUP(Table4[[#This Row],[item_sold]],Table6[],4,FALSE))</f>
        <v>100</v>
      </c>
      <c r="F612" s="5">
        <f>(VLOOKUP(Table4[[#This Row],[item_sold]],Table6[],3,FALSE))*Table4[[#This Row],[qty]]</f>
        <v>90</v>
      </c>
      <c r="G612" s="5">
        <f t="shared" ref="G612:G640" si="31">E612-F612</f>
        <v>10</v>
      </c>
      <c r="H612" t="s">
        <v>247</v>
      </c>
    </row>
    <row r="613" spans="1:9" x14ac:dyDescent="0.25">
      <c r="A613" s="1">
        <f t="shared" si="28"/>
        <v>45498</v>
      </c>
      <c r="B613" s="31">
        <f>TIME(17,24,0)</f>
        <v>0.72499999999999998</v>
      </c>
      <c r="C613" t="str">
        <f>Inventory!A61</f>
        <v>Bigdaddy</v>
      </c>
      <c r="D613" s="27">
        <v>3</v>
      </c>
      <c r="E613" s="5">
        <f>Table4[[#This Row],[qty]]*(VLOOKUP(Table4[[#This Row],[item_sold]],Table6[],4,FALSE))</f>
        <v>30</v>
      </c>
      <c r="F613" s="5">
        <f>(VLOOKUP(Table4[[#This Row],[item_sold]],Table6[],3,FALSE))*Table4[[#This Row],[qty]]</f>
        <v>18</v>
      </c>
      <c r="G613" s="5">
        <f t="shared" si="31"/>
        <v>12</v>
      </c>
      <c r="H613" t="s">
        <v>359</v>
      </c>
      <c r="I613" t="s">
        <v>408</v>
      </c>
    </row>
    <row r="614" spans="1:9" x14ac:dyDescent="0.25">
      <c r="A614" s="1">
        <f t="shared" si="28"/>
        <v>45498</v>
      </c>
      <c r="B614" s="31">
        <f>TIME(17,58,0)</f>
        <v>0.74861111111111101</v>
      </c>
      <c r="C614" t="str">
        <f>Inventory!A148</f>
        <v>Cabbage</v>
      </c>
      <c r="D614" s="27">
        <v>1</v>
      </c>
      <c r="E614" s="5">
        <f>Table4[[#This Row],[qty]]*(VLOOKUP(Table4[[#This Row],[item_sold]],Table6[],4,FALSE))</f>
        <v>180</v>
      </c>
      <c r="F614" s="5">
        <f>(VLOOKUP(Table4[[#This Row],[item_sold]],Table6[],3,FALSE))*Table4[[#This Row],[qty]]</f>
        <v>120</v>
      </c>
      <c r="G614" s="5">
        <f t="shared" si="31"/>
        <v>60</v>
      </c>
      <c r="H614" t="s">
        <v>361</v>
      </c>
    </row>
    <row r="615" spans="1:9" x14ac:dyDescent="0.25">
      <c r="A615" s="1">
        <f t="shared" si="28"/>
        <v>45498</v>
      </c>
      <c r="B615" s="31">
        <f>TIME(17,58,0)</f>
        <v>0.74861111111111101</v>
      </c>
      <c r="C615" t="str">
        <f>Inventory!A36</f>
        <v>Tamu  Tamu Green</v>
      </c>
      <c r="D615" s="27">
        <v>3</v>
      </c>
      <c r="E615" s="5">
        <f>Table4[[#This Row],[qty]]*(VLOOKUP(Table4[[#This Row],[item_sold]],Table6[],4,FALSE))</f>
        <v>45</v>
      </c>
      <c r="F615" s="5">
        <f>(VLOOKUP(Table4[[#This Row],[item_sold]],Table6[],3,FALSE))*Table4[[#This Row],[qty]]</f>
        <v>25.799999999999997</v>
      </c>
      <c r="G615" s="5">
        <f t="shared" si="31"/>
        <v>19.200000000000003</v>
      </c>
      <c r="H615" t="s">
        <v>361</v>
      </c>
    </row>
    <row r="616" spans="1:9" x14ac:dyDescent="0.25">
      <c r="A616" s="1">
        <f t="shared" si="28"/>
        <v>45498</v>
      </c>
      <c r="B616" s="31">
        <f>TIME(17,58,0)</f>
        <v>0.74861111111111101</v>
      </c>
      <c r="C616" t="str">
        <f>Inventory!A58</f>
        <v>Patco</v>
      </c>
      <c r="D616" s="27">
        <v>8</v>
      </c>
      <c r="E616" s="5">
        <f>Table4[[#This Row],[qty]]*(VLOOKUP(Table4[[#This Row],[item_sold]],Table6[],4,FALSE))</f>
        <v>20</v>
      </c>
      <c r="F616" s="5">
        <f>(VLOOKUP(Table4[[#This Row],[item_sold]],Table6[],3,FALSE))*Table4[[#This Row],[qty]]</f>
        <v>9.6</v>
      </c>
      <c r="G616" s="5">
        <f t="shared" si="31"/>
        <v>10.4</v>
      </c>
      <c r="H616" t="s">
        <v>361</v>
      </c>
    </row>
    <row r="617" spans="1:9" x14ac:dyDescent="0.25">
      <c r="A617" s="1">
        <f t="shared" si="28"/>
        <v>45498</v>
      </c>
      <c r="B617" s="31">
        <f>TIME(17,58,0)</f>
        <v>0.74861111111111101</v>
      </c>
      <c r="C617" t="str">
        <f>Inventory!A61</f>
        <v>Bigdaddy</v>
      </c>
      <c r="D617" s="27">
        <v>1</v>
      </c>
      <c r="E617" s="5">
        <f>Table4[[#This Row],[qty]]*(VLOOKUP(Table4[[#This Row],[item_sold]],Table6[],4,FALSE))</f>
        <v>10</v>
      </c>
      <c r="F617" s="5">
        <f>(VLOOKUP(Table4[[#This Row],[item_sold]],Table6[],3,FALSE))*Table4[[#This Row],[qty]]</f>
        <v>6</v>
      </c>
      <c r="G617" s="5">
        <f t="shared" si="31"/>
        <v>4</v>
      </c>
      <c r="H617" t="s">
        <v>361</v>
      </c>
    </row>
    <row r="618" spans="1:9" x14ac:dyDescent="0.25">
      <c r="A618" s="1">
        <f t="shared" si="28"/>
        <v>45498</v>
      </c>
      <c r="B618" s="31">
        <f>TIME(17,58,0)</f>
        <v>0.74861111111111101</v>
      </c>
      <c r="C618" t="str">
        <f>Inventory!A125</f>
        <v>Dhania</v>
      </c>
      <c r="D618" s="27">
        <v>9</v>
      </c>
      <c r="E618" s="5">
        <f>Table4[[#This Row],[qty]]*(VLOOKUP(Table4[[#This Row],[item_sold]],Table6[],4,FALSE))</f>
        <v>45</v>
      </c>
      <c r="F618" s="5">
        <f>(VLOOKUP(Table4[[#This Row],[item_sold]],Table6[],3,FALSE))*Table4[[#This Row],[qty]]</f>
        <v>30</v>
      </c>
      <c r="G618" s="5">
        <f t="shared" si="31"/>
        <v>15</v>
      </c>
      <c r="H618" t="s">
        <v>361</v>
      </c>
    </row>
    <row r="619" spans="1:9" x14ac:dyDescent="0.25">
      <c r="A619" s="1">
        <f t="shared" si="28"/>
        <v>45498</v>
      </c>
      <c r="B619" s="31">
        <f>TIME(18,3,0)</f>
        <v>0.75208333333333333</v>
      </c>
      <c r="C619" t="str">
        <f>Inventory!A30</f>
        <v>BB Bread 400g</v>
      </c>
      <c r="D619" s="27">
        <v>1</v>
      </c>
      <c r="E619" s="5">
        <f>Table4[[#This Row],[qty]]*(VLOOKUP(Table4[[#This Row],[item_sold]],Table6[],4,FALSE))</f>
        <v>65</v>
      </c>
      <c r="F619" s="5">
        <f>(VLOOKUP(Table4[[#This Row],[item_sold]],Table6[],3,FALSE))*Table4[[#This Row],[qty]]</f>
        <v>60</v>
      </c>
      <c r="G619" s="5">
        <f t="shared" si="31"/>
        <v>5</v>
      </c>
      <c r="H619" t="s">
        <v>247</v>
      </c>
    </row>
    <row r="620" spans="1:9" x14ac:dyDescent="0.25">
      <c r="A620" s="1">
        <f t="shared" si="28"/>
        <v>45498</v>
      </c>
      <c r="B620" s="31">
        <f>TIME(18,3,0)</f>
        <v>0.75208333333333333</v>
      </c>
      <c r="C620" t="str">
        <f>Inventory!A162</f>
        <v>Match Box</v>
      </c>
      <c r="D620" s="27">
        <v>1</v>
      </c>
      <c r="E620" s="5">
        <f>Table4[[#This Row],[qty]]*(VLOOKUP(Table4[[#This Row],[item_sold]],Table6[],4,FALSE))</f>
        <v>5</v>
      </c>
      <c r="F620" s="5">
        <f>(VLOOKUP(Table4[[#This Row],[item_sold]],Table6[],3,FALSE))*Table4[[#This Row],[qty]]</f>
        <v>2.3611111111111112</v>
      </c>
      <c r="G620" s="5">
        <f t="shared" si="31"/>
        <v>2.6388888888888888</v>
      </c>
      <c r="H620" t="s">
        <v>247</v>
      </c>
    </row>
    <row r="621" spans="1:9" x14ac:dyDescent="0.25">
      <c r="A621" s="1">
        <f t="shared" si="28"/>
        <v>45498</v>
      </c>
      <c r="B621" s="31">
        <f>TIME(18,3,0)</f>
        <v>0.75208333333333333</v>
      </c>
      <c r="C621" t="str">
        <f>Inventory!A120</f>
        <v>Icepop</v>
      </c>
      <c r="D621" s="27">
        <v>1</v>
      </c>
      <c r="E621" s="5">
        <f>Table4[[#This Row],[qty]]*(VLOOKUP(Table4[[#This Row],[item_sold]],Table6[],4,FALSE))</f>
        <v>15</v>
      </c>
      <c r="F621" s="5">
        <f>(VLOOKUP(Table4[[#This Row],[item_sold]],Table6[],3,FALSE))*Table4[[#This Row],[qty]]</f>
        <v>7.5</v>
      </c>
      <c r="G621" s="5">
        <f t="shared" si="31"/>
        <v>7.5</v>
      </c>
      <c r="H621" t="s">
        <v>247</v>
      </c>
    </row>
    <row r="622" spans="1:9" x14ac:dyDescent="0.25">
      <c r="A622" s="1">
        <f t="shared" si="28"/>
        <v>45498</v>
      </c>
      <c r="B622" s="31">
        <f>TIME(18,13,0)</f>
        <v>0.75902777777777775</v>
      </c>
      <c r="C622" t="str">
        <f>Inventory!A42</f>
        <v>Njugu</v>
      </c>
      <c r="D622" s="27">
        <v>1</v>
      </c>
      <c r="E622" s="5">
        <f>Table4[[#This Row],[qty]]*(VLOOKUP(Table4[[#This Row],[item_sold]],Table6[],4,FALSE))</f>
        <v>20</v>
      </c>
      <c r="F622" s="5">
        <f>(VLOOKUP(Table4[[#This Row],[item_sold]],Table6[],3,FALSE))*Table4[[#This Row],[qty]]</f>
        <v>10.666666666666666</v>
      </c>
      <c r="G622" s="5">
        <f t="shared" si="31"/>
        <v>9.3333333333333339</v>
      </c>
      <c r="H622" t="s">
        <v>247</v>
      </c>
    </row>
    <row r="623" spans="1:9" x14ac:dyDescent="0.25">
      <c r="A623" s="1">
        <f t="shared" si="28"/>
        <v>45498</v>
      </c>
      <c r="B623" s="31">
        <f>TIME(18,28,0)</f>
        <v>0.76944444444444438</v>
      </c>
      <c r="C623" t="str">
        <f>Inventory!A40</f>
        <v>Glucose 10g</v>
      </c>
      <c r="D623" s="27">
        <v>1</v>
      </c>
      <c r="E623" s="5">
        <f>Table4[[#This Row],[qty]]*(VLOOKUP(Table4[[#This Row],[item_sold]],Table6[],4,FALSE))</f>
        <v>5</v>
      </c>
      <c r="F623" s="5">
        <f>(VLOOKUP(Table4[[#This Row],[item_sold]],Table6[],3,FALSE))*Table4[[#This Row],[qty]]</f>
        <v>3.75</v>
      </c>
      <c r="G623" s="5">
        <f t="shared" si="31"/>
        <v>1.25</v>
      </c>
      <c r="H623" t="s">
        <v>247</v>
      </c>
    </row>
    <row r="624" spans="1:9" x14ac:dyDescent="0.25">
      <c r="A624" s="1">
        <f t="shared" si="28"/>
        <v>45498</v>
      </c>
      <c r="B624" s="31">
        <f>TIME(18,59,0)</f>
        <v>0.7909722222222223</v>
      </c>
      <c r="C624" t="str">
        <f>Inventory!A43</f>
        <v>Choc-chip Cookies</v>
      </c>
      <c r="D624" s="27">
        <v>1</v>
      </c>
      <c r="E624" s="5">
        <f>Table4[[#This Row],[qty]]*(VLOOKUP(Table4[[#This Row],[item_sold]],Table6[],4,FALSE))</f>
        <v>35</v>
      </c>
      <c r="F624" s="5">
        <f>(VLOOKUP(Table4[[#This Row],[item_sold]],Table6[],3,FALSE))*Table4[[#This Row],[qty]]</f>
        <v>25</v>
      </c>
      <c r="G624" s="5">
        <f t="shared" si="31"/>
        <v>10</v>
      </c>
      <c r="H624" t="s">
        <v>247</v>
      </c>
    </row>
    <row r="625" spans="1:9" x14ac:dyDescent="0.25">
      <c r="A625" s="1">
        <f t="shared" si="28"/>
        <v>45498</v>
      </c>
      <c r="B625" s="31">
        <f>TIME(19,13,0)</f>
        <v>0.80069444444444438</v>
      </c>
      <c r="C625" t="str">
        <f>Inventory!A118</f>
        <v>Panadol Extra</v>
      </c>
      <c r="D625" s="27">
        <v>1</v>
      </c>
      <c r="E625" s="5">
        <f>Table4[[#This Row],[qty]]*(VLOOKUP(Table4[[#This Row],[item_sold]],Table6[],4,FALSE))</f>
        <v>20</v>
      </c>
      <c r="F625" s="5">
        <f>(VLOOKUP(Table4[[#This Row],[item_sold]],Table6[],3,FALSE))*Table4[[#This Row],[qty]]</f>
        <v>13</v>
      </c>
      <c r="G625" s="5">
        <f t="shared" si="31"/>
        <v>7</v>
      </c>
      <c r="H625" t="s">
        <v>247</v>
      </c>
    </row>
    <row r="626" spans="1:9" x14ac:dyDescent="0.25">
      <c r="A626" s="1">
        <f t="shared" si="28"/>
        <v>45498</v>
      </c>
      <c r="B626" s="31">
        <f>TIME(19,16,0)</f>
        <v>0.8027777777777777</v>
      </c>
      <c r="C626" t="str">
        <f>Inventory!A154</f>
        <v>waru</v>
      </c>
      <c r="D626" s="27">
        <v>1</v>
      </c>
      <c r="E626" s="5">
        <f>Table4[[#This Row],[qty]]*(VLOOKUP(Table4[[#This Row],[item_sold]],Table6[],4,FALSE))</f>
        <v>50</v>
      </c>
      <c r="F626" s="5">
        <f>(VLOOKUP(Table4[[#This Row],[item_sold]],Table6[],3,FALSE))*Table4[[#This Row],[qty]]</f>
        <v>29.999999999999996</v>
      </c>
      <c r="G626" s="5">
        <f t="shared" si="31"/>
        <v>20.000000000000004</v>
      </c>
      <c r="H626" t="s">
        <v>361</v>
      </c>
    </row>
    <row r="627" spans="1:9" x14ac:dyDescent="0.25">
      <c r="A627" s="1">
        <f t="shared" si="28"/>
        <v>45498</v>
      </c>
      <c r="B627" s="31">
        <f>TIME(19,16,0)</f>
        <v>0.8027777777777777</v>
      </c>
      <c r="C627" t="str">
        <f>Inventory!A122</f>
        <v>Kinangop Fresh Milk 500ml</v>
      </c>
      <c r="D627" s="27">
        <v>1</v>
      </c>
      <c r="E627" s="5">
        <f>Table4[[#This Row],[qty]]*(VLOOKUP(Table4[[#This Row],[item_sold]],Table6[],4,FALSE))</f>
        <v>60</v>
      </c>
      <c r="F627" s="5">
        <f>(VLOOKUP(Table4[[#This Row],[item_sold]],Table6[],3,FALSE))*Table4[[#This Row],[qty]]</f>
        <v>55</v>
      </c>
      <c r="G627" s="5">
        <f t="shared" si="31"/>
        <v>5</v>
      </c>
      <c r="H627" t="s">
        <v>361</v>
      </c>
    </row>
    <row r="628" spans="1:9" x14ac:dyDescent="0.25">
      <c r="A628" s="1">
        <f t="shared" si="28"/>
        <v>45498</v>
      </c>
      <c r="B628" s="31">
        <f>TIME(19,32,0)</f>
        <v>0.81388888888888899</v>
      </c>
      <c r="C628" t="str">
        <f>Inventory!A30</f>
        <v>BB Bread 400g</v>
      </c>
      <c r="D628" s="27">
        <v>2</v>
      </c>
      <c r="E628" s="5">
        <f>Table4[[#This Row],[qty]]*(VLOOKUP(Table4[[#This Row],[item_sold]],Table6[],4,FALSE))</f>
        <v>130</v>
      </c>
      <c r="F628" s="5">
        <f>(VLOOKUP(Table4[[#This Row],[item_sold]],Table6[],3,FALSE))*Table4[[#This Row],[qty]]</f>
        <v>120</v>
      </c>
      <c r="G628" s="5">
        <f t="shared" si="31"/>
        <v>10</v>
      </c>
      <c r="H628" t="s">
        <v>361</v>
      </c>
    </row>
    <row r="629" spans="1:9" x14ac:dyDescent="0.25">
      <c r="A629" s="1">
        <f t="shared" si="28"/>
        <v>45498</v>
      </c>
      <c r="B629" s="31">
        <f>TIME(19,39,0)</f>
        <v>0.81874999999999998</v>
      </c>
      <c r="C629" t="str">
        <f>Inventory!A180</f>
        <v>Kaluma King</v>
      </c>
      <c r="D629" s="27">
        <v>1</v>
      </c>
      <c r="E629" s="5">
        <f>Table4[[#This Row],[qty]]*(VLOOKUP(Table4[[#This Row],[item_sold]],Table6[],4,FALSE))</f>
        <v>20</v>
      </c>
      <c r="F629" s="5">
        <f>(VLOOKUP(Table4[[#This Row],[item_sold]],Table6[],3,FALSE))*Table4[[#This Row],[qty]]</f>
        <v>13</v>
      </c>
      <c r="G629" s="5">
        <f t="shared" si="31"/>
        <v>7</v>
      </c>
      <c r="H629" t="s">
        <v>247</v>
      </c>
    </row>
    <row r="630" spans="1:9" x14ac:dyDescent="0.25">
      <c r="A630" s="1">
        <f t="shared" si="28"/>
        <v>45498</v>
      </c>
      <c r="B630" s="31">
        <f>TIME(19,44,0)</f>
        <v>0.8222222222222223</v>
      </c>
      <c r="C630" t="str">
        <f>Inventory!A81</f>
        <v>eggs</v>
      </c>
      <c r="D630" s="27">
        <v>5</v>
      </c>
      <c r="E630" s="5">
        <f>Table4[[#This Row],[qty]]*(VLOOKUP(Table4[[#This Row],[item_sold]],Table6[],4,FALSE))</f>
        <v>100</v>
      </c>
      <c r="F630" s="5">
        <f>(VLOOKUP(Table4[[#This Row],[item_sold]],Table6[],3,FALSE))*Table4[[#This Row],[qty]]</f>
        <v>71.666666666666671</v>
      </c>
      <c r="G630" s="5">
        <f t="shared" si="31"/>
        <v>28.333333333333329</v>
      </c>
      <c r="H630" t="s">
        <v>361</v>
      </c>
    </row>
    <row r="631" spans="1:9" x14ac:dyDescent="0.25">
      <c r="A631" s="1">
        <f t="shared" si="28"/>
        <v>45498</v>
      </c>
      <c r="B631" s="31">
        <f>TIME(19,44,0)</f>
        <v>0.8222222222222223</v>
      </c>
      <c r="C631" t="str">
        <f>Inventory!A8</f>
        <v>soda 350ml plastic</v>
      </c>
      <c r="D631" s="27">
        <v>1</v>
      </c>
      <c r="E631" s="5">
        <f>Table4[[#This Row],[qty]]*(VLOOKUP(Table4[[#This Row],[item_sold]],Table6[],4,FALSE))</f>
        <v>50</v>
      </c>
      <c r="F631" s="5">
        <f>(VLOOKUP(Table4[[#This Row],[item_sold]],Table6[],3,FALSE))*Table4[[#This Row],[qty]]</f>
        <v>41.666666666666664</v>
      </c>
      <c r="G631" s="5">
        <f t="shared" si="31"/>
        <v>8.3333333333333357</v>
      </c>
      <c r="H631" t="s">
        <v>361</v>
      </c>
    </row>
    <row r="632" spans="1:9" x14ac:dyDescent="0.25">
      <c r="A632" s="1">
        <f t="shared" si="28"/>
        <v>45498</v>
      </c>
      <c r="B632" s="31">
        <f>TIME(19,47,0)</f>
        <v>0.82430555555555562</v>
      </c>
      <c r="C632" t="str">
        <f>Inventory!A10</f>
        <v>afia 500ml</v>
      </c>
      <c r="D632" s="27">
        <v>1</v>
      </c>
      <c r="E632" s="5">
        <f>Table4[[#This Row],[qty]]*(VLOOKUP(Table4[[#This Row],[item_sold]],Table6[],4,FALSE))</f>
        <v>85</v>
      </c>
      <c r="F632" s="5">
        <f>(VLOOKUP(Table4[[#This Row],[item_sold]],Table6[],3,FALSE))*Table4[[#This Row],[qty]]</f>
        <v>70.833333333333329</v>
      </c>
      <c r="G632" s="5">
        <f t="shared" si="31"/>
        <v>14.166666666666671</v>
      </c>
      <c r="H632" t="s">
        <v>359</v>
      </c>
      <c r="I632" t="s">
        <v>409</v>
      </c>
    </row>
    <row r="633" spans="1:9" x14ac:dyDescent="0.25">
      <c r="A633" s="1">
        <f t="shared" si="28"/>
        <v>45498</v>
      </c>
      <c r="B633" s="31">
        <f>TIME(19,58,0)</f>
        <v>0.83194444444444438</v>
      </c>
      <c r="C633" t="str">
        <f>Inventory!A181</f>
        <v>Aspirin</v>
      </c>
      <c r="D633" s="27">
        <v>1</v>
      </c>
      <c r="E633" s="5">
        <f>Table4[[#This Row],[qty]]*(VLOOKUP(Table4[[#This Row],[item_sold]],Table6[],4,FALSE))</f>
        <v>10</v>
      </c>
      <c r="F633" s="5">
        <f>(VLOOKUP(Table4[[#This Row],[item_sold]],Table6[],3,FALSE))*Table4[[#This Row],[qty]]</f>
        <v>7</v>
      </c>
      <c r="G633" s="5">
        <f t="shared" si="31"/>
        <v>3</v>
      </c>
      <c r="H633" t="s">
        <v>359</v>
      </c>
      <c r="I633" t="s">
        <v>389</v>
      </c>
    </row>
    <row r="634" spans="1:9" x14ac:dyDescent="0.25">
      <c r="A634" s="1">
        <f t="shared" si="28"/>
        <v>45498</v>
      </c>
      <c r="B634" s="31">
        <f>TIME(19,58,0)</f>
        <v>0.83194444444444438</v>
      </c>
      <c r="C634" t="str">
        <f>Inventory!A24</f>
        <v>Brookside milk 500ml</v>
      </c>
      <c r="D634" s="27">
        <v>1</v>
      </c>
      <c r="E634" s="5">
        <f>Table4[[#This Row],[qty]]*(VLOOKUP(Table4[[#This Row],[item_sold]],Table6[],4,FALSE))</f>
        <v>70</v>
      </c>
      <c r="F634" s="5">
        <f>(VLOOKUP(Table4[[#This Row],[item_sold]],Table6[],3,FALSE))*Table4[[#This Row],[qty]]</f>
        <v>59</v>
      </c>
      <c r="G634" s="5">
        <f t="shared" si="31"/>
        <v>11</v>
      </c>
      <c r="H634" t="s">
        <v>359</v>
      </c>
      <c r="I634" t="s">
        <v>389</v>
      </c>
    </row>
    <row r="635" spans="1:9" x14ac:dyDescent="0.25">
      <c r="A635" s="1">
        <f t="shared" si="28"/>
        <v>45498</v>
      </c>
      <c r="B635" s="31">
        <f>TIME(19,58,0)</f>
        <v>0.83194444444444438</v>
      </c>
      <c r="C635" t="str">
        <f>Inventory!A161</f>
        <v>Ndimu</v>
      </c>
      <c r="D635" s="27">
        <v>2</v>
      </c>
      <c r="E635" s="5">
        <f>Table4[[#This Row],[qty]]*(VLOOKUP(Table4[[#This Row],[item_sold]],Table6[],4,FALSE))</f>
        <v>40</v>
      </c>
      <c r="F635" s="5">
        <f>(VLOOKUP(Table4[[#This Row],[item_sold]],Table6[],3,FALSE))*Table4[[#This Row],[qty]]</f>
        <v>16.666666666666668</v>
      </c>
      <c r="G635" s="5">
        <f t="shared" si="31"/>
        <v>23.333333333333332</v>
      </c>
      <c r="H635" t="s">
        <v>359</v>
      </c>
      <c r="I635" t="s">
        <v>389</v>
      </c>
    </row>
    <row r="636" spans="1:9" x14ac:dyDescent="0.25">
      <c r="A636" s="1">
        <f t="shared" si="28"/>
        <v>45498</v>
      </c>
      <c r="B636" s="31">
        <f>TIME(20,0,0)</f>
        <v>0.83333333333333337</v>
      </c>
      <c r="C636" t="str">
        <f>Inventory!A71</f>
        <v>Indomie chicken</v>
      </c>
      <c r="D636" s="27">
        <v>2</v>
      </c>
      <c r="E636" s="5">
        <f>Table4[[#This Row],[qty]]*(VLOOKUP(Table4[[#This Row],[item_sold]],Table6[],4,FALSE))</f>
        <v>100</v>
      </c>
      <c r="F636" s="5">
        <f>(VLOOKUP(Table4[[#This Row],[item_sold]],Table6[],3,FALSE))*Table4[[#This Row],[qty]]</f>
        <v>75</v>
      </c>
      <c r="G636" s="5">
        <f t="shared" si="31"/>
        <v>25</v>
      </c>
      <c r="H636" t="s">
        <v>361</v>
      </c>
    </row>
    <row r="637" spans="1:9" x14ac:dyDescent="0.25">
      <c r="A637" s="1">
        <f t="shared" si="28"/>
        <v>45498</v>
      </c>
      <c r="B637" s="31">
        <f>TIME(20,20,0)</f>
        <v>0.84722222222222221</v>
      </c>
      <c r="C637" t="str">
        <f>Inventory!A22</f>
        <v>Brookside Lala Sweetened</v>
      </c>
      <c r="D637" s="27">
        <v>1</v>
      </c>
      <c r="E637" s="5">
        <f>Table4[[#This Row],[qty]]*(VLOOKUP(Table4[[#This Row],[item_sold]],Table6[],4,FALSE))</f>
        <v>110</v>
      </c>
      <c r="F637" s="5">
        <f>(VLOOKUP(Table4[[#This Row],[item_sold]],Table6[],3,FALSE))*Table4[[#This Row],[qty]]</f>
        <v>93</v>
      </c>
      <c r="G637" s="5">
        <f t="shared" si="31"/>
        <v>17</v>
      </c>
      <c r="H637" t="s">
        <v>359</v>
      </c>
      <c r="I637" t="s">
        <v>387</v>
      </c>
    </row>
    <row r="638" spans="1:9" x14ac:dyDescent="0.25">
      <c r="A638" s="1">
        <f t="shared" si="28"/>
        <v>45498</v>
      </c>
      <c r="B638" s="31">
        <f>TIME(20,20,0)</f>
        <v>0.84722222222222221</v>
      </c>
      <c r="C638" t="str">
        <f>Inventory!A147</f>
        <v>Sugar</v>
      </c>
      <c r="D638" s="27">
        <v>0.25</v>
      </c>
      <c r="E638" s="5">
        <f>Table4[[#This Row],[qty]]*(VLOOKUP(Table4[[#This Row],[item_sold]],Table6[],4,FALSE))</f>
        <v>45</v>
      </c>
      <c r="F638" s="5">
        <f>(VLOOKUP(Table4[[#This Row],[item_sold]],Table6[],3,FALSE))*Table4[[#This Row],[qty]]</f>
        <v>32.5</v>
      </c>
      <c r="G638" s="5">
        <f t="shared" si="31"/>
        <v>12.5</v>
      </c>
      <c r="H638" t="s">
        <v>359</v>
      </c>
      <c r="I638" t="s">
        <v>387</v>
      </c>
    </row>
    <row r="639" spans="1:9" x14ac:dyDescent="0.25">
      <c r="A639" s="1">
        <f t="shared" si="28"/>
        <v>45498</v>
      </c>
      <c r="B639" s="31">
        <f>TIME(20,20,0)</f>
        <v>0.84722222222222221</v>
      </c>
      <c r="C639" t="str">
        <f>Inventory!A162</f>
        <v>Match Box</v>
      </c>
      <c r="D639" s="27">
        <v>1</v>
      </c>
      <c r="E639" s="5">
        <f>Table4[[#This Row],[qty]]*(VLOOKUP(Table4[[#This Row],[item_sold]],Table6[],4,FALSE))</f>
        <v>5</v>
      </c>
      <c r="F639" s="5">
        <f>(VLOOKUP(Table4[[#This Row],[item_sold]],Table6[],3,FALSE))*Table4[[#This Row],[qty]]</f>
        <v>2.3611111111111112</v>
      </c>
      <c r="G639" s="5">
        <f t="shared" si="31"/>
        <v>2.6388888888888888</v>
      </c>
      <c r="H639" t="s">
        <v>359</v>
      </c>
      <c r="I639" t="s">
        <v>387</v>
      </c>
    </row>
    <row r="640" spans="1:9" x14ac:dyDescent="0.25">
      <c r="A640" s="1">
        <f t="shared" si="28"/>
        <v>45498</v>
      </c>
      <c r="B640" s="31">
        <f>TIME(20,20,0)</f>
        <v>0.84722222222222221</v>
      </c>
      <c r="C640" t="str">
        <f>Inventory!A33</f>
        <v>Festive 800g</v>
      </c>
      <c r="D640" s="27">
        <v>1</v>
      </c>
      <c r="E640" s="5">
        <f>Table4[[#This Row],[qty]]*(VLOOKUP(Table4[[#This Row],[item_sold]],Table6[],4,FALSE))</f>
        <v>130</v>
      </c>
      <c r="F640" s="5">
        <f>(VLOOKUP(Table4[[#This Row],[item_sold]],Table6[],3,FALSE))*Table4[[#This Row],[qty]]</f>
        <v>120</v>
      </c>
      <c r="G640" s="5">
        <f t="shared" si="31"/>
        <v>10</v>
      </c>
      <c r="H640" t="s">
        <v>359</v>
      </c>
      <c r="I640" t="s">
        <v>389</v>
      </c>
    </row>
    <row r="641" spans="1:12" x14ac:dyDescent="0.25">
      <c r="A641" s="1">
        <f>DATE(2024,7,26)</f>
        <v>45499</v>
      </c>
      <c r="B641" s="31">
        <f>TIME(8,10,0)</f>
        <v>0.34027777777777773</v>
      </c>
      <c r="C641" t="str">
        <f>Inventory!A162</f>
        <v>Match Box</v>
      </c>
      <c r="D641" s="27">
        <v>1</v>
      </c>
      <c r="E641" s="5">
        <f>Table4[[#This Row],[qty]]*(VLOOKUP(Table4[[#This Row],[item_sold]],Table6[],4,FALSE))</f>
        <v>5</v>
      </c>
      <c r="F641" s="5">
        <f>(VLOOKUP(Table4[[#This Row],[item_sold]],Table6[],3,FALSE))*Table4[[#This Row],[qty]]</f>
        <v>2.3611111111111112</v>
      </c>
      <c r="G641" s="5">
        <f t="shared" ref="G641:G669" si="32">E641-F641</f>
        <v>2.6388888888888888</v>
      </c>
      <c r="H641" t="s">
        <v>247</v>
      </c>
    </row>
    <row r="642" spans="1:12" x14ac:dyDescent="0.25">
      <c r="A642" s="1">
        <f t="shared" ref="A642:A697" si="33">DATE(2024,7,26)</f>
        <v>45499</v>
      </c>
      <c r="B642" s="31">
        <f>TIME(8,13,0)</f>
        <v>0.34236111111111112</v>
      </c>
      <c r="C642" t="str">
        <f>Inventory!A33</f>
        <v>Festive 800g</v>
      </c>
      <c r="D642" s="27">
        <v>1</v>
      </c>
      <c r="E642" s="5">
        <f>Table4[[#This Row],[qty]]*(VLOOKUP(Table4[[#This Row],[item_sold]],Table6[],4,FALSE))</f>
        <v>130</v>
      </c>
      <c r="F642" s="5">
        <f>(VLOOKUP(Table4[[#This Row],[item_sold]],Table6[],3,FALSE))*Table4[[#This Row],[qty]]</f>
        <v>120</v>
      </c>
      <c r="G642" s="5">
        <f t="shared" si="32"/>
        <v>10</v>
      </c>
      <c r="H642" t="s">
        <v>247</v>
      </c>
    </row>
    <row r="643" spans="1:12" x14ac:dyDescent="0.25">
      <c r="A643" s="1">
        <f t="shared" si="33"/>
        <v>45499</v>
      </c>
      <c r="B643" s="31">
        <f>TIME(8,13,0)</f>
        <v>0.34236111111111112</v>
      </c>
      <c r="C643" t="str">
        <f>Inventory!A140</f>
        <v>Airtel 50 Credit</v>
      </c>
      <c r="D643" s="27">
        <v>1</v>
      </c>
      <c r="E643" s="5">
        <f>Table4[[#This Row],[qty]]*(VLOOKUP(Table4[[#This Row],[item_sold]],Table6[],4,FALSE))</f>
        <v>50</v>
      </c>
      <c r="F643" s="5">
        <f>(VLOOKUP(Table4[[#This Row],[item_sold]],Table6[],3,FALSE))*Table4[[#This Row],[qty]]</f>
        <v>47</v>
      </c>
      <c r="G643" s="5">
        <f t="shared" si="32"/>
        <v>3</v>
      </c>
      <c r="H643" t="s">
        <v>247</v>
      </c>
    </row>
    <row r="644" spans="1:12" x14ac:dyDescent="0.25">
      <c r="A644" s="1">
        <f t="shared" si="33"/>
        <v>45499</v>
      </c>
      <c r="B644" s="31">
        <f>TIME(8,30,0)</f>
        <v>0.35416666666666669</v>
      </c>
      <c r="C644" t="str">
        <f>Inventory!A132</f>
        <v>Festive Bread 400g</v>
      </c>
      <c r="D644" s="27">
        <v>1</v>
      </c>
      <c r="E644" s="5">
        <f>Table4[[#This Row],[qty]]*(VLOOKUP(Table4[[#This Row],[item_sold]],Table6[],4,FALSE))</f>
        <v>65</v>
      </c>
      <c r="F644" s="5">
        <f>(VLOOKUP(Table4[[#This Row],[item_sold]],Table6[],3,FALSE))*Table4[[#This Row],[qty]]</f>
        <v>60</v>
      </c>
      <c r="G644" s="5">
        <f t="shared" si="32"/>
        <v>5</v>
      </c>
      <c r="H644" t="s">
        <v>247</v>
      </c>
    </row>
    <row r="645" spans="1:12" x14ac:dyDescent="0.25">
      <c r="A645" s="1">
        <f t="shared" si="33"/>
        <v>45499</v>
      </c>
      <c r="B645" s="31">
        <f>TIME(8,39,0)</f>
        <v>0.36041666666666666</v>
      </c>
      <c r="C645" t="str">
        <f>Inventory!A70</f>
        <v>Indomie beef</v>
      </c>
      <c r="D645" s="27">
        <v>2</v>
      </c>
      <c r="E645" s="5">
        <f>Table4[[#This Row],[qty]]*(VLOOKUP(Table4[[#This Row],[item_sold]],Table6[],4,FALSE))</f>
        <v>100</v>
      </c>
      <c r="F645" s="5">
        <f>(VLOOKUP(Table4[[#This Row],[item_sold]],Table6[],3,FALSE))*Table4[[#This Row],[qty]]</f>
        <v>76</v>
      </c>
      <c r="G645" s="5">
        <f t="shared" si="32"/>
        <v>24</v>
      </c>
      <c r="H645" t="s">
        <v>247</v>
      </c>
    </row>
    <row r="646" spans="1:12" x14ac:dyDescent="0.25">
      <c r="A646" s="1">
        <f t="shared" si="33"/>
        <v>45499</v>
      </c>
      <c r="B646" s="31">
        <f>TIME(8,51,0)</f>
        <v>0.36874999999999997</v>
      </c>
      <c r="C646" t="str">
        <f>Inventory!A84</f>
        <v>Safari</v>
      </c>
      <c r="D646" s="27">
        <v>1</v>
      </c>
      <c r="E646" s="5">
        <f>Table4[[#This Row],[qty]]*(VLOOKUP(Table4[[#This Row],[item_sold]],Table6[],4,FALSE))</f>
        <v>15</v>
      </c>
      <c r="F646" s="5">
        <f>(VLOOKUP(Table4[[#This Row],[item_sold]],Table6[],3,FALSE))*Table4[[#This Row],[qty]]</f>
        <v>8.5</v>
      </c>
      <c r="G646" s="5">
        <f t="shared" si="32"/>
        <v>6.5</v>
      </c>
      <c r="H646" t="s">
        <v>247</v>
      </c>
    </row>
    <row r="647" spans="1:12" x14ac:dyDescent="0.25">
      <c r="A647" s="1">
        <f t="shared" si="33"/>
        <v>45499</v>
      </c>
      <c r="B647" s="31">
        <f>TIME(9,5,0)</f>
        <v>0.37847222222222227</v>
      </c>
      <c r="C647" t="str">
        <f>Inventory!A122</f>
        <v>Kinangop Fresh Milk 500ml</v>
      </c>
      <c r="D647" s="27">
        <v>1</v>
      </c>
      <c r="E647" s="5">
        <f>Table4[[#This Row],[qty]]*(VLOOKUP(Table4[[#This Row],[item_sold]],Table6[],4,FALSE))</f>
        <v>60</v>
      </c>
      <c r="F647" s="5">
        <f>(VLOOKUP(Table4[[#This Row],[item_sold]],Table6[],3,FALSE))*Table4[[#This Row],[qty]]</f>
        <v>55</v>
      </c>
      <c r="G647" s="5">
        <f t="shared" si="32"/>
        <v>5</v>
      </c>
      <c r="H647" t="s">
        <v>361</v>
      </c>
    </row>
    <row r="648" spans="1:12" x14ac:dyDescent="0.25">
      <c r="A648" s="1">
        <f t="shared" si="33"/>
        <v>45499</v>
      </c>
      <c r="B648" s="31">
        <f>TIME(9,5,0)</f>
        <v>0.37847222222222227</v>
      </c>
      <c r="D648" s="27"/>
      <c r="F648" s="5"/>
      <c r="J648" t="s">
        <v>385</v>
      </c>
      <c r="K648">
        <v>1000</v>
      </c>
      <c r="L648" t="s">
        <v>361</v>
      </c>
    </row>
    <row r="649" spans="1:12" x14ac:dyDescent="0.25">
      <c r="A649" s="1">
        <f t="shared" si="33"/>
        <v>45499</v>
      </c>
      <c r="B649" s="31">
        <f>TIME(9,5,0)</f>
        <v>0.37847222222222227</v>
      </c>
      <c r="C649" t="str">
        <f>Inventory!A30</f>
        <v>BB Bread 400g</v>
      </c>
      <c r="D649" s="27">
        <v>1</v>
      </c>
      <c r="E649" s="5">
        <f>Table4[[#This Row],[qty]]*(VLOOKUP(Table4[[#This Row],[item_sold]],Table6[],4,FALSE))</f>
        <v>65</v>
      </c>
      <c r="F649" s="5">
        <f>(VLOOKUP(Table4[[#This Row],[item_sold]],Table6[],3,FALSE))*Table4[[#This Row],[qty]]</f>
        <v>60</v>
      </c>
      <c r="G649" s="5">
        <f t="shared" si="32"/>
        <v>5</v>
      </c>
      <c r="H649" t="s">
        <v>361</v>
      </c>
    </row>
    <row r="650" spans="1:12" x14ac:dyDescent="0.25">
      <c r="A650" s="1">
        <f t="shared" si="33"/>
        <v>45499</v>
      </c>
      <c r="B650" s="31">
        <f>TIME(9,17,0)</f>
        <v>0.38680555555555557</v>
      </c>
      <c r="C650" t="str">
        <f>Inventory!A84</f>
        <v>Safari</v>
      </c>
      <c r="D650" s="27">
        <v>3</v>
      </c>
      <c r="E650" s="5">
        <f>Table4[[#This Row],[qty]]*(VLOOKUP(Table4[[#This Row],[item_sold]],Table6[],4,FALSE))</f>
        <v>45</v>
      </c>
      <c r="F650" s="5">
        <f>(VLOOKUP(Table4[[#This Row],[item_sold]],Table6[],3,FALSE))*Table4[[#This Row],[qty]]</f>
        <v>25.5</v>
      </c>
      <c r="G650" s="5">
        <f t="shared" si="32"/>
        <v>19.5</v>
      </c>
      <c r="H650" t="s">
        <v>361</v>
      </c>
    </row>
    <row r="651" spans="1:12" x14ac:dyDescent="0.25">
      <c r="A651" s="1">
        <f t="shared" si="33"/>
        <v>45499</v>
      </c>
      <c r="B651" s="31">
        <f>TIME(9,22,0)</f>
        <v>0.39027777777777778</v>
      </c>
      <c r="C651" t="str">
        <f>Inventory!A138</f>
        <v>Airtel 20 Credit</v>
      </c>
      <c r="D651" s="27">
        <v>1</v>
      </c>
      <c r="E651" s="5">
        <f>Table4[[#This Row],[qty]]*(VLOOKUP(Table4[[#This Row],[item_sold]],Table6[],4,FALSE))</f>
        <v>20</v>
      </c>
      <c r="F651" s="5">
        <f>(VLOOKUP(Table4[[#This Row],[item_sold]],Table6[],3,FALSE))*Table4[[#This Row],[qty]]</f>
        <v>18</v>
      </c>
      <c r="G651" s="5">
        <f t="shared" si="32"/>
        <v>2</v>
      </c>
      <c r="H651" t="s">
        <v>361</v>
      </c>
    </row>
    <row r="652" spans="1:12" x14ac:dyDescent="0.25">
      <c r="A652" s="1">
        <f t="shared" si="33"/>
        <v>45499</v>
      </c>
      <c r="B652" s="31">
        <f>TIME(9,22,0)</f>
        <v>0.39027777777777778</v>
      </c>
      <c r="C652" t="str">
        <f>Inventory!A139</f>
        <v>Airtel 10 Credit</v>
      </c>
      <c r="D652" s="27">
        <v>1</v>
      </c>
      <c r="E652" s="5">
        <f>Table4[[#This Row],[qty]]*(VLOOKUP(Table4[[#This Row],[item_sold]],Table6[],4,FALSE))</f>
        <v>10</v>
      </c>
      <c r="F652" s="5">
        <f>(VLOOKUP(Table4[[#This Row],[item_sold]],Table6[],3,FALSE))*Table4[[#This Row],[qty]]</f>
        <v>9</v>
      </c>
      <c r="G652" s="5">
        <f t="shared" si="32"/>
        <v>1</v>
      </c>
      <c r="H652" t="s">
        <v>361</v>
      </c>
    </row>
    <row r="653" spans="1:12" x14ac:dyDescent="0.25">
      <c r="A653" s="1">
        <f t="shared" si="33"/>
        <v>45499</v>
      </c>
      <c r="B653" s="31">
        <f>TIME(9,49,0)</f>
        <v>0.40902777777777777</v>
      </c>
      <c r="C653" t="str">
        <f>Inventory!A132</f>
        <v>Festive Bread 400g</v>
      </c>
      <c r="D653" s="27">
        <v>1</v>
      </c>
      <c r="E653" s="5">
        <f>Table4[[#This Row],[qty]]*(VLOOKUP(Table4[[#This Row],[item_sold]],Table6[],4,FALSE))</f>
        <v>65</v>
      </c>
      <c r="F653" s="5">
        <f>(VLOOKUP(Table4[[#This Row],[item_sold]],Table6[],3,FALSE))*Table4[[#This Row],[qty]]</f>
        <v>60</v>
      </c>
      <c r="G653" s="5">
        <f t="shared" si="32"/>
        <v>5</v>
      </c>
      <c r="H653" t="s">
        <v>361</v>
      </c>
    </row>
    <row r="654" spans="1:12" x14ac:dyDescent="0.25">
      <c r="A654" s="1">
        <f t="shared" si="33"/>
        <v>45499</v>
      </c>
      <c r="B654" s="31">
        <f>TIME(9,50,0)</f>
        <v>0.40972222222222227</v>
      </c>
      <c r="C654" t="str">
        <f>Inventory!A81</f>
        <v>eggs</v>
      </c>
      <c r="D654" s="27">
        <v>2</v>
      </c>
      <c r="E654" s="5">
        <f>Table4[[#This Row],[qty]]*(VLOOKUP(Table4[[#This Row],[item_sold]],Table6[],4,FALSE))</f>
        <v>40</v>
      </c>
      <c r="F654" s="5">
        <f>(VLOOKUP(Table4[[#This Row],[item_sold]],Table6[],3,FALSE))*Table4[[#This Row],[qty]]</f>
        <v>28.666666666666668</v>
      </c>
      <c r="G654" s="5">
        <f t="shared" si="32"/>
        <v>11.333333333333332</v>
      </c>
      <c r="H654" t="s">
        <v>361</v>
      </c>
    </row>
    <row r="655" spans="1:12" x14ac:dyDescent="0.25">
      <c r="A655" s="1">
        <f t="shared" si="33"/>
        <v>45499</v>
      </c>
      <c r="B655" s="31">
        <f>TIME(10,14,0)</f>
        <v>0.42638888888888887</v>
      </c>
      <c r="C655" t="str">
        <f>Inventory!A136</f>
        <v>Safaricom 10 Credit</v>
      </c>
      <c r="D655" s="27">
        <v>1</v>
      </c>
      <c r="E655" s="5">
        <f>Table4[[#This Row],[qty]]*(VLOOKUP(Table4[[#This Row],[item_sold]],Table6[],4,FALSE))</f>
        <v>10</v>
      </c>
      <c r="F655" s="5">
        <f>(VLOOKUP(Table4[[#This Row],[item_sold]],Table6[],3,FALSE))*Table4[[#This Row],[qty]]</f>
        <v>9</v>
      </c>
      <c r="G655" s="5">
        <f t="shared" si="32"/>
        <v>1</v>
      </c>
      <c r="H655" t="s">
        <v>247</v>
      </c>
    </row>
    <row r="656" spans="1:12" x14ac:dyDescent="0.25">
      <c r="A656" s="1">
        <f t="shared" si="33"/>
        <v>45499</v>
      </c>
      <c r="B656" s="31">
        <f>TIME(12,7,0)</f>
        <v>0.50486111111111109</v>
      </c>
      <c r="C656" t="str">
        <f>Inventory!A112</f>
        <v>Downy lavender</v>
      </c>
      <c r="D656" s="27">
        <v>2</v>
      </c>
      <c r="E656" s="5">
        <f>Table4[[#This Row],[qty]]*(VLOOKUP(Table4[[#This Row],[item_sold]],Table6[],4,FALSE))</f>
        <v>40</v>
      </c>
      <c r="F656" s="5">
        <f>(VLOOKUP(Table4[[#This Row],[item_sold]],Table6[],3,FALSE))*Table4[[#This Row],[qty]]</f>
        <v>34.666666666666664</v>
      </c>
      <c r="G656" s="5">
        <f t="shared" si="32"/>
        <v>5.3333333333333357</v>
      </c>
      <c r="H656" t="s">
        <v>361</v>
      </c>
    </row>
    <row r="657" spans="1:9" x14ac:dyDescent="0.25">
      <c r="A657" s="1">
        <f t="shared" si="33"/>
        <v>45499</v>
      </c>
      <c r="B657" s="31">
        <f>TIME(12,19,0)</f>
        <v>0.5131944444444444</v>
      </c>
      <c r="C657" t="str">
        <f>Inventory!A97</f>
        <v>Softcare pads</v>
      </c>
      <c r="D657" s="27">
        <v>1</v>
      </c>
      <c r="E657" s="5">
        <f>Table4[[#This Row],[qty]]*(VLOOKUP(Table4[[#This Row],[item_sold]],Table6[],4,FALSE))</f>
        <v>85</v>
      </c>
      <c r="F657" s="5">
        <f>(VLOOKUP(Table4[[#This Row],[item_sold]],Table6[],3,FALSE))*Table4[[#This Row],[qty]]</f>
        <v>66</v>
      </c>
      <c r="G657" s="5">
        <f t="shared" si="32"/>
        <v>19</v>
      </c>
      <c r="H657" t="s">
        <v>361</v>
      </c>
    </row>
    <row r="658" spans="1:9" x14ac:dyDescent="0.25">
      <c r="A658" s="1">
        <f t="shared" si="33"/>
        <v>45499</v>
      </c>
      <c r="B658" s="31">
        <f>TIME(13,6,0)</f>
        <v>0.54583333333333328</v>
      </c>
      <c r="C658" t="str">
        <f>Inventory!A153</f>
        <v>Pishori rice</v>
      </c>
      <c r="D658" s="27">
        <v>0.5</v>
      </c>
      <c r="E658" s="5">
        <f>Table4[[#This Row],[qty]]*(VLOOKUP(Table4[[#This Row],[item_sold]],Table6[],4,FALSE))</f>
        <v>110</v>
      </c>
      <c r="F658" s="5">
        <f>(VLOOKUP(Table4[[#This Row],[item_sold]],Table6[],3,FALSE))*Table4[[#This Row],[qty]]</f>
        <v>90</v>
      </c>
      <c r="G658" s="5">
        <f t="shared" si="32"/>
        <v>20</v>
      </c>
      <c r="H658" t="s">
        <v>247</v>
      </c>
    </row>
    <row r="659" spans="1:9" x14ac:dyDescent="0.25">
      <c r="A659" s="1">
        <f t="shared" si="33"/>
        <v>45499</v>
      </c>
      <c r="B659" s="31">
        <f>TIME(13,15,0)</f>
        <v>0.55208333333333337</v>
      </c>
      <c r="C659" t="str">
        <f>Inventory!A176</f>
        <v>hoho</v>
      </c>
      <c r="D659" s="27">
        <v>1</v>
      </c>
      <c r="E659" s="5">
        <f>Table4[[#This Row],[qty]]*(VLOOKUP(Table4[[#This Row],[item_sold]],Table6[],4,FALSE))</f>
        <v>10</v>
      </c>
      <c r="F659" s="5">
        <f>(VLOOKUP(Table4[[#This Row],[item_sold]],Table6[],3,FALSE))*Table4[[#This Row],[qty]]</f>
        <v>6.666666666666667</v>
      </c>
      <c r="G659" s="5">
        <f t="shared" si="32"/>
        <v>3.333333333333333</v>
      </c>
      <c r="H659" t="s">
        <v>361</v>
      </c>
    </row>
    <row r="660" spans="1:9" x14ac:dyDescent="0.25">
      <c r="A660" s="1">
        <f t="shared" si="33"/>
        <v>45499</v>
      </c>
      <c r="B660" s="31">
        <f>TIME(13,15,0)</f>
        <v>0.55208333333333337</v>
      </c>
      <c r="C660" t="str">
        <f>Inventory!A126</f>
        <v>Royco cubes</v>
      </c>
      <c r="D660" s="27">
        <v>1</v>
      </c>
      <c r="E660" s="5">
        <f>Table4[[#This Row],[qty]]*(VLOOKUP(Table4[[#This Row],[item_sold]],Table6[],4,FALSE))</f>
        <v>5</v>
      </c>
      <c r="F660" s="5">
        <f>(VLOOKUP(Table4[[#This Row],[item_sold]],Table6[],3,FALSE))*Table4[[#This Row],[qty]]</f>
        <v>3</v>
      </c>
      <c r="G660" s="5">
        <f t="shared" si="32"/>
        <v>2</v>
      </c>
      <c r="H660" t="s">
        <v>361</v>
      </c>
    </row>
    <row r="661" spans="1:9" x14ac:dyDescent="0.25">
      <c r="A661" s="1">
        <f t="shared" si="33"/>
        <v>45499</v>
      </c>
      <c r="B661" s="31">
        <f>TIME(14,58,0)</f>
        <v>0.62361111111111112</v>
      </c>
      <c r="C661" t="str">
        <f>Inventory!A178</f>
        <v>Yellow Beans</v>
      </c>
      <c r="D661" s="27">
        <v>0.5</v>
      </c>
      <c r="E661" s="5">
        <f>Table4[[#This Row],[qty]]*(VLOOKUP(Table4[[#This Row],[item_sold]],Table6[],4,FALSE))</f>
        <v>90</v>
      </c>
      <c r="F661" s="5">
        <f>(VLOOKUP(Table4[[#This Row],[item_sold]],Table6[],3,FALSE))*Table4[[#This Row],[qty]]</f>
        <v>62.5</v>
      </c>
      <c r="G661" s="5">
        <f t="shared" si="32"/>
        <v>27.5</v>
      </c>
      <c r="H661" t="s">
        <v>359</v>
      </c>
      <c r="I661" t="s">
        <v>384</v>
      </c>
    </row>
    <row r="662" spans="1:9" x14ac:dyDescent="0.25">
      <c r="A662" s="1">
        <f t="shared" si="33"/>
        <v>45499</v>
      </c>
      <c r="B662" s="31">
        <f>TIME(14,58,0)</f>
        <v>0.62361111111111112</v>
      </c>
      <c r="C662" t="str">
        <f>Inventory!A13</f>
        <v>soda 300ml glass</v>
      </c>
      <c r="D662" s="27">
        <v>1</v>
      </c>
      <c r="E662" s="5">
        <f>Table4[[#This Row],[qty]]*(VLOOKUP(Table4[[#This Row],[item_sold]],Table6[],4,FALSE))</f>
        <v>40</v>
      </c>
      <c r="F662" s="5">
        <f>(VLOOKUP(Table4[[#This Row],[item_sold]],Table6[],3,FALSE))*Table4[[#This Row],[qty]]</f>
        <v>32.5</v>
      </c>
      <c r="G662" s="5">
        <f t="shared" si="32"/>
        <v>7.5</v>
      </c>
      <c r="H662" t="s">
        <v>247</v>
      </c>
    </row>
    <row r="663" spans="1:9" x14ac:dyDescent="0.25">
      <c r="A663" s="1">
        <f t="shared" si="33"/>
        <v>45499</v>
      </c>
      <c r="B663" s="31">
        <f>TIME(14,58,0)</f>
        <v>0.62361111111111112</v>
      </c>
      <c r="C663" t="str">
        <f>Inventory!A44</f>
        <v>Peanut Cookies</v>
      </c>
      <c r="D663" s="27">
        <v>1</v>
      </c>
      <c r="E663" s="5">
        <f>Table4[[#This Row],[qty]]*(VLOOKUP(Table4[[#This Row],[item_sold]],Table6[],4,FALSE))</f>
        <v>35</v>
      </c>
      <c r="F663" s="5">
        <f>(VLOOKUP(Table4[[#This Row],[item_sold]],Table6[],3,FALSE))*Table4[[#This Row],[qty]]</f>
        <v>25</v>
      </c>
      <c r="G663" s="5">
        <f t="shared" si="32"/>
        <v>10</v>
      </c>
      <c r="H663" t="s">
        <v>247</v>
      </c>
    </row>
    <row r="664" spans="1:9" x14ac:dyDescent="0.25">
      <c r="A664" s="1">
        <f t="shared" si="33"/>
        <v>45499</v>
      </c>
      <c r="B664" s="31">
        <f>TIME(15,15,0)</f>
        <v>0.63541666666666663</v>
      </c>
      <c r="C664" t="str">
        <f>Inventory!A81</f>
        <v>eggs</v>
      </c>
      <c r="D664" s="27">
        <v>3</v>
      </c>
      <c r="E664" s="5">
        <f>Table4[[#This Row],[qty]]*(VLOOKUP(Table4[[#This Row],[item_sold]],Table6[],4,FALSE))</f>
        <v>60</v>
      </c>
      <c r="F664" s="5">
        <f>(VLOOKUP(Table4[[#This Row],[item_sold]],Table6[],3,FALSE))*Table4[[#This Row],[qty]]</f>
        <v>43</v>
      </c>
      <c r="G664" s="5">
        <f t="shared" si="32"/>
        <v>17</v>
      </c>
      <c r="H664" t="s">
        <v>361</v>
      </c>
    </row>
    <row r="665" spans="1:9" x14ac:dyDescent="0.25">
      <c r="A665" s="1">
        <f t="shared" si="33"/>
        <v>45499</v>
      </c>
      <c r="B665" s="31">
        <f>TIME(15,20,0)</f>
        <v>0.63888888888888895</v>
      </c>
      <c r="C665" t="str">
        <f>Inventory!A4</f>
        <v>300ml water</v>
      </c>
      <c r="D665" s="27">
        <v>1</v>
      </c>
      <c r="E665" s="5">
        <f>Table4[[#This Row],[qty]]*(VLOOKUP(Table4[[#This Row],[item_sold]],Table6[],4,FALSE))</f>
        <v>30</v>
      </c>
      <c r="F665" s="5">
        <f>(VLOOKUP(Table4[[#This Row],[item_sold]],Table6[],3,FALSE))*Table4[[#This Row],[qty]]</f>
        <v>12.5</v>
      </c>
      <c r="G665" s="5">
        <f t="shared" si="32"/>
        <v>17.5</v>
      </c>
      <c r="H665" t="s">
        <v>247</v>
      </c>
    </row>
    <row r="666" spans="1:9" x14ac:dyDescent="0.25">
      <c r="A666" s="1">
        <f t="shared" si="33"/>
        <v>45499</v>
      </c>
      <c r="B666" s="31">
        <f>TIME(15,30,0)</f>
        <v>0.64583333333333337</v>
      </c>
      <c r="C666" t="str">
        <f>Inventory!A44</f>
        <v>Peanut Cookies</v>
      </c>
      <c r="D666" s="27">
        <v>1</v>
      </c>
      <c r="E666" s="5">
        <f>Table4[[#This Row],[qty]]*(VLOOKUP(Table4[[#This Row],[item_sold]],Table6[],4,FALSE))</f>
        <v>35</v>
      </c>
      <c r="F666" s="5">
        <f>(VLOOKUP(Table4[[#This Row],[item_sold]],Table6[],3,FALSE))*Table4[[#This Row],[qty]]</f>
        <v>25</v>
      </c>
      <c r="G666" s="5">
        <f t="shared" si="32"/>
        <v>10</v>
      </c>
      <c r="H666" t="s">
        <v>247</v>
      </c>
    </row>
    <row r="667" spans="1:9" x14ac:dyDescent="0.25">
      <c r="A667" s="1">
        <f t="shared" si="33"/>
        <v>45499</v>
      </c>
      <c r="B667" s="31">
        <f>TIME(15,32,0)</f>
        <v>0.64722222222222225</v>
      </c>
      <c r="C667" t="str">
        <f>Inventory!A122</f>
        <v>Kinangop Fresh Milk 500ml</v>
      </c>
      <c r="D667" s="27">
        <v>2</v>
      </c>
      <c r="E667" s="5">
        <f>Table4[[#This Row],[qty]]*(VLOOKUP(Table4[[#This Row],[item_sold]],Table6[],4,FALSE))</f>
        <v>120</v>
      </c>
      <c r="F667" s="5">
        <f>(VLOOKUP(Table4[[#This Row],[item_sold]],Table6[],3,FALSE))*Table4[[#This Row],[qty]]</f>
        <v>110</v>
      </c>
      <c r="G667" s="5">
        <f t="shared" si="32"/>
        <v>10</v>
      </c>
      <c r="H667" t="s">
        <v>247</v>
      </c>
    </row>
    <row r="668" spans="1:9" x14ac:dyDescent="0.25">
      <c r="A668" s="1">
        <f t="shared" si="33"/>
        <v>45499</v>
      </c>
      <c r="B668" s="31">
        <f>TIME(15,36,0)</f>
        <v>0.65</v>
      </c>
      <c r="C668" t="str">
        <f>Inventory!A137</f>
        <v>Safaricom 50 Credit</v>
      </c>
      <c r="D668" s="27">
        <v>1</v>
      </c>
      <c r="E668" s="5">
        <f>Table4[[#This Row],[qty]]*(VLOOKUP(Table4[[#This Row],[item_sold]],Table6[],4,FALSE))</f>
        <v>50</v>
      </c>
      <c r="F668" s="5">
        <f>(VLOOKUP(Table4[[#This Row],[item_sold]],Table6[],3,FALSE))*Table4[[#This Row],[qty]]</f>
        <v>47</v>
      </c>
      <c r="G668" s="5">
        <f t="shared" si="32"/>
        <v>3</v>
      </c>
      <c r="H668" t="s">
        <v>361</v>
      </c>
    </row>
    <row r="669" spans="1:9" x14ac:dyDescent="0.25">
      <c r="A669" s="1">
        <f t="shared" si="33"/>
        <v>45499</v>
      </c>
      <c r="B669" s="31">
        <f>TIME(17,25,0)</f>
        <v>0.72569444444444453</v>
      </c>
      <c r="C669" t="str">
        <f>Inventory!A23</f>
        <v>Mt kenya milk 500ml</v>
      </c>
      <c r="D669" s="27">
        <v>1</v>
      </c>
      <c r="E669" s="5">
        <f>Table4[[#This Row],[qty]]*(VLOOKUP(Table4[[#This Row],[item_sold]],Table6[],4,FALSE))</f>
        <v>65</v>
      </c>
      <c r="F669" s="5">
        <f>(VLOOKUP(Table4[[#This Row],[item_sold]],Table6[],3,FALSE))*Table4[[#This Row],[qty]]</f>
        <v>48.333333333333336</v>
      </c>
      <c r="G669" s="5">
        <f t="shared" si="32"/>
        <v>16.666666666666664</v>
      </c>
      <c r="H669" t="s">
        <v>361</v>
      </c>
    </row>
    <row r="670" spans="1:9" x14ac:dyDescent="0.25">
      <c r="A670" s="1">
        <f t="shared" si="33"/>
        <v>45499</v>
      </c>
      <c r="B670" s="31">
        <f>TIME(18,47,0)</f>
        <v>0.78263888888888899</v>
      </c>
      <c r="C670" t="str">
        <f>Inventory!A144</f>
        <v>Drinking Chocolate 20g</v>
      </c>
      <c r="D670" s="27">
        <v>1</v>
      </c>
      <c r="E670" s="5">
        <f>Table4[[#This Row],[qty]]*(VLOOKUP(Table4[[#This Row],[item_sold]],Table6[],4,FALSE))</f>
        <v>20</v>
      </c>
      <c r="F670" s="5">
        <f>(VLOOKUP(Table4[[#This Row],[item_sold]],Table6[],3,FALSE))*Table4[[#This Row],[qty]]</f>
        <v>10.416666666666666</v>
      </c>
      <c r="G670" s="5">
        <f t="shared" ref="G670:G689" si="34">E670-F670</f>
        <v>9.5833333333333339</v>
      </c>
      <c r="H670" t="s">
        <v>361</v>
      </c>
    </row>
    <row r="671" spans="1:9" x14ac:dyDescent="0.25">
      <c r="A671" s="1">
        <f t="shared" si="33"/>
        <v>45499</v>
      </c>
      <c r="B671" s="31">
        <f>TIME(18,47,0)</f>
        <v>0.78263888888888899</v>
      </c>
      <c r="C671" t="str">
        <f>Inventory!A99</f>
        <v>Colgate 15g</v>
      </c>
      <c r="D671" s="27">
        <v>1</v>
      </c>
      <c r="E671" s="5">
        <f>Table4[[#This Row],[qty]]*(VLOOKUP(Table4[[#This Row],[item_sold]],Table6[],4,FALSE))</f>
        <v>50</v>
      </c>
      <c r="F671" s="5">
        <f>(VLOOKUP(Table4[[#This Row],[item_sold]],Table6[],3,FALSE))*Table4[[#This Row],[qty]]</f>
        <v>36.25</v>
      </c>
      <c r="G671" s="5">
        <f t="shared" si="34"/>
        <v>13.75</v>
      </c>
      <c r="H671" t="s">
        <v>361</v>
      </c>
    </row>
    <row r="672" spans="1:9" x14ac:dyDescent="0.25">
      <c r="A672" s="1">
        <f t="shared" si="33"/>
        <v>45499</v>
      </c>
      <c r="B672" s="31">
        <f>TIME(18,47,0)</f>
        <v>0.78263888888888899</v>
      </c>
      <c r="C672" t="str">
        <f>Inventory!A26</f>
        <v>Nescafe 1.5g</v>
      </c>
      <c r="D672" s="27">
        <v>1</v>
      </c>
      <c r="E672" s="5">
        <f>Table4[[#This Row],[qty]]*(VLOOKUP(Table4[[#This Row],[item_sold]],Table6[],4,FALSE))</f>
        <v>15</v>
      </c>
      <c r="F672" s="5">
        <f>(VLOOKUP(Table4[[#This Row],[item_sold]],Table6[],3,FALSE))*Table4[[#This Row],[qty]]</f>
        <v>9.1666666666666661</v>
      </c>
      <c r="G672" s="5">
        <f t="shared" si="34"/>
        <v>5.8333333333333339</v>
      </c>
      <c r="H672" t="s">
        <v>361</v>
      </c>
    </row>
    <row r="673" spans="1:12" x14ac:dyDescent="0.25">
      <c r="A673" s="1">
        <f t="shared" si="33"/>
        <v>45499</v>
      </c>
      <c r="B673" s="31">
        <f>TIME(19,26,0)</f>
        <v>0.80972222222222223</v>
      </c>
      <c r="C673" t="str">
        <f>Inventory!A95</f>
        <v>Poa Pekee Tissue</v>
      </c>
      <c r="D673" s="27">
        <v>1</v>
      </c>
      <c r="E673" s="5">
        <f>Table4[[#This Row],[qty]]*(VLOOKUP(Table4[[#This Row],[item_sold]],Table6[],4,FALSE))</f>
        <v>30</v>
      </c>
      <c r="F673" s="5">
        <f>(VLOOKUP(Table4[[#This Row],[item_sold]],Table6[],3,FALSE))*Table4[[#This Row],[qty]]</f>
        <v>13.333333333333334</v>
      </c>
      <c r="G673" s="5">
        <f t="shared" si="34"/>
        <v>16.666666666666664</v>
      </c>
      <c r="H673" t="s">
        <v>247</v>
      </c>
    </row>
    <row r="674" spans="1:12" x14ac:dyDescent="0.25">
      <c r="A674" s="1">
        <f t="shared" si="33"/>
        <v>45499</v>
      </c>
      <c r="B674" s="31">
        <f>TIME(19,26,0)</f>
        <v>0.80972222222222223</v>
      </c>
      <c r="C674" t="str">
        <f>Inventory!A121</f>
        <v>Banana</v>
      </c>
      <c r="D674" s="27">
        <v>1</v>
      </c>
      <c r="E674" s="5">
        <f>Table4[[#This Row],[qty]]*(VLOOKUP(Table4[[#This Row],[item_sold]],Table6[],4,FALSE))</f>
        <v>10</v>
      </c>
      <c r="F674" s="5">
        <f>(VLOOKUP(Table4[[#This Row],[item_sold]],Table6[],3,FALSE))*Table4[[#This Row],[qty]]</f>
        <v>8.3333333333333339</v>
      </c>
      <c r="G674" s="5">
        <f t="shared" si="34"/>
        <v>1.6666666666666661</v>
      </c>
      <c r="H674" t="s">
        <v>247</v>
      </c>
    </row>
    <row r="675" spans="1:12" x14ac:dyDescent="0.25">
      <c r="A675" s="1">
        <f t="shared" si="33"/>
        <v>45499</v>
      </c>
      <c r="B675" s="31">
        <f>TIME(19,26,0)</f>
        <v>0.80972222222222223</v>
      </c>
      <c r="D675" s="27"/>
      <c r="F675" s="5"/>
      <c r="J675" t="s">
        <v>399</v>
      </c>
      <c r="K675">
        <v>20</v>
      </c>
      <c r="L675" t="s">
        <v>247</v>
      </c>
    </row>
    <row r="676" spans="1:12" x14ac:dyDescent="0.25">
      <c r="A676" s="1">
        <f t="shared" si="33"/>
        <v>45499</v>
      </c>
      <c r="B676" s="31">
        <f>TIME(19,40,0)</f>
        <v>0.81944444444444453</v>
      </c>
      <c r="C676" t="str">
        <f>Inventory!A78</f>
        <v>Tomato paste</v>
      </c>
      <c r="D676" s="27">
        <v>1</v>
      </c>
      <c r="E676" s="5">
        <f>Table4[[#This Row],[qty]]*(VLOOKUP(Table4[[#This Row],[item_sold]],Table6[],4,FALSE))</f>
        <v>30</v>
      </c>
      <c r="F676" s="5">
        <f>(VLOOKUP(Table4[[#This Row],[item_sold]],Table6[],3,FALSE))*Table4[[#This Row],[qty]]</f>
        <v>12.5</v>
      </c>
      <c r="G676" s="5">
        <f t="shared" si="34"/>
        <v>17.5</v>
      </c>
      <c r="H676" t="s">
        <v>361</v>
      </c>
    </row>
    <row r="677" spans="1:12" x14ac:dyDescent="0.25">
      <c r="A677" s="1">
        <f t="shared" si="33"/>
        <v>45499</v>
      </c>
      <c r="B677" s="31">
        <f>TIME(19,40,0)</f>
        <v>0.81944444444444453</v>
      </c>
      <c r="C677" t="str">
        <f>Inventory!A144</f>
        <v>Drinking Chocolate 20g</v>
      </c>
      <c r="D677" s="27">
        <v>1</v>
      </c>
      <c r="E677" s="5">
        <f>Table4[[#This Row],[qty]]*(VLOOKUP(Table4[[#This Row],[item_sold]],Table6[],4,FALSE))</f>
        <v>20</v>
      </c>
      <c r="F677" s="5">
        <f>(VLOOKUP(Table4[[#This Row],[item_sold]],Table6[],3,FALSE))*Table4[[#This Row],[qty]]</f>
        <v>10.416666666666666</v>
      </c>
      <c r="G677" s="5">
        <f t="shared" si="34"/>
        <v>9.5833333333333339</v>
      </c>
      <c r="H677" t="s">
        <v>361</v>
      </c>
    </row>
    <row r="678" spans="1:12" x14ac:dyDescent="0.25">
      <c r="A678" s="1">
        <f t="shared" si="33"/>
        <v>45499</v>
      </c>
      <c r="B678" s="31">
        <f>TIME(19,50,0)</f>
        <v>0.82638888888888884</v>
      </c>
      <c r="C678" t="str">
        <f>Inventory!A122</f>
        <v>Kinangop Fresh Milk 500ml</v>
      </c>
      <c r="D678" s="27">
        <v>1</v>
      </c>
      <c r="E678" s="5">
        <f>Table4[[#This Row],[qty]]*(VLOOKUP(Table4[[#This Row],[item_sold]],Table6[],4,FALSE))</f>
        <v>60</v>
      </c>
      <c r="F678" s="5">
        <f>(VLOOKUP(Table4[[#This Row],[item_sold]],Table6[],3,FALSE))*Table4[[#This Row],[qty]]</f>
        <v>55</v>
      </c>
      <c r="G678" s="5">
        <f t="shared" si="34"/>
        <v>5</v>
      </c>
      <c r="H678" t="s">
        <v>247</v>
      </c>
    </row>
    <row r="679" spans="1:12" x14ac:dyDescent="0.25">
      <c r="A679" s="1">
        <f t="shared" si="33"/>
        <v>45499</v>
      </c>
      <c r="B679" s="31">
        <f>TIME(19,50,0)</f>
        <v>0.82638888888888884</v>
      </c>
      <c r="C679" t="str">
        <f>Inventory!A21</f>
        <v>Brookside Lala Natural</v>
      </c>
      <c r="D679" s="27">
        <v>1</v>
      </c>
      <c r="E679" s="5">
        <f>Table4[[#This Row],[qty]]*(VLOOKUP(Table4[[#This Row],[item_sold]],Table6[],4,FALSE))</f>
        <v>100</v>
      </c>
      <c r="F679" s="5">
        <f>(VLOOKUP(Table4[[#This Row],[item_sold]],Table6[],3,FALSE))*Table4[[#This Row],[qty]]</f>
        <v>87</v>
      </c>
      <c r="G679" s="5">
        <f t="shared" si="34"/>
        <v>13</v>
      </c>
      <c r="H679" t="s">
        <v>247</v>
      </c>
    </row>
    <row r="680" spans="1:12" x14ac:dyDescent="0.25">
      <c r="A680" s="1">
        <f t="shared" si="33"/>
        <v>45499</v>
      </c>
      <c r="B680" s="31">
        <f>TIME(19,52,0)</f>
        <v>0.82777777777777783</v>
      </c>
      <c r="C680" t="str">
        <f>Inventory!A161</f>
        <v>Ndimu</v>
      </c>
      <c r="D680" s="27">
        <v>1</v>
      </c>
      <c r="E680" s="5">
        <f>Table4[[#This Row],[qty]]*(VLOOKUP(Table4[[#This Row],[item_sold]],Table6[],4,FALSE))</f>
        <v>20</v>
      </c>
      <c r="F680" s="5">
        <f>(VLOOKUP(Table4[[#This Row],[item_sold]],Table6[],3,FALSE))*Table4[[#This Row],[qty]]</f>
        <v>8.3333333333333339</v>
      </c>
      <c r="G680" s="5">
        <f t="shared" si="34"/>
        <v>11.666666666666666</v>
      </c>
      <c r="H680" t="s">
        <v>361</v>
      </c>
    </row>
    <row r="681" spans="1:12" x14ac:dyDescent="0.25">
      <c r="A681" s="1">
        <f t="shared" si="33"/>
        <v>45499</v>
      </c>
      <c r="B681" s="31">
        <f>TIME(20,8,0)</f>
        <v>0.83888888888888891</v>
      </c>
      <c r="C681" t="str">
        <f>Inventory!A81</f>
        <v>eggs</v>
      </c>
      <c r="D681" s="27">
        <v>1</v>
      </c>
      <c r="E681" s="5">
        <f>Table4[[#This Row],[qty]]*(VLOOKUP(Table4[[#This Row],[item_sold]],Table6[],4,FALSE))</f>
        <v>20</v>
      </c>
      <c r="F681" s="5">
        <f>(VLOOKUP(Table4[[#This Row],[item_sold]],Table6[],3,FALSE))*Table4[[#This Row],[qty]]</f>
        <v>14.333333333333334</v>
      </c>
      <c r="G681" s="5">
        <f t="shared" si="34"/>
        <v>5.6666666666666661</v>
      </c>
      <c r="H681" t="s">
        <v>361</v>
      </c>
    </row>
    <row r="682" spans="1:12" x14ac:dyDescent="0.25">
      <c r="A682" s="1">
        <f t="shared" si="33"/>
        <v>45499</v>
      </c>
      <c r="B682" s="31">
        <f>TIME(20,8,0)</f>
        <v>0.83888888888888891</v>
      </c>
      <c r="C682" t="str">
        <f>Inventory!A116</f>
        <v>Tomatoes</v>
      </c>
      <c r="D682" s="27">
        <v>1</v>
      </c>
      <c r="E682" s="5">
        <f>Table4[[#This Row],[qty]]*(VLOOKUP(Table4[[#This Row],[item_sold]],Table6[],4,FALSE))</f>
        <v>10</v>
      </c>
      <c r="F682" s="5">
        <f>(VLOOKUP(Table4[[#This Row],[item_sold]],Table6[],3,FALSE))*Table4[[#This Row],[qty]]</f>
        <v>5</v>
      </c>
      <c r="G682" s="5">
        <f t="shared" si="34"/>
        <v>5</v>
      </c>
      <c r="H682" t="s">
        <v>361</v>
      </c>
    </row>
    <row r="683" spans="1:12" x14ac:dyDescent="0.25">
      <c r="A683" s="1">
        <f t="shared" si="33"/>
        <v>45499</v>
      </c>
      <c r="B683" s="31">
        <f>TIME(20,8,0)</f>
        <v>0.83888888888888891</v>
      </c>
      <c r="C683" t="str">
        <f>Inventory!A115</f>
        <v>Onion</v>
      </c>
      <c r="D683" s="27">
        <v>1</v>
      </c>
      <c r="E683" s="5">
        <f>Table4[[#This Row],[qty]]*(VLOOKUP(Table4[[#This Row],[item_sold]],Table6[],4,FALSE))</f>
        <v>10</v>
      </c>
      <c r="F683" s="5">
        <f>(VLOOKUP(Table4[[#This Row],[item_sold]],Table6[],3,FALSE))*Table4[[#This Row],[qty]]</f>
        <v>8</v>
      </c>
      <c r="G683" s="5">
        <f t="shared" si="34"/>
        <v>2</v>
      </c>
      <c r="H683" t="s">
        <v>361</v>
      </c>
    </row>
    <row r="684" spans="1:12" x14ac:dyDescent="0.25">
      <c r="A684" s="1">
        <f t="shared" si="33"/>
        <v>45499</v>
      </c>
      <c r="B684" s="31">
        <f>TIME(20,11,0)</f>
        <v>0.84097222222222223</v>
      </c>
      <c r="C684" t="str">
        <f>Inventory!A156</f>
        <v>Sindano rice</v>
      </c>
      <c r="D684" s="27">
        <v>0.5</v>
      </c>
      <c r="E684" s="5">
        <f>Table4[[#This Row],[qty]]*(VLOOKUP(Table4[[#This Row],[item_sold]],Table6[],4,FALSE))</f>
        <v>75</v>
      </c>
      <c r="F684" s="5">
        <f>(VLOOKUP(Table4[[#This Row],[item_sold]],Table6[],3,FALSE))*Table4[[#This Row],[qty]]</f>
        <v>60</v>
      </c>
      <c r="G684" s="5">
        <f t="shared" si="34"/>
        <v>15</v>
      </c>
      <c r="H684" t="s">
        <v>361</v>
      </c>
    </row>
    <row r="685" spans="1:12" x14ac:dyDescent="0.25">
      <c r="A685" s="1">
        <f t="shared" si="33"/>
        <v>45499</v>
      </c>
      <c r="B685" s="31">
        <f>TIME(20,14,0)</f>
        <v>0.84305555555555556</v>
      </c>
      <c r="C685" t="str">
        <f>Inventory!A41</f>
        <v>Glucose 50g</v>
      </c>
      <c r="D685" s="27">
        <v>1</v>
      </c>
      <c r="E685" s="5">
        <f>Table4[[#This Row],[qty]]*(VLOOKUP(Table4[[#This Row],[item_sold]],Table6[],4,FALSE))</f>
        <v>30</v>
      </c>
      <c r="F685" s="5">
        <f>(VLOOKUP(Table4[[#This Row],[item_sold]],Table6[],3,FALSE))*Table4[[#This Row],[qty]]</f>
        <v>15.833333333333334</v>
      </c>
      <c r="G685" s="5">
        <f t="shared" si="34"/>
        <v>14.166666666666666</v>
      </c>
      <c r="H685" t="s">
        <v>361</v>
      </c>
    </row>
    <row r="686" spans="1:12" x14ac:dyDescent="0.25">
      <c r="A686" s="1">
        <f t="shared" si="33"/>
        <v>45499</v>
      </c>
      <c r="B686" s="31">
        <f>TIME(20,21,0)</f>
        <v>0.84791666666666676</v>
      </c>
      <c r="C686" t="str">
        <f>Inventory!A35</f>
        <v>Bitez</v>
      </c>
      <c r="D686" s="27">
        <v>2</v>
      </c>
      <c r="E686" s="5">
        <f>Table4[[#This Row],[qty]]*(VLOOKUP(Table4[[#This Row],[item_sold]],Table6[],4,FALSE))</f>
        <v>30</v>
      </c>
      <c r="F686" s="5">
        <f>(VLOOKUP(Table4[[#This Row],[item_sold]],Table6[],3,FALSE))*Table4[[#This Row],[qty]]</f>
        <v>17.600000000000001</v>
      </c>
      <c r="G686" s="5">
        <f t="shared" si="34"/>
        <v>12.399999999999999</v>
      </c>
      <c r="H686" t="s">
        <v>361</v>
      </c>
    </row>
    <row r="687" spans="1:12" x14ac:dyDescent="0.25">
      <c r="A687" s="1">
        <f t="shared" si="33"/>
        <v>45499</v>
      </c>
      <c r="B687" s="31">
        <f>TIME(20,21,0)</f>
        <v>0.84791666666666676</v>
      </c>
      <c r="C687" t="str">
        <f>Inventory!A81</f>
        <v>eggs</v>
      </c>
      <c r="D687" s="27">
        <v>2</v>
      </c>
      <c r="E687" s="5">
        <f>Table4[[#This Row],[qty]]*(VLOOKUP(Table4[[#This Row],[item_sold]],Table6[],4,FALSE))</f>
        <v>40</v>
      </c>
      <c r="F687" s="5">
        <f>(VLOOKUP(Table4[[#This Row],[item_sold]],Table6[],3,FALSE))*Table4[[#This Row],[qty]]</f>
        <v>28.666666666666668</v>
      </c>
      <c r="G687" s="5">
        <f t="shared" si="34"/>
        <v>11.333333333333332</v>
      </c>
      <c r="H687" t="s">
        <v>361</v>
      </c>
    </row>
    <row r="688" spans="1:12" x14ac:dyDescent="0.25">
      <c r="A688" s="1">
        <f t="shared" si="33"/>
        <v>45499</v>
      </c>
      <c r="B688" s="31">
        <f>TIME(20,21,0)</f>
        <v>0.84791666666666676</v>
      </c>
      <c r="C688" t="str">
        <f>Inventory!A126</f>
        <v>Royco cubes</v>
      </c>
      <c r="D688" s="27">
        <v>4</v>
      </c>
      <c r="E688" s="5">
        <f>Table4[[#This Row],[qty]]*(VLOOKUP(Table4[[#This Row],[item_sold]],Table6[],4,FALSE))</f>
        <v>20</v>
      </c>
      <c r="F688" s="5">
        <f>(VLOOKUP(Table4[[#This Row],[item_sold]],Table6[],3,FALSE))*Table4[[#This Row],[qty]]</f>
        <v>12</v>
      </c>
      <c r="G688" s="5">
        <f t="shared" si="34"/>
        <v>8</v>
      </c>
      <c r="H688" t="s">
        <v>361</v>
      </c>
    </row>
    <row r="689" spans="1:9" x14ac:dyDescent="0.25">
      <c r="A689" s="1">
        <f t="shared" si="33"/>
        <v>45499</v>
      </c>
      <c r="B689" s="31">
        <f>TIME(20,26,0)</f>
        <v>0.85138888888888886</v>
      </c>
      <c r="C689" t="str">
        <f>Inventory!A23</f>
        <v>Mt kenya milk 500ml</v>
      </c>
      <c r="D689" s="27">
        <v>1</v>
      </c>
      <c r="E689" s="5">
        <f>Table4[[#This Row],[qty]]*(VLOOKUP(Table4[[#This Row],[item_sold]],Table6[],4,FALSE))</f>
        <v>65</v>
      </c>
      <c r="F689" s="5">
        <f>(VLOOKUP(Table4[[#This Row],[item_sold]],Table6[],3,FALSE))*Table4[[#This Row],[qty]]</f>
        <v>48.333333333333336</v>
      </c>
      <c r="G689" s="5">
        <f t="shared" si="34"/>
        <v>16.666666666666664</v>
      </c>
      <c r="H689" t="s">
        <v>361</v>
      </c>
    </row>
    <row r="690" spans="1:9" x14ac:dyDescent="0.25">
      <c r="A690" s="1">
        <f t="shared" si="33"/>
        <v>45499</v>
      </c>
      <c r="B690" s="31">
        <f>TIME(20,26,0)</f>
        <v>0.85138888888888886</v>
      </c>
      <c r="C690" t="str">
        <f>Inventory!A43</f>
        <v>Choc-chip Cookies</v>
      </c>
      <c r="D690" s="27">
        <v>1</v>
      </c>
      <c r="E690" s="5">
        <f>Table4[[#This Row],[qty]]*(VLOOKUP(Table4[[#This Row],[item_sold]],Table6[],4,FALSE))</f>
        <v>35</v>
      </c>
      <c r="F690" s="5">
        <f>(VLOOKUP(Table4[[#This Row],[item_sold]],Table6[],3,FALSE))*Table4[[#This Row],[qty]]</f>
        <v>25</v>
      </c>
      <c r="G690" s="5">
        <f t="shared" ref="G690:G697" si="35">E690-F690</f>
        <v>10</v>
      </c>
      <c r="H690" t="s">
        <v>361</v>
      </c>
    </row>
    <row r="691" spans="1:9" x14ac:dyDescent="0.25">
      <c r="A691" s="1">
        <f t="shared" si="33"/>
        <v>45499</v>
      </c>
      <c r="B691" s="31">
        <f>TIME(20,37,0)</f>
        <v>0.85902777777777783</v>
      </c>
      <c r="C691" t="str">
        <f>Inventory!A74</f>
        <v>kensalt 200g</v>
      </c>
      <c r="D691" s="27">
        <v>1</v>
      </c>
      <c r="E691" s="5">
        <f>Table4[[#This Row],[qty]]*(VLOOKUP(Table4[[#This Row],[item_sold]],Table6[],4,FALSE))</f>
        <v>15</v>
      </c>
      <c r="F691" s="5">
        <f>(VLOOKUP(Table4[[#This Row],[item_sold]],Table6[],3,FALSE))*Table4[[#This Row],[qty]]</f>
        <v>5.5</v>
      </c>
      <c r="G691" s="5">
        <f t="shared" si="35"/>
        <v>9.5</v>
      </c>
      <c r="H691" t="s">
        <v>361</v>
      </c>
    </row>
    <row r="692" spans="1:9" x14ac:dyDescent="0.25">
      <c r="A692" s="1">
        <f t="shared" si="33"/>
        <v>45499</v>
      </c>
      <c r="B692" s="31">
        <f>TIME(20,37,0)</f>
        <v>0.85902777777777783</v>
      </c>
      <c r="C692" t="str">
        <f>Inventory!A12</f>
        <v>predator</v>
      </c>
      <c r="D692" s="27">
        <v>1</v>
      </c>
      <c r="E692" s="5">
        <f>Table4[[#This Row],[qty]]*(VLOOKUP(Table4[[#This Row],[item_sold]],Table6[],4,FALSE))</f>
        <v>70</v>
      </c>
      <c r="F692" s="5">
        <f>(VLOOKUP(Table4[[#This Row],[item_sold]],Table6[],3,FALSE))*Table4[[#This Row],[qty]]</f>
        <v>54.166666666666664</v>
      </c>
      <c r="G692" s="5">
        <f t="shared" si="35"/>
        <v>15.833333333333336</v>
      </c>
      <c r="H692" t="s">
        <v>359</v>
      </c>
      <c r="I692" t="s">
        <v>401</v>
      </c>
    </row>
    <row r="693" spans="1:9" x14ac:dyDescent="0.25">
      <c r="A693" s="1">
        <f t="shared" si="33"/>
        <v>45499</v>
      </c>
      <c r="B693" s="31">
        <f>TIME(20,51,0)</f>
        <v>0.86875000000000002</v>
      </c>
      <c r="C693" t="str">
        <f>Inventory!A81</f>
        <v>eggs</v>
      </c>
      <c r="D693" s="27">
        <v>2</v>
      </c>
      <c r="E693" s="5">
        <f>Table4[[#This Row],[qty]]*(VLOOKUP(Table4[[#This Row],[item_sold]],Table6[],4,FALSE))</f>
        <v>40</v>
      </c>
      <c r="F693" s="5">
        <f>(VLOOKUP(Table4[[#This Row],[item_sold]],Table6[],3,FALSE))*Table4[[#This Row],[qty]]</f>
        <v>28.666666666666668</v>
      </c>
      <c r="G693" s="5">
        <f t="shared" si="35"/>
        <v>11.333333333333332</v>
      </c>
      <c r="H693" t="s">
        <v>359</v>
      </c>
      <c r="I693" t="s">
        <v>398</v>
      </c>
    </row>
    <row r="694" spans="1:9" x14ac:dyDescent="0.25">
      <c r="A694" s="1">
        <f t="shared" si="33"/>
        <v>45499</v>
      </c>
      <c r="B694" s="31">
        <f>TIME(20,51,0)</f>
        <v>0.86875000000000002</v>
      </c>
      <c r="C694" t="str">
        <f>Inventory!A116</f>
        <v>Tomatoes</v>
      </c>
      <c r="D694" s="27">
        <v>3</v>
      </c>
      <c r="E694" s="5">
        <f>Table4[[#This Row],[qty]]*(VLOOKUP(Table4[[#This Row],[item_sold]],Table6[],4,FALSE))</f>
        <v>30</v>
      </c>
      <c r="F694" s="5">
        <f>(VLOOKUP(Table4[[#This Row],[item_sold]],Table6[],3,FALSE))*Table4[[#This Row],[qty]]</f>
        <v>15</v>
      </c>
      <c r="G694" s="5">
        <f t="shared" si="35"/>
        <v>15</v>
      </c>
      <c r="H694" t="s">
        <v>359</v>
      </c>
      <c r="I694" t="s">
        <v>398</v>
      </c>
    </row>
    <row r="695" spans="1:9" x14ac:dyDescent="0.25">
      <c r="A695" s="1">
        <f t="shared" si="33"/>
        <v>45499</v>
      </c>
      <c r="B695" s="31">
        <f>TIME(20,53,0)</f>
        <v>0.87013888888888891</v>
      </c>
      <c r="C695" t="str">
        <f>Inventory!A125</f>
        <v>Dhania</v>
      </c>
      <c r="D695" s="27">
        <v>1</v>
      </c>
      <c r="E695" s="5">
        <f>Table4[[#This Row],[qty]]*(VLOOKUP(Table4[[#This Row],[item_sold]],Table6[],4,FALSE))</f>
        <v>5</v>
      </c>
      <c r="F695" s="5">
        <f>(VLOOKUP(Table4[[#This Row],[item_sold]],Table6[],3,FALSE))*Table4[[#This Row],[qty]]</f>
        <v>3.3333333333333335</v>
      </c>
      <c r="G695" s="5">
        <f t="shared" si="35"/>
        <v>1.6666666666666665</v>
      </c>
      <c r="H695" t="s">
        <v>361</v>
      </c>
    </row>
    <row r="696" spans="1:9" x14ac:dyDescent="0.25">
      <c r="A696" s="1">
        <f t="shared" si="33"/>
        <v>45499</v>
      </c>
      <c r="B696" s="31">
        <f>TIME(20,53,0)</f>
        <v>0.87013888888888891</v>
      </c>
      <c r="C696" t="str">
        <f>Inventory!A116</f>
        <v>Tomatoes</v>
      </c>
      <c r="D696" s="27">
        <v>2</v>
      </c>
      <c r="E696" s="5">
        <f>Table4[[#This Row],[qty]]*(VLOOKUP(Table4[[#This Row],[item_sold]],Table6[],4,FALSE))</f>
        <v>20</v>
      </c>
      <c r="F696" s="5">
        <f>(VLOOKUP(Table4[[#This Row],[item_sold]],Table6[],3,FALSE))*Table4[[#This Row],[qty]]</f>
        <v>10</v>
      </c>
      <c r="G696" s="5">
        <f t="shared" si="35"/>
        <v>10</v>
      </c>
      <c r="H696" t="s">
        <v>361</v>
      </c>
    </row>
    <row r="697" spans="1:9" x14ac:dyDescent="0.25">
      <c r="A697" s="1">
        <f t="shared" si="33"/>
        <v>45499</v>
      </c>
      <c r="B697" s="31">
        <f>TIME(20,53,0)</f>
        <v>0.87013888888888891</v>
      </c>
      <c r="C697" t="str">
        <f>Inventory!A13</f>
        <v>soda 300ml glass</v>
      </c>
      <c r="D697" s="27">
        <v>1</v>
      </c>
      <c r="E697" s="5">
        <f>Table4[[#This Row],[qty]]*(VLOOKUP(Table4[[#This Row],[item_sold]],Table6[],4,FALSE))</f>
        <v>40</v>
      </c>
      <c r="F697" s="5">
        <f>(VLOOKUP(Table4[[#This Row],[item_sold]],Table6[],3,FALSE))*Table4[[#This Row],[qty]]</f>
        <v>32.5</v>
      </c>
      <c r="G697" s="5">
        <f t="shared" si="35"/>
        <v>7.5</v>
      </c>
      <c r="H697" t="s">
        <v>361</v>
      </c>
    </row>
    <row r="698" spans="1:9" x14ac:dyDescent="0.25">
      <c r="A698" s="1">
        <f>DATE(2024,7,27)</f>
        <v>45500</v>
      </c>
      <c r="B698" s="31">
        <f>TIME(8,12,0)</f>
        <v>0.34166666666666662</v>
      </c>
      <c r="C698" t="str">
        <f>Inventory!A84</f>
        <v>Safari</v>
      </c>
      <c r="D698" s="27">
        <v>3</v>
      </c>
      <c r="E698" s="5">
        <f>Table4[[#This Row],[qty]]*(VLOOKUP(Table4[[#This Row],[item_sold]],Table6[],4,FALSE))</f>
        <v>45</v>
      </c>
      <c r="F698" s="5">
        <f>(VLOOKUP(Table4[[#This Row],[item_sold]],Table6[],3,FALSE))*Table4[[#This Row],[qty]]</f>
        <v>25.5</v>
      </c>
      <c r="G698" s="5">
        <f t="shared" ref="G698:G732" si="36">E698-F698</f>
        <v>19.5</v>
      </c>
      <c r="H698" t="s">
        <v>361</v>
      </c>
    </row>
    <row r="699" spans="1:9" x14ac:dyDescent="0.25">
      <c r="A699" s="1">
        <f t="shared" ref="A699:A765" si="37">DATE(2024,7,27)</f>
        <v>45500</v>
      </c>
      <c r="B699" s="31">
        <f>TIME(8,10,0)</f>
        <v>0.34027777777777773</v>
      </c>
      <c r="C699" t="str">
        <f>Inventory!A122</f>
        <v>Kinangop Fresh Milk 500ml</v>
      </c>
      <c r="D699" s="27">
        <v>1</v>
      </c>
      <c r="E699" s="5">
        <f>Table4[[#This Row],[qty]]*(VLOOKUP(Table4[[#This Row],[item_sold]],Table6[],4,FALSE))</f>
        <v>60</v>
      </c>
      <c r="F699" s="5">
        <f>(VLOOKUP(Table4[[#This Row],[item_sold]],Table6[],3,FALSE))*Table4[[#This Row],[qty]]</f>
        <v>55</v>
      </c>
      <c r="G699" s="5">
        <f t="shared" si="36"/>
        <v>5</v>
      </c>
      <c r="H699" t="s">
        <v>361</v>
      </c>
    </row>
    <row r="700" spans="1:9" x14ac:dyDescent="0.25">
      <c r="A700" s="1">
        <f t="shared" si="37"/>
        <v>45500</v>
      </c>
      <c r="B700" s="31">
        <f>TIME(8,12,0)</f>
        <v>0.34166666666666662</v>
      </c>
      <c r="C700" t="str">
        <f>Inventory!A17</f>
        <v>ilara 250g yoghurt</v>
      </c>
      <c r="D700" s="27">
        <v>1</v>
      </c>
      <c r="E700" s="5">
        <f>Table4[[#This Row],[qty]]*(VLOOKUP(Table4[[#This Row],[item_sold]],Table6[],4,FALSE))</f>
        <v>85</v>
      </c>
      <c r="F700" s="5">
        <f>(VLOOKUP(Table4[[#This Row],[item_sold]],Table6[],3,FALSE))*Table4[[#This Row],[qty]]</f>
        <v>73</v>
      </c>
      <c r="G700" s="5">
        <f t="shared" si="36"/>
        <v>12</v>
      </c>
      <c r="H700" t="s">
        <v>361</v>
      </c>
    </row>
    <row r="701" spans="1:9" x14ac:dyDescent="0.25">
      <c r="A701" s="1">
        <f t="shared" si="37"/>
        <v>45500</v>
      </c>
      <c r="B701" s="31">
        <f>TIME(8,12,0)</f>
        <v>0.34166666666666662</v>
      </c>
      <c r="C701" t="str">
        <f>Inventory!A39</f>
        <v>T.Heat Potato crisps vinegar and salt 25g</v>
      </c>
      <c r="D701" s="27">
        <v>2</v>
      </c>
      <c r="E701" s="5">
        <f>Table4[[#This Row],[qty]]*(VLOOKUP(Table4[[#This Row],[item_sold]],Table6[],4,FALSE))</f>
        <v>60</v>
      </c>
      <c r="F701" s="5">
        <f>(VLOOKUP(Table4[[#This Row],[item_sold]],Table6[],3,FALSE))*Table4[[#This Row],[qty]]</f>
        <v>45.833333333333336</v>
      </c>
      <c r="G701" s="5">
        <f t="shared" si="36"/>
        <v>14.166666666666664</v>
      </c>
      <c r="H701" t="s">
        <v>361</v>
      </c>
    </row>
    <row r="702" spans="1:9" x14ac:dyDescent="0.25">
      <c r="A702" s="1">
        <f t="shared" si="37"/>
        <v>45500</v>
      </c>
      <c r="B702" s="31">
        <f>TIME(8,20,0)</f>
        <v>0.34722222222222227</v>
      </c>
      <c r="C702" t="str">
        <f>Inventory!A30</f>
        <v>BB Bread 400g</v>
      </c>
      <c r="D702" s="27">
        <v>1</v>
      </c>
      <c r="E702" s="5">
        <f>Table4[[#This Row],[qty]]*(VLOOKUP(Table4[[#This Row],[item_sold]],Table6[],4,FALSE))</f>
        <v>65</v>
      </c>
      <c r="F702" s="5">
        <f>(VLOOKUP(Table4[[#This Row],[item_sold]],Table6[],3,FALSE))*Table4[[#This Row],[qty]]</f>
        <v>60</v>
      </c>
      <c r="G702" s="5">
        <f t="shared" si="36"/>
        <v>5</v>
      </c>
      <c r="H702" t="s">
        <v>361</v>
      </c>
    </row>
    <row r="703" spans="1:9" x14ac:dyDescent="0.25">
      <c r="A703" s="1">
        <f t="shared" si="37"/>
        <v>45500</v>
      </c>
      <c r="B703" s="31">
        <f>TIME(8,22,0)</f>
        <v>0.34861111111111115</v>
      </c>
      <c r="C703" t="str">
        <f>Inventory!A84</f>
        <v>Safari</v>
      </c>
      <c r="D703" s="27">
        <v>2</v>
      </c>
      <c r="E703" s="5">
        <f>Table4[[#This Row],[qty]]*(VLOOKUP(Table4[[#This Row],[item_sold]],Table6[],4,FALSE))</f>
        <v>30</v>
      </c>
      <c r="F703" s="5">
        <f>(VLOOKUP(Table4[[#This Row],[item_sold]],Table6[],3,FALSE))*Table4[[#This Row],[qty]]</f>
        <v>17</v>
      </c>
      <c r="G703" s="5">
        <f t="shared" si="36"/>
        <v>13</v>
      </c>
      <c r="H703" t="s">
        <v>361</v>
      </c>
    </row>
    <row r="704" spans="1:9" x14ac:dyDescent="0.25">
      <c r="A704" s="1">
        <f t="shared" si="37"/>
        <v>45500</v>
      </c>
      <c r="B704" s="31">
        <f>TIME(8,22,0)</f>
        <v>0.34861111111111115</v>
      </c>
      <c r="C704" t="str">
        <f>Inventory!A104</f>
        <v>Toss 100g</v>
      </c>
      <c r="D704" s="27">
        <v>1</v>
      </c>
      <c r="E704" s="5">
        <f>Table4[[#This Row],[qty]]*(VLOOKUP(Table4[[#This Row],[item_sold]],Table6[],4,FALSE))</f>
        <v>60</v>
      </c>
      <c r="F704" s="5">
        <f>(VLOOKUP(Table4[[#This Row],[item_sold]],Table6[],3,FALSE))*Table4[[#This Row],[qty]]</f>
        <v>36.666666666666664</v>
      </c>
      <c r="G704" s="5">
        <f t="shared" si="36"/>
        <v>23.333333333333336</v>
      </c>
      <c r="H704" t="s">
        <v>361</v>
      </c>
    </row>
    <row r="705" spans="1:12" x14ac:dyDescent="0.25">
      <c r="A705" s="1">
        <f t="shared" si="37"/>
        <v>45500</v>
      </c>
      <c r="B705" s="31">
        <f>TIME(8,22,0)</f>
        <v>0.34861111111111115</v>
      </c>
      <c r="C705" t="str">
        <f>Inventory!A110</f>
        <v>omo 75g</v>
      </c>
      <c r="D705" s="27">
        <v>1</v>
      </c>
      <c r="E705" s="5">
        <f>Table4[[#This Row],[qty]]*(VLOOKUP(Table4[[#This Row],[item_sold]],Table6[],4,FALSE))</f>
        <v>35</v>
      </c>
      <c r="F705" s="5">
        <f>(VLOOKUP(Table4[[#This Row],[item_sold]],Table6[],3,FALSE))*Table4[[#This Row],[qty]]</f>
        <v>27.5</v>
      </c>
      <c r="G705" s="5">
        <f t="shared" si="36"/>
        <v>7.5</v>
      </c>
      <c r="H705" t="s">
        <v>361</v>
      </c>
    </row>
    <row r="706" spans="1:12" x14ac:dyDescent="0.25">
      <c r="A706" s="1">
        <f t="shared" si="37"/>
        <v>45500</v>
      </c>
      <c r="B706" s="31">
        <f>TIME(8,25,0)</f>
        <v>0.35069444444444442</v>
      </c>
      <c r="C706" t="str">
        <f>Inventory!A132</f>
        <v>Festive Bread 400g</v>
      </c>
      <c r="D706" s="27">
        <v>1</v>
      </c>
      <c r="E706" s="5">
        <f>Table4[[#This Row],[qty]]*(VLOOKUP(Table4[[#This Row],[item_sold]],Table6[],4,FALSE))</f>
        <v>65</v>
      </c>
      <c r="F706" s="5">
        <f>(VLOOKUP(Table4[[#This Row],[item_sold]],Table6[],3,FALSE))*Table4[[#This Row],[qty]]</f>
        <v>60</v>
      </c>
      <c r="G706" s="5">
        <f t="shared" si="36"/>
        <v>5</v>
      </c>
      <c r="H706" t="s">
        <v>247</v>
      </c>
    </row>
    <row r="707" spans="1:12" x14ac:dyDescent="0.25">
      <c r="A707" s="1">
        <f t="shared" si="37"/>
        <v>45500</v>
      </c>
      <c r="B707" s="31">
        <f>TIME(8,25,0)</f>
        <v>0.35069444444444442</v>
      </c>
      <c r="C707" t="str">
        <f>Inventory!A23</f>
        <v>Mt kenya milk 500ml</v>
      </c>
      <c r="D707" s="27">
        <v>2</v>
      </c>
      <c r="E707" s="5">
        <f>Table4[[#This Row],[qty]]*(VLOOKUP(Table4[[#This Row],[item_sold]],Table6[],4,FALSE))</f>
        <v>130</v>
      </c>
      <c r="F707" s="5">
        <f>(VLOOKUP(Table4[[#This Row],[item_sold]],Table6[],3,FALSE))*Table4[[#This Row],[qty]]</f>
        <v>96.666666666666671</v>
      </c>
      <c r="G707" s="5">
        <f t="shared" si="36"/>
        <v>33.333333333333329</v>
      </c>
      <c r="H707" t="s">
        <v>247</v>
      </c>
    </row>
    <row r="708" spans="1:12" x14ac:dyDescent="0.25">
      <c r="A708" s="1">
        <f t="shared" si="37"/>
        <v>45500</v>
      </c>
      <c r="B708" s="31">
        <f>TIME(8,30,0)</f>
        <v>0.35416666666666669</v>
      </c>
      <c r="C708" t="str">
        <f>Inventory!A30</f>
        <v>BB Bread 400g</v>
      </c>
      <c r="D708" s="27">
        <v>1</v>
      </c>
      <c r="E708" s="5">
        <f>Table4[[#This Row],[qty]]*(VLOOKUP(Table4[[#This Row],[item_sold]],Table6[],4,FALSE))</f>
        <v>65</v>
      </c>
      <c r="F708" s="5">
        <f>(VLOOKUP(Table4[[#This Row],[item_sold]],Table6[],3,FALSE))*Table4[[#This Row],[qty]]</f>
        <v>60</v>
      </c>
      <c r="G708" s="5">
        <f t="shared" si="36"/>
        <v>5</v>
      </c>
      <c r="H708" t="s">
        <v>247</v>
      </c>
    </row>
    <row r="709" spans="1:12" x14ac:dyDescent="0.25">
      <c r="A709" s="1">
        <f t="shared" si="37"/>
        <v>45500</v>
      </c>
      <c r="B709" s="31">
        <f>TIME(8,35,0)</f>
        <v>0.3576388888888889</v>
      </c>
      <c r="C709" t="str">
        <f>Inventory!A122</f>
        <v>Kinangop Fresh Milk 500ml</v>
      </c>
      <c r="D709" s="27">
        <v>1</v>
      </c>
      <c r="E709" s="5">
        <f>Table4[[#This Row],[qty]]*(VLOOKUP(Table4[[#This Row],[item_sold]],Table6[],4,FALSE))</f>
        <v>60</v>
      </c>
      <c r="F709" s="5">
        <f>(VLOOKUP(Table4[[#This Row],[item_sold]],Table6[],3,FALSE))*Table4[[#This Row],[qty]]</f>
        <v>55</v>
      </c>
      <c r="G709" s="5">
        <f t="shared" si="36"/>
        <v>5</v>
      </c>
      <c r="H709" t="s">
        <v>359</v>
      </c>
      <c r="I709" t="s">
        <v>385</v>
      </c>
    </row>
    <row r="710" spans="1:12" x14ac:dyDescent="0.25">
      <c r="A710" s="1">
        <f t="shared" si="37"/>
        <v>45500</v>
      </c>
      <c r="B710" s="31">
        <f>TIME(8,35,0)</f>
        <v>0.3576388888888889</v>
      </c>
      <c r="C710" t="str">
        <f>Inventory!A30</f>
        <v>BB Bread 400g</v>
      </c>
      <c r="D710" s="27">
        <v>1</v>
      </c>
      <c r="E710" s="5">
        <f>Table4[[#This Row],[qty]]*(VLOOKUP(Table4[[#This Row],[item_sold]],Table6[],4,FALSE))</f>
        <v>65</v>
      </c>
      <c r="F710" s="5">
        <f>(VLOOKUP(Table4[[#This Row],[item_sold]],Table6[],3,FALSE))*Table4[[#This Row],[qty]]</f>
        <v>60</v>
      </c>
      <c r="G710" s="5">
        <f t="shared" si="36"/>
        <v>5</v>
      </c>
      <c r="H710" t="s">
        <v>359</v>
      </c>
      <c r="I710" t="s">
        <v>385</v>
      </c>
    </row>
    <row r="711" spans="1:12" x14ac:dyDescent="0.25">
      <c r="A711" s="1">
        <f t="shared" si="37"/>
        <v>45500</v>
      </c>
      <c r="B711" s="31">
        <f>TIME(9,6,0)</f>
        <v>0.37916666666666665</v>
      </c>
      <c r="C711" t="str">
        <f>Inventory!A81</f>
        <v>eggs</v>
      </c>
      <c r="D711" s="27">
        <v>3</v>
      </c>
      <c r="E711" s="5">
        <f>Table4[[#This Row],[qty]]*(VLOOKUP(Table4[[#This Row],[item_sold]],Table6[],4,FALSE))</f>
        <v>60</v>
      </c>
      <c r="F711" s="5">
        <f>(VLOOKUP(Table4[[#This Row],[item_sold]],Table6[],3,FALSE))*Table4[[#This Row],[qty]]</f>
        <v>43</v>
      </c>
      <c r="G711" s="5">
        <f t="shared" si="36"/>
        <v>17</v>
      </c>
      <c r="H711" t="s">
        <v>361</v>
      </c>
    </row>
    <row r="712" spans="1:12" x14ac:dyDescent="0.25">
      <c r="A712" s="1">
        <f t="shared" si="37"/>
        <v>45500</v>
      </c>
      <c r="B712" s="31">
        <f>TIME(9,6,0)</f>
        <v>0.37916666666666665</v>
      </c>
      <c r="C712" t="str">
        <f>Inventory!A84</f>
        <v>Safari</v>
      </c>
      <c r="D712" s="27">
        <v>1</v>
      </c>
      <c r="E712" s="5">
        <f>Table4[[#This Row],[qty]]*(VLOOKUP(Table4[[#This Row],[item_sold]],Table6[],4,FALSE))</f>
        <v>15</v>
      </c>
      <c r="F712" s="5">
        <f>(VLOOKUP(Table4[[#This Row],[item_sold]],Table6[],3,FALSE))*Table4[[#This Row],[qty]]</f>
        <v>8.5</v>
      </c>
      <c r="G712" s="5">
        <f t="shared" si="36"/>
        <v>6.5</v>
      </c>
      <c r="H712" t="s">
        <v>247</v>
      </c>
    </row>
    <row r="713" spans="1:12" x14ac:dyDescent="0.25">
      <c r="A713" s="1">
        <f t="shared" si="37"/>
        <v>45500</v>
      </c>
      <c r="B713" s="31">
        <f>TIME(9,49,0)</f>
        <v>0.40902777777777777</v>
      </c>
      <c r="C713" t="str">
        <f>Inventory!A30</f>
        <v>BB Bread 400g</v>
      </c>
      <c r="D713" s="27">
        <v>1</v>
      </c>
      <c r="E713" s="5">
        <f>Table4[[#This Row],[qty]]*(VLOOKUP(Table4[[#This Row],[item_sold]],Table6[],4,FALSE))</f>
        <v>65</v>
      </c>
      <c r="F713" s="5">
        <f>(VLOOKUP(Table4[[#This Row],[item_sold]],Table6[],3,FALSE))*Table4[[#This Row],[qty]]</f>
        <v>60</v>
      </c>
      <c r="G713" s="5">
        <f t="shared" si="36"/>
        <v>5</v>
      </c>
      <c r="H713" t="s">
        <v>359</v>
      </c>
      <c r="I713" t="s">
        <v>401</v>
      </c>
      <c r="J713" t="s">
        <v>401</v>
      </c>
      <c r="K713">
        <v>40</v>
      </c>
      <c r="L713" t="s">
        <v>247</v>
      </c>
    </row>
    <row r="714" spans="1:12" x14ac:dyDescent="0.25">
      <c r="A714" s="1">
        <f t="shared" si="37"/>
        <v>45500</v>
      </c>
      <c r="B714" s="31">
        <f>TIME(9,49,0)</f>
        <v>0.40902777777777777</v>
      </c>
      <c r="C714" t="str">
        <f>Inventory!A149</f>
        <v>Menengai Bar 1kg</v>
      </c>
      <c r="D714" s="27">
        <v>0.2</v>
      </c>
      <c r="E714" s="5">
        <f>Table4[[#This Row],[qty]]*(VLOOKUP(Table4[[#This Row],[item_sold]],Table6[],4,FALSE))</f>
        <v>50</v>
      </c>
      <c r="F714" s="5">
        <f>(VLOOKUP(Table4[[#This Row],[item_sold]],Table6[],3,FALSE))*Table4[[#This Row],[qty]]</f>
        <v>38</v>
      </c>
      <c r="G714" s="5">
        <f t="shared" si="36"/>
        <v>12</v>
      </c>
      <c r="H714" t="s">
        <v>359</v>
      </c>
      <c r="I714" t="s">
        <v>401</v>
      </c>
    </row>
    <row r="715" spans="1:12" x14ac:dyDescent="0.25">
      <c r="A715" s="1">
        <f t="shared" si="37"/>
        <v>45500</v>
      </c>
      <c r="B715" s="31">
        <f>TIME(9,58,0)</f>
        <v>0.4152777777777778</v>
      </c>
      <c r="C715" t="str">
        <f>Inventory!A132</f>
        <v>Festive Bread 400g</v>
      </c>
      <c r="D715" s="27">
        <v>1</v>
      </c>
      <c r="E715" s="5">
        <f>Table4[[#This Row],[qty]]*(VLOOKUP(Table4[[#This Row],[item_sold]],Table6[],4,FALSE))</f>
        <v>65</v>
      </c>
      <c r="F715" s="5">
        <f>(VLOOKUP(Table4[[#This Row],[item_sold]],Table6[],3,FALSE))*Table4[[#This Row],[qty]]</f>
        <v>60</v>
      </c>
      <c r="G715" s="5">
        <f t="shared" si="36"/>
        <v>5</v>
      </c>
      <c r="H715" t="s">
        <v>361</v>
      </c>
    </row>
    <row r="716" spans="1:12" x14ac:dyDescent="0.25">
      <c r="A716" s="1">
        <f t="shared" si="37"/>
        <v>45500</v>
      </c>
      <c r="B716" s="31">
        <f>TIME(9,56,0)</f>
        <v>0.41388888888888892</v>
      </c>
      <c r="C716" t="str">
        <f>Inventory!A81</f>
        <v>eggs</v>
      </c>
      <c r="D716" s="27">
        <v>10</v>
      </c>
      <c r="E716" s="5">
        <f>Table4[[#This Row],[qty]]*(VLOOKUP(Table4[[#This Row],[item_sold]],Table6[],4,FALSE))</f>
        <v>200</v>
      </c>
      <c r="F716" s="5">
        <f>(VLOOKUP(Table4[[#This Row],[item_sold]],Table6[],3,FALSE))*Table4[[#This Row],[qty]]</f>
        <v>143.33333333333334</v>
      </c>
      <c r="G716" s="5">
        <f t="shared" si="36"/>
        <v>56.666666666666657</v>
      </c>
      <c r="H716" t="s">
        <v>361</v>
      </c>
    </row>
    <row r="717" spans="1:12" x14ac:dyDescent="0.25">
      <c r="A717" s="1">
        <f t="shared" si="37"/>
        <v>45500</v>
      </c>
      <c r="B717" s="31">
        <f>TIME(10,4,0)</f>
        <v>0.41944444444444445</v>
      </c>
      <c r="C717" t="str">
        <f>Inventory!A71</f>
        <v>Indomie chicken</v>
      </c>
      <c r="D717" s="27">
        <v>1</v>
      </c>
      <c r="E717" s="5">
        <f>Table4[[#This Row],[qty]]*(VLOOKUP(Table4[[#This Row],[item_sold]],Table6[],4,FALSE))</f>
        <v>50</v>
      </c>
      <c r="F717" s="5">
        <f>(VLOOKUP(Table4[[#This Row],[item_sold]],Table6[],3,FALSE))*Table4[[#This Row],[qty]]</f>
        <v>37.5</v>
      </c>
      <c r="G717" s="5">
        <f t="shared" si="36"/>
        <v>12.5</v>
      </c>
      <c r="H717" t="s">
        <v>247</v>
      </c>
    </row>
    <row r="718" spans="1:12" x14ac:dyDescent="0.25">
      <c r="A718" s="1">
        <f t="shared" si="37"/>
        <v>45500</v>
      </c>
      <c r="B718" s="31">
        <f>TIME(10,4,0)</f>
        <v>0.41944444444444445</v>
      </c>
      <c r="C718" t="str">
        <f>Inventory!A81</f>
        <v>eggs</v>
      </c>
      <c r="D718" s="27">
        <v>2</v>
      </c>
      <c r="E718" s="5">
        <f>Table4[[#This Row],[qty]]*(VLOOKUP(Table4[[#This Row],[item_sold]],Table6[],4,FALSE))</f>
        <v>40</v>
      </c>
      <c r="F718" s="5">
        <f>(VLOOKUP(Table4[[#This Row],[item_sold]],Table6[],3,FALSE))*Table4[[#This Row],[qty]]</f>
        <v>28.666666666666668</v>
      </c>
      <c r="G718" s="5">
        <f t="shared" si="36"/>
        <v>11.333333333333332</v>
      </c>
      <c r="H718" t="s">
        <v>247</v>
      </c>
    </row>
    <row r="719" spans="1:12" x14ac:dyDescent="0.25">
      <c r="A719" s="1">
        <f t="shared" si="37"/>
        <v>45500</v>
      </c>
      <c r="B719" s="31">
        <f>TIME(10,18,0)</f>
        <v>0.4291666666666667</v>
      </c>
      <c r="C719" t="str">
        <f>Inventory!A84</f>
        <v>Safari</v>
      </c>
      <c r="D719" s="27">
        <v>3</v>
      </c>
      <c r="E719" s="5">
        <f>Table4[[#This Row],[qty]]*(VLOOKUP(Table4[[#This Row],[item_sold]],Table6[],4,FALSE))</f>
        <v>45</v>
      </c>
      <c r="F719" s="5">
        <f>(VLOOKUP(Table4[[#This Row],[item_sold]],Table6[],3,FALSE))*Table4[[#This Row],[qty]]</f>
        <v>25.5</v>
      </c>
      <c r="G719" s="5">
        <f t="shared" si="36"/>
        <v>19.5</v>
      </c>
      <c r="H719" t="s">
        <v>361</v>
      </c>
    </row>
    <row r="720" spans="1:12" x14ac:dyDescent="0.25">
      <c r="A720" s="1">
        <f t="shared" si="37"/>
        <v>45500</v>
      </c>
      <c r="B720" s="31">
        <f>TIME(10,23,0)</f>
        <v>0.43263888888888885</v>
      </c>
      <c r="C720" t="str">
        <f>Inventory!A30</f>
        <v>BB Bread 400g</v>
      </c>
      <c r="D720" s="27">
        <v>1</v>
      </c>
      <c r="E720" s="5">
        <f>Table4[[#This Row],[qty]]*(VLOOKUP(Table4[[#This Row],[item_sold]],Table6[],4,FALSE))</f>
        <v>65</v>
      </c>
      <c r="F720" s="5">
        <f>(VLOOKUP(Table4[[#This Row],[item_sold]],Table6[],3,FALSE))*Table4[[#This Row],[qty]]</f>
        <v>60</v>
      </c>
      <c r="G720" s="5">
        <f t="shared" si="36"/>
        <v>5</v>
      </c>
      <c r="H720" t="s">
        <v>247</v>
      </c>
    </row>
    <row r="721" spans="1:9" x14ac:dyDescent="0.25">
      <c r="A721" s="1">
        <f t="shared" si="37"/>
        <v>45500</v>
      </c>
      <c r="B721" s="31">
        <f>TIME(10,25,0)</f>
        <v>0.43402777777777773</v>
      </c>
      <c r="C721" t="str">
        <f>Inventory!A61</f>
        <v>Bigdaddy</v>
      </c>
      <c r="D721" s="27">
        <v>2</v>
      </c>
      <c r="E721" s="5">
        <f>Table4[[#This Row],[qty]]*(VLOOKUP(Table4[[#This Row],[item_sold]],Table6[],4,FALSE))</f>
        <v>20</v>
      </c>
      <c r="F721" s="5">
        <f>(VLOOKUP(Table4[[#This Row],[item_sold]],Table6[],3,FALSE))*Table4[[#This Row],[qty]]</f>
        <v>12</v>
      </c>
      <c r="G721" s="5">
        <f t="shared" si="36"/>
        <v>8</v>
      </c>
      <c r="H721" t="s">
        <v>247</v>
      </c>
    </row>
    <row r="722" spans="1:9" x14ac:dyDescent="0.25">
      <c r="A722" s="1">
        <f t="shared" si="37"/>
        <v>45500</v>
      </c>
      <c r="B722" s="31">
        <f>TIME(10,29,0)</f>
        <v>0.4368055555555555</v>
      </c>
      <c r="C722" t="str">
        <f>Inventory!A27</f>
        <v>Fahari Tea 15g</v>
      </c>
      <c r="D722" s="27">
        <v>1</v>
      </c>
      <c r="E722" s="5">
        <f>Table4[[#This Row],[qty]]*(VLOOKUP(Table4[[#This Row],[item_sold]],Table6[],4,FALSE))</f>
        <v>15</v>
      </c>
      <c r="F722" s="5">
        <f>(VLOOKUP(Table4[[#This Row],[item_sold]],Table6[],3,FALSE))*Table4[[#This Row],[qty]]</f>
        <v>9.1666666666666661</v>
      </c>
      <c r="G722" s="5">
        <f t="shared" si="36"/>
        <v>5.8333333333333339</v>
      </c>
      <c r="H722" t="s">
        <v>359</v>
      </c>
      <c r="I722" t="s">
        <v>401</v>
      </c>
    </row>
    <row r="723" spans="1:9" x14ac:dyDescent="0.25">
      <c r="A723" s="1">
        <f t="shared" si="37"/>
        <v>45500</v>
      </c>
      <c r="B723" s="31">
        <f>TIME(10,29,0)</f>
        <v>0.4368055555555555</v>
      </c>
      <c r="C723" t="str">
        <f>Inventory!A26</f>
        <v>Nescafe 1.5g</v>
      </c>
      <c r="D723" s="27">
        <v>1</v>
      </c>
      <c r="E723" s="5">
        <f>Table4[[#This Row],[qty]]*(VLOOKUP(Table4[[#This Row],[item_sold]],Table6[],4,FALSE))</f>
        <v>15</v>
      </c>
      <c r="F723" s="5">
        <f>(VLOOKUP(Table4[[#This Row],[item_sold]],Table6[],3,FALSE))*Table4[[#This Row],[qty]]</f>
        <v>9.1666666666666661</v>
      </c>
      <c r="G723" s="5">
        <f t="shared" si="36"/>
        <v>5.8333333333333339</v>
      </c>
      <c r="H723" t="s">
        <v>359</v>
      </c>
      <c r="I723" t="s">
        <v>401</v>
      </c>
    </row>
    <row r="724" spans="1:9" x14ac:dyDescent="0.25">
      <c r="A724" s="1">
        <f t="shared" si="37"/>
        <v>45500</v>
      </c>
      <c r="B724" s="31">
        <f>TIME(10,29,0)</f>
        <v>0.4368055555555555</v>
      </c>
      <c r="C724" t="str">
        <f>Inventory!A23</f>
        <v>Mt kenya milk 500ml</v>
      </c>
      <c r="D724" s="27">
        <v>2</v>
      </c>
      <c r="E724" s="5">
        <f>Table4[[#This Row],[qty]]*(VLOOKUP(Table4[[#This Row],[item_sold]],Table6[],4,FALSE))</f>
        <v>130</v>
      </c>
      <c r="F724" s="5">
        <f>(VLOOKUP(Table4[[#This Row],[item_sold]],Table6[],3,FALSE))*Table4[[#This Row],[qty]]</f>
        <v>96.666666666666671</v>
      </c>
      <c r="G724" s="5">
        <f t="shared" si="36"/>
        <v>33.333333333333329</v>
      </c>
      <c r="H724" t="s">
        <v>361</v>
      </c>
    </row>
    <row r="725" spans="1:9" x14ac:dyDescent="0.25">
      <c r="A725" s="1">
        <f t="shared" si="37"/>
        <v>45500</v>
      </c>
      <c r="B725" s="31">
        <f>TIME(11,46,0)</f>
        <v>0.49027777777777781</v>
      </c>
      <c r="C725" t="str">
        <f>Inventory!A50</f>
        <v>Ring Cake</v>
      </c>
      <c r="D725" s="27">
        <v>1</v>
      </c>
      <c r="E725" s="5">
        <f>Table4[[#This Row],[qty]]*(VLOOKUP(Table4[[#This Row],[item_sold]],Table6[],4,FALSE))</f>
        <v>50</v>
      </c>
      <c r="F725" s="5">
        <f>(VLOOKUP(Table4[[#This Row],[item_sold]],Table6[],3,FALSE))*Table4[[#This Row],[qty]]</f>
        <v>45</v>
      </c>
      <c r="G725" s="5">
        <f t="shared" si="36"/>
        <v>5</v>
      </c>
      <c r="H725" t="s">
        <v>361</v>
      </c>
    </row>
    <row r="726" spans="1:9" x14ac:dyDescent="0.25">
      <c r="A726" s="1">
        <f t="shared" si="37"/>
        <v>45500</v>
      </c>
      <c r="B726" s="31">
        <f>TIME(11,56,0)</f>
        <v>0.49722222222222223</v>
      </c>
      <c r="C726" t="str">
        <f>Inventory!A113</f>
        <v>Downy lavender</v>
      </c>
      <c r="D726" s="27">
        <v>1</v>
      </c>
      <c r="E726" s="5">
        <f>Table4[[#This Row],[qty]]*(VLOOKUP(Table4[[#This Row],[item_sold]],Table6[],4,FALSE))</f>
        <v>20</v>
      </c>
      <c r="F726" s="5">
        <f>(VLOOKUP(Table4[[#This Row],[item_sold]],Table6[],3,FALSE))*Table4[[#This Row],[qty]]</f>
        <v>17.333333333333332</v>
      </c>
      <c r="G726" s="5">
        <f t="shared" si="36"/>
        <v>2.6666666666666679</v>
      </c>
      <c r="H726" t="s">
        <v>247</v>
      </c>
    </row>
    <row r="727" spans="1:9" x14ac:dyDescent="0.25">
      <c r="A727" s="1">
        <f t="shared" si="37"/>
        <v>45500</v>
      </c>
      <c r="B727" s="31">
        <f>TIME(12,13,0)</f>
        <v>0.50902777777777775</v>
      </c>
      <c r="C727" t="str">
        <f>Inventory!A109</f>
        <v>ariel 10g</v>
      </c>
      <c r="D727" s="27">
        <v>1</v>
      </c>
      <c r="E727" s="5">
        <f>Table4[[#This Row],[qty]]*(VLOOKUP(Table4[[#This Row],[item_sold]],Table6[],4,FALSE))</f>
        <v>15</v>
      </c>
      <c r="F727" s="5">
        <f>(VLOOKUP(Table4[[#This Row],[item_sold]],Table6[],3,FALSE))*Table4[[#This Row],[qty]]</f>
        <v>9.1666666666666661</v>
      </c>
      <c r="G727" s="5">
        <f t="shared" si="36"/>
        <v>5.8333333333333339</v>
      </c>
      <c r="H727" t="s">
        <v>361</v>
      </c>
    </row>
    <row r="728" spans="1:9" x14ac:dyDescent="0.25">
      <c r="A728" s="1">
        <f t="shared" si="37"/>
        <v>45500</v>
      </c>
      <c r="B728" s="31">
        <f>TIME(12,13,0)</f>
        <v>0.50902777777777775</v>
      </c>
      <c r="C728" t="str">
        <f>Inventory!A81</f>
        <v>eggs</v>
      </c>
      <c r="D728" s="27">
        <v>2</v>
      </c>
      <c r="E728" s="5">
        <f>Table4[[#This Row],[qty]]*(VLOOKUP(Table4[[#This Row],[item_sold]],Table6[],4,FALSE))</f>
        <v>40</v>
      </c>
      <c r="F728" s="5">
        <f>(VLOOKUP(Table4[[#This Row],[item_sold]],Table6[],3,FALSE))*Table4[[#This Row],[qty]]</f>
        <v>28.666666666666668</v>
      </c>
      <c r="G728" s="5">
        <f t="shared" si="36"/>
        <v>11.333333333333332</v>
      </c>
      <c r="H728" t="s">
        <v>361</v>
      </c>
    </row>
    <row r="729" spans="1:9" x14ac:dyDescent="0.25">
      <c r="A729" s="1">
        <f t="shared" si="37"/>
        <v>45500</v>
      </c>
      <c r="B729" s="31">
        <f>TIME(12,43,0)</f>
        <v>0.52986111111111112</v>
      </c>
      <c r="C729" t="str">
        <f>Inventory!A117</f>
        <v>Cooking Oil Measured</v>
      </c>
      <c r="D729" s="27">
        <v>0.5</v>
      </c>
      <c r="E729" s="5">
        <f>Table4[[#This Row],[qty]]*(VLOOKUP(Table4[[#This Row],[item_sold]],Table6[],4,FALSE))</f>
        <v>140</v>
      </c>
      <c r="F729" s="5">
        <f>(VLOOKUP(Table4[[#This Row],[item_sold]],Table6[],3,FALSE))*Table4[[#This Row],[qty]]</f>
        <v>100</v>
      </c>
      <c r="G729" s="5">
        <f t="shared" si="36"/>
        <v>40</v>
      </c>
      <c r="H729" t="s">
        <v>359</v>
      </c>
      <c r="I729" t="s">
        <v>384</v>
      </c>
    </row>
    <row r="730" spans="1:9" x14ac:dyDescent="0.25">
      <c r="A730" s="1">
        <f t="shared" si="37"/>
        <v>45500</v>
      </c>
      <c r="B730" s="31">
        <f>TIME(12,43,0)</f>
        <v>0.52986111111111112</v>
      </c>
      <c r="C730" t="str">
        <f>Inventory!A126</f>
        <v>Royco cubes</v>
      </c>
      <c r="D730" s="27">
        <v>2</v>
      </c>
      <c r="E730" s="5">
        <f>Table4[[#This Row],[qty]]*(VLOOKUP(Table4[[#This Row],[item_sold]],Table6[],4,FALSE))</f>
        <v>10</v>
      </c>
      <c r="F730" s="5">
        <f>(VLOOKUP(Table4[[#This Row],[item_sold]],Table6[],3,FALSE))*Table4[[#This Row],[qty]]</f>
        <v>6</v>
      </c>
      <c r="G730" s="5">
        <f t="shared" si="36"/>
        <v>4</v>
      </c>
      <c r="H730" t="s">
        <v>359</v>
      </c>
      <c r="I730" t="s">
        <v>384</v>
      </c>
    </row>
    <row r="731" spans="1:9" x14ac:dyDescent="0.25">
      <c r="A731" s="1">
        <f t="shared" si="37"/>
        <v>45500</v>
      </c>
      <c r="B731" s="31">
        <f>TIME(12,49,0)</f>
        <v>0.53402777777777777</v>
      </c>
      <c r="C731" t="str">
        <f>Inventory!A137</f>
        <v>Safaricom 50 Credit</v>
      </c>
      <c r="D731" s="27">
        <v>1</v>
      </c>
      <c r="E731" s="5">
        <f>Table4[[#This Row],[qty]]*(VLOOKUP(Table4[[#This Row],[item_sold]],Table6[],4,FALSE))</f>
        <v>50</v>
      </c>
      <c r="F731" s="5">
        <f>(VLOOKUP(Table4[[#This Row],[item_sold]],Table6[],3,FALSE))*Table4[[#This Row],[qty]]</f>
        <v>47</v>
      </c>
      <c r="G731" s="5">
        <f t="shared" si="36"/>
        <v>3</v>
      </c>
      <c r="H731" t="s">
        <v>247</v>
      </c>
    </row>
    <row r="732" spans="1:9" x14ac:dyDescent="0.25">
      <c r="A732" s="1">
        <f t="shared" si="37"/>
        <v>45500</v>
      </c>
      <c r="B732" s="31">
        <f>TIME(13,26,0)</f>
        <v>0.55972222222222223</v>
      </c>
      <c r="C732" t="str">
        <f>Inventory!A36</f>
        <v>Tamu  Tamu Green</v>
      </c>
      <c r="D732" s="27">
        <v>2</v>
      </c>
      <c r="E732" s="5">
        <f>Table4[[#This Row],[qty]]*(VLOOKUP(Table4[[#This Row],[item_sold]],Table6[],4,FALSE))</f>
        <v>30</v>
      </c>
      <c r="F732" s="5">
        <f>(VLOOKUP(Table4[[#This Row],[item_sold]],Table6[],3,FALSE))*Table4[[#This Row],[qty]]</f>
        <v>17.2</v>
      </c>
      <c r="G732" s="5">
        <f t="shared" si="36"/>
        <v>12.8</v>
      </c>
      <c r="H732" t="s">
        <v>247</v>
      </c>
    </row>
    <row r="733" spans="1:9" x14ac:dyDescent="0.25">
      <c r="A733" s="1">
        <f t="shared" si="37"/>
        <v>45500</v>
      </c>
      <c r="B733" s="31">
        <f>TIME(13,26,0)</f>
        <v>0.55972222222222223</v>
      </c>
      <c r="C733" t="str">
        <f>Inventory!A64</f>
        <v>Sodacans</v>
      </c>
      <c r="D733" s="27">
        <v>1</v>
      </c>
      <c r="E733" s="5">
        <f>Table4[[#This Row],[qty]]*(VLOOKUP(Table4[[#This Row],[item_sold]],Table6[],4,FALSE))</f>
        <v>20</v>
      </c>
      <c r="F733" s="5">
        <f>(VLOOKUP(Table4[[#This Row],[item_sold]],Table6[],3,FALSE))*Table4[[#This Row],[qty]]</f>
        <v>15</v>
      </c>
      <c r="G733" s="5">
        <f t="shared" ref="G733:G765" si="38">E733-F733</f>
        <v>5</v>
      </c>
      <c r="H733" t="s">
        <v>247</v>
      </c>
    </row>
    <row r="734" spans="1:9" x14ac:dyDescent="0.25">
      <c r="A734" s="1">
        <f t="shared" si="37"/>
        <v>45500</v>
      </c>
      <c r="B734" s="31">
        <f>TIME(13,26,0)</f>
        <v>0.55972222222222223</v>
      </c>
      <c r="C734" t="str">
        <f>Inventory!A48</f>
        <v>Ginger Bisquit</v>
      </c>
      <c r="D734" s="27">
        <v>3</v>
      </c>
      <c r="E734" s="5">
        <f>Table4[[#This Row],[qty]]*(VLOOKUP(Table4[[#This Row],[item_sold]],Table6[],4,FALSE))</f>
        <v>15</v>
      </c>
      <c r="F734" s="5">
        <f>(VLOOKUP(Table4[[#This Row],[item_sold]],Table6[],3,FALSE))*Table4[[#This Row],[qty]]</f>
        <v>13</v>
      </c>
      <c r="G734" s="5">
        <f t="shared" si="38"/>
        <v>2</v>
      </c>
      <c r="H734" t="s">
        <v>247</v>
      </c>
    </row>
    <row r="735" spans="1:9" x14ac:dyDescent="0.25">
      <c r="A735" s="1">
        <f t="shared" si="37"/>
        <v>45500</v>
      </c>
      <c r="B735" s="31">
        <f>TIME(13,26,0)</f>
        <v>0.55972222222222223</v>
      </c>
      <c r="C735" t="str">
        <f>Inventory!A133</f>
        <v>Pencil</v>
      </c>
      <c r="D735" s="27">
        <v>1</v>
      </c>
      <c r="E735" s="5">
        <f>Table4[[#This Row],[qty]]*(VLOOKUP(Table4[[#This Row],[item_sold]],Table6[],4,FALSE))</f>
        <v>10</v>
      </c>
      <c r="F735" s="5">
        <f>(VLOOKUP(Table4[[#This Row],[item_sold]],Table6[],3,FALSE))*Table4[[#This Row],[qty]]</f>
        <v>7.5</v>
      </c>
      <c r="G735" s="5">
        <f t="shared" si="38"/>
        <v>2.5</v>
      </c>
      <c r="H735" t="s">
        <v>247</v>
      </c>
    </row>
    <row r="736" spans="1:9" x14ac:dyDescent="0.25">
      <c r="A736" s="1">
        <f t="shared" si="37"/>
        <v>45500</v>
      </c>
      <c r="B736" s="31">
        <f>TIME(13,41,0)</f>
        <v>0.57013888888888886</v>
      </c>
      <c r="C736" t="str">
        <f>Inventory!A71</f>
        <v>Indomie chicken</v>
      </c>
      <c r="D736" s="27">
        <v>4</v>
      </c>
      <c r="E736" s="5">
        <f>Table4[[#This Row],[qty]]*(VLOOKUP(Table4[[#This Row],[item_sold]],Table6[],4,FALSE))</f>
        <v>200</v>
      </c>
      <c r="F736" s="5">
        <f>(VLOOKUP(Table4[[#This Row],[item_sold]],Table6[],3,FALSE))*Table4[[#This Row],[qty]]</f>
        <v>150</v>
      </c>
      <c r="G736" s="5">
        <f t="shared" si="38"/>
        <v>50</v>
      </c>
      <c r="H736" t="s">
        <v>361</v>
      </c>
    </row>
    <row r="737" spans="1:12" x14ac:dyDescent="0.25">
      <c r="A737" s="1">
        <f t="shared" si="37"/>
        <v>45500</v>
      </c>
      <c r="B737" s="31">
        <f>TIME(13,41,0)</f>
        <v>0.57013888888888886</v>
      </c>
      <c r="C737" t="str">
        <f>Inventory!A81</f>
        <v>eggs</v>
      </c>
      <c r="D737" s="27">
        <v>3</v>
      </c>
      <c r="E737" s="5">
        <f>Table4[[#This Row],[qty]]*(VLOOKUP(Table4[[#This Row],[item_sold]],Table6[],4,FALSE))</f>
        <v>60</v>
      </c>
      <c r="F737" s="5">
        <f>(VLOOKUP(Table4[[#This Row],[item_sold]],Table6[],3,FALSE))*Table4[[#This Row],[qty]]</f>
        <v>43</v>
      </c>
      <c r="G737" s="5">
        <f t="shared" si="38"/>
        <v>17</v>
      </c>
      <c r="H737" t="s">
        <v>361</v>
      </c>
    </row>
    <row r="738" spans="1:12" x14ac:dyDescent="0.25">
      <c r="A738" s="1">
        <f t="shared" si="37"/>
        <v>45500</v>
      </c>
      <c r="B738" s="31">
        <f>TIME(14,21,0)</f>
        <v>0.59791666666666665</v>
      </c>
      <c r="C738" t="str">
        <f>Inventory!A122</f>
        <v>Kinangop Fresh Milk 500ml</v>
      </c>
      <c r="D738" s="27">
        <v>5</v>
      </c>
      <c r="E738" s="5">
        <f>Table4[[#This Row],[qty]]*(VLOOKUP(Table4[[#This Row],[item_sold]],Table6[],4,FALSE))</f>
        <v>300</v>
      </c>
      <c r="F738" s="5">
        <f>(VLOOKUP(Table4[[#This Row],[item_sold]],Table6[],3,FALSE))*Table4[[#This Row],[qty]]</f>
        <v>275</v>
      </c>
      <c r="G738" s="5">
        <f t="shared" si="38"/>
        <v>25</v>
      </c>
      <c r="H738" t="s">
        <v>247</v>
      </c>
    </row>
    <row r="739" spans="1:12" x14ac:dyDescent="0.25">
      <c r="A739" s="1">
        <f t="shared" si="37"/>
        <v>45500</v>
      </c>
      <c r="B739" s="31">
        <f>TIME(14,21,0)</f>
        <v>0.59791666666666665</v>
      </c>
      <c r="C739" t="str">
        <f>Inventory!A24</f>
        <v>Brookside milk 500ml</v>
      </c>
      <c r="D739" s="27">
        <v>3</v>
      </c>
      <c r="E739" s="5">
        <f>Table4[[#This Row],[qty]]*(VLOOKUP(Table4[[#This Row],[item_sold]],Table6[],4,FALSE))</f>
        <v>210</v>
      </c>
      <c r="F739" s="5">
        <f>(VLOOKUP(Table4[[#This Row],[item_sold]],Table6[],3,FALSE))*Table4[[#This Row],[qty]]</f>
        <v>177</v>
      </c>
      <c r="G739" s="5">
        <f t="shared" si="38"/>
        <v>33</v>
      </c>
      <c r="H739" t="s">
        <v>247</v>
      </c>
    </row>
    <row r="740" spans="1:12" x14ac:dyDescent="0.25">
      <c r="A740" s="1">
        <f t="shared" si="37"/>
        <v>45500</v>
      </c>
      <c r="B740" s="31">
        <f>TIME(15,11,0)</f>
        <v>0.63263888888888886</v>
      </c>
      <c r="C740" t="str">
        <f>Inventory!A156</f>
        <v>Sindano rice</v>
      </c>
      <c r="D740" s="27">
        <v>0.5</v>
      </c>
      <c r="E740" s="5">
        <f>Table4[[#This Row],[qty]]*(VLOOKUP(Table4[[#This Row],[item_sold]],Table6[],4,FALSE))</f>
        <v>75</v>
      </c>
      <c r="F740" s="5">
        <f>(VLOOKUP(Table4[[#This Row],[item_sold]],Table6[],3,FALSE))*Table4[[#This Row],[qty]]</f>
        <v>60</v>
      </c>
      <c r="G740" s="5">
        <f t="shared" si="38"/>
        <v>15</v>
      </c>
      <c r="H740" t="s">
        <v>361</v>
      </c>
    </row>
    <row r="741" spans="1:12" x14ac:dyDescent="0.25">
      <c r="A741" s="1">
        <f t="shared" si="37"/>
        <v>45500</v>
      </c>
      <c r="B741" s="31">
        <f>TIME(15,49,0)</f>
        <v>0.65902777777777777</v>
      </c>
      <c r="C741" t="str">
        <f>Inventory!A109</f>
        <v>ariel 10g</v>
      </c>
      <c r="D741" s="27">
        <v>1</v>
      </c>
      <c r="E741" s="5">
        <f>Table4[[#This Row],[qty]]*(VLOOKUP(Table4[[#This Row],[item_sold]],Table6[],4,FALSE))</f>
        <v>15</v>
      </c>
      <c r="F741" s="5">
        <f>(VLOOKUP(Table4[[#This Row],[item_sold]],Table6[],3,FALSE))*Table4[[#This Row],[qty]]</f>
        <v>9.1666666666666661</v>
      </c>
      <c r="G741" s="5">
        <f t="shared" si="38"/>
        <v>5.8333333333333339</v>
      </c>
      <c r="H741" t="s">
        <v>361</v>
      </c>
    </row>
    <row r="742" spans="1:12" x14ac:dyDescent="0.25">
      <c r="A742" s="1">
        <f t="shared" si="37"/>
        <v>45500</v>
      </c>
      <c r="B742" s="31">
        <f>TIME(15,49,0)</f>
        <v>0.65902777777777777</v>
      </c>
      <c r="C742" t="str">
        <f>Inventory!A84</f>
        <v>Safari</v>
      </c>
      <c r="D742" s="27">
        <v>3</v>
      </c>
      <c r="E742" s="5">
        <f>Table4[[#This Row],[qty]]*(VLOOKUP(Table4[[#This Row],[item_sold]],Table6[],4,FALSE))</f>
        <v>45</v>
      </c>
      <c r="F742" s="5">
        <f>(VLOOKUP(Table4[[#This Row],[item_sold]],Table6[],3,FALSE))*Table4[[#This Row],[qty]]</f>
        <v>25.5</v>
      </c>
      <c r="G742" s="5">
        <f t="shared" si="38"/>
        <v>19.5</v>
      </c>
      <c r="H742" t="s">
        <v>361</v>
      </c>
    </row>
    <row r="743" spans="1:12" x14ac:dyDescent="0.25">
      <c r="A743" s="1">
        <f t="shared" si="37"/>
        <v>45500</v>
      </c>
      <c r="B743" s="31">
        <f>TIME(16,19,0)</f>
        <v>0.67986111111111114</v>
      </c>
      <c r="D743" s="27"/>
      <c r="F743" s="5"/>
      <c r="J743" t="s">
        <v>387</v>
      </c>
      <c r="K743">
        <v>260</v>
      </c>
      <c r="L743" t="s">
        <v>361</v>
      </c>
    </row>
    <row r="744" spans="1:12" x14ac:dyDescent="0.25">
      <c r="A744" s="1">
        <f t="shared" si="37"/>
        <v>45500</v>
      </c>
      <c r="B744" s="31">
        <f>TIME(16,49,0)</f>
        <v>0.7006944444444444</v>
      </c>
      <c r="C744" t="str">
        <f>Inventory!A131</f>
        <v>Black Shampoo</v>
      </c>
      <c r="D744" s="27">
        <v>1</v>
      </c>
      <c r="E744" s="5">
        <f>Table4[[#This Row],[qty]]*(VLOOKUP(Table4[[#This Row],[item_sold]],Table6[],4,FALSE))</f>
        <v>50</v>
      </c>
      <c r="F744" s="5">
        <f>(VLOOKUP(Table4[[#This Row],[item_sold]],Table6[],3,FALSE))*Table4[[#This Row],[qty]]</f>
        <v>28</v>
      </c>
      <c r="G744" s="5">
        <f t="shared" si="38"/>
        <v>22</v>
      </c>
      <c r="H744" t="s">
        <v>247</v>
      </c>
    </row>
    <row r="745" spans="1:12" x14ac:dyDescent="0.25">
      <c r="A745" s="1">
        <f t="shared" si="37"/>
        <v>45500</v>
      </c>
      <c r="B745" s="31">
        <f>TIME(16,49,0)</f>
        <v>0.7006944444444444</v>
      </c>
      <c r="C745" t="str">
        <f>Inventory!A116</f>
        <v>Tomatoes</v>
      </c>
      <c r="D745" s="27">
        <v>10</v>
      </c>
      <c r="E745" s="5">
        <f>Table4[[#This Row],[qty]]*(VLOOKUP(Table4[[#This Row],[item_sold]],Table6[],4,FALSE))</f>
        <v>100</v>
      </c>
      <c r="F745" s="5">
        <f>(VLOOKUP(Table4[[#This Row],[item_sold]],Table6[],3,FALSE))*Table4[[#This Row],[qty]]</f>
        <v>50</v>
      </c>
      <c r="G745" s="5">
        <f t="shared" si="38"/>
        <v>50</v>
      </c>
      <c r="H745" t="s">
        <v>247</v>
      </c>
    </row>
    <row r="746" spans="1:12" x14ac:dyDescent="0.25">
      <c r="A746" s="1">
        <f t="shared" si="37"/>
        <v>45500</v>
      </c>
      <c r="B746" s="31">
        <f>TIME(16,49,0)</f>
        <v>0.7006944444444444</v>
      </c>
      <c r="C746" t="str">
        <f>Inventory!A140</f>
        <v>Airtel 50 Credit</v>
      </c>
      <c r="D746" s="27">
        <v>1</v>
      </c>
      <c r="E746" s="5">
        <f>Table4[[#This Row],[qty]]*(VLOOKUP(Table4[[#This Row],[item_sold]],Table6[],4,FALSE))</f>
        <v>50</v>
      </c>
      <c r="F746" s="5">
        <f>(VLOOKUP(Table4[[#This Row],[item_sold]],Table6[],3,FALSE))*Table4[[#This Row],[qty]]</f>
        <v>47</v>
      </c>
      <c r="G746" s="5">
        <f t="shared" si="38"/>
        <v>3</v>
      </c>
      <c r="H746" t="s">
        <v>247</v>
      </c>
    </row>
    <row r="747" spans="1:12" x14ac:dyDescent="0.25">
      <c r="A747" s="1">
        <f t="shared" si="37"/>
        <v>45500</v>
      </c>
      <c r="B747" s="31">
        <f>TIME(17,4,0)</f>
        <v>0.71111111111111114</v>
      </c>
      <c r="C747" t="str">
        <f>Inventory!A23</f>
        <v>Mt kenya milk 500ml</v>
      </c>
      <c r="D747" s="27">
        <v>2</v>
      </c>
      <c r="E747" s="5">
        <f>Table4[[#This Row],[qty]]*(VLOOKUP(Table4[[#This Row],[item_sold]],Table6[],4,FALSE))</f>
        <v>130</v>
      </c>
      <c r="F747" s="5">
        <f>(VLOOKUP(Table4[[#This Row],[item_sold]],Table6[],3,FALSE))*Table4[[#This Row],[qty]]</f>
        <v>96.666666666666671</v>
      </c>
      <c r="G747" s="5">
        <f t="shared" si="38"/>
        <v>33.333333333333329</v>
      </c>
      <c r="H747" t="s">
        <v>361</v>
      </c>
    </row>
    <row r="748" spans="1:12" x14ac:dyDescent="0.25">
      <c r="A748" s="1">
        <f t="shared" si="37"/>
        <v>45500</v>
      </c>
      <c r="B748" s="31">
        <f>TIME(18,18,0)</f>
        <v>0.76250000000000007</v>
      </c>
      <c r="C748" t="str">
        <f>Inventory!A84</f>
        <v>Safari</v>
      </c>
      <c r="D748" s="27">
        <v>3</v>
      </c>
      <c r="E748" s="5">
        <f>Table4[[#This Row],[qty]]*(VLOOKUP(Table4[[#This Row],[item_sold]],Table6[],4,FALSE))</f>
        <v>45</v>
      </c>
      <c r="F748" s="5">
        <f>(VLOOKUP(Table4[[#This Row],[item_sold]],Table6[],3,FALSE))*Table4[[#This Row],[qty]]</f>
        <v>25.5</v>
      </c>
      <c r="G748" s="5">
        <f t="shared" si="38"/>
        <v>19.5</v>
      </c>
      <c r="H748" t="s">
        <v>361</v>
      </c>
    </row>
    <row r="749" spans="1:12" x14ac:dyDescent="0.25">
      <c r="A749" s="1">
        <f t="shared" si="37"/>
        <v>45500</v>
      </c>
      <c r="B749" s="31">
        <f>TIME(18,30,0)</f>
        <v>0.77083333333333337</v>
      </c>
      <c r="D749" s="27"/>
      <c r="F749" s="5"/>
      <c r="J749" t="s">
        <v>396</v>
      </c>
      <c r="K749">
        <v>10</v>
      </c>
      <c r="L749" t="s">
        <v>247</v>
      </c>
    </row>
    <row r="750" spans="1:12" x14ac:dyDescent="0.25">
      <c r="A750" s="1">
        <f t="shared" si="37"/>
        <v>45500</v>
      </c>
      <c r="B750" s="31">
        <f>TIME(19,1,0)</f>
        <v>0.79236111111111107</v>
      </c>
      <c r="C750" t="str">
        <f>Inventory!A154</f>
        <v>waru</v>
      </c>
      <c r="D750" s="27">
        <v>1</v>
      </c>
      <c r="E750" s="5">
        <f>Table4[[#This Row],[qty]]*(VLOOKUP(Table4[[#This Row],[item_sold]],Table6[],4,FALSE))</f>
        <v>50</v>
      </c>
      <c r="F750" s="5">
        <f>(VLOOKUP(Table4[[#This Row],[item_sold]],Table6[],3,FALSE))*Table4[[#This Row],[qty]]</f>
        <v>29.999999999999996</v>
      </c>
      <c r="G750" s="5">
        <f t="shared" si="38"/>
        <v>20.000000000000004</v>
      </c>
      <c r="H750" t="s">
        <v>361</v>
      </c>
    </row>
    <row r="751" spans="1:12" x14ac:dyDescent="0.25">
      <c r="A751" s="1">
        <f t="shared" si="37"/>
        <v>45500</v>
      </c>
      <c r="B751" s="31">
        <f>TIME(19,21,0)</f>
        <v>0.80625000000000002</v>
      </c>
      <c r="C751" t="str">
        <f>Inventory!A33</f>
        <v>Festive 800g</v>
      </c>
      <c r="D751" s="27">
        <v>1</v>
      </c>
      <c r="E751" s="5">
        <f>Table4[[#This Row],[qty]]*(VLOOKUP(Table4[[#This Row],[item_sold]],Table6[],4,FALSE))</f>
        <v>130</v>
      </c>
      <c r="F751" s="5">
        <f>(VLOOKUP(Table4[[#This Row],[item_sold]],Table6[],3,FALSE))*Table4[[#This Row],[qty]]</f>
        <v>120</v>
      </c>
      <c r="G751" s="5">
        <f t="shared" si="38"/>
        <v>10</v>
      </c>
      <c r="H751" t="s">
        <v>361</v>
      </c>
    </row>
    <row r="752" spans="1:12" x14ac:dyDescent="0.25">
      <c r="A752" s="1">
        <f t="shared" si="37"/>
        <v>45500</v>
      </c>
      <c r="B752" s="31">
        <f>TIME(19,55,0)</f>
        <v>0.82986111111111116</v>
      </c>
      <c r="C752" t="str">
        <f>Inventory!A81</f>
        <v>eggs</v>
      </c>
      <c r="D752" s="27">
        <v>5</v>
      </c>
      <c r="E752" s="5">
        <f>Table4[[#This Row],[qty]]*(VLOOKUP(Table4[[#This Row],[item_sold]],Table6[],4,FALSE))</f>
        <v>100</v>
      </c>
      <c r="F752" s="5">
        <f>(VLOOKUP(Table4[[#This Row],[item_sold]],Table6[],3,FALSE))*Table4[[#This Row],[qty]]</f>
        <v>71.666666666666671</v>
      </c>
      <c r="G752" s="5">
        <f t="shared" si="38"/>
        <v>28.333333333333329</v>
      </c>
      <c r="H752" t="s">
        <v>247</v>
      </c>
    </row>
    <row r="753" spans="1:12" x14ac:dyDescent="0.25">
      <c r="A753" s="1">
        <f t="shared" si="37"/>
        <v>45500</v>
      </c>
      <c r="B753" s="31">
        <f>TIME(19,55,0)</f>
        <v>0.82986111111111116</v>
      </c>
      <c r="C753" t="str">
        <f>Inventory!A132</f>
        <v>Festive Bread 400g</v>
      </c>
      <c r="D753" s="27">
        <v>1</v>
      </c>
      <c r="E753" s="5">
        <f>Table4[[#This Row],[qty]]*(VLOOKUP(Table4[[#This Row],[item_sold]],Table6[],4,FALSE))</f>
        <v>65</v>
      </c>
      <c r="F753" s="5">
        <f>(VLOOKUP(Table4[[#This Row],[item_sold]],Table6[],3,FALSE))*Table4[[#This Row],[qty]]</f>
        <v>60</v>
      </c>
      <c r="G753" s="5">
        <f t="shared" si="38"/>
        <v>5</v>
      </c>
      <c r="H753" t="s">
        <v>361</v>
      </c>
    </row>
    <row r="754" spans="1:12" x14ac:dyDescent="0.25">
      <c r="A754" s="1">
        <f t="shared" si="37"/>
        <v>45500</v>
      </c>
      <c r="B754" s="31">
        <f>TIME(19,55,0)</f>
        <v>0.82986111111111116</v>
      </c>
      <c r="C754" t="str">
        <f>Inventory!A144</f>
        <v>Drinking Chocolate 20g</v>
      </c>
      <c r="D754" s="27">
        <v>1</v>
      </c>
      <c r="E754" s="5">
        <f>Table4[[#This Row],[qty]]*(VLOOKUP(Table4[[#This Row],[item_sold]],Table6[],4,FALSE))</f>
        <v>20</v>
      </c>
      <c r="F754" s="5">
        <f>(VLOOKUP(Table4[[#This Row],[item_sold]],Table6[],3,FALSE))*Table4[[#This Row],[qty]]</f>
        <v>10.416666666666666</v>
      </c>
      <c r="G754" s="5">
        <f t="shared" si="38"/>
        <v>9.5833333333333339</v>
      </c>
      <c r="H754" t="s">
        <v>361</v>
      </c>
    </row>
    <row r="755" spans="1:12" x14ac:dyDescent="0.25">
      <c r="A755" s="1">
        <f t="shared" si="37"/>
        <v>45500</v>
      </c>
      <c r="B755" s="31">
        <f>TIME(19,55,0)</f>
        <v>0.82986111111111116</v>
      </c>
      <c r="D755" s="27"/>
      <c r="F755" s="5"/>
      <c r="J755" t="s">
        <v>398</v>
      </c>
      <c r="K755">
        <v>760</v>
      </c>
      <c r="L755" t="s">
        <v>247</v>
      </c>
    </row>
    <row r="756" spans="1:12" x14ac:dyDescent="0.25">
      <c r="A756" s="1">
        <f t="shared" si="37"/>
        <v>45500</v>
      </c>
      <c r="B756" s="31">
        <f>TIME(19,55,0)</f>
        <v>0.82986111111111116</v>
      </c>
      <c r="C756" t="str">
        <f>Inventory!A48</f>
        <v>Ginger Bisquit</v>
      </c>
      <c r="D756" s="27">
        <v>4</v>
      </c>
      <c r="E756" s="5">
        <f>Table4[[#This Row],[qty]]*(VLOOKUP(Table4[[#This Row],[item_sold]],Table6[],4,FALSE))</f>
        <v>20</v>
      </c>
      <c r="F756" s="5">
        <f>(VLOOKUP(Table4[[#This Row],[item_sold]],Table6[],3,FALSE))*Table4[[#This Row],[qty]]</f>
        <v>17.333333333333332</v>
      </c>
      <c r="G756" s="5">
        <f t="shared" si="38"/>
        <v>2.6666666666666679</v>
      </c>
      <c r="H756" t="s">
        <v>361</v>
      </c>
    </row>
    <row r="757" spans="1:12" x14ac:dyDescent="0.25">
      <c r="A757" s="1">
        <f t="shared" si="37"/>
        <v>45500</v>
      </c>
      <c r="B757" s="31">
        <f>TIME(20,0,0)</f>
        <v>0.83333333333333337</v>
      </c>
      <c r="C757" t="str">
        <f>Inventory!A24</f>
        <v>Brookside milk 500ml</v>
      </c>
      <c r="D757" s="27">
        <v>1</v>
      </c>
      <c r="E757" s="5">
        <f>Table4[[#This Row],[qty]]*(VLOOKUP(Table4[[#This Row],[item_sold]],Table6[],4,FALSE))</f>
        <v>70</v>
      </c>
      <c r="F757" s="5">
        <f>(VLOOKUP(Table4[[#This Row],[item_sold]],Table6[],3,FALSE))*Table4[[#This Row],[qty]]</f>
        <v>59</v>
      </c>
      <c r="G757" s="5">
        <f t="shared" si="38"/>
        <v>11</v>
      </c>
      <c r="H757" t="s">
        <v>359</v>
      </c>
      <c r="I757" t="s">
        <v>390</v>
      </c>
      <c r="J757" t="s">
        <v>390</v>
      </c>
      <c r="K757">
        <v>15</v>
      </c>
      <c r="L757" t="s">
        <v>361</v>
      </c>
    </row>
    <row r="758" spans="1:12" x14ac:dyDescent="0.25">
      <c r="A758" s="1">
        <f t="shared" si="37"/>
        <v>45500</v>
      </c>
      <c r="B758" s="31">
        <f>TIME(20,0,0)</f>
        <v>0.83333333333333337</v>
      </c>
      <c r="C758" t="str">
        <f>Inventory!A81</f>
        <v>eggs</v>
      </c>
      <c r="D758" s="27">
        <v>2</v>
      </c>
      <c r="E758" s="5">
        <f>Table4[[#This Row],[qty]]*(VLOOKUP(Table4[[#This Row],[item_sold]],Table6[],4,FALSE))</f>
        <v>40</v>
      </c>
      <c r="F758" s="5">
        <f>(VLOOKUP(Table4[[#This Row],[item_sold]],Table6[],3,FALSE))*Table4[[#This Row],[qty]]</f>
        <v>28.666666666666668</v>
      </c>
      <c r="G758" s="5">
        <f t="shared" si="38"/>
        <v>11.333333333333332</v>
      </c>
      <c r="H758" t="s">
        <v>359</v>
      </c>
      <c r="I758" t="s">
        <v>390</v>
      </c>
    </row>
    <row r="759" spans="1:12" x14ac:dyDescent="0.25">
      <c r="A759" s="1">
        <f t="shared" si="37"/>
        <v>45500</v>
      </c>
      <c r="B759" s="31">
        <f>TIME(20,0,0)</f>
        <v>0.83333333333333337</v>
      </c>
      <c r="C759" t="str">
        <f>Inventory!A125</f>
        <v>Dhania</v>
      </c>
      <c r="D759" s="27">
        <v>1</v>
      </c>
      <c r="E759" s="5">
        <f>Table4[[#This Row],[qty]]*(VLOOKUP(Table4[[#This Row],[item_sold]],Table6[],4,FALSE))</f>
        <v>5</v>
      </c>
      <c r="F759" s="5">
        <f>(VLOOKUP(Table4[[#This Row],[item_sold]],Table6[],3,FALSE))*Table4[[#This Row],[qty]]</f>
        <v>3.3333333333333335</v>
      </c>
      <c r="G759" s="5">
        <f t="shared" si="38"/>
        <v>1.6666666666666665</v>
      </c>
      <c r="H759" t="s">
        <v>359</v>
      </c>
      <c r="I759" t="s">
        <v>390</v>
      </c>
    </row>
    <row r="760" spans="1:12" x14ac:dyDescent="0.25">
      <c r="A760" s="1">
        <f t="shared" si="37"/>
        <v>45500</v>
      </c>
      <c r="B760" s="31">
        <f>TIME(20,9,0)</f>
        <v>0.83958333333333324</v>
      </c>
      <c r="C760" t="str">
        <f>Inventory!A114</f>
        <v>Maramoja</v>
      </c>
      <c r="D760" s="27">
        <v>1</v>
      </c>
      <c r="E760" s="5">
        <f>Table4[[#This Row],[qty]]*(VLOOKUP(Table4[[#This Row],[item_sold]],Table6[],4,FALSE))</f>
        <v>10</v>
      </c>
      <c r="F760" s="5">
        <f>(VLOOKUP(Table4[[#This Row],[item_sold]],Table6[],3,FALSE))*Table4[[#This Row],[qty]]</f>
        <v>7</v>
      </c>
      <c r="G760" s="5">
        <f t="shared" si="38"/>
        <v>3</v>
      </c>
      <c r="H760" t="s">
        <v>361</v>
      </c>
    </row>
    <row r="761" spans="1:12" x14ac:dyDescent="0.25">
      <c r="A761" s="1">
        <f t="shared" si="37"/>
        <v>45500</v>
      </c>
      <c r="B761" s="31">
        <f>TIME(20,24,0)</f>
        <v>0.85</v>
      </c>
      <c r="C761" t="str">
        <f>Inventory!A48</f>
        <v>Ginger Bisquit</v>
      </c>
      <c r="D761" s="27">
        <v>8</v>
      </c>
      <c r="E761" s="5">
        <f>Table4[[#This Row],[qty]]*(VLOOKUP(Table4[[#This Row],[item_sold]],Table6[],4,FALSE))</f>
        <v>40</v>
      </c>
      <c r="F761" s="5">
        <f>(VLOOKUP(Table4[[#This Row],[item_sold]],Table6[],3,FALSE))*Table4[[#This Row],[qty]]</f>
        <v>34.666666666666664</v>
      </c>
      <c r="G761" s="5">
        <f t="shared" si="38"/>
        <v>5.3333333333333357</v>
      </c>
      <c r="H761" t="s">
        <v>361</v>
      </c>
    </row>
    <row r="762" spans="1:12" x14ac:dyDescent="0.25">
      <c r="A762" s="1">
        <f t="shared" si="37"/>
        <v>45500</v>
      </c>
      <c r="B762" s="31">
        <f>TIME(20,24,0)</f>
        <v>0.85</v>
      </c>
      <c r="C762" t="str">
        <f>Inventory!A26</f>
        <v>Nescafe 1.5g</v>
      </c>
      <c r="D762" s="27">
        <v>1</v>
      </c>
      <c r="E762" s="5">
        <f>Table4[[#This Row],[qty]]*(VLOOKUP(Table4[[#This Row],[item_sold]],Table6[],4,FALSE))</f>
        <v>15</v>
      </c>
      <c r="F762" s="5">
        <f>(VLOOKUP(Table4[[#This Row],[item_sold]],Table6[],3,FALSE))*Table4[[#This Row],[qty]]</f>
        <v>9.1666666666666661</v>
      </c>
      <c r="G762" s="5">
        <f t="shared" si="38"/>
        <v>5.8333333333333339</v>
      </c>
      <c r="H762" t="s">
        <v>361</v>
      </c>
    </row>
    <row r="763" spans="1:12" x14ac:dyDescent="0.25">
      <c r="A763" s="1">
        <f t="shared" si="37"/>
        <v>45500</v>
      </c>
      <c r="B763" s="31">
        <f>TIME(20,33,0)</f>
        <v>0.85625000000000007</v>
      </c>
      <c r="C763" t="str">
        <f>Inventory!A70</f>
        <v>Indomie beef</v>
      </c>
      <c r="D763" s="27">
        <v>1</v>
      </c>
      <c r="E763" s="5">
        <f>Table4[[#This Row],[qty]]*(VLOOKUP(Table4[[#This Row],[item_sold]],Table6[],4,FALSE))</f>
        <v>50</v>
      </c>
      <c r="F763" s="5">
        <f>(VLOOKUP(Table4[[#This Row],[item_sold]],Table6[],3,FALSE))*Table4[[#This Row],[qty]]</f>
        <v>38</v>
      </c>
      <c r="G763" s="5">
        <f t="shared" si="38"/>
        <v>12</v>
      </c>
      <c r="H763" t="s">
        <v>359</v>
      </c>
      <c r="I763" t="s">
        <v>385</v>
      </c>
    </row>
    <row r="764" spans="1:12" x14ac:dyDescent="0.25">
      <c r="A764" s="1">
        <f t="shared" si="37"/>
        <v>45500</v>
      </c>
      <c r="B764" s="31">
        <f>TIME(20,33,0)</f>
        <v>0.85625000000000007</v>
      </c>
      <c r="C764" t="str">
        <f>Inventory!A179</f>
        <v>Kienyeji  Eggs</v>
      </c>
      <c r="D764" s="27">
        <v>1</v>
      </c>
      <c r="E764" s="5">
        <f>Table4[[#This Row],[qty]]*(VLOOKUP(Table4[[#This Row],[item_sold]],Table6[],4,FALSE))</f>
        <v>30</v>
      </c>
      <c r="F764" s="5">
        <f>(VLOOKUP(Table4[[#This Row],[item_sold]],Table6[],3,FALSE))*Table4[[#This Row],[qty]]</f>
        <v>20</v>
      </c>
      <c r="G764" s="5">
        <f t="shared" si="38"/>
        <v>10</v>
      </c>
      <c r="H764" t="s">
        <v>359</v>
      </c>
      <c r="I764" t="s">
        <v>385</v>
      </c>
    </row>
    <row r="765" spans="1:12" x14ac:dyDescent="0.25">
      <c r="A765" s="1">
        <f t="shared" si="37"/>
        <v>45500</v>
      </c>
      <c r="B765" s="31">
        <f>TIME(20,33,0)</f>
        <v>0.85625000000000007</v>
      </c>
      <c r="C765" t="str">
        <f>Inventory!A121</f>
        <v>Banana</v>
      </c>
      <c r="D765" s="27">
        <v>1</v>
      </c>
      <c r="E765" s="5">
        <f>Table4[[#This Row],[qty]]*(VLOOKUP(Table4[[#This Row],[item_sold]],Table6[],4,FALSE))</f>
        <v>10</v>
      </c>
      <c r="F765" s="5">
        <f>(VLOOKUP(Table4[[#This Row],[item_sold]],Table6[],3,FALSE))*Table4[[#This Row],[qty]]</f>
        <v>8.3333333333333339</v>
      </c>
      <c r="G765" s="5">
        <f t="shared" si="38"/>
        <v>1.6666666666666661</v>
      </c>
      <c r="H765" t="s">
        <v>359</v>
      </c>
      <c r="I765" t="s">
        <v>385</v>
      </c>
    </row>
    <row r="766" spans="1:12" x14ac:dyDescent="0.25">
      <c r="A766" s="1">
        <f>DATE(2024,7,28)</f>
        <v>45501</v>
      </c>
      <c r="B766" s="31">
        <f>TIME(8,30,0)</f>
        <v>0.35416666666666669</v>
      </c>
      <c r="C766" t="str">
        <f>Inventory!A84</f>
        <v>Safari</v>
      </c>
      <c r="D766" s="27">
        <v>3</v>
      </c>
      <c r="E766" s="5">
        <f>Table4[[#This Row],[qty]]*(VLOOKUP(Table4[[#This Row],[item_sold]],Table6[],4,FALSE))</f>
        <v>45</v>
      </c>
      <c r="F766" s="5">
        <f>(VLOOKUP(Table4[[#This Row],[item_sold]],Table6[],3,FALSE))*Table4[[#This Row],[qty]]</f>
        <v>25.5</v>
      </c>
      <c r="G766" s="5">
        <f>E766-F766</f>
        <v>19.5</v>
      </c>
      <c r="H766" t="s">
        <v>359</v>
      </c>
      <c r="I766" t="s">
        <v>391</v>
      </c>
    </row>
    <row r="767" spans="1:12" x14ac:dyDescent="0.25">
      <c r="A767" s="1">
        <f t="shared" ref="A767:A832" si="39">DATE(2024,7,28)</f>
        <v>45501</v>
      </c>
      <c r="B767" s="31">
        <f>TIME(8,30,0)</f>
        <v>0.35416666666666669</v>
      </c>
      <c r="C767" t="str">
        <f>Inventory!A116</f>
        <v>Tomatoes</v>
      </c>
      <c r="D767" s="27">
        <v>3</v>
      </c>
      <c r="E767" s="5">
        <f>Table4[[#This Row],[qty]]*(VLOOKUP(Table4[[#This Row],[item_sold]],Table6[],4,FALSE))</f>
        <v>30</v>
      </c>
      <c r="F767" s="5">
        <f>(VLOOKUP(Table4[[#This Row],[item_sold]],Table6[],3,FALSE))*Table4[[#This Row],[qty]]</f>
        <v>15</v>
      </c>
      <c r="G767" s="5">
        <f t="shared" ref="G767:G807" si="40">E767-F767</f>
        <v>15</v>
      </c>
      <c r="H767" t="s">
        <v>359</v>
      </c>
      <c r="I767" t="s">
        <v>391</v>
      </c>
    </row>
    <row r="768" spans="1:12" x14ac:dyDescent="0.25">
      <c r="A768" s="1">
        <f t="shared" si="39"/>
        <v>45501</v>
      </c>
      <c r="B768" s="31">
        <f>TIME(8,30,0)</f>
        <v>0.35416666666666669</v>
      </c>
      <c r="C768" t="str">
        <f>Inventory!A115</f>
        <v>Onion</v>
      </c>
      <c r="D768" s="27">
        <v>1</v>
      </c>
      <c r="E768" s="5">
        <f>Table4[[#This Row],[qty]]*(VLOOKUP(Table4[[#This Row],[item_sold]],Table6[],4,FALSE))</f>
        <v>10</v>
      </c>
      <c r="F768" s="5">
        <f>(VLOOKUP(Table4[[#This Row],[item_sold]],Table6[],3,FALSE))*Table4[[#This Row],[qty]]</f>
        <v>8</v>
      </c>
      <c r="G768" s="5">
        <f t="shared" si="40"/>
        <v>2</v>
      </c>
      <c r="H768" t="s">
        <v>359</v>
      </c>
      <c r="I768" t="s">
        <v>391</v>
      </c>
    </row>
    <row r="769" spans="1:12" x14ac:dyDescent="0.25">
      <c r="A769" s="1">
        <f t="shared" si="39"/>
        <v>45501</v>
      </c>
      <c r="B769" s="31">
        <f>TIME(8,30,0)</f>
        <v>0.35416666666666669</v>
      </c>
      <c r="C769" t="str">
        <f>Inventory!A125</f>
        <v>Dhania</v>
      </c>
      <c r="D769" s="27">
        <v>1</v>
      </c>
      <c r="E769" s="5">
        <f>Table4[[#This Row],[qty]]*(VLOOKUP(Table4[[#This Row],[item_sold]],Table6[],4,FALSE))</f>
        <v>5</v>
      </c>
      <c r="F769" s="5">
        <f>(VLOOKUP(Table4[[#This Row],[item_sold]],Table6[],3,FALSE))*Table4[[#This Row],[qty]]</f>
        <v>3.3333333333333335</v>
      </c>
      <c r="G769" s="5">
        <f t="shared" si="40"/>
        <v>1.6666666666666665</v>
      </c>
      <c r="H769" t="s">
        <v>359</v>
      </c>
      <c r="I769" t="s">
        <v>391</v>
      </c>
    </row>
    <row r="770" spans="1:12" x14ac:dyDescent="0.25">
      <c r="A770" s="1">
        <f t="shared" si="39"/>
        <v>45501</v>
      </c>
      <c r="B770" s="31">
        <f>TIME(8,46,0)</f>
        <v>0.36527777777777781</v>
      </c>
      <c r="C770" t="str">
        <f>Inventory!A132</f>
        <v>Festive Bread 400g</v>
      </c>
      <c r="D770" s="27">
        <v>1</v>
      </c>
      <c r="E770" s="5">
        <f>Table4[[#This Row],[qty]]*(VLOOKUP(Table4[[#This Row],[item_sold]],Table6[],4,FALSE))</f>
        <v>65</v>
      </c>
      <c r="F770" s="5">
        <f>(VLOOKUP(Table4[[#This Row],[item_sold]],Table6[],3,FALSE))*Table4[[#This Row],[qty]]</f>
        <v>60</v>
      </c>
      <c r="G770" s="5">
        <f t="shared" si="40"/>
        <v>5</v>
      </c>
      <c r="H770" t="s">
        <v>361</v>
      </c>
    </row>
    <row r="771" spans="1:12" x14ac:dyDescent="0.25">
      <c r="A771" s="1">
        <f t="shared" si="39"/>
        <v>45501</v>
      </c>
      <c r="B771" s="31">
        <f>TIME(9,57,0)</f>
        <v>0.4145833333333333</v>
      </c>
      <c r="C771" t="str">
        <f>Inventory!A153</f>
        <v>Pishori rice</v>
      </c>
      <c r="D771" s="27">
        <v>1</v>
      </c>
      <c r="E771" s="5">
        <f>Table4[[#This Row],[qty]]*(VLOOKUP(Table4[[#This Row],[item_sold]],Table6[],4,FALSE))</f>
        <v>220</v>
      </c>
      <c r="F771" s="5">
        <f>(VLOOKUP(Table4[[#This Row],[item_sold]],Table6[],3,FALSE))*Table4[[#This Row],[qty]]</f>
        <v>180</v>
      </c>
      <c r="G771" s="5">
        <f t="shared" si="40"/>
        <v>40</v>
      </c>
      <c r="H771" t="s">
        <v>247</v>
      </c>
    </row>
    <row r="772" spans="1:12" x14ac:dyDescent="0.25">
      <c r="A772" s="1">
        <f t="shared" si="39"/>
        <v>45501</v>
      </c>
      <c r="B772" s="31">
        <f>TIME(9,57,0)</f>
        <v>0.4145833333333333</v>
      </c>
      <c r="D772" s="27"/>
      <c r="F772" s="5"/>
      <c r="J772" t="s">
        <v>397</v>
      </c>
      <c r="K772">
        <v>115</v>
      </c>
      <c r="L772" t="s">
        <v>247</v>
      </c>
    </row>
    <row r="773" spans="1:12" x14ac:dyDescent="0.25">
      <c r="A773" s="1">
        <f t="shared" si="39"/>
        <v>45501</v>
      </c>
      <c r="B773" s="31">
        <f>TIME(9,57,0)</f>
        <v>0.4145833333333333</v>
      </c>
      <c r="D773" s="27"/>
      <c r="F773" s="5"/>
      <c r="J773" t="s">
        <v>389</v>
      </c>
      <c r="K773">
        <v>760</v>
      </c>
      <c r="L773" t="s">
        <v>247</v>
      </c>
    </row>
    <row r="774" spans="1:12" x14ac:dyDescent="0.25">
      <c r="A774" s="1">
        <f t="shared" si="39"/>
        <v>45501</v>
      </c>
      <c r="B774" s="31">
        <f>TIME(9,57,0)</f>
        <v>0.4145833333333333</v>
      </c>
      <c r="C774" t="str">
        <f>Inventory!A61</f>
        <v>Bigdaddy</v>
      </c>
      <c r="D774" s="27">
        <v>2</v>
      </c>
      <c r="E774" s="5">
        <f>Table4[[#This Row],[qty]]*(VLOOKUP(Table4[[#This Row],[item_sold]],Table6[],4,FALSE))</f>
        <v>20</v>
      </c>
      <c r="F774" s="5">
        <f>(VLOOKUP(Table4[[#This Row],[item_sold]],Table6[],3,FALSE))*Table4[[#This Row],[qty]]</f>
        <v>12</v>
      </c>
      <c r="G774" s="5">
        <f t="shared" si="40"/>
        <v>8</v>
      </c>
      <c r="H774" t="s">
        <v>247</v>
      </c>
    </row>
    <row r="775" spans="1:12" x14ac:dyDescent="0.25">
      <c r="A775" s="1">
        <f t="shared" si="39"/>
        <v>45501</v>
      </c>
      <c r="B775" s="31">
        <f>TIME(10,35,0)</f>
        <v>0.44097222222222227</v>
      </c>
      <c r="C775" t="str">
        <f>Inventory!A32</f>
        <v>Festive 600g</v>
      </c>
      <c r="D775" s="27">
        <v>1</v>
      </c>
      <c r="E775" s="5">
        <f>Table4[[#This Row],[qty]]*(VLOOKUP(Table4[[#This Row],[item_sold]],Table6[],4,FALSE))</f>
        <v>100</v>
      </c>
      <c r="F775" s="5">
        <f>(VLOOKUP(Table4[[#This Row],[item_sold]],Table6[],3,FALSE))*Table4[[#This Row],[qty]]</f>
        <v>90</v>
      </c>
      <c r="G775" s="5">
        <f t="shared" si="40"/>
        <v>10</v>
      </c>
      <c r="H775" t="s">
        <v>361</v>
      </c>
    </row>
    <row r="776" spans="1:12" x14ac:dyDescent="0.25">
      <c r="A776" s="1">
        <f t="shared" si="39"/>
        <v>45501</v>
      </c>
      <c r="B776" s="31">
        <f>TIME(10,57,0)</f>
        <v>0.45624999999999999</v>
      </c>
      <c r="C776" t="str">
        <f>Inventory!A144</f>
        <v>Drinking Chocolate 20g</v>
      </c>
      <c r="D776" s="27">
        <v>1</v>
      </c>
      <c r="E776" s="5">
        <f>Table4[[#This Row],[qty]]*(VLOOKUP(Table4[[#This Row],[item_sold]],Table6[],4,FALSE))</f>
        <v>20</v>
      </c>
      <c r="F776" s="5">
        <f>(VLOOKUP(Table4[[#This Row],[item_sold]],Table6[],3,FALSE))*Table4[[#This Row],[qty]]</f>
        <v>10.416666666666666</v>
      </c>
      <c r="G776" s="5">
        <f t="shared" si="40"/>
        <v>9.5833333333333339</v>
      </c>
      <c r="H776" t="s">
        <v>361</v>
      </c>
    </row>
    <row r="777" spans="1:12" x14ac:dyDescent="0.25">
      <c r="A777" s="1">
        <f t="shared" si="39"/>
        <v>45501</v>
      </c>
      <c r="B777" s="31">
        <f>TIME(10,57,0)</f>
        <v>0.45624999999999999</v>
      </c>
      <c r="C777" t="str">
        <f>Inventory!A61</f>
        <v>Bigdaddy</v>
      </c>
      <c r="D777" s="27">
        <v>1</v>
      </c>
      <c r="E777" s="5">
        <f>Table4[[#This Row],[qty]]*(VLOOKUP(Table4[[#This Row],[item_sold]],Table6[],4,FALSE))</f>
        <v>10</v>
      </c>
      <c r="F777" s="5">
        <f>(VLOOKUP(Table4[[#This Row],[item_sold]],Table6[],3,FALSE))*Table4[[#This Row],[qty]]</f>
        <v>6</v>
      </c>
      <c r="G777" s="5">
        <f t="shared" si="40"/>
        <v>4</v>
      </c>
      <c r="H777" t="s">
        <v>361</v>
      </c>
    </row>
    <row r="778" spans="1:12" x14ac:dyDescent="0.25">
      <c r="A778" s="1">
        <f t="shared" si="39"/>
        <v>45501</v>
      </c>
      <c r="B778" s="31">
        <f>TIME(11,18,0)</f>
        <v>0.47083333333333338</v>
      </c>
      <c r="C778" t="str">
        <f>Inventory!A179</f>
        <v>Kienyeji  Eggs</v>
      </c>
      <c r="D778" s="27">
        <v>2</v>
      </c>
      <c r="E778" s="5">
        <f>Table4[[#This Row],[qty]]*(VLOOKUP(Table4[[#This Row],[item_sold]],Table6[],4,FALSE))</f>
        <v>60</v>
      </c>
      <c r="F778" s="5">
        <f>(VLOOKUP(Table4[[#This Row],[item_sold]],Table6[],3,FALSE))*Table4[[#This Row],[qty]]</f>
        <v>40</v>
      </c>
      <c r="G778" s="5">
        <f t="shared" si="40"/>
        <v>20</v>
      </c>
      <c r="H778" t="s">
        <v>361</v>
      </c>
    </row>
    <row r="779" spans="1:12" x14ac:dyDescent="0.25">
      <c r="A779" s="1">
        <f t="shared" si="39"/>
        <v>45501</v>
      </c>
      <c r="B779" s="31">
        <f t="shared" ref="B779:B784" si="41">TIME(11,18,0)</f>
        <v>0.47083333333333338</v>
      </c>
      <c r="C779" t="str">
        <f>Inventory!A81</f>
        <v>eggs</v>
      </c>
      <c r="D779" s="27">
        <v>2</v>
      </c>
      <c r="E779" s="5">
        <f>Table4[[#This Row],[qty]]*(VLOOKUP(Table4[[#This Row],[item_sold]],Table6[],4,FALSE))</f>
        <v>40</v>
      </c>
      <c r="F779" s="5">
        <f>(VLOOKUP(Table4[[#This Row],[item_sold]],Table6[],3,FALSE))*Table4[[#This Row],[qty]]</f>
        <v>28.666666666666668</v>
      </c>
      <c r="G779" s="5">
        <f t="shared" si="40"/>
        <v>11.333333333333332</v>
      </c>
      <c r="H779" t="s">
        <v>361</v>
      </c>
    </row>
    <row r="780" spans="1:12" x14ac:dyDescent="0.25">
      <c r="A780" s="1">
        <f t="shared" si="39"/>
        <v>45501</v>
      </c>
      <c r="B780" s="31">
        <f t="shared" si="41"/>
        <v>0.47083333333333338</v>
      </c>
      <c r="C780" t="str">
        <f>Inventory!A132</f>
        <v>Festive Bread 400g</v>
      </c>
      <c r="D780" s="27">
        <v>1</v>
      </c>
      <c r="E780" s="5">
        <f>Table4[[#This Row],[qty]]*(VLOOKUP(Table4[[#This Row],[item_sold]],Table6[],4,FALSE))</f>
        <v>65</v>
      </c>
      <c r="F780" s="5">
        <f>(VLOOKUP(Table4[[#This Row],[item_sold]],Table6[],3,FALSE))*Table4[[#This Row],[qty]]</f>
        <v>60</v>
      </c>
      <c r="G780" s="5">
        <f t="shared" si="40"/>
        <v>5</v>
      </c>
      <c r="H780" t="s">
        <v>361</v>
      </c>
    </row>
    <row r="781" spans="1:12" x14ac:dyDescent="0.25">
      <c r="A781" s="1">
        <f t="shared" si="39"/>
        <v>45501</v>
      </c>
      <c r="B781" s="31">
        <f t="shared" si="41"/>
        <v>0.47083333333333338</v>
      </c>
      <c r="C781" t="str">
        <f>Inventory!A116</f>
        <v>Tomatoes</v>
      </c>
      <c r="D781" s="27">
        <v>4</v>
      </c>
      <c r="E781" s="5">
        <f>Table4[[#This Row],[qty]]*(VLOOKUP(Table4[[#This Row],[item_sold]],Table6[],4,FALSE))</f>
        <v>40</v>
      </c>
      <c r="F781" s="5">
        <f>(VLOOKUP(Table4[[#This Row],[item_sold]],Table6[],3,FALSE))*Table4[[#This Row],[qty]]</f>
        <v>20</v>
      </c>
      <c r="G781" s="5">
        <f t="shared" si="40"/>
        <v>20</v>
      </c>
      <c r="H781" t="s">
        <v>361</v>
      </c>
    </row>
    <row r="782" spans="1:12" x14ac:dyDescent="0.25">
      <c r="A782" s="1">
        <f t="shared" si="39"/>
        <v>45501</v>
      </c>
      <c r="B782" s="31">
        <f t="shared" si="41"/>
        <v>0.47083333333333338</v>
      </c>
      <c r="C782" t="str">
        <f>Inventory!A115</f>
        <v>Onion</v>
      </c>
      <c r="D782" s="27">
        <v>3</v>
      </c>
      <c r="E782" s="5">
        <f>Table4[[#This Row],[qty]]*(VLOOKUP(Table4[[#This Row],[item_sold]],Table6[],4,FALSE))</f>
        <v>30</v>
      </c>
      <c r="F782" s="5">
        <f>(VLOOKUP(Table4[[#This Row],[item_sold]],Table6[],3,FALSE))*Table4[[#This Row],[qty]]</f>
        <v>24</v>
      </c>
      <c r="G782" s="5">
        <f t="shared" si="40"/>
        <v>6</v>
      </c>
      <c r="H782" t="s">
        <v>361</v>
      </c>
    </row>
    <row r="783" spans="1:12" x14ac:dyDescent="0.25">
      <c r="A783" s="1">
        <f t="shared" si="39"/>
        <v>45501</v>
      </c>
      <c r="B783" s="31">
        <f t="shared" si="41"/>
        <v>0.47083333333333338</v>
      </c>
      <c r="C783" t="str">
        <f>Inventory!A125</f>
        <v>Dhania</v>
      </c>
      <c r="D783" s="27">
        <v>1</v>
      </c>
      <c r="E783" s="5">
        <f>Table4[[#This Row],[qty]]*(VLOOKUP(Table4[[#This Row],[item_sold]],Table6[],4,FALSE))</f>
        <v>5</v>
      </c>
      <c r="F783" s="5">
        <f>(VLOOKUP(Table4[[#This Row],[item_sold]],Table6[],3,FALSE))*Table4[[#This Row],[qty]]</f>
        <v>3.3333333333333335</v>
      </c>
      <c r="G783" s="5">
        <f t="shared" si="40"/>
        <v>1.6666666666666665</v>
      </c>
      <c r="H783" t="s">
        <v>361</v>
      </c>
    </row>
    <row r="784" spans="1:12" x14ac:dyDescent="0.25">
      <c r="A784" s="1">
        <f t="shared" si="39"/>
        <v>45501</v>
      </c>
      <c r="B784" s="31">
        <f t="shared" si="41"/>
        <v>0.47083333333333338</v>
      </c>
      <c r="C784" t="str">
        <f>Inventory!A176</f>
        <v>hoho</v>
      </c>
      <c r="D784" s="27">
        <v>1</v>
      </c>
      <c r="E784" s="5">
        <f>Table4[[#This Row],[qty]]*(VLOOKUP(Table4[[#This Row],[item_sold]],Table6[],4,FALSE))</f>
        <v>10</v>
      </c>
      <c r="F784" s="5">
        <f>(VLOOKUP(Table4[[#This Row],[item_sold]],Table6[],3,FALSE))*Table4[[#This Row],[qty]]</f>
        <v>6.666666666666667</v>
      </c>
      <c r="G784" s="5">
        <f t="shared" si="40"/>
        <v>3.333333333333333</v>
      </c>
      <c r="H784" t="s">
        <v>361</v>
      </c>
    </row>
    <row r="785" spans="1:9" x14ac:dyDescent="0.25">
      <c r="A785" s="1">
        <f t="shared" si="39"/>
        <v>45501</v>
      </c>
      <c r="B785" s="31">
        <f>TIME(12,2,0)</f>
        <v>0.50138888888888888</v>
      </c>
      <c r="C785" t="str">
        <f>Inventory!A110</f>
        <v>omo 75g</v>
      </c>
      <c r="D785" s="27">
        <v>1</v>
      </c>
      <c r="E785" s="5">
        <f>Table4[[#This Row],[qty]]*(VLOOKUP(Table4[[#This Row],[item_sold]],Table6[],4,FALSE))</f>
        <v>35</v>
      </c>
      <c r="F785" s="5">
        <f>(VLOOKUP(Table4[[#This Row],[item_sold]],Table6[],3,FALSE))*Table4[[#This Row],[qty]]</f>
        <v>27.5</v>
      </c>
      <c r="G785" s="5">
        <f t="shared" si="40"/>
        <v>7.5</v>
      </c>
      <c r="H785" t="s">
        <v>359</v>
      </c>
      <c r="I785" t="s">
        <v>385</v>
      </c>
    </row>
    <row r="786" spans="1:9" x14ac:dyDescent="0.25">
      <c r="A786" s="1">
        <f t="shared" si="39"/>
        <v>45501</v>
      </c>
      <c r="B786" s="31">
        <f>TIME(12,23,0)</f>
        <v>0.51597222222222217</v>
      </c>
      <c r="C786" t="str">
        <f>Inventory!A84</f>
        <v>Safari</v>
      </c>
      <c r="D786" s="27">
        <v>3</v>
      </c>
      <c r="E786" s="5">
        <f>Table4[[#This Row],[qty]]*(VLOOKUP(Table4[[#This Row],[item_sold]],Table6[],4,FALSE))</f>
        <v>45</v>
      </c>
      <c r="F786" s="5">
        <f>(VLOOKUP(Table4[[#This Row],[item_sold]],Table6[],3,FALSE))*Table4[[#This Row],[qty]]</f>
        <v>25.5</v>
      </c>
      <c r="G786" s="5">
        <f t="shared" si="40"/>
        <v>19.5</v>
      </c>
      <c r="H786" t="s">
        <v>359</v>
      </c>
      <c r="I786" t="s">
        <v>391</v>
      </c>
    </row>
    <row r="787" spans="1:9" x14ac:dyDescent="0.25">
      <c r="A787" s="1">
        <f t="shared" si="39"/>
        <v>45501</v>
      </c>
      <c r="B787" s="31">
        <f>TIME(12,40,0)</f>
        <v>0.52777777777777779</v>
      </c>
      <c r="C787" t="str">
        <f>Inventory!A13</f>
        <v>soda 300ml glass</v>
      </c>
      <c r="D787" s="27">
        <v>1</v>
      </c>
      <c r="E787" s="5">
        <f>Table4[[#This Row],[qty]]*(VLOOKUP(Table4[[#This Row],[item_sold]],Table6[],4,FALSE))</f>
        <v>40</v>
      </c>
      <c r="F787" s="5">
        <f>(VLOOKUP(Table4[[#This Row],[item_sold]],Table6[],3,FALSE))*Table4[[#This Row],[qty]]</f>
        <v>32.5</v>
      </c>
      <c r="G787" s="5">
        <f t="shared" si="40"/>
        <v>7.5</v>
      </c>
      <c r="H787" t="s">
        <v>247</v>
      </c>
    </row>
    <row r="788" spans="1:9" x14ac:dyDescent="0.25">
      <c r="A788" s="1">
        <f t="shared" si="39"/>
        <v>45501</v>
      </c>
      <c r="B788" s="31">
        <f>TIME(13,11,0)</f>
        <v>0.5493055555555556</v>
      </c>
      <c r="C788" t="str">
        <f>Inventory!A48</f>
        <v>Ginger Bisquit</v>
      </c>
      <c r="D788" s="27">
        <v>4</v>
      </c>
      <c r="E788" s="5">
        <f>Table4[[#This Row],[qty]]*(VLOOKUP(Table4[[#This Row],[item_sold]],Table6[],4,FALSE))</f>
        <v>20</v>
      </c>
      <c r="F788" s="5">
        <f>(VLOOKUP(Table4[[#This Row],[item_sold]],Table6[],3,FALSE))*Table4[[#This Row],[qty]]</f>
        <v>17.333333333333332</v>
      </c>
      <c r="G788" s="5">
        <f t="shared" si="40"/>
        <v>2.6666666666666679</v>
      </c>
      <c r="H788" t="s">
        <v>247</v>
      </c>
    </row>
    <row r="789" spans="1:9" x14ac:dyDescent="0.25">
      <c r="A789" s="1">
        <f t="shared" si="39"/>
        <v>45501</v>
      </c>
      <c r="B789" s="31">
        <f>TIME(13,11,0)</f>
        <v>0.5493055555555556</v>
      </c>
      <c r="C789" t="str">
        <f>Inventory!A149</f>
        <v>Menengai Bar 1kg</v>
      </c>
      <c r="D789" s="27">
        <v>0.2</v>
      </c>
      <c r="E789" s="5">
        <f>Table4[[#This Row],[qty]]*(VLOOKUP(Table4[[#This Row],[item_sold]],Table6[],4,FALSE))</f>
        <v>50</v>
      </c>
      <c r="F789" s="5">
        <f>(VLOOKUP(Table4[[#This Row],[item_sold]],Table6[],3,FALSE))*Table4[[#This Row],[qty]]</f>
        <v>38</v>
      </c>
      <c r="G789" s="5">
        <f t="shared" si="40"/>
        <v>12</v>
      </c>
      <c r="H789" t="s">
        <v>247</v>
      </c>
    </row>
    <row r="790" spans="1:9" x14ac:dyDescent="0.25">
      <c r="A790" s="1">
        <f t="shared" si="39"/>
        <v>45501</v>
      </c>
      <c r="B790" s="31">
        <f>TIME(13,11,0)</f>
        <v>0.5493055555555556</v>
      </c>
      <c r="C790" t="str">
        <f>Inventory!A182</f>
        <v>Lighter</v>
      </c>
      <c r="D790" s="27">
        <v>1</v>
      </c>
      <c r="E790" s="5">
        <f>Table4[[#This Row],[qty]]*(VLOOKUP(Table4[[#This Row],[item_sold]],Table6[],4,FALSE))</f>
        <v>30</v>
      </c>
      <c r="F790" s="5">
        <f>(VLOOKUP(Table4[[#This Row],[item_sold]],Table6[],3,FALSE))*Table4[[#This Row],[qty]]</f>
        <v>15</v>
      </c>
      <c r="G790" s="5">
        <f t="shared" si="40"/>
        <v>15</v>
      </c>
      <c r="H790" t="s">
        <v>247</v>
      </c>
    </row>
    <row r="791" spans="1:9" x14ac:dyDescent="0.25">
      <c r="A791" s="1">
        <f t="shared" si="39"/>
        <v>45501</v>
      </c>
      <c r="B791" s="31">
        <f>TIME(13,11,0)</f>
        <v>0.5493055555555556</v>
      </c>
      <c r="C791" t="str">
        <f>Inventory!A162</f>
        <v>Match Box</v>
      </c>
      <c r="D791" s="27">
        <v>1</v>
      </c>
      <c r="E791" s="5">
        <f>Table4[[#This Row],[qty]]*(VLOOKUP(Table4[[#This Row],[item_sold]],Table6[],4,FALSE))</f>
        <v>5</v>
      </c>
      <c r="F791" s="5">
        <f>(VLOOKUP(Table4[[#This Row],[item_sold]],Table6[],3,FALSE))*Table4[[#This Row],[qty]]</f>
        <v>2.3611111111111112</v>
      </c>
      <c r="G791" s="5">
        <f t="shared" si="40"/>
        <v>2.6388888888888888</v>
      </c>
      <c r="H791" t="s">
        <v>247</v>
      </c>
    </row>
    <row r="792" spans="1:9" x14ac:dyDescent="0.25">
      <c r="A792" s="1">
        <f t="shared" si="39"/>
        <v>45501</v>
      </c>
      <c r="B792" s="31">
        <f>TIME(13,11,0)</f>
        <v>0.5493055555555556</v>
      </c>
      <c r="C792" t="str">
        <f>Inventory!A111</f>
        <v>omo 20g</v>
      </c>
      <c r="D792" s="27">
        <v>1</v>
      </c>
      <c r="E792" s="5">
        <f>Table4[[#This Row],[qty]]*(VLOOKUP(Table4[[#This Row],[item_sold]],Table6[],4,FALSE))</f>
        <v>15</v>
      </c>
      <c r="F792" s="5">
        <f>(VLOOKUP(Table4[[#This Row],[item_sold]],Table6[],3,FALSE))*Table4[[#This Row],[qty]]</f>
        <v>9.1666666666666661</v>
      </c>
      <c r="G792" s="5">
        <f t="shared" si="40"/>
        <v>5.8333333333333339</v>
      </c>
      <c r="H792" t="s">
        <v>247</v>
      </c>
    </row>
    <row r="793" spans="1:9" x14ac:dyDescent="0.25">
      <c r="A793" s="1">
        <f t="shared" si="39"/>
        <v>45501</v>
      </c>
      <c r="B793" s="31">
        <f>TIME(13,12,0)</f>
        <v>0.54999999999999993</v>
      </c>
      <c r="C793" t="str">
        <f>Inventory!A30</f>
        <v>BB Bread 400g</v>
      </c>
      <c r="D793" s="27">
        <v>1</v>
      </c>
      <c r="E793" s="5">
        <f>Table4[[#This Row],[qty]]*(VLOOKUP(Table4[[#This Row],[item_sold]],Table6[],4,FALSE))</f>
        <v>65</v>
      </c>
      <c r="F793" s="5">
        <f>(VLOOKUP(Table4[[#This Row],[item_sold]],Table6[],3,FALSE))*Table4[[#This Row],[qty]]</f>
        <v>60</v>
      </c>
      <c r="G793" s="5">
        <f t="shared" si="40"/>
        <v>5</v>
      </c>
      <c r="H793" t="s">
        <v>359</v>
      </c>
      <c r="I793" t="s">
        <v>406</v>
      </c>
    </row>
    <row r="794" spans="1:9" x14ac:dyDescent="0.25">
      <c r="A794" s="1">
        <f t="shared" si="39"/>
        <v>45501</v>
      </c>
      <c r="B794" s="31">
        <f>TIME(13,12,0)</f>
        <v>0.54999999999999993</v>
      </c>
      <c r="C794" t="str">
        <f>Inventory!A70</f>
        <v>Indomie beef</v>
      </c>
      <c r="D794" s="27">
        <v>1</v>
      </c>
      <c r="E794" s="5">
        <f>Table4[[#This Row],[qty]]*(VLOOKUP(Table4[[#This Row],[item_sold]],Table6[],4,FALSE))</f>
        <v>50</v>
      </c>
      <c r="F794" s="5">
        <f>(VLOOKUP(Table4[[#This Row],[item_sold]],Table6[],3,FALSE))*Table4[[#This Row],[qty]]</f>
        <v>38</v>
      </c>
      <c r="G794" s="5">
        <f t="shared" si="40"/>
        <v>12</v>
      </c>
      <c r="H794" t="s">
        <v>359</v>
      </c>
      <c r="I794" t="s">
        <v>406</v>
      </c>
    </row>
    <row r="795" spans="1:9" x14ac:dyDescent="0.25">
      <c r="A795" s="1">
        <f t="shared" si="39"/>
        <v>45501</v>
      </c>
      <c r="B795" s="31">
        <f>TIME(14,4,0)</f>
        <v>0.58611111111111114</v>
      </c>
      <c r="C795" t="str">
        <f>Inventory!A21</f>
        <v>Brookside Lala Natural</v>
      </c>
      <c r="D795" s="27">
        <v>1</v>
      </c>
      <c r="E795" s="5">
        <f>Table4[[#This Row],[qty]]*(VLOOKUP(Table4[[#This Row],[item_sold]],Table6[],4,FALSE))</f>
        <v>100</v>
      </c>
      <c r="F795" s="5">
        <f>(VLOOKUP(Table4[[#This Row],[item_sold]],Table6[],3,FALSE))*Table4[[#This Row],[qty]]</f>
        <v>87</v>
      </c>
      <c r="G795" s="5">
        <f t="shared" si="40"/>
        <v>13</v>
      </c>
      <c r="H795" t="s">
        <v>247</v>
      </c>
    </row>
    <row r="796" spans="1:9" x14ac:dyDescent="0.25">
      <c r="A796" s="1">
        <f t="shared" si="39"/>
        <v>45501</v>
      </c>
      <c r="B796" s="31">
        <f>TIME(14,9,0)</f>
        <v>0.58958333333333335</v>
      </c>
      <c r="C796" t="str">
        <f>Inventory!A61</f>
        <v>Bigdaddy</v>
      </c>
      <c r="D796" s="27">
        <v>2</v>
      </c>
      <c r="E796" s="5">
        <f>Table4[[#This Row],[qty]]*(VLOOKUP(Table4[[#This Row],[item_sold]],Table6[],4,FALSE))</f>
        <v>20</v>
      </c>
      <c r="F796" s="5">
        <f>(VLOOKUP(Table4[[#This Row],[item_sold]],Table6[],3,FALSE))*Table4[[#This Row],[qty]]</f>
        <v>12</v>
      </c>
      <c r="G796" s="5">
        <f t="shared" si="40"/>
        <v>8</v>
      </c>
      <c r="H796" t="s">
        <v>361</v>
      </c>
    </row>
    <row r="797" spans="1:9" x14ac:dyDescent="0.25">
      <c r="A797" s="1">
        <f t="shared" si="39"/>
        <v>45501</v>
      </c>
      <c r="B797" s="31">
        <f>TIME(14,27,0)</f>
        <v>0.6020833333333333</v>
      </c>
      <c r="C797" t="str">
        <f>Inventory!A70</f>
        <v>Indomie beef</v>
      </c>
      <c r="D797" s="27">
        <v>5</v>
      </c>
      <c r="E797" s="5">
        <f>Table4[[#This Row],[qty]]*(VLOOKUP(Table4[[#This Row],[item_sold]],Table6[],4,FALSE))</f>
        <v>250</v>
      </c>
      <c r="F797" s="5">
        <f>(VLOOKUP(Table4[[#This Row],[item_sold]],Table6[],3,FALSE))*Table4[[#This Row],[qty]]</f>
        <v>190</v>
      </c>
      <c r="G797" s="5">
        <f t="shared" si="40"/>
        <v>60</v>
      </c>
      <c r="H797" t="s">
        <v>361</v>
      </c>
    </row>
    <row r="798" spans="1:9" x14ac:dyDescent="0.25">
      <c r="A798" s="1">
        <f t="shared" si="39"/>
        <v>45501</v>
      </c>
      <c r="B798" s="31">
        <f>TIME(14,43,0)</f>
        <v>0.61319444444444449</v>
      </c>
      <c r="C798" t="str">
        <f>Inventory!A70</f>
        <v>Indomie beef</v>
      </c>
      <c r="D798" s="27">
        <v>4</v>
      </c>
      <c r="E798" s="5">
        <f>Table4[[#This Row],[qty]]*(VLOOKUP(Table4[[#This Row],[item_sold]],Table6[],4,FALSE))</f>
        <v>200</v>
      </c>
      <c r="F798" s="5">
        <f>(VLOOKUP(Table4[[#This Row],[item_sold]],Table6[],3,FALSE))*Table4[[#This Row],[qty]]</f>
        <v>152</v>
      </c>
      <c r="G798" s="5">
        <f t="shared" si="40"/>
        <v>48</v>
      </c>
      <c r="H798" t="s">
        <v>361</v>
      </c>
    </row>
    <row r="799" spans="1:9" x14ac:dyDescent="0.25">
      <c r="A799" s="1">
        <f t="shared" si="39"/>
        <v>45501</v>
      </c>
      <c r="B799" s="31">
        <f>TIME(14,43,0)</f>
        <v>0.61319444444444449</v>
      </c>
      <c r="C799" t="str">
        <f>Inventory!A14</f>
        <v>soda 500ml glass</v>
      </c>
      <c r="D799" s="27">
        <v>1</v>
      </c>
      <c r="E799" s="5">
        <f>Table4[[#This Row],[qty]]*(VLOOKUP(Table4[[#This Row],[item_sold]],Table6[],4,FALSE))</f>
        <v>55</v>
      </c>
      <c r="F799" s="5">
        <f>(VLOOKUP(Table4[[#This Row],[item_sold]],Table6[],3,FALSE))*Table4[[#This Row],[qty]]</f>
        <v>50</v>
      </c>
      <c r="G799" s="5">
        <f t="shared" si="40"/>
        <v>5</v>
      </c>
      <c r="H799" t="s">
        <v>361</v>
      </c>
    </row>
    <row r="800" spans="1:9" x14ac:dyDescent="0.25">
      <c r="A800" s="1">
        <f t="shared" si="39"/>
        <v>45501</v>
      </c>
      <c r="B800" s="31">
        <f>TIME(15,44,0)</f>
        <v>0.65555555555555556</v>
      </c>
      <c r="C800" t="str">
        <f>Inventory!A160</f>
        <v>Geisha big</v>
      </c>
      <c r="D800" s="27">
        <v>1</v>
      </c>
      <c r="E800" s="5">
        <f>Table4[[#This Row],[qty]]*(VLOOKUP(Table4[[#This Row],[item_sold]],Table6[],4,FALSE))</f>
        <v>120</v>
      </c>
      <c r="F800" s="5">
        <f>(VLOOKUP(Table4[[#This Row],[item_sold]],Table6[],3,FALSE))*Table4[[#This Row],[qty]]</f>
        <v>95</v>
      </c>
      <c r="G800" s="5">
        <f t="shared" si="40"/>
        <v>25</v>
      </c>
      <c r="H800" t="s">
        <v>361</v>
      </c>
    </row>
    <row r="801" spans="1:9" x14ac:dyDescent="0.25">
      <c r="A801" s="1">
        <f t="shared" si="39"/>
        <v>45501</v>
      </c>
      <c r="B801" s="31">
        <f>TIME(15,44,0)</f>
        <v>0.65555555555555556</v>
      </c>
      <c r="C801" t="str">
        <f>Inventory!A179</f>
        <v>Kienyeji  Eggs</v>
      </c>
      <c r="D801" s="27">
        <v>2</v>
      </c>
      <c r="E801" s="5">
        <f>Table4[[#This Row],[qty]]*(VLOOKUP(Table4[[#This Row],[item_sold]],Table6[],4,FALSE))</f>
        <v>60</v>
      </c>
      <c r="F801" s="5">
        <f>(VLOOKUP(Table4[[#This Row],[item_sold]],Table6[],3,FALSE))*Table4[[#This Row],[qty]]</f>
        <v>40</v>
      </c>
      <c r="G801" s="5">
        <f t="shared" si="40"/>
        <v>20</v>
      </c>
      <c r="H801" t="s">
        <v>361</v>
      </c>
    </row>
    <row r="802" spans="1:9" x14ac:dyDescent="0.25">
      <c r="A802" s="1">
        <f t="shared" si="39"/>
        <v>45501</v>
      </c>
      <c r="B802" s="31">
        <f>TIME(16,30,0)</f>
        <v>0.6875</v>
      </c>
      <c r="C802" t="str">
        <f>Inventory!A111</f>
        <v>omo 20g</v>
      </c>
      <c r="D802" s="27">
        <v>1</v>
      </c>
      <c r="E802" s="5">
        <f>Table4[[#This Row],[qty]]*(VLOOKUP(Table4[[#This Row],[item_sold]],Table6[],4,FALSE))</f>
        <v>15</v>
      </c>
      <c r="F802" s="5">
        <f>(VLOOKUP(Table4[[#This Row],[item_sold]],Table6[],3,FALSE))*Table4[[#This Row],[qty]]</f>
        <v>9.1666666666666661</v>
      </c>
      <c r="G802" s="5">
        <f t="shared" si="40"/>
        <v>5.8333333333333339</v>
      </c>
      <c r="H802" t="s">
        <v>359</v>
      </c>
      <c r="I802" t="s">
        <v>394</v>
      </c>
    </row>
    <row r="803" spans="1:9" x14ac:dyDescent="0.25">
      <c r="A803" s="1">
        <f t="shared" si="39"/>
        <v>45501</v>
      </c>
      <c r="B803" s="31">
        <f>TIME(16,35,0)</f>
        <v>0.69097222222222221</v>
      </c>
      <c r="C803" t="str">
        <f>Inventory!A68</f>
        <v>scooter cans</v>
      </c>
      <c r="D803" s="27">
        <v>1</v>
      </c>
      <c r="E803" s="5">
        <f>Table4[[#This Row],[qty]]*(VLOOKUP(Table4[[#This Row],[item_sold]],Table6[],4,FALSE))</f>
        <v>20</v>
      </c>
      <c r="F803" s="5">
        <f>(VLOOKUP(Table4[[#This Row],[item_sold]],Table6[],3,FALSE))*Table4[[#This Row],[qty]]</f>
        <v>15</v>
      </c>
      <c r="G803" s="5">
        <f t="shared" si="40"/>
        <v>5</v>
      </c>
      <c r="H803" t="s">
        <v>247</v>
      </c>
    </row>
    <row r="804" spans="1:9" x14ac:dyDescent="0.25">
      <c r="A804" s="1">
        <f t="shared" si="39"/>
        <v>45501</v>
      </c>
      <c r="B804" s="31">
        <f>TIME(16,35,0)</f>
        <v>0.69097222222222221</v>
      </c>
      <c r="C804" t="str">
        <f>Inventory!A63</f>
        <v>Gomba</v>
      </c>
      <c r="D804" s="27">
        <v>8</v>
      </c>
      <c r="E804" s="5">
        <f>Table4[[#This Row],[qty]]*(VLOOKUP(Table4[[#This Row],[item_sold]],Table6[],4,FALSE))</f>
        <v>20</v>
      </c>
      <c r="F804" s="5">
        <f>(VLOOKUP(Table4[[#This Row],[item_sold]],Table6[],3,FALSE))*Table4[[#This Row],[qty]]</f>
        <v>14.4</v>
      </c>
      <c r="G804" s="5">
        <f t="shared" si="40"/>
        <v>5.6</v>
      </c>
      <c r="H804" t="s">
        <v>247</v>
      </c>
    </row>
    <row r="805" spans="1:9" x14ac:dyDescent="0.25">
      <c r="A805" s="1">
        <f t="shared" si="39"/>
        <v>45501</v>
      </c>
      <c r="B805" s="31">
        <f>TIME(16,35,0)</f>
        <v>0.69097222222222221</v>
      </c>
      <c r="C805" t="str">
        <f>Inventory!A38</f>
        <v>T.Heat Potato crisps salted 25g</v>
      </c>
      <c r="D805" s="27">
        <v>1</v>
      </c>
      <c r="E805" s="5">
        <f>Table4[[#This Row],[qty]]*(VLOOKUP(Table4[[#This Row],[item_sold]],Table6[],4,FALSE))</f>
        <v>30</v>
      </c>
      <c r="F805" s="5">
        <f>(VLOOKUP(Table4[[#This Row],[item_sold]],Table6[],3,FALSE))*Table4[[#This Row],[qty]]</f>
        <v>22.916666666666668</v>
      </c>
      <c r="G805" s="5">
        <f t="shared" si="40"/>
        <v>7.0833333333333321</v>
      </c>
      <c r="H805" t="s">
        <v>247</v>
      </c>
    </row>
    <row r="806" spans="1:9" x14ac:dyDescent="0.25">
      <c r="A806" s="1">
        <f t="shared" si="39"/>
        <v>45501</v>
      </c>
      <c r="B806" s="31">
        <f>TIME(16,35,0)</f>
        <v>0.69097222222222221</v>
      </c>
      <c r="C806" t="str">
        <f>Inventory!A56</f>
        <v>Fresh green</v>
      </c>
      <c r="D806" s="27">
        <v>4</v>
      </c>
      <c r="E806" s="5">
        <f>Table4[[#This Row],[qty]]*(VLOOKUP(Table4[[#This Row],[item_sold]],Table6[],4,FALSE))</f>
        <v>40</v>
      </c>
      <c r="F806" s="5">
        <f>(VLOOKUP(Table4[[#This Row],[item_sold]],Table6[],3,FALSE))*Table4[[#This Row],[qty]]</f>
        <v>20</v>
      </c>
      <c r="G806" s="5">
        <f t="shared" si="40"/>
        <v>20</v>
      </c>
      <c r="H806" t="s">
        <v>247</v>
      </c>
    </row>
    <row r="807" spans="1:9" x14ac:dyDescent="0.25">
      <c r="A807" s="1">
        <f t="shared" si="39"/>
        <v>45501</v>
      </c>
      <c r="B807" s="31">
        <f>TIME(16,35,0)</f>
        <v>0.69097222222222221</v>
      </c>
      <c r="C807" t="str">
        <f>Inventory!A61</f>
        <v>Bigdaddy</v>
      </c>
      <c r="D807" s="27">
        <v>1</v>
      </c>
      <c r="E807" s="5">
        <f>Table4[[#This Row],[qty]]*(VLOOKUP(Table4[[#This Row],[item_sold]],Table6[],4,FALSE))</f>
        <v>10</v>
      </c>
      <c r="F807" s="5">
        <f>(VLOOKUP(Table4[[#This Row],[item_sold]],Table6[],3,FALSE))*Table4[[#This Row],[qty]]</f>
        <v>6</v>
      </c>
      <c r="G807" s="5">
        <f t="shared" si="40"/>
        <v>4</v>
      </c>
      <c r="H807" t="s">
        <v>247</v>
      </c>
    </row>
    <row r="808" spans="1:9" x14ac:dyDescent="0.25">
      <c r="A808" s="1">
        <f t="shared" si="39"/>
        <v>45501</v>
      </c>
      <c r="B808" s="31">
        <f>TIME(16,28,0)</f>
        <v>0.68611111111111101</v>
      </c>
      <c r="C808" t="str">
        <f>Inventory!A111</f>
        <v>omo 20g</v>
      </c>
      <c r="D808" s="27">
        <v>1</v>
      </c>
      <c r="E808" s="5">
        <f>Table4[[#This Row],[qty]]*(VLOOKUP(Table4[[#This Row],[item_sold]],Table6[],4,FALSE))</f>
        <v>15</v>
      </c>
      <c r="F808" s="5">
        <f>(VLOOKUP(Table4[[#This Row],[item_sold]],Table6[],3,FALSE))*Table4[[#This Row],[qty]]</f>
        <v>9.1666666666666661</v>
      </c>
      <c r="G808" s="5">
        <f t="shared" ref="G808:G823" si="42">E808-F808</f>
        <v>5.8333333333333339</v>
      </c>
      <c r="H808" t="s">
        <v>361</v>
      </c>
    </row>
    <row r="809" spans="1:9" x14ac:dyDescent="0.25">
      <c r="A809" s="1">
        <f t="shared" si="39"/>
        <v>45501</v>
      </c>
      <c r="B809" s="31">
        <f>TIME(16,28,0)</f>
        <v>0.68611111111111101</v>
      </c>
      <c r="C809" t="str">
        <f>Inventory!A106</f>
        <v xml:space="preserve">Whitewash </v>
      </c>
      <c r="D809" s="27">
        <v>1</v>
      </c>
      <c r="E809" s="5">
        <f>Table4[[#This Row],[qty]]*(VLOOKUP(Table4[[#This Row],[item_sold]],Table6[],4,FALSE))</f>
        <v>50</v>
      </c>
      <c r="F809" s="5">
        <f>(VLOOKUP(Table4[[#This Row],[item_sold]],Table6[],3,FALSE))*Table4[[#This Row],[qty]]</f>
        <v>33.75</v>
      </c>
      <c r="G809" s="5">
        <f t="shared" si="42"/>
        <v>16.25</v>
      </c>
      <c r="H809" t="s">
        <v>361</v>
      </c>
    </row>
    <row r="810" spans="1:9" x14ac:dyDescent="0.25">
      <c r="A810" s="1">
        <f t="shared" si="39"/>
        <v>45501</v>
      </c>
      <c r="B810" s="31">
        <f>TIME(16,41,0)</f>
        <v>0.69513888888888886</v>
      </c>
      <c r="C810" t="str">
        <f>Inventory!A148</f>
        <v>Cabbage</v>
      </c>
      <c r="D810" s="27">
        <v>1</v>
      </c>
      <c r="E810" s="5">
        <f>Table4[[#This Row],[qty]]*(VLOOKUP(Table4[[#This Row],[item_sold]],Table6[],4,FALSE))</f>
        <v>180</v>
      </c>
      <c r="F810" s="5">
        <f>(VLOOKUP(Table4[[#This Row],[item_sold]],Table6[],3,FALSE))*Table4[[#This Row],[qty]]</f>
        <v>120</v>
      </c>
      <c r="G810" s="5">
        <f t="shared" si="42"/>
        <v>60</v>
      </c>
      <c r="H810" t="s">
        <v>247</v>
      </c>
    </row>
    <row r="811" spans="1:9" x14ac:dyDescent="0.25">
      <c r="A811" s="1">
        <f t="shared" si="39"/>
        <v>45501</v>
      </c>
      <c r="B811" s="31">
        <f>TIME(16,43,0)</f>
        <v>0.69652777777777775</v>
      </c>
      <c r="C811" t="str">
        <f>Inventory!A70</f>
        <v>Indomie beef</v>
      </c>
      <c r="D811" s="27">
        <v>1</v>
      </c>
      <c r="E811" s="5">
        <f>Table4[[#This Row],[qty]]*(VLOOKUP(Table4[[#This Row],[item_sold]],Table6[],4,FALSE))</f>
        <v>50</v>
      </c>
      <c r="F811" s="5">
        <f>(VLOOKUP(Table4[[#This Row],[item_sold]],Table6[],3,FALSE))*Table4[[#This Row],[qty]]</f>
        <v>38</v>
      </c>
      <c r="G811" s="5">
        <f t="shared" si="42"/>
        <v>12</v>
      </c>
      <c r="H811" t="s">
        <v>247</v>
      </c>
    </row>
    <row r="812" spans="1:9" x14ac:dyDescent="0.25">
      <c r="A812" s="1">
        <f t="shared" si="39"/>
        <v>45501</v>
      </c>
      <c r="B812" s="31">
        <f>TIME(16,43,0)</f>
        <v>0.69652777777777775</v>
      </c>
      <c r="C812" t="str">
        <f>Inventory!A179</f>
        <v>Kienyeji  Eggs</v>
      </c>
      <c r="D812" s="27">
        <v>1</v>
      </c>
      <c r="E812" s="5">
        <f>Table4[[#This Row],[qty]]*(VLOOKUP(Table4[[#This Row],[item_sold]],Table6[],4,FALSE))</f>
        <v>30</v>
      </c>
      <c r="F812" s="5">
        <f>(VLOOKUP(Table4[[#This Row],[item_sold]],Table6[],3,FALSE))*Table4[[#This Row],[qty]]</f>
        <v>20</v>
      </c>
      <c r="G812" s="5">
        <f t="shared" si="42"/>
        <v>10</v>
      </c>
      <c r="H812" t="s">
        <v>247</v>
      </c>
    </row>
    <row r="813" spans="1:9" x14ac:dyDescent="0.25">
      <c r="A813" s="1">
        <f t="shared" si="39"/>
        <v>45501</v>
      </c>
      <c r="B813" s="31">
        <f>TIME(16,43,0)</f>
        <v>0.69652777777777775</v>
      </c>
      <c r="C813" t="str">
        <f>Inventory!A46</f>
        <v>Nuvita Bisquit</v>
      </c>
      <c r="D813" s="27">
        <v>2</v>
      </c>
      <c r="E813" s="5">
        <f>Table4[[#This Row],[qty]]*(VLOOKUP(Table4[[#This Row],[item_sold]],Table6[],4,FALSE))</f>
        <v>10</v>
      </c>
      <c r="F813" s="5">
        <f>(VLOOKUP(Table4[[#This Row],[item_sold]],Table6[],3,FALSE))*Table4[[#This Row],[qty]]</f>
        <v>8.3333333333333339</v>
      </c>
      <c r="G813" s="5">
        <f t="shared" si="42"/>
        <v>1.6666666666666661</v>
      </c>
      <c r="H813" t="s">
        <v>247</v>
      </c>
    </row>
    <row r="814" spans="1:9" x14ac:dyDescent="0.25">
      <c r="A814" s="1">
        <f t="shared" si="39"/>
        <v>45501</v>
      </c>
      <c r="B814" s="31">
        <f>TIME(17,40,0)</f>
        <v>0.73611111111111116</v>
      </c>
      <c r="C814" t="str">
        <f>Inventory!A23</f>
        <v>Mt kenya milk 500ml</v>
      </c>
      <c r="D814" s="27">
        <v>1</v>
      </c>
      <c r="E814" s="5">
        <f>Table4[[#This Row],[qty]]*(VLOOKUP(Table4[[#This Row],[item_sold]],Table6[],4,FALSE))</f>
        <v>65</v>
      </c>
      <c r="F814" s="5">
        <f>(VLOOKUP(Table4[[#This Row],[item_sold]],Table6[],3,FALSE))*Table4[[#This Row],[qty]]</f>
        <v>48.333333333333336</v>
      </c>
      <c r="G814" s="5">
        <f t="shared" si="42"/>
        <v>16.666666666666664</v>
      </c>
      <c r="H814" t="s">
        <v>247</v>
      </c>
    </row>
    <row r="815" spans="1:9" x14ac:dyDescent="0.25">
      <c r="A815" s="1">
        <f t="shared" si="39"/>
        <v>45501</v>
      </c>
      <c r="B815" s="31">
        <f>TIME(17,40,0)</f>
        <v>0.73611111111111116</v>
      </c>
      <c r="C815" t="str">
        <f>Inventory!A31</f>
        <v>BB Bread 200g</v>
      </c>
      <c r="D815" s="27">
        <v>1</v>
      </c>
      <c r="E815" s="5">
        <f>Table4[[#This Row],[qty]]*(VLOOKUP(Table4[[#This Row],[item_sold]],Table6[],4,FALSE))</f>
        <v>40</v>
      </c>
      <c r="F815" s="5">
        <f>(VLOOKUP(Table4[[#This Row],[item_sold]],Table6[],3,FALSE))*Table4[[#This Row],[qty]]</f>
        <v>35</v>
      </c>
      <c r="G815" s="5">
        <f t="shared" si="42"/>
        <v>5</v>
      </c>
      <c r="H815" t="s">
        <v>359</v>
      </c>
      <c r="I815" t="s">
        <v>385</v>
      </c>
    </row>
    <row r="816" spans="1:9" x14ac:dyDescent="0.25">
      <c r="A816" s="1">
        <f t="shared" si="39"/>
        <v>45501</v>
      </c>
      <c r="B816" s="31">
        <f>TIME(17,40,0)</f>
        <v>0.73611111111111116</v>
      </c>
      <c r="C816" t="str">
        <f>Inventory!A23</f>
        <v>Mt kenya milk 500ml</v>
      </c>
      <c r="D816" s="27">
        <v>1</v>
      </c>
      <c r="E816" s="5">
        <f>Table4[[#This Row],[qty]]*(VLOOKUP(Table4[[#This Row],[item_sold]],Table6[],4,FALSE))</f>
        <v>65</v>
      </c>
      <c r="F816" s="5">
        <f>(VLOOKUP(Table4[[#This Row],[item_sold]],Table6[],3,FALSE))*Table4[[#This Row],[qty]]</f>
        <v>48.333333333333336</v>
      </c>
      <c r="G816" s="5">
        <f t="shared" si="42"/>
        <v>16.666666666666664</v>
      </c>
      <c r="H816" t="s">
        <v>359</v>
      </c>
      <c r="I816" t="s">
        <v>385</v>
      </c>
    </row>
    <row r="817" spans="1:9" x14ac:dyDescent="0.25">
      <c r="A817" s="1">
        <f t="shared" si="39"/>
        <v>45501</v>
      </c>
      <c r="B817" s="31">
        <f>TIME(17,57,0)</f>
        <v>0.74791666666666667</v>
      </c>
      <c r="C817" t="str">
        <f>Inventory!A154</f>
        <v>waru</v>
      </c>
      <c r="D817" s="27">
        <v>2</v>
      </c>
      <c r="E817" s="5">
        <f>Table4[[#This Row],[qty]]*(VLOOKUP(Table4[[#This Row],[item_sold]],Table6[],4,FALSE))</f>
        <v>100</v>
      </c>
      <c r="F817" s="5">
        <f>(VLOOKUP(Table4[[#This Row],[item_sold]],Table6[],3,FALSE))*Table4[[#This Row],[qty]]</f>
        <v>59.999999999999993</v>
      </c>
      <c r="G817" s="5">
        <f t="shared" si="42"/>
        <v>40.000000000000007</v>
      </c>
      <c r="H817" t="s">
        <v>359</v>
      </c>
      <c r="I817" t="s">
        <v>406</v>
      </c>
    </row>
    <row r="818" spans="1:9" x14ac:dyDescent="0.25">
      <c r="A818" s="1">
        <f t="shared" si="39"/>
        <v>45501</v>
      </c>
      <c r="B818" s="31">
        <f>TIME(17,57,0)</f>
        <v>0.74791666666666667</v>
      </c>
      <c r="C818" t="str">
        <f>Inventory!A79</f>
        <v>Tomato sauce</v>
      </c>
      <c r="D818" s="27">
        <v>1</v>
      </c>
      <c r="E818" s="5">
        <f>Table4[[#This Row],[qty]]*(VLOOKUP(Table4[[#This Row],[item_sold]],Table6[],4,FALSE))</f>
        <v>70</v>
      </c>
      <c r="F818" s="5">
        <f>(VLOOKUP(Table4[[#This Row],[item_sold]],Table6[],3,FALSE))*Table4[[#This Row],[qty]]</f>
        <v>50</v>
      </c>
      <c r="G818" s="5">
        <f t="shared" si="42"/>
        <v>20</v>
      </c>
      <c r="H818" t="s">
        <v>359</v>
      </c>
      <c r="I818" t="s">
        <v>406</v>
      </c>
    </row>
    <row r="819" spans="1:9" x14ac:dyDescent="0.25">
      <c r="A819" s="1">
        <f t="shared" si="39"/>
        <v>45501</v>
      </c>
      <c r="B819" s="31">
        <f>TIME(18,2,0)</f>
        <v>0.75138888888888899</v>
      </c>
      <c r="C819" t="str">
        <f>Inventory!A154</f>
        <v>waru</v>
      </c>
      <c r="D819" s="27">
        <v>1</v>
      </c>
      <c r="E819" s="5">
        <f>Table4[[#This Row],[qty]]*(VLOOKUP(Table4[[#This Row],[item_sold]],Table6[],4,FALSE))</f>
        <v>50</v>
      </c>
      <c r="F819" s="5">
        <f>(VLOOKUP(Table4[[#This Row],[item_sold]],Table6[],3,FALSE))*Table4[[#This Row],[qty]]</f>
        <v>29.999999999999996</v>
      </c>
      <c r="G819" s="5">
        <f t="shared" si="42"/>
        <v>20.000000000000004</v>
      </c>
      <c r="H819" t="s">
        <v>361</v>
      </c>
    </row>
    <row r="820" spans="1:9" x14ac:dyDescent="0.25">
      <c r="A820" s="1">
        <f t="shared" si="39"/>
        <v>45501</v>
      </c>
      <c r="B820" s="31">
        <f>TIME(18,35,0)</f>
        <v>0.77430555555555547</v>
      </c>
      <c r="C820" t="str">
        <f>Inventory!A6</f>
        <v xml:space="preserve"> soda 1.25lts</v>
      </c>
      <c r="D820" s="27">
        <v>1</v>
      </c>
      <c r="E820" s="5">
        <f>Table4[[#This Row],[qty]]*(VLOOKUP(Table4[[#This Row],[item_sold]],Table6[],4,FALSE))</f>
        <v>130</v>
      </c>
      <c r="F820" s="5">
        <f>(VLOOKUP(Table4[[#This Row],[item_sold]],Table6[],3,FALSE))*Table4[[#This Row],[qty]]</f>
        <v>112.5</v>
      </c>
      <c r="G820" s="5">
        <f t="shared" si="42"/>
        <v>17.5</v>
      </c>
      <c r="H820" t="s">
        <v>361</v>
      </c>
    </row>
    <row r="821" spans="1:9" x14ac:dyDescent="0.25">
      <c r="A821" s="1">
        <f t="shared" si="39"/>
        <v>45501</v>
      </c>
      <c r="B821" s="31">
        <f>TIME(19,20,0)</f>
        <v>0.80555555555555547</v>
      </c>
      <c r="C821" t="str">
        <f>Inventory!A117</f>
        <v>Cooking Oil Measured</v>
      </c>
      <c r="D821" s="27">
        <v>0.25</v>
      </c>
      <c r="E821" s="5">
        <f>Table4[[#This Row],[qty]]*(VLOOKUP(Table4[[#This Row],[item_sold]],Table6[],4,FALSE))</f>
        <v>70</v>
      </c>
      <c r="F821" s="5">
        <f>(VLOOKUP(Table4[[#This Row],[item_sold]],Table6[],3,FALSE))*Table4[[#This Row],[qty]]</f>
        <v>50</v>
      </c>
      <c r="G821" s="5">
        <f t="shared" si="42"/>
        <v>20</v>
      </c>
      <c r="H821" t="s">
        <v>247</v>
      </c>
    </row>
    <row r="822" spans="1:9" x14ac:dyDescent="0.25">
      <c r="A822" s="1">
        <f t="shared" si="39"/>
        <v>45501</v>
      </c>
      <c r="B822" s="31">
        <f>TIME(19,27,0)</f>
        <v>0.81041666666666667</v>
      </c>
      <c r="C822" t="str">
        <f>Inventory!A34</f>
        <v>Ringoz Paprika</v>
      </c>
      <c r="D822" s="27">
        <v>1</v>
      </c>
      <c r="E822" s="5">
        <f>Table4[[#This Row],[qty]]*(VLOOKUP(Table4[[#This Row],[item_sold]],Table6[],4,FALSE))</f>
        <v>15</v>
      </c>
      <c r="F822" s="5">
        <f>(VLOOKUP(Table4[[#This Row],[item_sold]],Table6[],3,FALSE))*Table4[[#This Row],[qty]]</f>
        <v>8.8000000000000007</v>
      </c>
      <c r="G822" s="5">
        <f t="shared" si="42"/>
        <v>6.1999999999999993</v>
      </c>
      <c r="H822" t="s">
        <v>361</v>
      </c>
    </row>
    <row r="823" spans="1:9" x14ac:dyDescent="0.25">
      <c r="A823" s="1">
        <f t="shared" si="39"/>
        <v>45501</v>
      </c>
      <c r="B823" s="31">
        <f>TIME(19,30,0)</f>
        <v>0.8125</v>
      </c>
      <c r="C823" t="str">
        <f>Inventory!A93</f>
        <v>Hanaan Tissue</v>
      </c>
      <c r="D823" s="27">
        <v>1</v>
      </c>
      <c r="E823" s="5">
        <f>Table4[[#This Row],[qty]]*(VLOOKUP(Table4[[#This Row],[item_sold]],Table6[],4,FALSE))</f>
        <v>50</v>
      </c>
      <c r="F823" s="5">
        <f>(VLOOKUP(Table4[[#This Row],[item_sold]],Table6[],3,FALSE))*Table4[[#This Row],[qty]]</f>
        <v>43</v>
      </c>
      <c r="G823" s="5">
        <f t="shared" si="42"/>
        <v>7</v>
      </c>
      <c r="H823" t="s">
        <v>361</v>
      </c>
    </row>
    <row r="824" spans="1:9" x14ac:dyDescent="0.25">
      <c r="A824" s="1">
        <f t="shared" si="39"/>
        <v>45501</v>
      </c>
      <c r="B824" s="31">
        <f>TIME(19,30,0)</f>
        <v>0.8125</v>
      </c>
      <c r="C824" t="str">
        <f>Inventory!A126</f>
        <v>Royco cubes</v>
      </c>
      <c r="D824" s="27">
        <v>7</v>
      </c>
      <c r="E824" s="5">
        <f>Table4[[#This Row],[qty]]*(VLOOKUP(Table4[[#This Row],[item_sold]],Table6[],4,FALSE))</f>
        <v>35</v>
      </c>
      <c r="F824" s="5">
        <f>(VLOOKUP(Table4[[#This Row],[item_sold]],Table6[],3,FALSE))*Table4[[#This Row],[qty]]</f>
        <v>21</v>
      </c>
      <c r="G824" s="5">
        <f t="shared" ref="G824:G832" si="43">E824-F824</f>
        <v>14</v>
      </c>
      <c r="H824" t="s">
        <v>361</v>
      </c>
    </row>
    <row r="825" spans="1:9" x14ac:dyDescent="0.25">
      <c r="A825" s="1">
        <f t="shared" si="39"/>
        <v>45501</v>
      </c>
      <c r="B825" s="31">
        <f>TIME(19,37,0)</f>
        <v>0.81736111111111109</v>
      </c>
      <c r="C825" t="str">
        <f>Inventory!A24</f>
        <v>Brookside milk 500ml</v>
      </c>
      <c r="D825" s="27">
        <v>1</v>
      </c>
      <c r="E825" s="5">
        <f>Table4[[#This Row],[qty]]*(VLOOKUP(Table4[[#This Row],[item_sold]],Table6[],4,FALSE))</f>
        <v>70</v>
      </c>
      <c r="F825" s="5">
        <f>(VLOOKUP(Table4[[#This Row],[item_sold]],Table6[],3,FALSE))*Table4[[#This Row],[qty]]</f>
        <v>59</v>
      </c>
      <c r="G825" s="5">
        <f t="shared" si="43"/>
        <v>11</v>
      </c>
      <c r="H825" t="s">
        <v>247</v>
      </c>
    </row>
    <row r="826" spans="1:9" x14ac:dyDescent="0.25">
      <c r="A826" s="1">
        <f t="shared" si="39"/>
        <v>45501</v>
      </c>
      <c r="B826" s="31">
        <f>TIME(19,37,0)</f>
        <v>0.81736111111111109</v>
      </c>
      <c r="C826" t="str">
        <f>Inventory!A132</f>
        <v>Festive Bread 400g</v>
      </c>
      <c r="D826" s="27">
        <v>1</v>
      </c>
      <c r="E826" s="5">
        <f>Table4[[#This Row],[qty]]*(VLOOKUP(Table4[[#This Row],[item_sold]],Table6[],4,FALSE))</f>
        <v>65</v>
      </c>
      <c r="F826" s="5">
        <f>(VLOOKUP(Table4[[#This Row],[item_sold]],Table6[],3,FALSE))*Table4[[#This Row],[qty]]</f>
        <v>60</v>
      </c>
      <c r="G826" s="5">
        <f t="shared" si="43"/>
        <v>5</v>
      </c>
      <c r="H826" t="s">
        <v>247</v>
      </c>
    </row>
    <row r="827" spans="1:9" x14ac:dyDescent="0.25">
      <c r="A827" s="1">
        <f t="shared" si="39"/>
        <v>45501</v>
      </c>
      <c r="B827" s="31">
        <f>TIME(19,37,0)</f>
        <v>0.81736111111111109</v>
      </c>
      <c r="C827" t="str">
        <f>Inventory!A125</f>
        <v>Dhania</v>
      </c>
      <c r="D827" s="27">
        <v>1</v>
      </c>
      <c r="E827" s="5">
        <f>Table4[[#This Row],[qty]]*(VLOOKUP(Table4[[#This Row],[item_sold]],Table6[],4,FALSE))</f>
        <v>5</v>
      </c>
      <c r="F827" s="5">
        <f>(VLOOKUP(Table4[[#This Row],[item_sold]],Table6[],3,FALSE))*Table4[[#This Row],[qty]]</f>
        <v>3.3333333333333335</v>
      </c>
      <c r="G827" s="5">
        <f t="shared" si="43"/>
        <v>1.6666666666666665</v>
      </c>
      <c r="H827" t="s">
        <v>247</v>
      </c>
    </row>
    <row r="828" spans="1:9" x14ac:dyDescent="0.25">
      <c r="A828" s="1">
        <f t="shared" si="39"/>
        <v>45501</v>
      </c>
      <c r="B828" s="31">
        <f>TIME(19,43,0)</f>
        <v>0.82152777777777775</v>
      </c>
      <c r="C828" t="str">
        <f>Inventory!A126</f>
        <v>Royco cubes</v>
      </c>
      <c r="D828" s="27">
        <v>2</v>
      </c>
      <c r="E828" s="5">
        <f>Table4[[#This Row],[qty]]*(VLOOKUP(Table4[[#This Row],[item_sold]],Table6[],4,FALSE))</f>
        <v>10</v>
      </c>
      <c r="F828" s="5">
        <f>(VLOOKUP(Table4[[#This Row],[item_sold]],Table6[],3,FALSE))*Table4[[#This Row],[qty]]</f>
        <v>6</v>
      </c>
      <c r="G828" s="5">
        <f t="shared" si="43"/>
        <v>4</v>
      </c>
      <c r="H828" t="s">
        <v>359</v>
      </c>
      <c r="I828" t="s">
        <v>387</v>
      </c>
    </row>
    <row r="829" spans="1:9" x14ac:dyDescent="0.25">
      <c r="A829" s="1">
        <f t="shared" si="39"/>
        <v>45501</v>
      </c>
      <c r="B829" s="31">
        <f>TIME(20,18,0)</f>
        <v>0.84583333333333333</v>
      </c>
      <c r="C829" t="str">
        <f>Inventory!A109</f>
        <v>ariel 10g</v>
      </c>
      <c r="D829" s="27">
        <v>1</v>
      </c>
      <c r="E829" s="5">
        <f>Table4[[#This Row],[qty]]*(VLOOKUP(Table4[[#This Row],[item_sold]],Table6[],4,FALSE))</f>
        <v>15</v>
      </c>
      <c r="F829" s="5">
        <f>(VLOOKUP(Table4[[#This Row],[item_sold]],Table6[],3,FALSE))*Table4[[#This Row],[qty]]</f>
        <v>9.1666666666666661</v>
      </c>
      <c r="G829" s="5">
        <f t="shared" si="43"/>
        <v>5.8333333333333339</v>
      </c>
      <c r="H829" t="s">
        <v>359</v>
      </c>
      <c r="I829" t="s">
        <v>387</v>
      </c>
    </row>
    <row r="830" spans="1:9" x14ac:dyDescent="0.25">
      <c r="A830" s="1">
        <f t="shared" si="39"/>
        <v>45501</v>
      </c>
      <c r="B830" s="31">
        <f>TIME(20,18,0)</f>
        <v>0.84583333333333333</v>
      </c>
      <c r="C830" t="str">
        <f>Inventory!A106</f>
        <v xml:space="preserve">Whitewash </v>
      </c>
      <c r="D830" s="27">
        <v>1</v>
      </c>
      <c r="E830" s="5">
        <f>Table4[[#This Row],[qty]]*(VLOOKUP(Table4[[#This Row],[item_sold]],Table6[],4,FALSE))</f>
        <v>50</v>
      </c>
      <c r="F830" s="5">
        <f>(VLOOKUP(Table4[[#This Row],[item_sold]],Table6[],3,FALSE))*Table4[[#This Row],[qty]]</f>
        <v>33.75</v>
      </c>
      <c r="G830" s="5">
        <f t="shared" si="43"/>
        <v>16.25</v>
      </c>
      <c r="H830" t="s">
        <v>359</v>
      </c>
      <c r="I830" t="s">
        <v>387</v>
      </c>
    </row>
    <row r="831" spans="1:9" x14ac:dyDescent="0.25">
      <c r="A831" s="1">
        <f t="shared" si="39"/>
        <v>45501</v>
      </c>
      <c r="B831" s="31">
        <f>TIME(20,18,0)</f>
        <v>0.84583333333333333</v>
      </c>
      <c r="C831" t="str">
        <f>Inventory!A12</f>
        <v>predator</v>
      </c>
      <c r="D831" s="27">
        <v>1</v>
      </c>
      <c r="E831" s="5">
        <f>Table4[[#This Row],[qty]]*(VLOOKUP(Table4[[#This Row],[item_sold]],Table6[],4,FALSE))</f>
        <v>70</v>
      </c>
      <c r="F831" s="5">
        <f>(VLOOKUP(Table4[[#This Row],[item_sold]],Table6[],3,FALSE))*Table4[[#This Row],[qty]]</f>
        <v>54.166666666666664</v>
      </c>
      <c r="G831" s="5">
        <f t="shared" si="43"/>
        <v>15.833333333333336</v>
      </c>
      <c r="H831" t="s">
        <v>359</v>
      </c>
      <c r="I831" t="s">
        <v>387</v>
      </c>
    </row>
    <row r="832" spans="1:9" x14ac:dyDescent="0.25">
      <c r="A832" s="1">
        <f t="shared" si="39"/>
        <v>45501</v>
      </c>
      <c r="B832" s="31">
        <f>TIME(20,18,0)</f>
        <v>0.84583333333333333</v>
      </c>
      <c r="C832" t="str">
        <f>Inventory!A183</f>
        <v>6kg grill stand</v>
      </c>
      <c r="D832" s="27">
        <v>1</v>
      </c>
      <c r="E832" s="5">
        <f>Table4[[#This Row],[qty]]*(VLOOKUP(Table4[[#This Row],[item_sold]],Table6[],4,FALSE))</f>
        <v>300</v>
      </c>
      <c r="F832" s="5">
        <f>(VLOOKUP(Table4[[#This Row],[item_sold]],Table6[],3,FALSE))*Table4[[#This Row],[qty]]</f>
        <v>190</v>
      </c>
      <c r="G832" s="5">
        <f t="shared" si="43"/>
        <v>110</v>
      </c>
      <c r="H832" t="s">
        <v>359</v>
      </c>
      <c r="I832" t="s">
        <v>387</v>
      </c>
    </row>
    <row r="833" spans="1:12" x14ac:dyDescent="0.25">
      <c r="A833" s="1">
        <f>DATE(2024,7,29)</f>
        <v>45502</v>
      </c>
      <c r="B833" s="31">
        <f>TIME(8,24,0)</f>
        <v>0.35000000000000003</v>
      </c>
      <c r="C833" t="str">
        <f>Inventory!A30</f>
        <v>BB Bread 400g</v>
      </c>
      <c r="D833" s="27">
        <v>1</v>
      </c>
      <c r="E833" s="5">
        <f>Table4[[#This Row],[qty]]*(VLOOKUP(Table4[[#This Row],[item_sold]],Table6[],4,FALSE))</f>
        <v>65</v>
      </c>
      <c r="F833" s="5">
        <f>(VLOOKUP(Table4[[#This Row],[item_sold]],Table6[],3,FALSE))*Table4[[#This Row],[qty]]</f>
        <v>60</v>
      </c>
      <c r="G833" s="5">
        <f t="shared" ref="G833:G885" si="44">E833-F833</f>
        <v>5</v>
      </c>
      <c r="H833" t="s">
        <v>361</v>
      </c>
    </row>
    <row r="834" spans="1:12" x14ac:dyDescent="0.25">
      <c r="A834" s="1">
        <f t="shared" ref="A834:A879" si="45">DATE(2024,7,29)</f>
        <v>45502</v>
      </c>
      <c r="B834" s="31">
        <f>TIME(8,24,0)</f>
        <v>0.35000000000000003</v>
      </c>
      <c r="C834" t="str">
        <f>Inventory!A173</f>
        <v>Blueband 100g</v>
      </c>
      <c r="D834" s="27">
        <v>1</v>
      </c>
      <c r="E834" s="5">
        <f>Table4[[#This Row],[qty]]*(VLOOKUP(Table4[[#This Row],[item_sold]],Table6[],4,FALSE))</f>
        <v>70</v>
      </c>
      <c r="F834" s="5">
        <f>(VLOOKUP(Table4[[#This Row],[item_sold]],Table6[],3,FALSE))*Table4[[#This Row],[qty]]</f>
        <v>58.333333333333336</v>
      </c>
      <c r="G834" s="5">
        <f t="shared" si="44"/>
        <v>11.666666666666664</v>
      </c>
      <c r="H834" t="s">
        <v>361</v>
      </c>
    </row>
    <row r="835" spans="1:12" x14ac:dyDescent="0.25">
      <c r="A835" s="1">
        <f t="shared" si="45"/>
        <v>45502</v>
      </c>
      <c r="B835" s="31">
        <f>TIME(8,48,0)</f>
        <v>0.3666666666666667</v>
      </c>
      <c r="C835" t="str">
        <f>Inventory!A122</f>
        <v>Kinangop Fresh Milk 500ml</v>
      </c>
      <c r="D835" s="27">
        <v>1</v>
      </c>
      <c r="E835" s="5">
        <f>Table4[[#This Row],[qty]]*(VLOOKUP(Table4[[#This Row],[item_sold]],Table6[],4,FALSE))</f>
        <v>60</v>
      </c>
      <c r="F835" s="5">
        <f>(VLOOKUP(Table4[[#This Row],[item_sold]],Table6[],3,FALSE))*Table4[[#This Row],[qty]]</f>
        <v>55</v>
      </c>
      <c r="G835" s="5">
        <f t="shared" si="44"/>
        <v>5</v>
      </c>
      <c r="H835" t="s">
        <v>359</v>
      </c>
      <c r="I835" t="s">
        <v>385</v>
      </c>
    </row>
    <row r="836" spans="1:12" x14ac:dyDescent="0.25">
      <c r="A836" s="1">
        <f t="shared" si="45"/>
        <v>45502</v>
      </c>
      <c r="B836" s="31">
        <f>TIME(8,48,0)</f>
        <v>0.3666666666666667</v>
      </c>
      <c r="C836" t="str">
        <f>Inventory!A30</f>
        <v>BB Bread 400g</v>
      </c>
      <c r="D836" s="27">
        <v>1</v>
      </c>
      <c r="E836" s="5">
        <f>Table4[[#This Row],[qty]]*(VLOOKUP(Table4[[#This Row],[item_sold]],Table6[],4,FALSE))</f>
        <v>65</v>
      </c>
      <c r="F836" s="5">
        <f>(VLOOKUP(Table4[[#This Row],[item_sold]],Table6[],3,FALSE))*Table4[[#This Row],[qty]]</f>
        <v>60</v>
      </c>
      <c r="G836" s="5">
        <f t="shared" si="44"/>
        <v>5</v>
      </c>
      <c r="H836" t="s">
        <v>359</v>
      </c>
      <c r="I836" t="s">
        <v>385</v>
      </c>
    </row>
    <row r="837" spans="1:12" x14ac:dyDescent="0.25">
      <c r="A837" s="1">
        <f t="shared" si="45"/>
        <v>45502</v>
      </c>
      <c r="B837" s="31">
        <f>TIME(8,53,0)</f>
        <v>0.37013888888888885</v>
      </c>
      <c r="C837" t="str">
        <f>Inventory!A30</f>
        <v>BB Bread 400g</v>
      </c>
      <c r="D837" s="27">
        <v>1</v>
      </c>
      <c r="E837" s="5">
        <f>Table4[[#This Row],[qty]]*(VLOOKUP(Table4[[#This Row],[item_sold]],Table6[],4,FALSE))</f>
        <v>65</v>
      </c>
      <c r="F837" s="5">
        <f>(VLOOKUP(Table4[[#This Row],[item_sold]],Table6[],3,FALSE))*Table4[[#This Row],[qty]]</f>
        <v>60</v>
      </c>
      <c r="G837" s="5">
        <f t="shared" si="44"/>
        <v>5</v>
      </c>
      <c r="H837" t="s">
        <v>361</v>
      </c>
    </row>
    <row r="838" spans="1:12" x14ac:dyDescent="0.25">
      <c r="A838" s="1">
        <f t="shared" si="45"/>
        <v>45502</v>
      </c>
      <c r="B838" s="31">
        <f>TIME(8,53,0)</f>
        <v>0.37013888888888885</v>
      </c>
      <c r="C838" t="str">
        <f>Inventory!A173</f>
        <v>Blueband 100g</v>
      </c>
      <c r="D838" s="27">
        <v>1</v>
      </c>
      <c r="E838" s="5">
        <f>Table4[[#This Row],[qty]]*(VLOOKUP(Table4[[#This Row],[item_sold]],Table6[],4,FALSE))</f>
        <v>70</v>
      </c>
      <c r="F838" s="5">
        <f>(VLOOKUP(Table4[[#This Row],[item_sold]],Table6[],3,FALSE))*Table4[[#This Row],[qty]]</f>
        <v>58.333333333333336</v>
      </c>
      <c r="G838" s="5">
        <f t="shared" si="44"/>
        <v>11.666666666666664</v>
      </c>
      <c r="H838" t="s">
        <v>361</v>
      </c>
    </row>
    <row r="839" spans="1:12" x14ac:dyDescent="0.25">
      <c r="A839" s="1">
        <f t="shared" si="45"/>
        <v>45502</v>
      </c>
      <c r="B839" s="31">
        <f>TIME(9,56,0)</f>
        <v>0.41388888888888892</v>
      </c>
      <c r="C839" t="str">
        <f>Inventory!A93</f>
        <v>Hanaan Tissue</v>
      </c>
      <c r="D839" s="27">
        <v>1</v>
      </c>
      <c r="E839" s="5">
        <f>Table4[[#This Row],[qty]]*(VLOOKUP(Table4[[#This Row],[item_sold]],Table6[],4,FALSE))</f>
        <v>50</v>
      </c>
      <c r="F839" s="5">
        <f>(VLOOKUP(Table4[[#This Row],[item_sold]],Table6[],3,FALSE))*Table4[[#This Row],[qty]]</f>
        <v>43</v>
      </c>
      <c r="G839" s="5">
        <f t="shared" si="44"/>
        <v>7</v>
      </c>
      <c r="H839" t="s">
        <v>247</v>
      </c>
    </row>
    <row r="840" spans="1:12" x14ac:dyDescent="0.25">
      <c r="A840" s="1">
        <f t="shared" si="45"/>
        <v>45502</v>
      </c>
      <c r="B840" s="31">
        <f>TIME(10,18,0)</f>
        <v>0.4291666666666667</v>
      </c>
      <c r="C840" t="str">
        <f>Inventory!A12</f>
        <v>predator</v>
      </c>
      <c r="D840" s="27">
        <v>1</v>
      </c>
      <c r="E840" s="5">
        <f>Table4[[#This Row],[qty]]*(VLOOKUP(Table4[[#This Row],[item_sold]],Table6[],4,FALSE))</f>
        <v>70</v>
      </c>
      <c r="F840" s="5">
        <f>(VLOOKUP(Table4[[#This Row],[item_sold]],Table6[],3,FALSE))*Table4[[#This Row],[qty]]</f>
        <v>54.166666666666664</v>
      </c>
      <c r="G840" s="5">
        <f t="shared" si="44"/>
        <v>15.833333333333336</v>
      </c>
      <c r="H840" t="s">
        <v>361</v>
      </c>
    </row>
    <row r="841" spans="1:12" x14ac:dyDescent="0.25">
      <c r="A841" s="1">
        <f t="shared" si="45"/>
        <v>45502</v>
      </c>
      <c r="B841" s="31">
        <f>TIME(10,18,0)</f>
        <v>0.4291666666666667</v>
      </c>
      <c r="C841" t="str">
        <f>Inventory!A44</f>
        <v>Peanut Cookies</v>
      </c>
      <c r="D841" s="27">
        <v>1</v>
      </c>
      <c r="E841" s="5">
        <f>Table4[[#This Row],[qty]]*(VLOOKUP(Table4[[#This Row],[item_sold]],Table6[],4,FALSE))</f>
        <v>35</v>
      </c>
      <c r="F841" s="5">
        <f>(VLOOKUP(Table4[[#This Row],[item_sold]],Table6[],3,FALSE))*Table4[[#This Row],[qty]]</f>
        <v>25</v>
      </c>
      <c r="G841" s="5">
        <f t="shared" si="44"/>
        <v>10</v>
      </c>
      <c r="H841" t="s">
        <v>359</v>
      </c>
      <c r="I841" t="s">
        <v>401</v>
      </c>
      <c r="J841" t="s">
        <v>401</v>
      </c>
      <c r="K841">
        <v>25</v>
      </c>
      <c r="L841" t="s">
        <v>247</v>
      </c>
    </row>
    <row r="842" spans="1:12" x14ac:dyDescent="0.25">
      <c r="A842" s="1">
        <f t="shared" si="45"/>
        <v>45502</v>
      </c>
      <c r="B842" s="31">
        <f>TIME(10,20,0)</f>
        <v>0.43055555555555558</v>
      </c>
      <c r="C842" t="str">
        <f>Inventory!A98</f>
        <v>Sunny girl pad</v>
      </c>
      <c r="D842" s="27">
        <v>1</v>
      </c>
      <c r="E842" s="5">
        <f>Table4[[#This Row],[qty]]*(VLOOKUP(Table4[[#This Row],[item_sold]],Table6[],4,FALSE))</f>
        <v>70</v>
      </c>
      <c r="F842" s="5">
        <f>(VLOOKUP(Table4[[#This Row],[item_sold]],Table6[],3,FALSE))*Table4[[#This Row],[qty]]</f>
        <v>56.666666666666664</v>
      </c>
      <c r="G842" s="5">
        <f t="shared" si="44"/>
        <v>13.333333333333336</v>
      </c>
      <c r="H842" t="s">
        <v>247</v>
      </c>
    </row>
    <row r="843" spans="1:12" x14ac:dyDescent="0.25">
      <c r="A843" s="1">
        <f t="shared" si="45"/>
        <v>45502</v>
      </c>
      <c r="B843" s="31">
        <f>TIME(10,29,0)</f>
        <v>0.4368055555555555</v>
      </c>
      <c r="C843" t="str">
        <f>Inventory!A141</f>
        <v>Jumbo Tissue</v>
      </c>
      <c r="D843" s="27">
        <v>1</v>
      </c>
      <c r="E843" s="5">
        <f>Table4[[#This Row],[qty]]*(VLOOKUP(Table4[[#This Row],[item_sold]],Table6[],4,FALSE))</f>
        <v>120</v>
      </c>
      <c r="F843" s="5">
        <f>(VLOOKUP(Table4[[#This Row],[item_sold]],Table6[],3,FALSE))*Table4[[#This Row],[qty]]</f>
        <v>90</v>
      </c>
      <c r="G843" s="5">
        <f t="shared" si="44"/>
        <v>30</v>
      </c>
      <c r="H843" t="s">
        <v>361</v>
      </c>
    </row>
    <row r="844" spans="1:12" x14ac:dyDescent="0.25">
      <c r="A844" s="1">
        <f t="shared" si="45"/>
        <v>45502</v>
      </c>
      <c r="B844" s="31">
        <f>TIME(10,29,0)</f>
        <v>0.4368055555555555</v>
      </c>
      <c r="C844" t="str">
        <f>Inventory!A110</f>
        <v>omo 75g</v>
      </c>
      <c r="D844" s="27">
        <v>1</v>
      </c>
      <c r="E844" s="5">
        <f>Table4[[#This Row],[qty]]*(VLOOKUP(Table4[[#This Row],[item_sold]],Table6[],4,FALSE))</f>
        <v>35</v>
      </c>
      <c r="F844" s="5">
        <f>(VLOOKUP(Table4[[#This Row],[item_sold]],Table6[],3,FALSE))*Table4[[#This Row],[qty]]</f>
        <v>27.5</v>
      </c>
      <c r="G844" s="5">
        <f t="shared" si="44"/>
        <v>7.5</v>
      </c>
      <c r="H844" t="s">
        <v>361</v>
      </c>
    </row>
    <row r="845" spans="1:12" x14ac:dyDescent="0.25">
      <c r="A845" s="1">
        <f t="shared" si="45"/>
        <v>45502</v>
      </c>
      <c r="B845" s="31">
        <f>TIME(10,52,0)</f>
        <v>0.45277777777777778</v>
      </c>
      <c r="C845" t="str">
        <f>Inventory!A118</f>
        <v>Panadol Extra</v>
      </c>
      <c r="D845" s="27">
        <v>1</v>
      </c>
      <c r="E845" s="5">
        <f>Table4[[#This Row],[qty]]*(VLOOKUP(Table4[[#This Row],[item_sold]],Table6[],4,FALSE))</f>
        <v>20</v>
      </c>
      <c r="F845" s="5">
        <f>(VLOOKUP(Table4[[#This Row],[item_sold]],Table6[],3,FALSE))*Table4[[#This Row],[qty]]</f>
        <v>13</v>
      </c>
      <c r="G845" s="5">
        <f t="shared" si="44"/>
        <v>7</v>
      </c>
      <c r="H845" t="s">
        <v>361</v>
      </c>
    </row>
    <row r="846" spans="1:12" x14ac:dyDescent="0.25">
      <c r="A846" s="1">
        <f t="shared" si="45"/>
        <v>45502</v>
      </c>
      <c r="B846" s="31">
        <f>TIME(10,52,0)</f>
        <v>0.45277777777777778</v>
      </c>
      <c r="C846" t="str">
        <f>Inventory!A67</f>
        <v>Bigboss</v>
      </c>
      <c r="D846" s="27">
        <v>1</v>
      </c>
      <c r="E846" s="5">
        <f>Table4[[#This Row],[qty]]*(VLOOKUP(Table4[[#This Row],[item_sold]],Table6[],4,FALSE))</f>
        <v>5</v>
      </c>
      <c r="F846" s="5">
        <f>(VLOOKUP(Table4[[#This Row],[item_sold]],Table6[],3,FALSE))*Table4[[#This Row],[qty]]</f>
        <v>3.5</v>
      </c>
      <c r="G846" s="5">
        <f t="shared" si="44"/>
        <v>1.5</v>
      </c>
      <c r="H846" t="s">
        <v>361</v>
      </c>
    </row>
    <row r="847" spans="1:12" x14ac:dyDescent="0.25">
      <c r="A847" s="1">
        <f t="shared" si="45"/>
        <v>45502</v>
      </c>
      <c r="B847" s="31">
        <f>TIME(11,59,0)</f>
        <v>0.4993055555555555</v>
      </c>
      <c r="C847" t="str">
        <f>Inventory!A121</f>
        <v>Banana</v>
      </c>
      <c r="D847" s="27">
        <v>2</v>
      </c>
      <c r="E847" s="5">
        <f>Table4[[#This Row],[qty]]*(VLOOKUP(Table4[[#This Row],[item_sold]],Table6[],4,FALSE))</f>
        <v>20</v>
      </c>
      <c r="F847" s="5">
        <f>(VLOOKUP(Table4[[#This Row],[item_sold]],Table6[],3,FALSE))*Table4[[#This Row],[qty]]</f>
        <v>16.666666666666668</v>
      </c>
      <c r="G847" s="5">
        <f t="shared" si="44"/>
        <v>3.3333333333333321</v>
      </c>
      <c r="H847" t="s">
        <v>247</v>
      </c>
    </row>
    <row r="848" spans="1:12" x14ac:dyDescent="0.25">
      <c r="A848" s="1">
        <f t="shared" si="45"/>
        <v>45502</v>
      </c>
      <c r="B848" s="31">
        <f>TIME(12,25,0)</f>
        <v>0.51736111111111105</v>
      </c>
      <c r="C848" t="str">
        <f>Inventory!A81</f>
        <v>eggs</v>
      </c>
      <c r="D848" s="27">
        <v>4</v>
      </c>
      <c r="E848" s="5">
        <f>Table4[[#This Row],[qty]]*(VLOOKUP(Table4[[#This Row],[item_sold]],Table6[],4,FALSE))</f>
        <v>80</v>
      </c>
      <c r="F848" s="5">
        <f>(VLOOKUP(Table4[[#This Row],[item_sold]],Table6[],3,FALSE))*Table4[[#This Row],[qty]]</f>
        <v>57.333333333333336</v>
      </c>
      <c r="G848" s="5">
        <f t="shared" si="44"/>
        <v>22.666666666666664</v>
      </c>
      <c r="H848" t="s">
        <v>359</v>
      </c>
      <c r="I848" t="s">
        <v>384</v>
      </c>
    </row>
    <row r="849" spans="1:9" x14ac:dyDescent="0.25">
      <c r="A849" s="1">
        <f t="shared" si="45"/>
        <v>45502</v>
      </c>
      <c r="B849" s="31">
        <f>TIME(12,25,0)</f>
        <v>0.51736111111111105</v>
      </c>
      <c r="C849" t="str">
        <f>Inventory!A181</f>
        <v>Aspirin</v>
      </c>
      <c r="D849" s="27">
        <v>1</v>
      </c>
      <c r="E849" s="5">
        <f>Table4[[#This Row],[qty]]*(VLOOKUP(Table4[[#This Row],[item_sold]],Table6[],4,FALSE))</f>
        <v>10</v>
      </c>
      <c r="F849" s="5">
        <f>(VLOOKUP(Table4[[#This Row],[item_sold]],Table6[],3,FALSE))*Table4[[#This Row],[qty]]</f>
        <v>7</v>
      </c>
      <c r="G849" s="5">
        <f t="shared" si="44"/>
        <v>3</v>
      </c>
      <c r="H849" t="s">
        <v>359</v>
      </c>
      <c r="I849" t="s">
        <v>384</v>
      </c>
    </row>
    <row r="850" spans="1:9" x14ac:dyDescent="0.25">
      <c r="A850" s="1">
        <f t="shared" si="45"/>
        <v>45502</v>
      </c>
      <c r="B850" s="31">
        <f>TIME(12,35,0)</f>
        <v>0.52430555555555558</v>
      </c>
      <c r="C850" t="str">
        <f>Inventory!A90</f>
        <v>Pembe 2kg</v>
      </c>
      <c r="D850" s="27">
        <v>2</v>
      </c>
      <c r="E850" s="5">
        <f>Table4[[#This Row],[qty]]*(VLOOKUP(Table4[[#This Row],[item_sold]],Table6[],4,FALSE))</f>
        <v>320</v>
      </c>
      <c r="F850" s="5">
        <f>(VLOOKUP(Table4[[#This Row],[item_sold]],Table6[],3,FALSE))*Table4[[#This Row],[qty]]</f>
        <v>246.66666666666666</v>
      </c>
      <c r="G850" s="5">
        <f t="shared" si="44"/>
        <v>73.333333333333343</v>
      </c>
      <c r="H850" t="s">
        <v>359</v>
      </c>
      <c r="I850" t="s">
        <v>401</v>
      </c>
    </row>
    <row r="851" spans="1:9" x14ac:dyDescent="0.25">
      <c r="A851" s="1">
        <f t="shared" si="45"/>
        <v>45502</v>
      </c>
      <c r="B851" s="31">
        <f>TIME(12,35,0)</f>
        <v>0.52430555555555558</v>
      </c>
      <c r="C851" t="str">
        <f>Inventory!A116</f>
        <v>Tomatoes</v>
      </c>
      <c r="D851" s="27">
        <v>1</v>
      </c>
      <c r="E851" s="5">
        <f>Table4[[#This Row],[qty]]*(VLOOKUP(Table4[[#This Row],[item_sold]],Table6[],4,FALSE))</f>
        <v>10</v>
      </c>
      <c r="F851" s="5">
        <f>(VLOOKUP(Table4[[#This Row],[item_sold]],Table6[],3,FALSE))*Table4[[#This Row],[qty]]</f>
        <v>5</v>
      </c>
      <c r="G851" s="5">
        <f t="shared" si="44"/>
        <v>5</v>
      </c>
      <c r="H851" t="s">
        <v>359</v>
      </c>
      <c r="I851" t="s">
        <v>401</v>
      </c>
    </row>
    <row r="852" spans="1:9" x14ac:dyDescent="0.25">
      <c r="A852" s="1">
        <f t="shared" si="45"/>
        <v>45502</v>
      </c>
      <c r="B852" s="31">
        <f>TIME(12,35,0)</f>
        <v>0.52430555555555558</v>
      </c>
      <c r="C852" t="str">
        <f>Inventory!A117</f>
        <v>Cooking Oil Measured</v>
      </c>
      <c r="D852" s="27">
        <v>0.5</v>
      </c>
      <c r="E852" s="5">
        <f>Table4[[#This Row],[qty]]*(VLOOKUP(Table4[[#This Row],[item_sold]],Table6[],4,FALSE))</f>
        <v>140</v>
      </c>
      <c r="F852" s="5">
        <f>(VLOOKUP(Table4[[#This Row],[item_sold]],Table6[],3,FALSE))*Table4[[#This Row],[qty]]</f>
        <v>100</v>
      </c>
      <c r="G852" s="5">
        <f t="shared" si="44"/>
        <v>40</v>
      </c>
      <c r="H852" t="s">
        <v>359</v>
      </c>
      <c r="I852" t="s">
        <v>401</v>
      </c>
    </row>
    <row r="853" spans="1:9" x14ac:dyDescent="0.25">
      <c r="A853" s="1">
        <f t="shared" si="45"/>
        <v>45502</v>
      </c>
      <c r="B853" s="31">
        <f>TIME(12,35,0)</f>
        <v>0.52430555555555558</v>
      </c>
      <c r="C853" t="str">
        <f>Inventory!A115</f>
        <v>Onion</v>
      </c>
      <c r="D853" s="27">
        <v>1</v>
      </c>
      <c r="E853" s="5">
        <f>Table4[[#This Row],[qty]]*(VLOOKUP(Table4[[#This Row],[item_sold]],Table6[],4,FALSE))</f>
        <v>10</v>
      </c>
      <c r="F853" s="5">
        <f>(VLOOKUP(Table4[[#This Row],[item_sold]],Table6[],3,FALSE))*Table4[[#This Row],[qty]]</f>
        <v>8</v>
      </c>
      <c r="G853" s="5">
        <f t="shared" si="44"/>
        <v>2</v>
      </c>
      <c r="H853" t="s">
        <v>359</v>
      </c>
      <c r="I853" t="s">
        <v>401</v>
      </c>
    </row>
    <row r="854" spans="1:9" x14ac:dyDescent="0.25">
      <c r="A854" s="1">
        <f t="shared" si="45"/>
        <v>45502</v>
      </c>
      <c r="B854" s="31">
        <f>TIME(14,1,0)</f>
        <v>0.58402777777777781</v>
      </c>
      <c r="C854" t="str">
        <f>Inventory!A71</f>
        <v>Indomie chicken</v>
      </c>
      <c r="D854" s="27">
        <v>4</v>
      </c>
      <c r="E854" s="5">
        <f>Table4[[#This Row],[qty]]*(VLOOKUP(Table4[[#This Row],[item_sold]],Table6[],4,FALSE))</f>
        <v>200</v>
      </c>
      <c r="F854" s="5">
        <f>(VLOOKUP(Table4[[#This Row],[item_sold]],Table6[],3,FALSE))*Table4[[#This Row],[qty]]</f>
        <v>150</v>
      </c>
      <c r="G854" s="5">
        <f t="shared" si="44"/>
        <v>50</v>
      </c>
      <c r="H854" t="s">
        <v>361</v>
      </c>
    </row>
    <row r="855" spans="1:9" x14ac:dyDescent="0.25">
      <c r="A855" s="1">
        <f t="shared" si="45"/>
        <v>45502</v>
      </c>
      <c r="B855" s="31">
        <f>TIME(14,1,0)</f>
        <v>0.58402777777777781</v>
      </c>
      <c r="C855" t="str">
        <f>Inventory!A81</f>
        <v>eggs</v>
      </c>
      <c r="D855" s="27">
        <v>3</v>
      </c>
      <c r="E855" s="5">
        <f>Table4[[#This Row],[qty]]*(VLOOKUP(Table4[[#This Row],[item_sold]],Table6[],4,FALSE))</f>
        <v>60</v>
      </c>
      <c r="F855" s="5">
        <f>(VLOOKUP(Table4[[#This Row],[item_sold]],Table6[],3,FALSE))*Table4[[#This Row],[qty]]</f>
        <v>43</v>
      </c>
      <c r="G855" s="5">
        <f t="shared" si="44"/>
        <v>17</v>
      </c>
      <c r="H855" t="s">
        <v>361</v>
      </c>
    </row>
    <row r="856" spans="1:9" x14ac:dyDescent="0.25">
      <c r="A856" s="1">
        <f t="shared" si="45"/>
        <v>45502</v>
      </c>
      <c r="B856" s="31">
        <f>TIME(14,23,0)</f>
        <v>0.59930555555555554</v>
      </c>
      <c r="C856" t="str">
        <f>Inventory!A97</f>
        <v>Softcare pads</v>
      </c>
      <c r="D856" s="27">
        <v>1</v>
      </c>
      <c r="E856" s="5">
        <f>Table4[[#This Row],[qty]]*(VLOOKUP(Table4[[#This Row],[item_sold]],Table6[],4,FALSE))</f>
        <v>85</v>
      </c>
      <c r="F856" s="5">
        <f>(VLOOKUP(Table4[[#This Row],[item_sold]],Table6[],3,FALSE))*Table4[[#This Row],[qty]]</f>
        <v>66</v>
      </c>
      <c r="G856" s="5">
        <f t="shared" si="44"/>
        <v>19</v>
      </c>
      <c r="H856" t="s">
        <v>359</v>
      </c>
      <c r="I856" t="s">
        <v>390</v>
      </c>
    </row>
    <row r="857" spans="1:9" x14ac:dyDescent="0.25">
      <c r="A857" s="1">
        <f t="shared" si="45"/>
        <v>45502</v>
      </c>
      <c r="B857" s="31">
        <f>TIME(14,23,0)</f>
        <v>0.59930555555555554</v>
      </c>
      <c r="C857" t="str">
        <f>Inventory!A30</f>
        <v>BB Bread 400g</v>
      </c>
      <c r="D857" s="27">
        <v>1</v>
      </c>
      <c r="E857" s="5">
        <f>Table4[[#This Row],[qty]]*(VLOOKUP(Table4[[#This Row],[item_sold]],Table6[],4,FALSE))</f>
        <v>65</v>
      </c>
      <c r="F857" s="5">
        <f>(VLOOKUP(Table4[[#This Row],[item_sold]],Table6[],3,FALSE))*Table4[[#This Row],[qty]]</f>
        <v>60</v>
      </c>
      <c r="G857" s="5">
        <f t="shared" si="44"/>
        <v>5</v>
      </c>
      <c r="H857" t="s">
        <v>359</v>
      </c>
      <c r="I857" t="s">
        <v>390</v>
      </c>
    </row>
    <row r="858" spans="1:9" x14ac:dyDescent="0.25">
      <c r="A858" s="1">
        <f t="shared" si="45"/>
        <v>45502</v>
      </c>
      <c r="B858" s="31">
        <f>TIME(15,8,0)</f>
        <v>0.63055555555555554</v>
      </c>
      <c r="C858" t="str">
        <f>Inventory!A81</f>
        <v>eggs</v>
      </c>
      <c r="D858" s="27">
        <v>1</v>
      </c>
      <c r="E858" s="5">
        <f>Table4[[#This Row],[qty]]*(VLOOKUP(Table4[[#This Row],[item_sold]],Table6[],4,FALSE))</f>
        <v>20</v>
      </c>
      <c r="F858" s="5">
        <f>(VLOOKUP(Table4[[#This Row],[item_sold]],Table6[],3,FALSE))*Table4[[#This Row],[qty]]</f>
        <v>14.333333333333334</v>
      </c>
      <c r="G858" s="5">
        <f t="shared" si="44"/>
        <v>5.6666666666666661</v>
      </c>
      <c r="H858" t="s">
        <v>247</v>
      </c>
    </row>
    <row r="859" spans="1:9" x14ac:dyDescent="0.25">
      <c r="A859" s="1">
        <f t="shared" si="45"/>
        <v>45502</v>
      </c>
      <c r="B859" s="31">
        <f>TIME(16,31,0)</f>
        <v>0.68819444444444444</v>
      </c>
      <c r="C859" t="str">
        <f>Inventory!A132</f>
        <v>Festive Bread 400g</v>
      </c>
      <c r="D859" s="27">
        <v>1</v>
      </c>
      <c r="E859" s="5">
        <f>Table4[[#This Row],[qty]]*(VLOOKUP(Table4[[#This Row],[item_sold]],Table6[],4,FALSE))</f>
        <v>65</v>
      </c>
      <c r="F859" s="5">
        <f>(VLOOKUP(Table4[[#This Row],[item_sold]],Table6[],3,FALSE))*Table4[[#This Row],[qty]]</f>
        <v>60</v>
      </c>
      <c r="G859" s="5">
        <f t="shared" si="44"/>
        <v>5</v>
      </c>
      <c r="H859" t="s">
        <v>361</v>
      </c>
    </row>
    <row r="860" spans="1:9" x14ac:dyDescent="0.25">
      <c r="A860" s="1">
        <f t="shared" si="45"/>
        <v>45502</v>
      </c>
      <c r="B860" s="31">
        <f>TIME(16,56,0)</f>
        <v>0.7055555555555556</v>
      </c>
      <c r="C860" t="str">
        <f>Inventory!A81</f>
        <v>eggs</v>
      </c>
      <c r="D860" s="27">
        <v>3</v>
      </c>
      <c r="E860" s="5">
        <f>Table4[[#This Row],[qty]]*(VLOOKUP(Table4[[#This Row],[item_sold]],Table6[],4,FALSE))</f>
        <v>60</v>
      </c>
      <c r="F860" s="5">
        <f>(VLOOKUP(Table4[[#This Row],[item_sold]],Table6[],3,FALSE))*Table4[[#This Row],[qty]]</f>
        <v>43</v>
      </c>
      <c r="G860" s="5">
        <f t="shared" si="44"/>
        <v>17</v>
      </c>
      <c r="H860" t="s">
        <v>247</v>
      </c>
    </row>
    <row r="861" spans="1:9" x14ac:dyDescent="0.25">
      <c r="A861" s="1">
        <f t="shared" si="45"/>
        <v>45502</v>
      </c>
      <c r="B861" s="31">
        <f>TIME(16,56,0)</f>
        <v>0.7055555555555556</v>
      </c>
      <c r="C861" t="str">
        <f>Inventory!A68</f>
        <v>scooter cans</v>
      </c>
      <c r="D861" s="27">
        <v>1</v>
      </c>
      <c r="E861" s="5">
        <f>Table4[[#This Row],[qty]]*(VLOOKUP(Table4[[#This Row],[item_sold]],Table6[],4,FALSE))</f>
        <v>20</v>
      </c>
      <c r="F861" s="5">
        <f>(VLOOKUP(Table4[[#This Row],[item_sold]],Table6[],3,FALSE))*Table4[[#This Row],[qty]]</f>
        <v>15</v>
      </c>
      <c r="G861" s="5">
        <f t="shared" si="44"/>
        <v>5</v>
      </c>
      <c r="H861" t="s">
        <v>247</v>
      </c>
    </row>
    <row r="862" spans="1:9" x14ac:dyDescent="0.25">
      <c r="A862" s="1">
        <f t="shared" si="45"/>
        <v>45502</v>
      </c>
      <c r="B862" s="31">
        <f>TIME(18,28,0)</f>
        <v>0.76944444444444438</v>
      </c>
      <c r="C862" t="str">
        <f>Inventory!A73</f>
        <v>kabras sugar 1kg</v>
      </c>
      <c r="D862" s="27">
        <v>1</v>
      </c>
      <c r="E862" s="5">
        <f>Table4[[#This Row],[qty]]*(VLOOKUP(Table4[[#This Row],[item_sold]],Table6[],4,FALSE))</f>
        <v>180</v>
      </c>
      <c r="F862" s="5">
        <f>(VLOOKUP(Table4[[#This Row],[item_sold]],Table6[],3,FALSE))*Table4[[#This Row],[qty]]</f>
        <v>140</v>
      </c>
      <c r="G862" s="5">
        <f t="shared" si="44"/>
        <v>40</v>
      </c>
      <c r="H862" t="s">
        <v>361</v>
      </c>
    </row>
    <row r="863" spans="1:9" x14ac:dyDescent="0.25">
      <c r="A863" s="1">
        <f t="shared" si="45"/>
        <v>45502</v>
      </c>
      <c r="B863" s="31">
        <f>TIME(18,28,0)</f>
        <v>0.76944444444444438</v>
      </c>
      <c r="C863" t="str">
        <f>Inventory!A122</f>
        <v>Kinangop Fresh Milk 500ml</v>
      </c>
      <c r="D863" s="27">
        <v>1</v>
      </c>
      <c r="E863" s="5">
        <f>Table4[[#This Row],[qty]]*(VLOOKUP(Table4[[#This Row],[item_sold]],Table6[],4,FALSE))</f>
        <v>60</v>
      </c>
      <c r="F863" s="5">
        <f>(VLOOKUP(Table4[[#This Row],[item_sold]],Table6[],3,FALSE))*Table4[[#This Row],[qty]]</f>
        <v>55</v>
      </c>
      <c r="G863" s="5">
        <f t="shared" si="44"/>
        <v>5</v>
      </c>
      <c r="H863" t="s">
        <v>361</v>
      </c>
    </row>
    <row r="864" spans="1:9" x14ac:dyDescent="0.25">
      <c r="A864" s="1">
        <f t="shared" si="45"/>
        <v>45502</v>
      </c>
      <c r="B864" s="31">
        <f t="shared" ref="B864:B869" si="46">TIME(18,48,0)</f>
        <v>0.78333333333333333</v>
      </c>
      <c r="C864" t="str">
        <f>Inventory!A153</f>
        <v>Pishori rice</v>
      </c>
      <c r="D864" s="27">
        <v>1</v>
      </c>
      <c r="E864" s="5">
        <f>Table4[[#This Row],[qty]]*(VLOOKUP(Table4[[#This Row],[item_sold]],Table6[],4,FALSE))</f>
        <v>220</v>
      </c>
      <c r="F864" s="5">
        <f>(VLOOKUP(Table4[[#This Row],[item_sold]],Table6[],3,FALSE))*Table4[[#This Row],[qty]]</f>
        <v>180</v>
      </c>
      <c r="G864" s="5">
        <f t="shared" si="44"/>
        <v>40</v>
      </c>
      <c r="H864" t="s">
        <v>361</v>
      </c>
    </row>
    <row r="865" spans="1:9" x14ac:dyDescent="0.25">
      <c r="A865" s="1">
        <f t="shared" si="45"/>
        <v>45502</v>
      </c>
      <c r="B865" s="31">
        <f t="shared" si="46"/>
        <v>0.78333333333333333</v>
      </c>
      <c r="C865" t="str">
        <f>Inventory!A23</f>
        <v>Mt kenya milk 500ml</v>
      </c>
      <c r="D865" s="27">
        <v>2</v>
      </c>
      <c r="E865" s="5">
        <f>Table4[[#This Row],[qty]]*(VLOOKUP(Table4[[#This Row],[item_sold]],Table6[],4,FALSE))</f>
        <v>130</v>
      </c>
      <c r="F865" s="5">
        <f>(VLOOKUP(Table4[[#This Row],[item_sold]],Table6[],3,FALSE))*Table4[[#This Row],[qty]]</f>
        <v>96.666666666666671</v>
      </c>
      <c r="G865" s="5">
        <f t="shared" si="44"/>
        <v>33.333333333333329</v>
      </c>
      <c r="H865" t="s">
        <v>361</v>
      </c>
    </row>
    <row r="866" spans="1:9" x14ac:dyDescent="0.25">
      <c r="A866" s="1">
        <f t="shared" si="45"/>
        <v>45502</v>
      </c>
      <c r="B866" s="31">
        <f t="shared" si="46"/>
        <v>0.78333333333333333</v>
      </c>
      <c r="C866" t="str">
        <f>Inventory!A31</f>
        <v>BB Bread 200g</v>
      </c>
      <c r="D866" s="27">
        <v>1</v>
      </c>
      <c r="E866" s="5">
        <f>Table4[[#This Row],[qty]]*(VLOOKUP(Table4[[#This Row],[item_sold]],Table6[],4,FALSE))</f>
        <v>40</v>
      </c>
      <c r="F866" s="5">
        <f>(VLOOKUP(Table4[[#This Row],[item_sold]],Table6[],3,FALSE))*Table4[[#This Row],[qty]]</f>
        <v>35</v>
      </c>
      <c r="G866" s="5">
        <f t="shared" si="44"/>
        <v>5</v>
      </c>
      <c r="H866" t="s">
        <v>361</v>
      </c>
    </row>
    <row r="867" spans="1:9" x14ac:dyDescent="0.25">
      <c r="A867" s="1">
        <f t="shared" si="45"/>
        <v>45502</v>
      </c>
      <c r="B867" s="31">
        <f t="shared" si="46"/>
        <v>0.78333333333333333</v>
      </c>
      <c r="C867" t="str">
        <f>Inventory!A176</f>
        <v>hoho</v>
      </c>
      <c r="D867" s="27">
        <v>2</v>
      </c>
      <c r="E867" s="5">
        <f>Table4[[#This Row],[qty]]*(VLOOKUP(Table4[[#This Row],[item_sold]],Table6[],4,FALSE))</f>
        <v>20</v>
      </c>
      <c r="F867" s="5">
        <f>(VLOOKUP(Table4[[#This Row],[item_sold]],Table6[],3,FALSE))*Table4[[#This Row],[qty]]</f>
        <v>13.333333333333334</v>
      </c>
      <c r="G867" s="5">
        <f t="shared" si="44"/>
        <v>6.6666666666666661</v>
      </c>
      <c r="H867" t="s">
        <v>361</v>
      </c>
    </row>
    <row r="868" spans="1:9" x14ac:dyDescent="0.25">
      <c r="A868" s="1">
        <f t="shared" si="45"/>
        <v>45502</v>
      </c>
      <c r="B868" s="31">
        <f t="shared" si="46"/>
        <v>0.78333333333333333</v>
      </c>
      <c r="C868" t="str">
        <f>Inventory!A125</f>
        <v>Dhania</v>
      </c>
      <c r="D868" s="27">
        <v>1</v>
      </c>
      <c r="E868" s="5">
        <f>Table4[[#This Row],[qty]]*(VLOOKUP(Table4[[#This Row],[item_sold]],Table6[],4,FALSE))</f>
        <v>5</v>
      </c>
      <c r="F868" s="5">
        <f>(VLOOKUP(Table4[[#This Row],[item_sold]],Table6[],3,FALSE))*Table4[[#This Row],[qty]]</f>
        <v>3.3333333333333335</v>
      </c>
      <c r="G868" s="5">
        <f t="shared" si="44"/>
        <v>1.6666666666666665</v>
      </c>
      <c r="H868" t="s">
        <v>361</v>
      </c>
    </row>
    <row r="869" spans="1:9" x14ac:dyDescent="0.25">
      <c r="A869" s="1">
        <f t="shared" si="45"/>
        <v>45502</v>
      </c>
      <c r="B869" s="31">
        <f t="shared" si="46"/>
        <v>0.78333333333333333</v>
      </c>
      <c r="C869" t="str">
        <f>Inventory!A100</f>
        <v>Colgate 35g</v>
      </c>
      <c r="D869" s="27">
        <v>1</v>
      </c>
      <c r="E869" s="5">
        <f>Table4[[#This Row],[qty]]*(VLOOKUP(Table4[[#This Row],[item_sold]],Table6[],4,FALSE))</f>
        <v>80</v>
      </c>
      <c r="F869" s="5">
        <f>(VLOOKUP(Table4[[#This Row],[item_sold]],Table6[],3,FALSE))*Table4[[#This Row],[qty]]</f>
        <v>62.5</v>
      </c>
      <c r="G869" s="5">
        <f t="shared" si="44"/>
        <v>17.5</v>
      </c>
      <c r="H869" t="s">
        <v>361</v>
      </c>
    </row>
    <row r="870" spans="1:9" x14ac:dyDescent="0.25">
      <c r="A870" s="1">
        <f t="shared" si="45"/>
        <v>45502</v>
      </c>
      <c r="B870" s="31">
        <f>TIME(19,7,0)</f>
        <v>0.79652777777777783</v>
      </c>
      <c r="C870" t="str">
        <f>Inventory!A180</f>
        <v>Kaluma King</v>
      </c>
      <c r="D870" s="27">
        <v>2</v>
      </c>
      <c r="E870" s="5">
        <f>Table4[[#This Row],[qty]]*(VLOOKUP(Table4[[#This Row],[item_sold]],Table6[],4,FALSE))</f>
        <v>40</v>
      </c>
      <c r="F870" s="5">
        <f>(VLOOKUP(Table4[[#This Row],[item_sold]],Table6[],3,FALSE))*Table4[[#This Row],[qty]]</f>
        <v>26</v>
      </c>
      <c r="G870" s="5">
        <f t="shared" si="44"/>
        <v>14</v>
      </c>
      <c r="H870" t="s">
        <v>361</v>
      </c>
    </row>
    <row r="871" spans="1:9" x14ac:dyDescent="0.25">
      <c r="A871" s="1">
        <f t="shared" si="45"/>
        <v>45502</v>
      </c>
      <c r="B871" s="31">
        <f>TIME(19,12,0)</f>
        <v>0.79999999999999993</v>
      </c>
      <c r="C871" t="str">
        <f>Inventory!A72</f>
        <v>sossi</v>
      </c>
      <c r="D871" s="27">
        <v>1</v>
      </c>
      <c r="E871" s="5">
        <f>Table4[[#This Row],[qty]]*(VLOOKUP(Table4[[#This Row],[item_sold]],Table6[],4,FALSE))</f>
        <v>50</v>
      </c>
      <c r="F871" s="5">
        <f>(VLOOKUP(Table4[[#This Row],[item_sold]],Table6[],3,FALSE))*Table4[[#This Row],[qty]]</f>
        <v>37.5</v>
      </c>
      <c r="G871" s="5">
        <f t="shared" si="44"/>
        <v>12.5</v>
      </c>
      <c r="H871" t="s">
        <v>361</v>
      </c>
    </row>
    <row r="872" spans="1:9" x14ac:dyDescent="0.25">
      <c r="A872" s="1">
        <f t="shared" si="45"/>
        <v>45502</v>
      </c>
      <c r="B872" s="31">
        <f>TIME(19,12,0)</f>
        <v>0.79999999999999993</v>
      </c>
      <c r="C872" t="str">
        <f>Inventory!A132</f>
        <v>Festive Bread 400g</v>
      </c>
      <c r="D872" s="27">
        <v>1</v>
      </c>
      <c r="E872" s="5">
        <f>Table4[[#This Row],[qty]]*(VLOOKUP(Table4[[#This Row],[item_sold]],Table6[],4,FALSE))</f>
        <v>65</v>
      </c>
      <c r="F872" s="5">
        <f>(VLOOKUP(Table4[[#This Row],[item_sold]],Table6[],3,FALSE))*Table4[[#This Row],[qty]]</f>
        <v>60</v>
      </c>
      <c r="G872" s="5">
        <f t="shared" si="44"/>
        <v>5</v>
      </c>
      <c r="H872" t="s">
        <v>361</v>
      </c>
    </row>
    <row r="873" spans="1:9" x14ac:dyDescent="0.25">
      <c r="A873" s="1">
        <f t="shared" si="45"/>
        <v>45502</v>
      </c>
      <c r="B873" s="31">
        <f>TIME(19,41,0)</f>
        <v>0.82013888888888886</v>
      </c>
      <c r="C873" t="str">
        <f>Inventory!A65</f>
        <v>Tropical</v>
      </c>
      <c r="D873" s="27">
        <v>4</v>
      </c>
      <c r="E873" s="5">
        <f>Table4[[#This Row],[qty]]*(VLOOKUP(Table4[[#This Row],[item_sold]],Table6[],4,FALSE))</f>
        <v>20</v>
      </c>
      <c r="F873" s="5">
        <f>(VLOOKUP(Table4[[#This Row],[item_sold]],Table6[],3,FALSE))*Table4[[#This Row],[qty]]</f>
        <v>6</v>
      </c>
      <c r="G873" s="5">
        <f t="shared" si="44"/>
        <v>14</v>
      </c>
      <c r="H873" t="s">
        <v>247</v>
      </c>
    </row>
    <row r="874" spans="1:9" x14ac:dyDescent="0.25">
      <c r="A874" s="1">
        <f t="shared" si="45"/>
        <v>45502</v>
      </c>
      <c r="B874" s="31">
        <f>TIME(20,10,0)</f>
        <v>0.84027777777777779</v>
      </c>
      <c r="C874" t="str">
        <f>Inventory!A116</f>
        <v>Tomatoes</v>
      </c>
      <c r="D874" s="27">
        <v>2</v>
      </c>
      <c r="E874" s="5">
        <f>Table4[[#This Row],[qty]]*(VLOOKUP(Table4[[#This Row],[item_sold]],Table6[],4,FALSE))</f>
        <v>20</v>
      </c>
      <c r="F874" s="5">
        <f>(VLOOKUP(Table4[[#This Row],[item_sold]],Table6[],3,FALSE))*Table4[[#This Row],[qty]]</f>
        <v>10</v>
      </c>
      <c r="G874" s="5">
        <f t="shared" si="44"/>
        <v>10</v>
      </c>
      <c r="H874" t="s">
        <v>359</v>
      </c>
      <c r="I874" t="s">
        <v>390</v>
      </c>
    </row>
    <row r="875" spans="1:9" x14ac:dyDescent="0.25">
      <c r="A875" s="1">
        <f t="shared" si="45"/>
        <v>45502</v>
      </c>
      <c r="B875" s="31">
        <f>TIME(20,10,0)</f>
        <v>0.84027777777777779</v>
      </c>
      <c r="C875" t="str">
        <f>Inventory!A154</f>
        <v>waru</v>
      </c>
      <c r="D875" s="27">
        <v>1</v>
      </c>
      <c r="E875" s="5">
        <f>Table4[[#This Row],[qty]]*(VLOOKUP(Table4[[#This Row],[item_sold]],Table6[],4,FALSE))</f>
        <v>50</v>
      </c>
      <c r="F875" s="5">
        <f>(VLOOKUP(Table4[[#This Row],[item_sold]],Table6[],3,FALSE))*Table4[[#This Row],[qty]]</f>
        <v>29.999999999999996</v>
      </c>
      <c r="G875" s="5">
        <f t="shared" si="44"/>
        <v>20.000000000000004</v>
      </c>
      <c r="H875" t="s">
        <v>359</v>
      </c>
      <c r="I875" t="s">
        <v>390</v>
      </c>
    </row>
    <row r="876" spans="1:9" x14ac:dyDescent="0.25">
      <c r="A876" s="1">
        <f t="shared" si="45"/>
        <v>45502</v>
      </c>
      <c r="B876" s="31">
        <f>TIME(20,10,0)</f>
        <v>0.84027777777777779</v>
      </c>
      <c r="C876" t="str">
        <f>Inventory!A115</f>
        <v>Onion</v>
      </c>
      <c r="D876" s="27">
        <v>1</v>
      </c>
      <c r="E876" s="5">
        <f>Table4[[#This Row],[qty]]*(VLOOKUP(Table4[[#This Row],[item_sold]],Table6[],4,FALSE))</f>
        <v>10</v>
      </c>
      <c r="F876" s="5">
        <f>(VLOOKUP(Table4[[#This Row],[item_sold]],Table6[],3,FALSE))*Table4[[#This Row],[qty]]</f>
        <v>8</v>
      </c>
      <c r="G876" s="5">
        <f t="shared" si="44"/>
        <v>2</v>
      </c>
      <c r="H876" t="s">
        <v>359</v>
      </c>
      <c r="I876" t="s">
        <v>390</v>
      </c>
    </row>
    <row r="877" spans="1:9" x14ac:dyDescent="0.25">
      <c r="A877" s="1">
        <f t="shared" si="45"/>
        <v>45502</v>
      </c>
      <c r="B877" s="31">
        <f>TIME(20,10,0)</f>
        <v>0.84027777777777779</v>
      </c>
      <c r="C877" t="str">
        <f>Inventory!A125</f>
        <v>Dhania</v>
      </c>
      <c r="D877" s="27">
        <v>1</v>
      </c>
      <c r="E877" s="5">
        <f>Table4[[#This Row],[qty]]*(VLOOKUP(Table4[[#This Row],[item_sold]],Table6[],4,FALSE))</f>
        <v>5</v>
      </c>
      <c r="F877" s="5">
        <f>(VLOOKUP(Table4[[#This Row],[item_sold]],Table6[],3,FALSE))*Table4[[#This Row],[qty]]</f>
        <v>3.3333333333333335</v>
      </c>
      <c r="G877" s="5">
        <f t="shared" si="44"/>
        <v>1.6666666666666665</v>
      </c>
      <c r="H877" t="s">
        <v>359</v>
      </c>
      <c r="I877" t="s">
        <v>390</v>
      </c>
    </row>
    <row r="878" spans="1:9" x14ac:dyDescent="0.25">
      <c r="A878" s="1">
        <f t="shared" si="45"/>
        <v>45502</v>
      </c>
      <c r="B878" s="31">
        <f>TIME(20,31,0)</f>
        <v>0.85486111111111107</v>
      </c>
      <c r="C878" t="str">
        <f>Inventory!A93</f>
        <v>Hanaan Tissue</v>
      </c>
      <c r="D878" s="27">
        <v>1</v>
      </c>
      <c r="E878" s="5">
        <f>Table4[[#This Row],[qty]]*(VLOOKUP(Table4[[#This Row],[item_sold]],Table6[],4,FALSE))</f>
        <v>50</v>
      </c>
      <c r="F878" s="5">
        <f>(VLOOKUP(Table4[[#This Row],[item_sold]],Table6[],3,FALSE))*Table4[[#This Row],[qty]]</f>
        <v>43</v>
      </c>
      <c r="G878" s="5">
        <f t="shared" si="44"/>
        <v>7</v>
      </c>
      <c r="H878" t="s">
        <v>361</v>
      </c>
    </row>
    <row r="879" spans="1:9" x14ac:dyDescent="0.25">
      <c r="A879" s="1">
        <f t="shared" si="45"/>
        <v>45502</v>
      </c>
      <c r="B879" s="31">
        <f>TIME(20,31,0)</f>
        <v>0.85486111111111107</v>
      </c>
      <c r="C879" t="str">
        <f>Inventory!A22</f>
        <v>Brookside Lala Sweetened</v>
      </c>
      <c r="D879" s="27">
        <v>1</v>
      </c>
      <c r="E879" s="5">
        <f>Table4[[#This Row],[qty]]*(VLOOKUP(Table4[[#This Row],[item_sold]],Table6[],4,FALSE))</f>
        <v>110</v>
      </c>
      <c r="F879" s="5">
        <f>(VLOOKUP(Table4[[#This Row],[item_sold]],Table6[],3,FALSE))*Table4[[#This Row],[qty]]</f>
        <v>93</v>
      </c>
      <c r="G879" s="5">
        <f t="shared" si="44"/>
        <v>17</v>
      </c>
      <c r="H879" t="s">
        <v>361</v>
      </c>
    </row>
    <row r="880" spans="1:9" x14ac:dyDescent="0.25">
      <c r="A880" s="1">
        <f>DATE(2024,7,30)</f>
        <v>45503</v>
      </c>
      <c r="B880" s="31">
        <f>TIME(7,40,0)</f>
        <v>0.31944444444444448</v>
      </c>
      <c r="C880" t="str">
        <f>Inventory!A105</f>
        <v>Toss 500g</v>
      </c>
      <c r="D880" s="27">
        <v>1</v>
      </c>
      <c r="E880" s="5">
        <f>Table4[[#This Row],[qty]]*(VLOOKUP(Table4[[#This Row],[item_sold]],Table6[],4,FALSE))</f>
        <v>250</v>
      </c>
      <c r="F880" s="5">
        <f>(VLOOKUP(Table4[[#This Row],[item_sold]],Table6[],3,FALSE))*Table4[[#This Row],[qty]]</f>
        <v>175</v>
      </c>
      <c r="G880" s="5">
        <f t="shared" si="44"/>
        <v>75</v>
      </c>
      <c r="H880" t="s">
        <v>247</v>
      </c>
    </row>
    <row r="881" spans="1:9" x14ac:dyDescent="0.25">
      <c r="A881" s="1">
        <f t="shared" ref="A881:A937" si="47">DATE(2024,7,30)</f>
        <v>45503</v>
      </c>
      <c r="B881" s="31">
        <f>TIME(7,45,0)</f>
        <v>0.32291666666666669</v>
      </c>
      <c r="C881" t="str">
        <f>Inventory!A30</f>
        <v>BB Bread 400g</v>
      </c>
      <c r="D881" s="27">
        <v>1</v>
      </c>
      <c r="E881" s="5">
        <f>Table4[[#This Row],[qty]]*(VLOOKUP(Table4[[#This Row],[item_sold]],Table6[],4,FALSE))</f>
        <v>65</v>
      </c>
      <c r="F881" s="5">
        <f>(VLOOKUP(Table4[[#This Row],[item_sold]],Table6[],3,FALSE))*Table4[[#This Row],[qty]]</f>
        <v>60</v>
      </c>
      <c r="G881" s="5">
        <f t="shared" si="44"/>
        <v>5</v>
      </c>
      <c r="H881" t="s">
        <v>359</v>
      </c>
      <c r="I881" t="s">
        <v>384</v>
      </c>
    </row>
    <row r="882" spans="1:9" x14ac:dyDescent="0.25">
      <c r="A882" s="1">
        <f t="shared" si="47"/>
        <v>45503</v>
      </c>
      <c r="B882" s="31">
        <f>TIME(7,45,0)</f>
        <v>0.32291666666666669</v>
      </c>
      <c r="C882" t="str">
        <f>Inventory!A81</f>
        <v>eggs</v>
      </c>
      <c r="D882" s="27">
        <v>3</v>
      </c>
      <c r="E882" s="5">
        <f>Table4[[#This Row],[qty]]*(VLOOKUP(Table4[[#This Row],[item_sold]],Table6[],4,FALSE))</f>
        <v>60</v>
      </c>
      <c r="F882" s="5">
        <f>(VLOOKUP(Table4[[#This Row],[item_sold]],Table6[],3,FALSE))*Table4[[#This Row],[qty]]</f>
        <v>43</v>
      </c>
      <c r="G882" s="5">
        <f t="shared" si="44"/>
        <v>17</v>
      </c>
      <c r="H882" t="s">
        <v>359</v>
      </c>
      <c r="I882" t="s">
        <v>384</v>
      </c>
    </row>
    <row r="883" spans="1:9" x14ac:dyDescent="0.25">
      <c r="A883" s="1">
        <f t="shared" si="47"/>
        <v>45503</v>
      </c>
      <c r="B883" s="31">
        <f>TIME(7,45,0)</f>
        <v>0.32291666666666669</v>
      </c>
      <c r="C883" t="str">
        <f>Inventory!A115</f>
        <v>Onion</v>
      </c>
      <c r="D883" s="27">
        <v>1</v>
      </c>
      <c r="E883" s="5">
        <f>Table4[[#This Row],[qty]]*(VLOOKUP(Table4[[#This Row],[item_sold]],Table6[],4,FALSE))</f>
        <v>10</v>
      </c>
      <c r="F883" s="5">
        <f>(VLOOKUP(Table4[[#This Row],[item_sold]],Table6[],3,FALSE))*Table4[[#This Row],[qty]]</f>
        <v>8</v>
      </c>
      <c r="G883" s="5">
        <f t="shared" si="44"/>
        <v>2</v>
      </c>
      <c r="H883" t="s">
        <v>359</v>
      </c>
      <c r="I883" t="s">
        <v>384</v>
      </c>
    </row>
    <row r="884" spans="1:9" x14ac:dyDescent="0.25">
      <c r="A884" s="1">
        <f t="shared" si="47"/>
        <v>45503</v>
      </c>
      <c r="B884" s="31">
        <f>TIME(7,45,0)</f>
        <v>0.32291666666666669</v>
      </c>
      <c r="C884" t="str">
        <f>Inventory!A116</f>
        <v>Tomatoes</v>
      </c>
      <c r="D884" s="27">
        <v>1</v>
      </c>
      <c r="E884" s="5">
        <f>Table4[[#This Row],[qty]]*(VLOOKUP(Table4[[#This Row],[item_sold]],Table6[],4,FALSE))</f>
        <v>10</v>
      </c>
      <c r="F884" s="5">
        <f>(VLOOKUP(Table4[[#This Row],[item_sold]],Table6[],3,FALSE))*Table4[[#This Row],[qty]]</f>
        <v>5</v>
      </c>
      <c r="G884" s="5">
        <f t="shared" si="44"/>
        <v>5</v>
      </c>
      <c r="H884" t="s">
        <v>359</v>
      </c>
      <c r="I884" t="s">
        <v>384</v>
      </c>
    </row>
    <row r="885" spans="1:9" x14ac:dyDescent="0.25">
      <c r="A885" s="1">
        <f t="shared" si="47"/>
        <v>45503</v>
      </c>
      <c r="B885" s="31">
        <f>TIME(8,24,0)</f>
        <v>0.35000000000000003</v>
      </c>
      <c r="C885" t="str">
        <f>Inventory!A138</f>
        <v>Airtel 20 Credit</v>
      </c>
      <c r="D885" s="27">
        <v>1</v>
      </c>
      <c r="E885" s="5">
        <f>Table4[[#This Row],[qty]]*(VLOOKUP(Table4[[#This Row],[item_sold]],Table6[],4,FALSE))</f>
        <v>20</v>
      </c>
      <c r="F885" s="5">
        <f>(VLOOKUP(Table4[[#This Row],[item_sold]],Table6[],3,FALSE))*Table4[[#This Row],[qty]]</f>
        <v>18</v>
      </c>
      <c r="G885" s="5">
        <f t="shared" si="44"/>
        <v>2</v>
      </c>
      <c r="H885" t="s">
        <v>247</v>
      </c>
    </row>
    <row r="886" spans="1:9" x14ac:dyDescent="0.25">
      <c r="A886" s="1">
        <f t="shared" si="47"/>
        <v>45503</v>
      </c>
      <c r="B886" s="31">
        <f>TIME(8,24,0)</f>
        <v>0.35000000000000003</v>
      </c>
      <c r="C886" t="str">
        <f>Inventory!A139</f>
        <v>Airtel 10 Credit</v>
      </c>
      <c r="D886" s="27">
        <v>1</v>
      </c>
      <c r="E886" s="5">
        <f>Table4[[#This Row],[qty]]*(VLOOKUP(Table4[[#This Row],[item_sold]],Table6[],4,FALSE))</f>
        <v>10</v>
      </c>
      <c r="F886" s="5">
        <f>(VLOOKUP(Table4[[#This Row],[item_sold]],Table6[],3,FALSE))*Table4[[#This Row],[qty]]</f>
        <v>9</v>
      </c>
      <c r="G886" s="5">
        <f t="shared" ref="G886:G920" si="48">E886-F886</f>
        <v>1</v>
      </c>
      <c r="H886" t="s">
        <v>247</v>
      </c>
    </row>
    <row r="887" spans="1:9" x14ac:dyDescent="0.25">
      <c r="A887" s="1">
        <f t="shared" si="47"/>
        <v>45503</v>
      </c>
      <c r="B887" s="31">
        <f>TIME(8,45,0)</f>
        <v>0.36458333333333331</v>
      </c>
      <c r="C887" t="str">
        <f>Inventory!A84</f>
        <v>Safari</v>
      </c>
      <c r="D887" s="27">
        <v>1</v>
      </c>
      <c r="E887" s="5">
        <f>Table4[[#This Row],[qty]]*(VLOOKUP(Table4[[#This Row],[item_sold]],Table6[],4,FALSE))</f>
        <v>15</v>
      </c>
      <c r="F887" s="5">
        <f>(VLOOKUP(Table4[[#This Row],[item_sold]],Table6[],3,FALSE))*Table4[[#This Row],[qty]]</f>
        <v>8.5</v>
      </c>
      <c r="G887" s="5">
        <f t="shared" si="48"/>
        <v>6.5</v>
      </c>
      <c r="H887" t="s">
        <v>247</v>
      </c>
    </row>
    <row r="888" spans="1:9" x14ac:dyDescent="0.25">
      <c r="A888" s="1">
        <f t="shared" si="47"/>
        <v>45503</v>
      </c>
      <c r="B888" s="31">
        <f>TIME(9,10,0)</f>
        <v>0.38194444444444442</v>
      </c>
      <c r="C888" t="str">
        <f>Inventory!A122</f>
        <v>Kinangop Fresh Milk 500ml</v>
      </c>
      <c r="D888" s="27">
        <v>1</v>
      </c>
      <c r="E888" s="5">
        <f>Table4[[#This Row],[qty]]*(VLOOKUP(Table4[[#This Row],[item_sold]],Table6[],4,FALSE))</f>
        <v>60</v>
      </c>
      <c r="F888" s="5">
        <f>(VLOOKUP(Table4[[#This Row],[item_sold]],Table6[],3,FALSE))*Table4[[#This Row],[qty]]</f>
        <v>55</v>
      </c>
      <c r="G888" s="5">
        <f t="shared" si="48"/>
        <v>5</v>
      </c>
      <c r="H888" t="s">
        <v>359</v>
      </c>
      <c r="I888" t="s">
        <v>385</v>
      </c>
    </row>
    <row r="889" spans="1:9" x14ac:dyDescent="0.25">
      <c r="A889" s="1">
        <f t="shared" si="47"/>
        <v>45503</v>
      </c>
      <c r="B889" s="31">
        <f>TIME(9,10,0)</f>
        <v>0.38194444444444442</v>
      </c>
      <c r="C889" t="str">
        <f>Inventory!A30</f>
        <v>BB Bread 400g</v>
      </c>
      <c r="D889" s="27">
        <v>1</v>
      </c>
      <c r="E889" s="5">
        <f>Table4[[#This Row],[qty]]*(VLOOKUP(Table4[[#This Row],[item_sold]],Table6[],4,FALSE))</f>
        <v>65</v>
      </c>
      <c r="F889" s="5">
        <f>(VLOOKUP(Table4[[#This Row],[item_sold]],Table6[],3,FALSE))*Table4[[#This Row],[qty]]</f>
        <v>60</v>
      </c>
      <c r="G889" s="5">
        <f t="shared" si="48"/>
        <v>5</v>
      </c>
      <c r="H889" t="s">
        <v>359</v>
      </c>
      <c r="I889" t="s">
        <v>385</v>
      </c>
    </row>
    <row r="890" spans="1:9" x14ac:dyDescent="0.25">
      <c r="A890" s="1">
        <f t="shared" si="47"/>
        <v>45503</v>
      </c>
      <c r="B890" s="31">
        <f>TIME(9,12,0)</f>
        <v>0.3833333333333333</v>
      </c>
      <c r="C890" t="str">
        <f>Inventory!A54</f>
        <v>Kdf</v>
      </c>
      <c r="D890" s="27">
        <v>2</v>
      </c>
      <c r="E890" s="5">
        <f>Table4[[#This Row],[qty]]*(VLOOKUP(Table4[[#This Row],[item_sold]],Table6[],4,FALSE))</f>
        <v>20</v>
      </c>
      <c r="F890" s="5">
        <f>(VLOOKUP(Table4[[#This Row],[item_sold]],Table6[],3,FALSE))*Table4[[#This Row],[qty]]</f>
        <v>16.666666666666668</v>
      </c>
      <c r="G890" s="5">
        <f t="shared" si="48"/>
        <v>3.3333333333333321</v>
      </c>
      <c r="H890" t="s">
        <v>361</v>
      </c>
    </row>
    <row r="891" spans="1:9" x14ac:dyDescent="0.25">
      <c r="A891" s="1">
        <f t="shared" si="47"/>
        <v>45503</v>
      </c>
      <c r="B891" s="31">
        <f>TIME(9,12,0)</f>
        <v>0.3833333333333333</v>
      </c>
      <c r="C891" t="str">
        <f>Inventory!A184</f>
        <v>Salama Condom</v>
      </c>
      <c r="D891" s="27">
        <v>1</v>
      </c>
      <c r="E891" s="5">
        <f>Table4[[#This Row],[qty]]*(VLOOKUP(Table4[[#This Row],[item_sold]],Table6[],4,FALSE))</f>
        <v>50</v>
      </c>
      <c r="F891" s="5">
        <f>(VLOOKUP(Table4[[#This Row],[item_sold]],Table6[],3,FALSE))*Table4[[#This Row],[qty]]</f>
        <v>40</v>
      </c>
      <c r="G891" s="5">
        <f t="shared" si="48"/>
        <v>10</v>
      </c>
      <c r="H891" t="s">
        <v>361</v>
      </c>
    </row>
    <row r="892" spans="1:9" x14ac:dyDescent="0.25">
      <c r="A892" s="1">
        <f t="shared" si="47"/>
        <v>45503</v>
      </c>
      <c r="B892" s="31">
        <f>TIME(10,2,0)</f>
        <v>0.41805555555555557</v>
      </c>
      <c r="C892" t="str">
        <f>Inventory!A123</f>
        <v>Mt Kenya milk 200ml</v>
      </c>
      <c r="D892" s="27">
        <v>1</v>
      </c>
      <c r="E892" s="5">
        <f>Table4[[#This Row],[qty]]*(VLOOKUP(Table4[[#This Row],[item_sold]],Table6[],4,FALSE))</f>
        <v>35</v>
      </c>
      <c r="F892" s="5">
        <f>(VLOOKUP(Table4[[#This Row],[item_sold]],Table6[],3,FALSE))*Table4[[#This Row],[qty]]</f>
        <v>24.285714285714285</v>
      </c>
      <c r="G892" s="5">
        <f t="shared" si="48"/>
        <v>10.714285714285715</v>
      </c>
      <c r="H892" t="s">
        <v>359</v>
      </c>
      <c r="I892" t="s">
        <v>387</v>
      </c>
    </row>
    <row r="893" spans="1:9" x14ac:dyDescent="0.25">
      <c r="A893" s="1">
        <f t="shared" si="47"/>
        <v>45503</v>
      </c>
      <c r="B893" s="31">
        <f>TIME(10,20,0)</f>
        <v>0.43055555555555558</v>
      </c>
      <c r="C893" t="str">
        <f>Inventory!A122</f>
        <v>Kinangop Fresh Milk 500ml</v>
      </c>
      <c r="D893" s="27">
        <v>1</v>
      </c>
      <c r="E893" s="5">
        <f>Table4[[#This Row],[qty]]*(VLOOKUP(Table4[[#This Row],[item_sold]],Table6[],4,FALSE))</f>
        <v>60</v>
      </c>
      <c r="F893" s="5">
        <f>(VLOOKUP(Table4[[#This Row],[item_sold]],Table6[],3,FALSE))*Table4[[#This Row],[qty]]</f>
        <v>55</v>
      </c>
      <c r="G893" s="5">
        <f t="shared" si="48"/>
        <v>5</v>
      </c>
      <c r="H893" t="s">
        <v>247</v>
      </c>
    </row>
    <row r="894" spans="1:9" x14ac:dyDescent="0.25">
      <c r="A894" s="1">
        <f t="shared" si="47"/>
        <v>45503</v>
      </c>
      <c r="B894" s="31">
        <f>TIME(10,42,0)</f>
        <v>0.4458333333333333</v>
      </c>
      <c r="C894" t="str">
        <f>Inventory!A54</f>
        <v>Kdf</v>
      </c>
      <c r="D894" s="27">
        <v>6</v>
      </c>
      <c r="E894" s="5">
        <f>Table4[[#This Row],[qty]]*(VLOOKUP(Table4[[#This Row],[item_sold]],Table6[],4,FALSE))</f>
        <v>60</v>
      </c>
      <c r="F894" s="5">
        <f>(VLOOKUP(Table4[[#This Row],[item_sold]],Table6[],3,FALSE))*Table4[[#This Row],[qty]]</f>
        <v>50</v>
      </c>
      <c r="G894" s="5">
        <f t="shared" si="48"/>
        <v>10</v>
      </c>
      <c r="H894" t="s">
        <v>247</v>
      </c>
    </row>
    <row r="895" spans="1:9" x14ac:dyDescent="0.25">
      <c r="A895" s="1">
        <f t="shared" si="47"/>
        <v>45503</v>
      </c>
      <c r="B895" s="31">
        <f>TIME(10,42,0)</f>
        <v>0.4458333333333333</v>
      </c>
      <c r="C895" t="str">
        <f>Inventory!A44</f>
        <v>Peanut Cookies</v>
      </c>
      <c r="D895" s="27">
        <v>1</v>
      </c>
      <c r="E895" s="5">
        <f>Table4[[#This Row],[qty]]*(VLOOKUP(Table4[[#This Row],[item_sold]],Table6[],4,FALSE))</f>
        <v>35</v>
      </c>
      <c r="F895" s="5">
        <f>(VLOOKUP(Table4[[#This Row],[item_sold]],Table6[],3,FALSE))*Table4[[#This Row],[qty]]</f>
        <v>25</v>
      </c>
      <c r="G895" s="5">
        <f t="shared" si="48"/>
        <v>10</v>
      </c>
      <c r="H895" t="s">
        <v>247</v>
      </c>
    </row>
    <row r="896" spans="1:9" x14ac:dyDescent="0.25">
      <c r="A896" s="1">
        <f t="shared" si="47"/>
        <v>45503</v>
      </c>
      <c r="B896" s="31">
        <f>TIME(10,49,0)</f>
        <v>0.45069444444444445</v>
      </c>
      <c r="C896" t="str">
        <f>Inventory!A32</f>
        <v>Festive 600g</v>
      </c>
      <c r="D896" s="27">
        <v>1</v>
      </c>
      <c r="E896" s="5">
        <f>Table4[[#This Row],[qty]]*(VLOOKUP(Table4[[#This Row],[item_sold]],Table6[],4,FALSE))</f>
        <v>100</v>
      </c>
      <c r="F896" s="5">
        <f>(VLOOKUP(Table4[[#This Row],[item_sold]],Table6[],3,FALSE))*Table4[[#This Row],[qty]]</f>
        <v>90</v>
      </c>
      <c r="G896" s="5">
        <f t="shared" si="48"/>
        <v>10</v>
      </c>
      <c r="H896" t="s">
        <v>361</v>
      </c>
    </row>
    <row r="897" spans="1:9" x14ac:dyDescent="0.25">
      <c r="A897" s="1">
        <f t="shared" si="47"/>
        <v>45503</v>
      </c>
      <c r="B897" s="31">
        <f>TIME(11,44,0)</f>
        <v>0.48888888888888887</v>
      </c>
      <c r="C897" t="str">
        <f>Inventory!A86</f>
        <v>Medium Colgate Toothbrush</v>
      </c>
      <c r="D897" s="27">
        <v>2</v>
      </c>
      <c r="E897" s="5">
        <f>Table4[[#This Row],[qty]]*(VLOOKUP(Table4[[#This Row],[item_sold]],Table6[],4,FALSE))</f>
        <v>80</v>
      </c>
      <c r="F897" s="5">
        <f>(VLOOKUP(Table4[[#This Row],[item_sold]],Table6[],3,FALSE))*Table4[[#This Row],[qty]]</f>
        <v>50</v>
      </c>
      <c r="G897" s="5">
        <f t="shared" si="48"/>
        <v>30</v>
      </c>
      <c r="H897" t="s">
        <v>361</v>
      </c>
    </row>
    <row r="898" spans="1:9" x14ac:dyDescent="0.25">
      <c r="A898" s="1">
        <f t="shared" si="47"/>
        <v>45503</v>
      </c>
      <c r="B898" s="31">
        <f>TIME(12,4,0)</f>
        <v>0.50277777777777777</v>
      </c>
      <c r="C898" t="str">
        <f>Inventory!A162</f>
        <v>Match Box</v>
      </c>
      <c r="D898" s="27">
        <v>8</v>
      </c>
      <c r="E898" s="5">
        <f>Table4[[#This Row],[qty]]*(VLOOKUP(Table4[[#This Row],[item_sold]],Table6[],4,FALSE))</f>
        <v>40</v>
      </c>
      <c r="F898" s="5">
        <f>(VLOOKUP(Table4[[#This Row],[item_sold]],Table6[],3,FALSE))*Table4[[#This Row],[qty]]</f>
        <v>18.888888888888889</v>
      </c>
      <c r="G898" s="5">
        <f t="shared" si="48"/>
        <v>21.111111111111111</v>
      </c>
      <c r="H898" t="s">
        <v>247</v>
      </c>
    </row>
    <row r="899" spans="1:9" x14ac:dyDescent="0.25">
      <c r="A899" s="1">
        <f t="shared" si="47"/>
        <v>45503</v>
      </c>
      <c r="B899" s="31">
        <f>TIME(12,39,0)</f>
        <v>0.52708333333333335</v>
      </c>
      <c r="C899" t="str">
        <f>Inventory!A14</f>
        <v>soda 500ml glass</v>
      </c>
      <c r="D899" s="27">
        <v>1</v>
      </c>
      <c r="E899" s="5">
        <f>Table4[[#This Row],[qty]]*(VLOOKUP(Table4[[#This Row],[item_sold]],Table6[],4,FALSE))</f>
        <v>55</v>
      </c>
      <c r="F899" s="5">
        <f>(VLOOKUP(Table4[[#This Row],[item_sold]],Table6[],3,FALSE))*Table4[[#This Row],[qty]]</f>
        <v>50</v>
      </c>
      <c r="G899" s="5">
        <f t="shared" si="48"/>
        <v>5</v>
      </c>
      <c r="H899" t="s">
        <v>361</v>
      </c>
    </row>
    <row r="900" spans="1:9" x14ac:dyDescent="0.25">
      <c r="A900" s="1">
        <f t="shared" si="47"/>
        <v>45503</v>
      </c>
      <c r="B900" s="31">
        <f>TIME(12,39,0)</f>
        <v>0.52708333333333335</v>
      </c>
      <c r="C900" t="str">
        <f>Inventory!A54</f>
        <v>Kdf</v>
      </c>
      <c r="D900" s="27">
        <v>4</v>
      </c>
      <c r="E900" s="5">
        <f>Table4[[#This Row],[qty]]*(VLOOKUP(Table4[[#This Row],[item_sold]],Table6[],4,FALSE))</f>
        <v>40</v>
      </c>
      <c r="F900" s="5">
        <f>(VLOOKUP(Table4[[#This Row],[item_sold]],Table6[],3,FALSE))*Table4[[#This Row],[qty]]</f>
        <v>33.333333333333336</v>
      </c>
      <c r="G900" s="5">
        <f t="shared" si="48"/>
        <v>6.6666666666666643</v>
      </c>
      <c r="H900" t="s">
        <v>361</v>
      </c>
    </row>
    <row r="901" spans="1:9" x14ac:dyDescent="0.25">
      <c r="A901" s="1">
        <f t="shared" si="47"/>
        <v>45503</v>
      </c>
      <c r="B901" s="31">
        <f>TIME(13,13,0)</f>
        <v>0.55069444444444449</v>
      </c>
      <c r="C901" t="str">
        <f>Inventory!A115</f>
        <v>Onion</v>
      </c>
      <c r="D901" s="27">
        <v>2</v>
      </c>
      <c r="E901" s="5">
        <f>Table4[[#This Row],[qty]]*(VLOOKUP(Table4[[#This Row],[item_sold]],Table6[],4,FALSE))</f>
        <v>20</v>
      </c>
      <c r="F901" s="5">
        <f>(VLOOKUP(Table4[[#This Row],[item_sold]],Table6[],3,FALSE))*Table4[[#This Row],[qty]]</f>
        <v>16</v>
      </c>
      <c r="G901" s="5">
        <f t="shared" si="48"/>
        <v>4</v>
      </c>
      <c r="H901" t="s">
        <v>247</v>
      </c>
    </row>
    <row r="902" spans="1:9" x14ac:dyDescent="0.25">
      <c r="A902" s="1">
        <f t="shared" si="47"/>
        <v>45503</v>
      </c>
      <c r="B902" s="31">
        <f>TIME(13,14,0)</f>
        <v>0.55138888888888882</v>
      </c>
      <c r="C902" t="str">
        <f>Inventory!A13</f>
        <v>soda 300ml glass</v>
      </c>
      <c r="D902" s="27">
        <v>1</v>
      </c>
      <c r="E902" s="5">
        <f>Table4[[#This Row],[qty]]*(VLOOKUP(Table4[[#This Row],[item_sold]],Table6[],4,FALSE))</f>
        <v>40</v>
      </c>
      <c r="F902" s="5">
        <f>(VLOOKUP(Table4[[#This Row],[item_sold]],Table6[],3,FALSE))*Table4[[#This Row],[qty]]</f>
        <v>32.5</v>
      </c>
      <c r="G902" s="5">
        <f t="shared" si="48"/>
        <v>7.5</v>
      </c>
      <c r="H902" t="s">
        <v>361</v>
      </c>
    </row>
    <row r="903" spans="1:9" x14ac:dyDescent="0.25">
      <c r="A903" s="1">
        <f t="shared" si="47"/>
        <v>45503</v>
      </c>
      <c r="B903" s="31">
        <f>TIME(13,14,0)</f>
        <v>0.55138888888888882</v>
      </c>
      <c r="C903" t="str">
        <f>Inventory!A171</f>
        <v>Coconut Cakes</v>
      </c>
      <c r="D903" s="27">
        <v>1</v>
      </c>
      <c r="E903" s="5">
        <f>Table4[[#This Row],[qty]]*(VLOOKUP(Table4[[#This Row],[item_sold]],Table6[],4,FALSE))</f>
        <v>10</v>
      </c>
      <c r="F903" s="5">
        <f>(VLOOKUP(Table4[[#This Row],[item_sold]],Table6[],3,FALSE))*Table4[[#This Row],[qty]]</f>
        <v>8.3333333333333339</v>
      </c>
      <c r="G903" s="5">
        <f t="shared" si="48"/>
        <v>1.6666666666666661</v>
      </c>
      <c r="H903" t="s">
        <v>361</v>
      </c>
    </row>
    <row r="904" spans="1:9" x14ac:dyDescent="0.25">
      <c r="A904" s="1">
        <f t="shared" si="47"/>
        <v>45503</v>
      </c>
      <c r="B904" s="31">
        <f>TIME(13,16,0)</f>
        <v>0.55277777777777781</v>
      </c>
      <c r="C904" t="str">
        <f>Inventory!A81</f>
        <v>eggs</v>
      </c>
      <c r="D904" s="27">
        <v>30</v>
      </c>
      <c r="E904" s="5">
        <f>Table4[[#This Row],[qty]]*(VLOOKUP(Table4[[#This Row],[item_sold]],Table6[],4,FALSE))</f>
        <v>600</v>
      </c>
      <c r="F904" s="5">
        <f>(VLOOKUP(Table4[[#This Row],[item_sold]],Table6[],3,FALSE))*Table4[[#This Row],[qty]]</f>
        <v>430</v>
      </c>
      <c r="G904" s="5">
        <f t="shared" si="48"/>
        <v>170</v>
      </c>
      <c r="H904" t="s">
        <v>361</v>
      </c>
    </row>
    <row r="905" spans="1:9" x14ac:dyDescent="0.25">
      <c r="A905" s="1">
        <f t="shared" si="47"/>
        <v>45503</v>
      </c>
      <c r="B905" s="31">
        <f>TIME(13,16,0)</f>
        <v>0.55277777777777781</v>
      </c>
      <c r="C905" t="str">
        <f>Inventory!A45</f>
        <v>Goodday Cookies</v>
      </c>
      <c r="D905" s="27">
        <v>1</v>
      </c>
      <c r="E905" s="5">
        <f>Table4[[#This Row],[qty]]*(VLOOKUP(Table4[[#This Row],[item_sold]],Table6[],4,FALSE))</f>
        <v>15</v>
      </c>
      <c r="F905" s="5">
        <f>(VLOOKUP(Table4[[#This Row],[item_sold]],Table6[],3,FALSE))*Table4[[#This Row],[qty]]</f>
        <v>9.3333333333333339</v>
      </c>
      <c r="G905" s="5">
        <f t="shared" si="48"/>
        <v>5.6666666666666661</v>
      </c>
      <c r="H905" t="s">
        <v>359</v>
      </c>
      <c r="I905" t="s">
        <v>408</v>
      </c>
    </row>
    <row r="906" spans="1:9" x14ac:dyDescent="0.25">
      <c r="A906" s="1">
        <f t="shared" si="47"/>
        <v>45503</v>
      </c>
      <c r="B906" s="31">
        <f>TIME(14,3,0)</f>
        <v>0.5854166666666667</v>
      </c>
      <c r="C906" t="str">
        <f>Inventory!A136</f>
        <v>Safaricom 10 Credit</v>
      </c>
      <c r="D906" s="27">
        <v>1</v>
      </c>
      <c r="E906" s="5">
        <f>Table4[[#This Row],[qty]]*(VLOOKUP(Table4[[#This Row],[item_sold]],Table6[],4,FALSE))</f>
        <v>10</v>
      </c>
      <c r="F906" s="5">
        <f>(VLOOKUP(Table4[[#This Row],[item_sold]],Table6[],3,FALSE))*Table4[[#This Row],[qty]]</f>
        <v>9</v>
      </c>
      <c r="G906" s="5">
        <f t="shared" si="48"/>
        <v>1</v>
      </c>
      <c r="H906" t="s">
        <v>247</v>
      </c>
    </row>
    <row r="907" spans="1:9" x14ac:dyDescent="0.25">
      <c r="A907" s="1">
        <f t="shared" si="47"/>
        <v>45503</v>
      </c>
      <c r="B907" s="31">
        <f>TIME(17,51,0)</f>
        <v>0.74375000000000002</v>
      </c>
      <c r="C907" t="str">
        <f>Inventory!A71</f>
        <v>Indomie chicken</v>
      </c>
      <c r="D907" s="27">
        <v>1</v>
      </c>
      <c r="E907" s="5">
        <f>Table4[[#This Row],[qty]]*(VLOOKUP(Table4[[#This Row],[item_sold]],Table6[],4,FALSE))</f>
        <v>50</v>
      </c>
      <c r="F907" s="5">
        <f>(VLOOKUP(Table4[[#This Row],[item_sold]],Table6[],3,FALSE))*Table4[[#This Row],[qty]]</f>
        <v>37.5</v>
      </c>
      <c r="G907" s="5">
        <f t="shared" si="48"/>
        <v>12.5</v>
      </c>
      <c r="H907" t="s">
        <v>247</v>
      </c>
    </row>
    <row r="908" spans="1:9" x14ac:dyDescent="0.25">
      <c r="A908" s="1">
        <f t="shared" si="47"/>
        <v>45503</v>
      </c>
      <c r="B908" s="31">
        <f>TIME(17,56,0)</f>
        <v>0.74722222222222223</v>
      </c>
      <c r="C908" t="str">
        <f>Inventory!A162</f>
        <v>Match Box</v>
      </c>
      <c r="D908" s="27">
        <v>3</v>
      </c>
      <c r="E908" s="5">
        <f>Table4[[#This Row],[qty]]*(VLOOKUP(Table4[[#This Row],[item_sold]],Table6[],4,FALSE))</f>
        <v>15</v>
      </c>
      <c r="F908" s="5">
        <f>(VLOOKUP(Table4[[#This Row],[item_sold]],Table6[],3,FALSE))*Table4[[#This Row],[qty]]</f>
        <v>7.0833333333333339</v>
      </c>
      <c r="G908" s="5">
        <f t="shared" si="48"/>
        <v>7.9166666666666661</v>
      </c>
      <c r="H908" t="s">
        <v>247</v>
      </c>
    </row>
    <row r="909" spans="1:9" x14ac:dyDescent="0.25">
      <c r="A909" s="1">
        <f t="shared" si="47"/>
        <v>45503</v>
      </c>
      <c r="B909" s="31">
        <f>TIME(17,58,0)</f>
        <v>0.74861111111111101</v>
      </c>
      <c r="C909" t="str">
        <f>Inventory!A171</f>
        <v>Coconut Cakes</v>
      </c>
      <c r="D909" s="27">
        <v>4</v>
      </c>
      <c r="E909" s="5">
        <f>Table4[[#This Row],[qty]]*(VLOOKUP(Table4[[#This Row],[item_sold]],Table6[],4,FALSE))</f>
        <v>40</v>
      </c>
      <c r="F909" s="5">
        <f>(VLOOKUP(Table4[[#This Row],[item_sold]],Table6[],3,FALSE))*Table4[[#This Row],[qty]]</f>
        <v>33.333333333333336</v>
      </c>
      <c r="G909" s="5">
        <f t="shared" si="48"/>
        <v>6.6666666666666643</v>
      </c>
      <c r="H909" t="s">
        <v>361</v>
      </c>
    </row>
    <row r="910" spans="1:9" x14ac:dyDescent="0.25">
      <c r="A910" s="1">
        <f t="shared" si="47"/>
        <v>45503</v>
      </c>
      <c r="B910" s="31">
        <f>TIME(17,58,0)</f>
        <v>0.74861111111111101</v>
      </c>
      <c r="C910" t="str">
        <f>Inventory!A36</f>
        <v>Tamu  Tamu Green</v>
      </c>
      <c r="D910" s="27">
        <v>2</v>
      </c>
      <c r="E910" s="5">
        <f>Table4[[#This Row],[qty]]*(VLOOKUP(Table4[[#This Row],[item_sold]],Table6[],4,FALSE))</f>
        <v>30</v>
      </c>
      <c r="F910" s="5">
        <f>(VLOOKUP(Table4[[#This Row],[item_sold]],Table6[],3,FALSE))*Table4[[#This Row],[qty]]</f>
        <v>17.2</v>
      </c>
      <c r="G910" s="5">
        <f t="shared" si="48"/>
        <v>12.8</v>
      </c>
      <c r="H910" t="s">
        <v>361</v>
      </c>
    </row>
    <row r="911" spans="1:9" x14ac:dyDescent="0.25">
      <c r="A911" s="1">
        <f t="shared" si="47"/>
        <v>45503</v>
      </c>
      <c r="B911" s="31">
        <f>TIME(17,58,0)</f>
        <v>0.74861111111111101</v>
      </c>
      <c r="C911" t="str">
        <f>Inventory!A185</f>
        <v>Milo</v>
      </c>
      <c r="D911" s="27">
        <v>1</v>
      </c>
      <c r="E911" s="5">
        <f>Table4[[#This Row],[qty]]*(VLOOKUP(Table4[[#This Row],[item_sold]],Table6[],4,FALSE))</f>
        <v>20</v>
      </c>
      <c r="F911" s="5">
        <f>(VLOOKUP(Table4[[#This Row],[item_sold]],Table6[],3,FALSE))*Table4[[#This Row],[qty]]</f>
        <v>17.916666666666668</v>
      </c>
      <c r="G911" s="5">
        <f t="shared" si="48"/>
        <v>2.0833333333333321</v>
      </c>
      <c r="H911" t="s">
        <v>361</v>
      </c>
    </row>
    <row r="912" spans="1:9" x14ac:dyDescent="0.25">
      <c r="A912" s="1">
        <f t="shared" si="47"/>
        <v>45503</v>
      </c>
      <c r="B912" s="31">
        <f>TIME(17,58,0)</f>
        <v>0.74861111111111101</v>
      </c>
      <c r="C912" t="str">
        <f>Inventory!A61</f>
        <v>Bigdaddy</v>
      </c>
      <c r="D912" s="27">
        <v>1</v>
      </c>
      <c r="E912" s="5">
        <f>Table4[[#This Row],[qty]]*(VLOOKUP(Table4[[#This Row],[item_sold]],Table6[],4,FALSE))</f>
        <v>10</v>
      </c>
      <c r="F912" s="5">
        <f>(VLOOKUP(Table4[[#This Row],[item_sold]],Table6[],3,FALSE))*Table4[[#This Row],[qty]]</f>
        <v>6</v>
      </c>
      <c r="G912" s="5">
        <f t="shared" si="48"/>
        <v>4</v>
      </c>
      <c r="H912" t="s">
        <v>361</v>
      </c>
    </row>
    <row r="913" spans="1:12" x14ac:dyDescent="0.25">
      <c r="A913" s="1">
        <f t="shared" si="47"/>
        <v>45503</v>
      </c>
      <c r="B913" s="31">
        <f>TIME(18,28,0)</f>
        <v>0.76944444444444438</v>
      </c>
      <c r="C913" t="str">
        <f>Inventory!A81</f>
        <v>eggs</v>
      </c>
      <c r="D913" s="27">
        <v>5</v>
      </c>
      <c r="E913" s="5">
        <f>Table4[[#This Row],[qty]]*(VLOOKUP(Table4[[#This Row],[item_sold]],Table6[],4,FALSE))</f>
        <v>100</v>
      </c>
      <c r="F913" s="5">
        <f>(VLOOKUP(Table4[[#This Row],[item_sold]],Table6[],3,FALSE))*Table4[[#This Row],[qty]]</f>
        <v>71.666666666666671</v>
      </c>
      <c r="G913" s="5">
        <f t="shared" si="48"/>
        <v>28.333333333333329</v>
      </c>
      <c r="H913" t="s">
        <v>361</v>
      </c>
    </row>
    <row r="914" spans="1:12" x14ac:dyDescent="0.25">
      <c r="A914" s="1">
        <f t="shared" si="47"/>
        <v>45503</v>
      </c>
      <c r="B914" s="31">
        <f>TIME(18,28,0)</f>
        <v>0.76944444444444438</v>
      </c>
      <c r="C914" t="str">
        <f>Inventory!A90</f>
        <v>Pembe 2kg</v>
      </c>
      <c r="D914" s="27">
        <v>1</v>
      </c>
      <c r="E914" s="5">
        <f>Table4[[#This Row],[qty]]*(VLOOKUP(Table4[[#This Row],[item_sold]],Table6[],4,FALSE))</f>
        <v>160</v>
      </c>
      <c r="F914" s="5">
        <f>(VLOOKUP(Table4[[#This Row],[item_sold]],Table6[],3,FALSE))*Table4[[#This Row],[qty]]</f>
        <v>123.33333333333333</v>
      </c>
      <c r="G914" s="5">
        <f t="shared" si="48"/>
        <v>36.666666666666671</v>
      </c>
      <c r="H914" t="s">
        <v>361</v>
      </c>
    </row>
    <row r="915" spans="1:12" x14ac:dyDescent="0.25">
      <c r="A915" s="1">
        <f t="shared" si="47"/>
        <v>45503</v>
      </c>
      <c r="B915" s="31">
        <f>TIME(18,28,0)</f>
        <v>0.76944444444444438</v>
      </c>
      <c r="C915" t="str">
        <f>Inventory!A125</f>
        <v>Dhania</v>
      </c>
      <c r="D915" s="27">
        <v>1</v>
      </c>
      <c r="E915" s="5">
        <f>Table4[[#This Row],[qty]]*(VLOOKUP(Table4[[#This Row],[item_sold]],Table6[],4,FALSE))</f>
        <v>5</v>
      </c>
      <c r="F915" s="5">
        <f>(VLOOKUP(Table4[[#This Row],[item_sold]],Table6[],3,FALSE))*Table4[[#This Row],[qty]]</f>
        <v>3.3333333333333335</v>
      </c>
      <c r="G915" s="5">
        <f t="shared" si="48"/>
        <v>1.6666666666666665</v>
      </c>
      <c r="H915" t="s">
        <v>361</v>
      </c>
    </row>
    <row r="916" spans="1:12" x14ac:dyDescent="0.25">
      <c r="A916" s="1">
        <f t="shared" si="47"/>
        <v>45503</v>
      </c>
      <c r="B916" s="31">
        <f>TIME(18,28,0)</f>
        <v>0.76944444444444438</v>
      </c>
      <c r="C916" t="str">
        <f>Inventory!A93</f>
        <v>Hanaan Tissue</v>
      </c>
      <c r="D916" s="27">
        <v>1</v>
      </c>
      <c r="E916" s="5">
        <f>Table4[[#This Row],[qty]]*(VLOOKUP(Table4[[#This Row],[item_sold]],Table6[],4,FALSE))</f>
        <v>50</v>
      </c>
      <c r="F916" s="5">
        <f>(VLOOKUP(Table4[[#This Row],[item_sold]],Table6[],3,FALSE))*Table4[[#This Row],[qty]]</f>
        <v>43</v>
      </c>
      <c r="G916" s="5">
        <f t="shared" si="48"/>
        <v>7</v>
      </c>
      <c r="H916" t="s">
        <v>361</v>
      </c>
    </row>
    <row r="917" spans="1:12" x14ac:dyDescent="0.25">
      <c r="A917" s="1">
        <f t="shared" si="47"/>
        <v>45503</v>
      </c>
      <c r="B917" s="31">
        <f>TIME(18,28,0)</f>
        <v>0.76944444444444438</v>
      </c>
      <c r="C917" t="str">
        <f>Inventory!A23</f>
        <v>Mt kenya milk 500ml</v>
      </c>
      <c r="D917" s="27">
        <v>1</v>
      </c>
      <c r="E917" s="5">
        <f>Table4[[#This Row],[qty]]*(VLOOKUP(Table4[[#This Row],[item_sold]],Table6[],4,FALSE))</f>
        <v>65</v>
      </c>
      <c r="F917" s="5">
        <f>(VLOOKUP(Table4[[#This Row],[item_sold]],Table6[],3,FALSE))*Table4[[#This Row],[qty]]</f>
        <v>48.333333333333336</v>
      </c>
      <c r="G917" s="5">
        <f t="shared" si="48"/>
        <v>16.666666666666664</v>
      </c>
      <c r="H917" t="s">
        <v>361</v>
      </c>
    </row>
    <row r="918" spans="1:12" x14ac:dyDescent="0.25">
      <c r="A918" s="1">
        <f t="shared" si="47"/>
        <v>45503</v>
      </c>
      <c r="B918" s="31">
        <f>TIME(18,39,0)</f>
        <v>0.77708333333333324</v>
      </c>
      <c r="C918" t="str">
        <f>Inventory!A117</f>
        <v>Cooking Oil Measured</v>
      </c>
      <c r="D918" s="27">
        <v>0.25</v>
      </c>
      <c r="E918" s="5">
        <f>Table4[[#This Row],[qty]]*(VLOOKUP(Table4[[#This Row],[item_sold]],Table6[],4,FALSE))</f>
        <v>70</v>
      </c>
      <c r="F918" s="5">
        <f>(VLOOKUP(Table4[[#This Row],[item_sold]],Table6[],3,FALSE))*Table4[[#This Row],[qty]]</f>
        <v>50</v>
      </c>
      <c r="G918" s="5">
        <f t="shared" si="48"/>
        <v>20</v>
      </c>
      <c r="H918" t="s">
        <v>361</v>
      </c>
    </row>
    <row r="919" spans="1:12" x14ac:dyDescent="0.25">
      <c r="A919" s="1">
        <f t="shared" si="47"/>
        <v>45503</v>
      </c>
      <c r="B919" s="31">
        <f>TIME(18,41,0)</f>
        <v>0.77847222222222223</v>
      </c>
      <c r="C919" t="str">
        <f>Inventory!A166</f>
        <v>Arimis big</v>
      </c>
      <c r="D919" s="27">
        <v>1</v>
      </c>
      <c r="E919" s="5">
        <f>Table4[[#This Row],[qty]]*(VLOOKUP(Table4[[#This Row],[item_sold]],Table6[],4,FALSE))</f>
        <v>60</v>
      </c>
      <c r="F919" s="5">
        <f>(VLOOKUP(Table4[[#This Row],[item_sold]],Table6[],3,FALSE))*Table4[[#This Row],[qty]]</f>
        <v>45.833333333333336</v>
      </c>
      <c r="G919" s="5">
        <f t="shared" si="48"/>
        <v>14.166666666666664</v>
      </c>
      <c r="H919" t="s">
        <v>359</v>
      </c>
      <c r="I919" t="s">
        <v>410</v>
      </c>
    </row>
    <row r="920" spans="1:12" x14ac:dyDescent="0.25">
      <c r="A920" s="1">
        <f t="shared" si="47"/>
        <v>45503</v>
      </c>
      <c r="B920" s="31">
        <f>TIME(18,41,0)</f>
        <v>0.77847222222222223</v>
      </c>
      <c r="C920" t="str">
        <f>Inventory!A84</f>
        <v>Safari</v>
      </c>
      <c r="D920" s="27">
        <v>3</v>
      </c>
      <c r="E920" s="5">
        <f>Table4[[#This Row],[qty]]*(VLOOKUP(Table4[[#This Row],[item_sold]],Table6[],4,FALSE))</f>
        <v>45</v>
      </c>
      <c r="F920" s="5">
        <f>(VLOOKUP(Table4[[#This Row],[item_sold]],Table6[],3,FALSE))*Table4[[#This Row],[qty]]</f>
        <v>25.5</v>
      </c>
      <c r="G920" s="5">
        <f t="shared" si="48"/>
        <v>19.5</v>
      </c>
      <c r="H920" t="s">
        <v>359</v>
      </c>
      <c r="I920" t="s">
        <v>391</v>
      </c>
      <c r="J920" t="s">
        <v>391</v>
      </c>
      <c r="K920">
        <v>35</v>
      </c>
      <c r="L920" t="s">
        <v>361</v>
      </c>
    </row>
    <row r="921" spans="1:12" x14ac:dyDescent="0.25">
      <c r="A921" s="1">
        <f t="shared" si="47"/>
        <v>45503</v>
      </c>
      <c r="B921" s="31">
        <f>TIME(19,25,0)</f>
        <v>0.80902777777777779</v>
      </c>
      <c r="D921" s="27"/>
      <c r="F921" s="5"/>
      <c r="J921" t="s">
        <v>391</v>
      </c>
      <c r="K921">
        <f>880-165</f>
        <v>715</v>
      </c>
      <c r="L921" t="s">
        <v>361</v>
      </c>
    </row>
    <row r="922" spans="1:12" x14ac:dyDescent="0.25">
      <c r="A922" s="1">
        <f t="shared" si="47"/>
        <v>45503</v>
      </c>
      <c r="B922" s="31">
        <f>TIME(19,25,0)</f>
        <v>0.80902777777777779</v>
      </c>
      <c r="C922" t="str">
        <f>Inventory!A10</f>
        <v>afia 500ml</v>
      </c>
      <c r="D922" s="27">
        <v>1</v>
      </c>
      <c r="E922" s="5">
        <f>Table4[[#This Row],[qty]]*(VLOOKUP(Table4[[#This Row],[item_sold]],Table6[],4,FALSE))</f>
        <v>85</v>
      </c>
      <c r="F922" s="5">
        <f>(VLOOKUP(Table4[[#This Row],[item_sold]],Table6[],3,FALSE))*Table4[[#This Row],[qty]]</f>
        <v>70.833333333333329</v>
      </c>
      <c r="G922" s="5">
        <f t="shared" ref="G922:G934" si="49">E922-F922</f>
        <v>14.166666666666671</v>
      </c>
      <c r="H922" t="s">
        <v>361</v>
      </c>
    </row>
    <row r="923" spans="1:12" x14ac:dyDescent="0.25">
      <c r="A923" s="1">
        <f t="shared" si="47"/>
        <v>45503</v>
      </c>
      <c r="B923" s="31">
        <f>TIME(19,26,0)</f>
        <v>0.80972222222222223</v>
      </c>
      <c r="C923" t="str">
        <f>Inventory!A2</f>
        <v>5ltrs water</v>
      </c>
      <c r="D923" s="27">
        <v>1</v>
      </c>
      <c r="E923" s="5">
        <f>Table4[[#This Row],[qty]]*(VLOOKUP(Table4[[#This Row],[item_sold]],Table6[],4,FALSE))</f>
        <v>120</v>
      </c>
      <c r="F923" s="5">
        <f>(VLOOKUP(Table4[[#This Row],[item_sold]],Table6[],3,FALSE))*Table4[[#This Row],[qty]]</f>
        <v>75</v>
      </c>
      <c r="G923" s="5">
        <f t="shared" si="49"/>
        <v>45</v>
      </c>
      <c r="H923" t="s">
        <v>359</v>
      </c>
      <c r="I923" t="s">
        <v>391</v>
      </c>
    </row>
    <row r="924" spans="1:12" x14ac:dyDescent="0.25">
      <c r="A924" s="1">
        <f t="shared" si="47"/>
        <v>45503</v>
      </c>
      <c r="B924" s="31">
        <f>TIME(19,26,0)</f>
        <v>0.80972222222222223</v>
      </c>
      <c r="C924" t="str">
        <f>Inventory!A122</f>
        <v>Kinangop Fresh Milk 500ml</v>
      </c>
      <c r="D924" s="27">
        <v>1</v>
      </c>
      <c r="E924" s="5">
        <f>Table4[[#This Row],[qty]]*(VLOOKUP(Table4[[#This Row],[item_sold]],Table6[],4,FALSE))</f>
        <v>60</v>
      </c>
      <c r="F924" s="5">
        <f>(VLOOKUP(Table4[[#This Row],[item_sold]],Table6[],3,FALSE))*Table4[[#This Row],[qty]]</f>
        <v>55</v>
      </c>
      <c r="G924" s="5">
        <f t="shared" si="49"/>
        <v>5</v>
      </c>
      <c r="H924" t="s">
        <v>359</v>
      </c>
      <c r="I924" t="s">
        <v>391</v>
      </c>
    </row>
    <row r="925" spans="1:12" x14ac:dyDescent="0.25">
      <c r="A925" s="1">
        <f t="shared" si="47"/>
        <v>45503</v>
      </c>
      <c r="B925" s="31">
        <f>TIME(19,26,0)</f>
        <v>0.80972222222222223</v>
      </c>
      <c r="C925" t="str">
        <f>Inventory!A132</f>
        <v>Festive Bread 400g</v>
      </c>
      <c r="D925" s="27">
        <v>1</v>
      </c>
      <c r="E925" s="5">
        <f>Table4[[#This Row],[qty]]*(VLOOKUP(Table4[[#This Row],[item_sold]],Table6[],4,FALSE))</f>
        <v>65</v>
      </c>
      <c r="F925" s="5">
        <f>(VLOOKUP(Table4[[#This Row],[item_sold]],Table6[],3,FALSE))*Table4[[#This Row],[qty]]</f>
        <v>60</v>
      </c>
      <c r="G925" s="5">
        <f t="shared" si="49"/>
        <v>5</v>
      </c>
      <c r="H925" t="s">
        <v>359</v>
      </c>
      <c r="I925" t="s">
        <v>391</v>
      </c>
    </row>
    <row r="926" spans="1:12" x14ac:dyDescent="0.25">
      <c r="A926" s="1">
        <f t="shared" si="47"/>
        <v>45503</v>
      </c>
      <c r="B926" s="31">
        <f>TIME(19,26,0)</f>
        <v>0.80972222222222223</v>
      </c>
      <c r="C926" t="str">
        <f>Inventory!A173</f>
        <v>Blueband 100g</v>
      </c>
      <c r="D926" s="27">
        <v>1</v>
      </c>
      <c r="E926" s="5">
        <f>Table4[[#This Row],[qty]]*(VLOOKUP(Table4[[#This Row],[item_sold]],Table6[],4,FALSE))</f>
        <v>70</v>
      </c>
      <c r="F926" s="5">
        <f>(VLOOKUP(Table4[[#This Row],[item_sold]],Table6[],3,FALSE))*Table4[[#This Row],[qty]]</f>
        <v>58.333333333333336</v>
      </c>
      <c r="G926" s="5">
        <f t="shared" si="49"/>
        <v>11.666666666666664</v>
      </c>
      <c r="H926" t="s">
        <v>359</v>
      </c>
      <c r="I926" t="s">
        <v>391</v>
      </c>
    </row>
    <row r="927" spans="1:12" x14ac:dyDescent="0.25">
      <c r="A927" s="1">
        <f t="shared" si="47"/>
        <v>45503</v>
      </c>
      <c r="B927" s="31">
        <f>TIME(20,8,0)</f>
        <v>0.83888888888888891</v>
      </c>
      <c r="C927" t="str">
        <f>Inventory!A154</f>
        <v>waru</v>
      </c>
      <c r="D927" s="27">
        <v>1</v>
      </c>
      <c r="E927" s="5">
        <f>Table4[[#This Row],[qty]]*(VLOOKUP(Table4[[#This Row],[item_sold]],Table6[],4,FALSE))</f>
        <v>50</v>
      </c>
      <c r="F927" s="5">
        <f>(VLOOKUP(Table4[[#This Row],[item_sold]],Table6[],3,FALSE))*Table4[[#This Row],[qty]]</f>
        <v>29.999999999999996</v>
      </c>
      <c r="G927" s="5">
        <f t="shared" si="49"/>
        <v>20.000000000000004</v>
      </c>
      <c r="H927" t="s">
        <v>359</v>
      </c>
      <c r="I927" t="s">
        <v>390</v>
      </c>
    </row>
    <row r="928" spans="1:12" x14ac:dyDescent="0.25">
      <c r="A928" s="1">
        <f t="shared" si="47"/>
        <v>45503</v>
      </c>
      <c r="B928" s="31">
        <f t="shared" ref="B928:B935" si="50">TIME(20,8,0)</f>
        <v>0.83888888888888891</v>
      </c>
      <c r="C928" t="str">
        <f>Inventory!A116</f>
        <v>Tomatoes</v>
      </c>
      <c r="D928" s="27">
        <v>2</v>
      </c>
      <c r="E928" s="5">
        <f>Table4[[#This Row],[qty]]*(VLOOKUP(Table4[[#This Row],[item_sold]],Table6[],4,FALSE))</f>
        <v>20</v>
      </c>
      <c r="F928" s="5">
        <f>(VLOOKUP(Table4[[#This Row],[item_sold]],Table6[],3,FALSE))*Table4[[#This Row],[qty]]</f>
        <v>10</v>
      </c>
      <c r="G928" s="5">
        <f t="shared" si="49"/>
        <v>10</v>
      </c>
      <c r="H928" t="s">
        <v>359</v>
      </c>
      <c r="I928" t="s">
        <v>390</v>
      </c>
    </row>
    <row r="929" spans="1:9" x14ac:dyDescent="0.25">
      <c r="A929" s="1">
        <f t="shared" si="47"/>
        <v>45503</v>
      </c>
      <c r="B929" s="31">
        <f t="shared" si="50"/>
        <v>0.83888888888888891</v>
      </c>
      <c r="C929" t="str">
        <f>Inventory!A115</f>
        <v>Onion</v>
      </c>
      <c r="D929" s="27">
        <v>1</v>
      </c>
      <c r="E929" s="5">
        <f>Table4[[#This Row],[qty]]*(VLOOKUP(Table4[[#This Row],[item_sold]],Table6[],4,FALSE))</f>
        <v>10</v>
      </c>
      <c r="F929" s="5">
        <f>(VLOOKUP(Table4[[#This Row],[item_sold]],Table6[],3,FALSE))*Table4[[#This Row],[qty]]</f>
        <v>8</v>
      </c>
      <c r="G929" s="5">
        <f t="shared" si="49"/>
        <v>2</v>
      </c>
      <c r="H929" t="s">
        <v>359</v>
      </c>
      <c r="I929" t="s">
        <v>390</v>
      </c>
    </row>
    <row r="930" spans="1:9" x14ac:dyDescent="0.25">
      <c r="A930" s="1">
        <f t="shared" si="47"/>
        <v>45503</v>
      </c>
      <c r="B930" s="31">
        <f t="shared" si="50"/>
        <v>0.83888888888888891</v>
      </c>
      <c r="C930" t="str">
        <f>Inventory!A125</f>
        <v>Dhania</v>
      </c>
      <c r="D930" s="27">
        <v>1</v>
      </c>
      <c r="E930" s="5">
        <f>Table4[[#This Row],[qty]]*(VLOOKUP(Table4[[#This Row],[item_sold]],Table6[],4,FALSE))</f>
        <v>5</v>
      </c>
      <c r="F930" s="5">
        <f>(VLOOKUP(Table4[[#This Row],[item_sold]],Table6[],3,FALSE))*Table4[[#This Row],[qty]]</f>
        <v>3.3333333333333335</v>
      </c>
      <c r="G930" s="5">
        <f t="shared" si="49"/>
        <v>1.6666666666666665</v>
      </c>
      <c r="H930" t="s">
        <v>359</v>
      </c>
      <c r="I930" t="s">
        <v>390</v>
      </c>
    </row>
    <row r="931" spans="1:9" x14ac:dyDescent="0.25">
      <c r="A931" s="1">
        <f t="shared" si="47"/>
        <v>45503</v>
      </c>
      <c r="B931" s="31">
        <f t="shared" si="50"/>
        <v>0.83888888888888891</v>
      </c>
      <c r="C931" t="str">
        <f>Inventory!A81</f>
        <v>eggs</v>
      </c>
      <c r="D931" s="27">
        <v>4</v>
      </c>
      <c r="E931" s="5">
        <f>Table4[[#This Row],[qty]]*(VLOOKUP(Table4[[#This Row],[item_sold]],Table6[],4,FALSE))</f>
        <v>80</v>
      </c>
      <c r="F931" s="5">
        <f>(VLOOKUP(Table4[[#This Row],[item_sold]],Table6[],3,FALSE))*Table4[[#This Row],[qty]]</f>
        <v>57.333333333333336</v>
      </c>
      <c r="G931" s="5">
        <f t="shared" si="49"/>
        <v>22.666666666666664</v>
      </c>
      <c r="H931" t="s">
        <v>359</v>
      </c>
      <c r="I931" t="s">
        <v>390</v>
      </c>
    </row>
    <row r="932" spans="1:9" x14ac:dyDescent="0.25">
      <c r="A932" s="1">
        <f t="shared" si="47"/>
        <v>45503</v>
      </c>
      <c r="B932" s="31">
        <f t="shared" si="50"/>
        <v>0.83888888888888891</v>
      </c>
      <c r="C932" t="str">
        <f>Inventory!A122</f>
        <v>Kinangop Fresh Milk 500ml</v>
      </c>
      <c r="D932" s="27">
        <v>1</v>
      </c>
      <c r="E932" s="5">
        <f>Table4[[#This Row],[qty]]*(VLOOKUP(Table4[[#This Row],[item_sold]],Table6[],4,FALSE))</f>
        <v>60</v>
      </c>
      <c r="F932" s="5">
        <f>(VLOOKUP(Table4[[#This Row],[item_sold]],Table6[],3,FALSE))*Table4[[#This Row],[qty]]</f>
        <v>55</v>
      </c>
      <c r="G932" s="5">
        <f t="shared" si="49"/>
        <v>5</v>
      </c>
      <c r="H932" t="s">
        <v>359</v>
      </c>
      <c r="I932" t="s">
        <v>390</v>
      </c>
    </row>
    <row r="933" spans="1:9" x14ac:dyDescent="0.25">
      <c r="A933" s="1">
        <f t="shared" si="47"/>
        <v>45503</v>
      </c>
      <c r="B933" s="31">
        <f t="shared" si="50"/>
        <v>0.83888888888888891</v>
      </c>
      <c r="C933" t="str">
        <f>Inventory!A122</f>
        <v>Kinangop Fresh Milk 500ml</v>
      </c>
      <c r="D933" s="27">
        <v>2</v>
      </c>
      <c r="E933" s="5">
        <f>Table4[[#This Row],[qty]]*(VLOOKUP(Table4[[#This Row],[item_sold]],Table6[],4,FALSE))</f>
        <v>120</v>
      </c>
      <c r="F933" s="5">
        <f>(VLOOKUP(Table4[[#This Row],[item_sold]],Table6[],3,FALSE))*Table4[[#This Row],[qty]]</f>
        <v>110</v>
      </c>
      <c r="G933" s="5">
        <f t="shared" si="49"/>
        <v>10</v>
      </c>
      <c r="H933" t="s">
        <v>359</v>
      </c>
      <c r="I933" t="s">
        <v>385</v>
      </c>
    </row>
    <row r="934" spans="1:9" x14ac:dyDescent="0.25">
      <c r="A934" s="1">
        <f t="shared" si="47"/>
        <v>45503</v>
      </c>
      <c r="B934" s="31">
        <f t="shared" si="50"/>
        <v>0.83888888888888891</v>
      </c>
      <c r="C934" t="str">
        <f>Inventory!A54</f>
        <v>Kdf</v>
      </c>
      <c r="D934" s="27">
        <v>2</v>
      </c>
      <c r="E934" s="5">
        <f>Table4[[#This Row],[qty]]*(VLOOKUP(Table4[[#This Row],[item_sold]],Table6[],4,FALSE))</f>
        <v>20</v>
      </c>
      <c r="F934" s="5">
        <f>(VLOOKUP(Table4[[#This Row],[item_sold]],Table6[],3,FALSE))*Table4[[#This Row],[qty]]</f>
        <v>16.666666666666668</v>
      </c>
      <c r="G934" s="5">
        <f t="shared" si="49"/>
        <v>3.3333333333333321</v>
      </c>
      <c r="H934" t="s">
        <v>359</v>
      </c>
      <c r="I934" t="s">
        <v>385</v>
      </c>
    </row>
    <row r="935" spans="1:9" x14ac:dyDescent="0.25">
      <c r="A935" s="1">
        <f t="shared" si="47"/>
        <v>45503</v>
      </c>
      <c r="B935" s="31">
        <f t="shared" si="50"/>
        <v>0.83888888888888891</v>
      </c>
      <c r="C935" t="str">
        <f>Inventory!A186</f>
        <v>familla porriedge</v>
      </c>
      <c r="D935" s="27">
        <v>1</v>
      </c>
      <c r="E935" s="5">
        <f>Table4[[#This Row],[qty]]*(VLOOKUP(Table4[[#This Row],[item_sold]],Table6[],4,FALSE))</f>
        <v>100</v>
      </c>
      <c r="F935" s="5">
        <f>(VLOOKUP(Table4[[#This Row],[item_sold]],Table6[],3,FALSE))*Table4[[#This Row],[qty]]</f>
        <v>80</v>
      </c>
      <c r="G935" s="5">
        <f>E935-F935</f>
        <v>20</v>
      </c>
      <c r="H935" t="s">
        <v>359</v>
      </c>
      <c r="I935" t="s">
        <v>385</v>
      </c>
    </row>
    <row r="936" spans="1:9" x14ac:dyDescent="0.25">
      <c r="A936" s="1">
        <f t="shared" si="47"/>
        <v>45503</v>
      </c>
      <c r="B936" s="31">
        <f>TIME(20,31,0)</f>
        <v>0.85486111111111107</v>
      </c>
      <c r="C936" t="str">
        <f>Inventory!A129</f>
        <v>Carrier bag small</v>
      </c>
      <c r="D936" s="27">
        <v>1</v>
      </c>
      <c r="E936" s="5">
        <f>Table4[[#This Row],[qty]]*(VLOOKUP(Table4[[#This Row],[item_sold]],Table6[],4,FALSE))</f>
        <v>10</v>
      </c>
      <c r="F936" s="5">
        <f>(VLOOKUP(Table4[[#This Row],[item_sold]],Table6[],3,FALSE))*Table4[[#This Row],[qty]]</f>
        <v>3</v>
      </c>
      <c r="G936" s="5">
        <f>E936-F936</f>
        <v>7</v>
      </c>
      <c r="H936" t="s">
        <v>247</v>
      </c>
    </row>
    <row r="937" spans="1:9" x14ac:dyDescent="0.25">
      <c r="A937" s="1">
        <f t="shared" si="47"/>
        <v>45503</v>
      </c>
      <c r="B937" s="31">
        <f>TIME(20,31,0)</f>
        <v>0.85486111111111107</v>
      </c>
      <c r="C937" t="str">
        <f>Inventory!A48</f>
        <v>Ginger Bisquit</v>
      </c>
      <c r="D937" s="27">
        <v>8</v>
      </c>
      <c r="E937" s="5">
        <f>Table4[[#This Row],[qty]]*(VLOOKUP(Table4[[#This Row],[item_sold]],Table6[],4,FALSE))</f>
        <v>40</v>
      </c>
      <c r="F937" s="5">
        <f>(VLOOKUP(Table4[[#This Row],[item_sold]],Table6[],3,FALSE))*Table4[[#This Row],[qty]]</f>
        <v>34.666666666666664</v>
      </c>
      <c r="G937" s="5">
        <f>E937-F937</f>
        <v>5.3333333333333357</v>
      </c>
      <c r="H937" t="s">
        <v>247</v>
      </c>
    </row>
    <row r="938" spans="1:9" x14ac:dyDescent="0.25">
      <c r="A938" s="1">
        <f>DATE(2024,7,31)</f>
        <v>45504</v>
      </c>
      <c r="B938" s="31">
        <f>TIME(7,50,0)</f>
        <v>0.3263888888888889</v>
      </c>
      <c r="C938" t="str">
        <f>Inventory!A132</f>
        <v>Festive Bread 400g</v>
      </c>
      <c r="D938" s="27">
        <v>1</v>
      </c>
      <c r="E938" s="5">
        <f>Table4[[#This Row],[qty]]*(VLOOKUP(Table4[[#This Row],[item_sold]],Table6[],4,FALSE))</f>
        <v>65</v>
      </c>
      <c r="F938" s="5">
        <f>(VLOOKUP(Table4[[#This Row],[item_sold]],Table6[],3,FALSE))*Table4[[#This Row],[qty]]</f>
        <v>60</v>
      </c>
      <c r="G938" s="5">
        <f t="shared" ref="G938:G1001" si="51">E938-F938</f>
        <v>5</v>
      </c>
      <c r="H938" t="s">
        <v>247</v>
      </c>
    </row>
    <row r="939" spans="1:9" x14ac:dyDescent="0.25">
      <c r="A939" s="1">
        <f t="shared" ref="A939:A1001" si="52">DATE(2024,7,31)</f>
        <v>45504</v>
      </c>
      <c r="B939" s="31">
        <f>TIME(8,34,0)</f>
        <v>0.35694444444444445</v>
      </c>
      <c r="C939" t="str">
        <f>Inventory!A24</f>
        <v>Brookside milk 500ml</v>
      </c>
      <c r="D939" s="27">
        <v>1</v>
      </c>
      <c r="E939" s="5">
        <f>Table4[[#This Row],[qty]]*(VLOOKUP(Table4[[#This Row],[item_sold]],Table6[],4,FALSE))</f>
        <v>70</v>
      </c>
      <c r="F939" s="5">
        <f>(VLOOKUP(Table4[[#This Row],[item_sold]],Table6[],3,FALSE))*Table4[[#This Row],[qty]]</f>
        <v>59</v>
      </c>
      <c r="G939" s="5">
        <f t="shared" si="51"/>
        <v>11</v>
      </c>
      <c r="H939" t="s">
        <v>361</v>
      </c>
    </row>
    <row r="940" spans="1:9" x14ac:dyDescent="0.25">
      <c r="A940" s="1">
        <f t="shared" si="52"/>
        <v>45504</v>
      </c>
      <c r="B940" s="31">
        <f>TIME(8,45,0)</f>
        <v>0.36458333333333331</v>
      </c>
      <c r="C940" t="str">
        <f>Inventory!A84</f>
        <v>Safari</v>
      </c>
      <c r="D940" s="27">
        <v>1</v>
      </c>
      <c r="E940" s="5">
        <f>Table4[[#This Row],[qty]]*(VLOOKUP(Table4[[#This Row],[item_sold]],Table6[],4,FALSE))</f>
        <v>15</v>
      </c>
      <c r="F940" s="5">
        <f>(VLOOKUP(Table4[[#This Row],[item_sold]],Table6[],3,FALSE))*Table4[[#This Row],[qty]]</f>
        <v>8.5</v>
      </c>
      <c r="G940" s="5">
        <f t="shared" si="51"/>
        <v>6.5</v>
      </c>
      <c r="H940" t="s">
        <v>247</v>
      </c>
    </row>
    <row r="941" spans="1:9" x14ac:dyDescent="0.25">
      <c r="A941" s="1">
        <f t="shared" si="52"/>
        <v>45504</v>
      </c>
      <c r="B941" s="31">
        <f>TIME(10,2,0)</f>
        <v>0.41805555555555557</v>
      </c>
      <c r="C941" t="str">
        <f>Inventory!A163</f>
        <v>Super Glue</v>
      </c>
      <c r="D941" s="27">
        <v>1</v>
      </c>
      <c r="E941" s="5">
        <f>Table4[[#This Row],[qty]]*(VLOOKUP(Table4[[#This Row],[item_sold]],Table6[],4,FALSE))</f>
        <v>30</v>
      </c>
      <c r="F941" s="5">
        <f>(VLOOKUP(Table4[[#This Row],[item_sold]],Table6[],3,FALSE))*Table4[[#This Row],[qty]]</f>
        <v>23.333333333333332</v>
      </c>
      <c r="G941" s="5">
        <f t="shared" si="51"/>
        <v>6.6666666666666679</v>
      </c>
      <c r="H941" t="s">
        <v>361</v>
      </c>
    </row>
    <row r="942" spans="1:9" x14ac:dyDescent="0.25">
      <c r="A942" s="1">
        <f t="shared" si="52"/>
        <v>45504</v>
      </c>
      <c r="B942" s="31">
        <f>TIME(10,2,0)</f>
        <v>0.41805555555555557</v>
      </c>
      <c r="C942" t="str">
        <f>Inventory!A44</f>
        <v>Peanut Cookies</v>
      </c>
      <c r="D942" s="27">
        <v>1</v>
      </c>
      <c r="E942" s="5">
        <f>Table4[[#This Row],[qty]]*(VLOOKUP(Table4[[#This Row],[item_sold]],Table6[],4,FALSE))</f>
        <v>35</v>
      </c>
      <c r="F942" s="5">
        <f>(VLOOKUP(Table4[[#This Row],[item_sold]],Table6[],3,FALSE))*Table4[[#This Row],[qty]]</f>
        <v>25</v>
      </c>
      <c r="G942" s="5">
        <f t="shared" si="51"/>
        <v>10</v>
      </c>
      <c r="H942" t="s">
        <v>361</v>
      </c>
    </row>
    <row r="943" spans="1:9" x14ac:dyDescent="0.25">
      <c r="A943" s="1">
        <f t="shared" si="52"/>
        <v>45504</v>
      </c>
      <c r="B943" s="31">
        <f>TIME(10,6,0)</f>
        <v>0.42083333333333334</v>
      </c>
      <c r="C943" t="str">
        <f>Inventory!A33</f>
        <v>Festive 800g</v>
      </c>
      <c r="D943" s="27">
        <v>1</v>
      </c>
      <c r="E943" s="5">
        <f>Table4[[#This Row],[qty]]*(VLOOKUP(Table4[[#This Row],[item_sold]],Table6[],4,FALSE))</f>
        <v>130</v>
      </c>
      <c r="F943" s="5">
        <f>(VLOOKUP(Table4[[#This Row],[item_sold]],Table6[],3,FALSE))*Table4[[#This Row],[qty]]</f>
        <v>120</v>
      </c>
      <c r="G943" s="5">
        <f t="shared" si="51"/>
        <v>10</v>
      </c>
      <c r="H943" t="s">
        <v>361</v>
      </c>
    </row>
    <row r="944" spans="1:9" x14ac:dyDescent="0.25">
      <c r="A944" s="1">
        <f t="shared" si="52"/>
        <v>45504</v>
      </c>
      <c r="B944" s="31">
        <f>TIME(11,11,0)</f>
        <v>0.46597222222222223</v>
      </c>
      <c r="C944" t="str">
        <f>Inventory!A44</f>
        <v>Peanut Cookies</v>
      </c>
      <c r="D944" s="27">
        <v>1</v>
      </c>
      <c r="E944" s="5">
        <f>Table4[[#This Row],[qty]]*(VLOOKUP(Table4[[#This Row],[item_sold]],Table6[],4,FALSE))</f>
        <v>35</v>
      </c>
      <c r="F944" s="5">
        <f>(VLOOKUP(Table4[[#This Row],[item_sold]],Table6[],3,FALSE))*Table4[[#This Row],[qty]]</f>
        <v>25</v>
      </c>
      <c r="G944" s="5">
        <f t="shared" si="51"/>
        <v>10</v>
      </c>
      <c r="H944" t="s">
        <v>361</v>
      </c>
    </row>
    <row r="945" spans="1:8" x14ac:dyDescent="0.25">
      <c r="A945" s="1">
        <f t="shared" si="52"/>
        <v>45504</v>
      </c>
      <c r="B945" s="31">
        <f>TIME(11,11,0)</f>
        <v>0.46597222222222223</v>
      </c>
      <c r="C945" t="str">
        <f>Inventory!A49</f>
        <v>Half pound cake</v>
      </c>
      <c r="D945" s="27">
        <v>1</v>
      </c>
      <c r="E945" s="5">
        <f>Table4[[#This Row],[qty]]*(VLOOKUP(Table4[[#This Row],[item_sold]],Table6[],4,FALSE))</f>
        <v>100</v>
      </c>
      <c r="F945" s="5">
        <f>(VLOOKUP(Table4[[#This Row],[item_sold]],Table6[],3,FALSE))*Table4[[#This Row],[qty]]</f>
        <v>90</v>
      </c>
      <c r="G945" s="5">
        <f t="shared" si="51"/>
        <v>10</v>
      </c>
      <c r="H945" t="s">
        <v>361</v>
      </c>
    </row>
    <row r="946" spans="1:8" x14ac:dyDescent="0.25">
      <c r="A946" s="1">
        <f t="shared" si="52"/>
        <v>45504</v>
      </c>
      <c r="B946" s="31">
        <f>TIME(11,12,0)</f>
        <v>0.46666666666666662</v>
      </c>
      <c r="C946" t="str">
        <f>Inventory!A110</f>
        <v>omo 75g</v>
      </c>
      <c r="D946" s="27">
        <v>1</v>
      </c>
      <c r="E946" s="5">
        <f>Table4[[#This Row],[qty]]*(VLOOKUP(Table4[[#This Row],[item_sold]],Table6[],4,FALSE))</f>
        <v>35</v>
      </c>
      <c r="F946" s="5">
        <f>(VLOOKUP(Table4[[#This Row],[item_sold]],Table6[],3,FALSE))*Table4[[#This Row],[qty]]</f>
        <v>27.5</v>
      </c>
      <c r="G946" s="5">
        <f t="shared" si="51"/>
        <v>7.5</v>
      </c>
      <c r="H946" t="s">
        <v>361</v>
      </c>
    </row>
    <row r="947" spans="1:8" x14ac:dyDescent="0.25">
      <c r="A947" s="1">
        <f t="shared" si="52"/>
        <v>45504</v>
      </c>
      <c r="B947" s="31">
        <f>TIME(11,12,0)</f>
        <v>0.46666666666666662</v>
      </c>
      <c r="C947" t="str">
        <f>Inventory!A106</f>
        <v xml:space="preserve">Whitewash </v>
      </c>
      <c r="D947" s="27">
        <v>1</v>
      </c>
      <c r="E947" s="5">
        <f>Table4[[#This Row],[qty]]*(VLOOKUP(Table4[[#This Row],[item_sold]],Table6[],4,FALSE))</f>
        <v>50</v>
      </c>
      <c r="F947" s="5">
        <f>(VLOOKUP(Table4[[#This Row],[item_sold]],Table6[],3,FALSE))*Table4[[#This Row],[qty]]</f>
        <v>33.75</v>
      </c>
      <c r="G947" s="5">
        <f t="shared" si="51"/>
        <v>16.25</v>
      </c>
      <c r="H947" t="s">
        <v>361</v>
      </c>
    </row>
    <row r="948" spans="1:8" x14ac:dyDescent="0.25">
      <c r="A948" s="1">
        <f t="shared" si="52"/>
        <v>45504</v>
      </c>
      <c r="B948" s="31">
        <f>TIME(11,21,0)</f>
        <v>0.47291666666666665</v>
      </c>
      <c r="C948" t="str">
        <f>Inventory!A71</f>
        <v>Indomie chicken</v>
      </c>
      <c r="D948" s="27">
        <v>1</v>
      </c>
      <c r="E948" s="5">
        <f>Table4[[#This Row],[qty]]*(VLOOKUP(Table4[[#This Row],[item_sold]],Table6[],4,FALSE))</f>
        <v>50</v>
      </c>
      <c r="F948" s="5">
        <f>(VLOOKUP(Table4[[#This Row],[item_sold]],Table6[],3,FALSE))*Table4[[#This Row],[qty]]</f>
        <v>37.5</v>
      </c>
      <c r="G948" s="5">
        <f t="shared" si="51"/>
        <v>12.5</v>
      </c>
      <c r="H948" t="s">
        <v>247</v>
      </c>
    </row>
    <row r="949" spans="1:8" x14ac:dyDescent="0.25">
      <c r="A949" s="1">
        <f t="shared" si="52"/>
        <v>45504</v>
      </c>
      <c r="B949" s="31">
        <f>TIME(11,54,0)</f>
        <v>0.49583333333333335</v>
      </c>
      <c r="C949" t="str">
        <f>Inventory!A44</f>
        <v>Peanut Cookies</v>
      </c>
      <c r="D949" s="27">
        <v>1</v>
      </c>
      <c r="E949" s="5">
        <f>Table4[[#This Row],[qty]]*(VLOOKUP(Table4[[#This Row],[item_sold]],Table6[],4,FALSE))</f>
        <v>35</v>
      </c>
      <c r="F949" s="5">
        <f>(VLOOKUP(Table4[[#This Row],[item_sold]],Table6[],3,FALSE))*Table4[[#This Row],[qty]]</f>
        <v>25</v>
      </c>
      <c r="G949" s="5">
        <f t="shared" si="51"/>
        <v>10</v>
      </c>
      <c r="H949" t="s">
        <v>247</v>
      </c>
    </row>
    <row r="950" spans="1:8" x14ac:dyDescent="0.25">
      <c r="A950" s="1">
        <f t="shared" si="52"/>
        <v>45504</v>
      </c>
      <c r="B950" s="31">
        <f>TIME(11,54,0)</f>
        <v>0.49583333333333335</v>
      </c>
      <c r="C950" t="str">
        <f>Inventory!A121</f>
        <v>Banana</v>
      </c>
      <c r="D950" s="27">
        <v>1</v>
      </c>
      <c r="E950" s="5">
        <f>Table4[[#This Row],[qty]]*(VLOOKUP(Table4[[#This Row],[item_sold]],Table6[],4,FALSE))</f>
        <v>10</v>
      </c>
      <c r="F950" s="5">
        <f>(VLOOKUP(Table4[[#This Row],[item_sold]],Table6[],3,FALSE))*Table4[[#This Row],[qty]]</f>
        <v>8.3333333333333339</v>
      </c>
      <c r="G950" s="5">
        <f t="shared" si="51"/>
        <v>1.6666666666666661</v>
      </c>
      <c r="H950" t="s">
        <v>247</v>
      </c>
    </row>
    <row r="951" spans="1:8" x14ac:dyDescent="0.25">
      <c r="A951" s="1">
        <f t="shared" si="52"/>
        <v>45504</v>
      </c>
      <c r="B951" s="31">
        <f>TIME(12,5,0)</f>
        <v>0.50347222222222221</v>
      </c>
      <c r="C951" t="str">
        <f>Inventory!A162</f>
        <v>Match Box</v>
      </c>
      <c r="D951" s="27">
        <v>12</v>
      </c>
      <c r="E951" s="5">
        <f>Table4[[#This Row],[qty]]*(VLOOKUP(Table4[[#This Row],[item_sold]],Table6[],4,FALSE))-10</f>
        <v>50</v>
      </c>
      <c r="F951" s="5">
        <f>(VLOOKUP(Table4[[#This Row],[item_sold]],Table6[],3,FALSE))*Table4[[#This Row],[qty]]</f>
        <v>28.333333333333336</v>
      </c>
      <c r="G951" s="5">
        <f t="shared" si="51"/>
        <v>21.666666666666664</v>
      </c>
      <c r="H951" t="s">
        <v>247</v>
      </c>
    </row>
    <row r="952" spans="1:8" x14ac:dyDescent="0.25">
      <c r="A952" s="1">
        <f t="shared" si="52"/>
        <v>45504</v>
      </c>
      <c r="B952" s="31">
        <f>TIME(12,5,0)</f>
        <v>0.50347222222222221</v>
      </c>
      <c r="C952" t="str">
        <f>Inventory!A61</f>
        <v>Bigdaddy</v>
      </c>
      <c r="D952" s="27">
        <v>2</v>
      </c>
      <c r="E952" s="5">
        <f>Table4[[#This Row],[qty]]*(VLOOKUP(Table4[[#This Row],[item_sold]],Table6[],4,FALSE))</f>
        <v>20</v>
      </c>
      <c r="F952" s="5">
        <f>(VLOOKUP(Table4[[#This Row],[item_sold]],Table6[],3,FALSE))*Table4[[#This Row],[qty]]</f>
        <v>12</v>
      </c>
      <c r="G952" s="5">
        <f t="shared" si="51"/>
        <v>8</v>
      </c>
      <c r="H952" t="s">
        <v>247</v>
      </c>
    </row>
    <row r="953" spans="1:8" x14ac:dyDescent="0.25">
      <c r="A953" s="1">
        <f t="shared" si="52"/>
        <v>45504</v>
      </c>
      <c r="B953" s="31">
        <f>TIME(12,40,0)</f>
        <v>0.52777777777777779</v>
      </c>
      <c r="C953" t="str">
        <f>Inventory!A81</f>
        <v>eggs</v>
      </c>
      <c r="D953" s="27">
        <v>2</v>
      </c>
      <c r="E953" s="5">
        <f>Table4[[#This Row],[qty]]*(VLOOKUP(Table4[[#This Row],[item_sold]],Table6[],4,FALSE))</f>
        <v>40</v>
      </c>
      <c r="F953" s="5">
        <f>(VLOOKUP(Table4[[#This Row],[item_sold]],Table6[],3,FALSE))*Table4[[#This Row],[qty]]</f>
        <v>28.666666666666668</v>
      </c>
      <c r="G953" s="5">
        <f t="shared" si="51"/>
        <v>11.333333333333332</v>
      </c>
      <c r="H953" t="s">
        <v>361</v>
      </c>
    </row>
    <row r="954" spans="1:8" x14ac:dyDescent="0.25">
      <c r="A954" s="1">
        <f t="shared" si="52"/>
        <v>45504</v>
      </c>
      <c r="B954" s="31">
        <f>TIME(12,44,0)</f>
        <v>0.53055555555555556</v>
      </c>
      <c r="C954" t="str">
        <f>Inventory!A81</f>
        <v>eggs</v>
      </c>
      <c r="D954" s="27">
        <v>5</v>
      </c>
      <c r="E954" s="5">
        <f>Table4[[#This Row],[qty]]*(VLOOKUP(Table4[[#This Row],[item_sold]],Table6[],4,FALSE))</f>
        <v>100</v>
      </c>
      <c r="F954" s="5">
        <f>(VLOOKUP(Table4[[#This Row],[item_sold]],Table6[],3,FALSE))*Table4[[#This Row],[qty]]</f>
        <v>71.666666666666671</v>
      </c>
      <c r="G954" s="5">
        <f t="shared" si="51"/>
        <v>28.333333333333329</v>
      </c>
      <c r="H954" t="s">
        <v>247</v>
      </c>
    </row>
    <row r="955" spans="1:8" x14ac:dyDescent="0.25">
      <c r="A955" s="1">
        <f t="shared" si="52"/>
        <v>45504</v>
      </c>
      <c r="B955" s="31">
        <f>TIME(12,44,0)</f>
        <v>0.53055555555555556</v>
      </c>
      <c r="C955" t="str">
        <f>Inventory!A113</f>
        <v>Downy lavender</v>
      </c>
      <c r="D955" s="27">
        <v>1</v>
      </c>
      <c r="E955" s="5">
        <f>Table4[[#This Row],[qty]]*(VLOOKUP(Table4[[#This Row],[item_sold]],Table6[],4,FALSE))</f>
        <v>20</v>
      </c>
      <c r="F955" s="5">
        <f>(VLOOKUP(Table4[[#This Row],[item_sold]],Table6[],3,FALSE))*Table4[[#This Row],[qty]]</f>
        <v>17.333333333333332</v>
      </c>
      <c r="G955" s="5">
        <f t="shared" si="51"/>
        <v>2.6666666666666679</v>
      </c>
      <c r="H955" t="s">
        <v>247</v>
      </c>
    </row>
    <row r="956" spans="1:8" x14ac:dyDescent="0.25">
      <c r="A956" s="1">
        <f t="shared" si="52"/>
        <v>45504</v>
      </c>
      <c r="B956" s="31">
        <f>TIME(12,45,0)</f>
        <v>0.53125</v>
      </c>
      <c r="C956" t="str">
        <f>Inventory!A30</f>
        <v>BB Bread 400g</v>
      </c>
      <c r="D956" s="27">
        <v>1</v>
      </c>
      <c r="E956" s="5">
        <f>Table4[[#This Row],[qty]]*(VLOOKUP(Table4[[#This Row],[item_sold]],Table6[],4,FALSE))</f>
        <v>65</v>
      </c>
      <c r="F956" s="5">
        <f>(VLOOKUP(Table4[[#This Row],[item_sold]],Table6[],3,FALSE))*Table4[[#This Row],[qty]]</f>
        <v>60</v>
      </c>
      <c r="G956" s="5">
        <f t="shared" si="51"/>
        <v>5</v>
      </c>
      <c r="H956" t="s">
        <v>361</v>
      </c>
    </row>
    <row r="957" spans="1:8" x14ac:dyDescent="0.25">
      <c r="A957" s="1">
        <f t="shared" si="52"/>
        <v>45504</v>
      </c>
      <c r="B957" s="31">
        <f>TIME(12,45,0)</f>
        <v>0.53125</v>
      </c>
      <c r="C957" t="str">
        <f>Inventory!A44</f>
        <v>Peanut Cookies</v>
      </c>
      <c r="D957" s="27">
        <v>1</v>
      </c>
      <c r="E957" s="5">
        <f>Table4[[#This Row],[qty]]*(VLOOKUP(Table4[[#This Row],[item_sold]],Table6[],4,FALSE))</f>
        <v>35</v>
      </c>
      <c r="F957" s="5">
        <f>(VLOOKUP(Table4[[#This Row],[item_sold]],Table6[],3,FALSE))*Table4[[#This Row],[qty]]</f>
        <v>25</v>
      </c>
      <c r="G957" s="5">
        <f t="shared" si="51"/>
        <v>10</v>
      </c>
      <c r="H957" t="s">
        <v>361</v>
      </c>
    </row>
    <row r="958" spans="1:8" x14ac:dyDescent="0.25">
      <c r="A958" s="1">
        <f t="shared" si="52"/>
        <v>45504</v>
      </c>
      <c r="B958" s="31">
        <f>TIME(12,50,0)</f>
        <v>0.53472222222222221</v>
      </c>
      <c r="C958" t="str">
        <f>Inventory!A153</f>
        <v>Pishori rice</v>
      </c>
      <c r="D958" s="27">
        <v>1</v>
      </c>
      <c r="E958" s="5">
        <f>Table4[[#This Row],[qty]]*(VLOOKUP(Table4[[#This Row],[item_sold]],Table6[],4,FALSE))</f>
        <v>220</v>
      </c>
      <c r="F958" s="5">
        <f>(VLOOKUP(Table4[[#This Row],[item_sold]],Table6[],3,FALSE))*Table4[[#This Row],[qty]]</f>
        <v>180</v>
      </c>
      <c r="G958" s="5">
        <f t="shared" si="51"/>
        <v>40</v>
      </c>
      <c r="H958" t="s">
        <v>247</v>
      </c>
    </row>
    <row r="959" spans="1:8" x14ac:dyDescent="0.25">
      <c r="A959" s="1">
        <f t="shared" si="52"/>
        <v>45504</v>
      </c>
      <c r="B959" s="31">
        <f>TIME(12,50,0)</f>
        <v>0.53472222222222221</v>
      </c>
      <c r="C959" t="str">
        <f>Inventory!A140</f>
        <v>Airtel 50 Credit</v>
      </c>
      <c r="D959" s="27">
        <v>2</v>
      </c>
      <c r="E959" s="5">
        <f>Table4[[#This Row],[qty]]*(VLOOKUP(Table4[[#This Row],[item_sold]],Table6[],4,FALSE))</f>
        <v>100</v>
      </c>
      <c r="F959" s="5">
        <f>(VLOOKUP(Table4[[#This Row],[item_sold]],Table6[],3,FALSE))*Table4[[#This Row],[qty]]</f>
        <v>94</v>
      </c>
      <c r="G959" s="5">
        <f t="shared" si="51"/>
        <v>6</v>
      </c>
      <c r="H959" t="s">
        <v>247</v>
      </c>
    </row>
    <row r="960" spans="1:8" x14ac:dyDescent="0.25">
      <c r="A960" s="1">
        <f t="shared" si="52"/>
        <v>45504</v>
      </c>
      <c r="B960" s="31">
        <f>TIME(12,50,0)</f>
        <v>0.53472222222222221</v>
      </c>
      <c r="C960" t="str">
        <f>Inventory!A67</f>
        <v>Bigboss</v>
      </c>
      <c r="D960" s="27">
        <v>4</v>
      </c>
      <c r="E960" s="5">
        <f>Table4[[#This Row],[qty]]*(VLOOKUP(Table4[[#This Row],[item_sold]],Table6[],4,FALSE))</f>
        <v>20</v>
      </c>
      <c r="F960" s="5">
        <f>(VLOOKUP(Table4[[#This Row],[item_sold]],Table6[],3,FALSE))*Table4[[#This Row],[qty]]</f>
        <v>14</v>
      </c>
      <c r="G960" s="5">
        <f t="shared" si="51"/>
        <v>6</v>
      </c>
      <c r="H960" t="s">
        <v>247</v>
      </c>
    </row>
    <row r="961" spans="1:12" x14ac:dyDescent="0.25">
      <c r="A961" s="1">
        <f t="shared" si="52"/>
        <v>45504</v>
      </c>
      <c r="B961" s="31">
        <f>TIME(13,4,0)</f>
        <v>0.5444444444444444</v>
      </c>
      <c r="C961" t="str">
        <f>Inventory!A148</f>
        <v>Cabbage</v>
      </c>
      <c r="D961" s="27">
        <v>1</v>
      </c>
      <c r="E961" s="5">
        <f>Table4[[#This Row],[qty]]*(VLOOKUP(Table4[[#This Row],[item_sold]],Table6[],4,FALSE))</f>
        <v>180</v>
      </c>
      <c r="F961" s="5">
        <f>(VLOOKUP(Table4[[#This Row],[item_sold]],Table6[],3,FALSE))*Table4[[#This Row],[qty]]</f>
        <v>120</v>
      </c>
      <c r="G961" s="5">
        <f t="shared" si="51"/>
        <v>60</v>
      </c>
      <c r="H961" t="s">
        <v>359</v>
      </c>
      <c r="I961" t="s">
        <v>384</v>
      </c>
    </row>
    <row r="962" spans="1:12" x14ac:dyDescent="0.25">
      <c r="A962" s="1">
        <f t="shared" si="52"/>
        <v>45504</v>
      </c>
      <c r="B962" s="31">
        <f>TIME(13,4,0)</f>
        <v>0.5444444444444444</v>
      </c>
      <c r="C962" t="str">
        <f>Inventory!A126</f>
        <v>Royco cubes</v>
      </c>
      <c r="D962" s="27">
        <v>2</v>
      </c>
      <c r="E962" s="5">
        <f>Table4[[#This Row],[qty]]*(VLOOKUP(Table4[[#This Row],[item_sold]],Table6[],4,FALSE))</f>
        <v>10</v>
      </c>
      <c r="F962" s="5">
        <f>(VLOOKUP(Table4[[#This Row],[item_sold]],Table6[],3,FALSE))*Table4[[#This Row],[qty]]</f>
        <v>6</v>
      </c>
      <c r="G962" s="5">
        <f t="shared" si="51"/>
        <v>4</v>
      </c>
      <c r="H962" t="s">
        <v>359</v>
      </c>
      <c r="I962" t="s">
        <v>384</v>
      </c>
    </row>
    <row r="963" spans="1:12" x14ac:dyDescent="0.25">
      <c r="A963" s="1">
        <f t="shared" si="52"/>
        <v>45504</v>
      </c>
      <c r="B963" s="31">
        <f>TIME(13,4,0)</f>
        <v>0.5444444444444444</v>
      </c>
      <c r="C963" t="str">
        <f>Inventory!A176</f>
        <v>hoho</v>
      </c>
      <c r="D963" s="27">
        <v>2</v>
      </c>
      <c r="E963" s="5">
        <f>Table4[[#This Row],[qty]]*(VLOOKUP(Table4[[#This Row],[item_sold]],Table6[],4,FALSE))</f>
        <v>20</v>
      </c>
      <c r="F963" s="5">
        <f>(VLOOKUP(Table4[[#This Row],[item_sold]],Table6[],3,FALSE))*Table4[[#This Row],[qty]]</f>
        <v>13.333333333333334</v>
      </c>
      <c r="G963" s="5">
        <f t="shared" si="51"/>
        <v>6.6666666666666661</v>
      </c>
      <c r="H963" t="s">
        <v>359</v>
      </c>
      <c r="I963" t="s">
        <v>384</v>
      </c>
    </row>
    <row r="964" spans="1:12" x14ac:dyDescent="0.25">
      <c r="A964" s="1">
        <f t="shared" si="52"/>
        <v>45504</v>
      </c>
      <c r="B964" s="31">
        <f>TIME(14,5,0)</f>
        <v>0.58680555555555558</v>
      </c>
      <c r="C964" t="str">
        <f>Inventory!A14</f>
        <v>soda 500ml glass</v>
      </c>
      <c r="D964" s="27">
        <v>2</v>
      </c>
      <c r="E964" s="5">
        <f>Table4[[#This Row],[qty]]*(VLOOKUP(Table4[[#This Row],[item_sold]],Table6[],4,FALSE))</f>
        <v>110</v>
      </c>
      <c r="F964" s="5">
        <f>(VLOOKUP(Table4[[#This Row],[item_sold]],Table6[],3,FALSE))*Table4[[#This Row],[qty]]</f>
        <v>100</v>
      </c>
      <c r="G964" s="5">
        <f t="shared" si="51"/>
        <v>10</v>
      </c>
      <c r="H964" t="s">
        <v>361</v>
      </c>
    </row>
    <row r="965" spans="1:12" x14ac:dyDescent="0.25">
      <c r="A965" s="1">
        <f t="shared" si="52"/>
        <v>45504</v>
      </c>
      <c r="B965" s="31">
        <f>TIME(14,5,0)</f>
        <v>0.58680555555555558</v>
      </c>
      <c r="C965" t="str">
        <f>Inventory!A54</f>
        <v>Kdf</v>
      </c>
      <c r="D965" s="27">
        <v>4</v>
      </c>
      <c r="E965" s="5">
        <f>Table4[[#This Row],[qty]]*(VLOOKUP(Table4[[#This Row],[item_sold]],Table6[],4,FALSE))</f>
        <v>40</v>
      </c>
      <c r="F965" s="5">
        <f>(VLOOKUP(Table4[[#This Row],[item_sold]],Table6[],3,FALSE))*Table4[[#This Row],[qty]]</f>
        <v>33.333333333333336</v>
      </c>
      <c r="G965" s="5">
        <f t="shared" si="51"/>
        <v>6.6666666666666643</v>
      </c>
      <c r="H965" t="s">
        <v>361</v>
      </c>
    </row>
    <row r="966" spans="1:12" x14ac:dyDescent="0.25">
      <c r="A966" s="1">
        <f t="shared" si="52"/>
        <v>45504</v>
      </c>
      <c r="B966" s="31">
        <f>TIME(14,5,0)</f>
        <v>0.58680555555555558</v>
      </c>
      <c r="C966" t="str">
        <f>Inventory!A46</f>
        <v>Nuvita Bisquit</v>
      </c>
      <c r="D966" s="27">
        <v>8</v>
      </c>
      <c r="E966" s="5">
        <f>Table4[[#This Row],[qty]]*(VLOOKUP(Table4[[#This Row],[item_sold]],Table6[],4,FALSE))</f>
        <v>40</v>
      </c>
      <c r="F966" s="5">
        <f>(VLOOKUP(Table4[[#This Row],[item_sold]],Table6[],3,FALSE))*Table4[[#This Row],[qty]]</f>
        <v>33.333333333333336</v>
      </c>
      <c r="G966" s="5">
        <f t="shared" si="51"/>
        <v>6.6666666666666643</v>
      </c>
      <c r="H966" t="s">
        <v>361</v>
      </c>
    </row>
    <row r="967" spans="1:12" x14ac:dyDescent="0.25">
      <c r="A967" s="1">
        <f t="shared" si="52"/>
        <v>45504</v>
      </c>
      <c r="B967" s="31">
        <f>TIME(14,5,0)</f>
        <v>0.58680555555555558</v>
      </c>
      <c r="C967" t="str">
        <f>Inventory!A30</f>
        <v>BB Bread 400g</v>
      </c>
      <c r="D967" s="27">
        <v>1</v>
      </c>
      <c r="E967" s="5">
        <f>Table4[[#This Row],[qty]]*(VLOOKUP(Table4[[#This Row],[item_sold]],Table6[],4,FALSE))</f>
        <v>65</v>
      </c>
      <c r="F967" s="5">
        <f>(VLOOKUP(Table4[[#This Row],[item_sold]],Table6[],3,FALSE))*Table4[[#This Row],[qty]]</f>
        <v>60</v>
      </c>
      <c r="G967" s="5">
        <f t="shared" si="51"/>
        <v>5</v>
      </c>
      <c r="H967" t="s">
        <v>361</v>
      </c>
    </row>
    <row r="968" spans="1:12" x14ac:dyDescent="0.25">
      <c r="A968" s="1">
        <f t="shared" si="52"/>
        <v>45504</v>
      </c>
      <c r="B968" s="31">
        <f>TIME(14,40,0)</f>
        <v>0.61111111111111105</v>
      </c>
      <c r="C968" t="str">
        <f>Inventory!A81</f>
        <v>eggs</v>
      </c>
      <c r="D968" s="27">
        <v>2</v>
      </c>
      <c r="E968" s="5">
        <f>Table4[[#This Row],[qty]]*(VLOOKUP(Table4[[#This Row],[item_sold]],Table6[],4,FALSE))</f>
        <v>40</v>
      </c>
      <c r="F968" s="5">
        <f>(VLOOKUP(Table4[[#This Row],[item_sold]],Table6[],3,FALSE))*Table4[[#This Row],[qty]]</f>
        <v>28.666666666666668</v>
      </c>
      <c r="G968" s="5">
        <f t="shared" si="51"/>
        <v>11.333333333333332</v>
      </c>
      <c r="H968" t="s">
        <v>361</v>
      </c>
    </row>
    <row r="969" spans="1:12" x14ac:dyDescent="0.25">
      <c r="A969" s="1">
        <f t="shared" si="52"/>
        <v>45504</v>
      </c>
      <c r="B969" s="31">
        <f>TIME(14,40,0)</f>
        <v>0.61111111111111105</v>
      </c>
      <c r="C969" t="str">
        <f>Inventory!A132</f>
        <v>Festive Bread 400g</v>
      </c>
      <c r="D969" s="27">
        <v>1</v>
      </c>
      <c r="E969" s="5">
        <f>Table4[[#This Row],[qty]]*(VLOOKUP(Table4[[#This Row],[item_sold]],Table6[],4,FALSE))</f>
        <v>65</v>
      </c>
      <c r="F969" s="5">
        <f>(VLOOKUP(Table4[[#This Row],[item_sold]],Table6[],3,FALSE))*Table4[[#This Row],[qty]]</f>
        <v>60</v>
      </c>
      <c r="G969" s="5">
        <f t="shared" si="51"/>
        <v>5</v>
      </c>
      <c r="H969" t="s">
        <v>361</v>
      </c>
    </row>
    <row r="970" spans="1:12" x14ac:dyDescent="0.25">
      <c r="A970" s="1">
        <f t="shared" si="52"/>
        <v>45504</v>
      </c>
      <c r="B970" s="31">
        <f>TIME(14,51,0)</f>
        <v>0.61875000000000002</v>
      </c>
      <c r="C970" t="str">
        <f>Inventory!A63</f>
        <v>Gomba</v>
      </c>
      <c r="D970" s="27">
        <v>2</v>
      </c>
      <c r="E970" s="5">
        <f>Table4[[#This Row],[qty]]*(VLOOKUP(Table4[[#This Row],[item_sold]],Table6[],4,FALSE))</f>
        <v>5</v>
      </c>
      <c r="F970" s="5">
        <f>(VLOOKUP(Table4[[#This Row],[item_sold]],Table6[],3,FALSE))*Table4[[#This Row],[qty]]</f>
        <v>3.6</v>
      </c>
      <c r="G970" s="5">
        <f t="shared" si="51"/>
        <v>1.4</v>
      </c>
      <c r="H970" t="s">
        <v>247</v>
      </c>
    </row>
    <row r="971" spans="1:12" x14ac:dyDescent="0.25">
      <c r="A971" s="1">
        <f t="shared" si="52"/>
        <v>45504</v>
      </c>
      <c r="B971" s="31">
        <f>TIME(15,40,0)</f>
        <v>0.65277777777777779</v>
      </c>
      <c r="C971" t="str">
        <f>Inventory!A114</f>
        <v>Maramoja</v>
      </c>
      <c r="D971" s="27">
        <v>2</v>
      </c>
      <c r="E971" s="5">
        <f>Table4[[#This Row],[qty]]*(VLOOKUP(Table4[[#This Row],[item_sold]],Table6[],4,FALSE))</f>
        <v>20</v>
      </c>
      <c r="F971" s="5">
        <f>(VLOOKUP(Table4[[#This Row],[item_sold]],Table6[],3,FALSE))*Table4[[#This Row],[qty]]</f>
        <v>14</v>
      </c>
      <c r="G971" s="5">
        <f t="shared" si="51"/>
        <v>6</v>
      </c>
      <c r="H971" t="s">
        <v>361</v>
      </c>
    </row>
    <row r="972" spans="1:12" x14ac:dyDescent="0.25">
      <c r="A972" s="1">
        <f t="shared" si="52"/>
        <v>45504</v>
      </c>
      <c r="B972" s="31">
        <f>TIME(16,24,0)</f>
        <v>0.68333333333333324</v>
      </c>
      <c r="C972" t="str">
        <f>Inventory!A50</f>
        <v>Ring Cake</v>
      </c>
      <c r="D972" s="27">
        <v>1</v>
      </c>
      <c r="E972" s="5">
        <f>Table4[[#This Row],[qty]]*(VLOOKUP(Table4[[#This Row],[item_sold]],Table6[],4,FALSE))</f>
        <v>50</v>
      </c>
      <c r="F972" s="5">
        <f>(VLOOKUP(Table4[[#This Row],[item_sold]],Table6[],3,FALSE))*Table4[[#This Row],[qty]]</f>
        <v>45</v>
      </c>
      <c r="G972" s="5">
        <f t="shared" si="51"/>
        <v>5</v>
      </c>
      <c r="H972" t="s">
        <v>247</v>
      </c>
    </row>
    <row r="973" spans="1:12" x14ac:dyDescent="0.25">
      <c r="A973" s="1">
        <f t="shared" si="52"/>
        <v>45504</v>
      </c>
      <c r="B973" s="31">
        <f>TIME(16,25,0)</f>
        <v>0.68402777777777779</v>
      </c>
      <c r="C973" t="str">
        <f>Inventory!A132</f>
        <v>Festive Bread 400g</v>
      </c>
      <c r="D973" s="27">
        <v>1</v>
      </c>
      <c r="E973" s="5">
        <f>Table4[[#This Row],[qty]]*(VLOOKUP(Table4[[#This Row],[item_sold]],Table6[],4,FALSE))</f>
        <v>65</v>
      </c>
      <c r="F973" s="5">
        <f>(VLOOKUP(Table4[[#This Row],[item_sold]],Table6[],3,FALSE))*Table4[[#This Row],[qty]]</f>
        <v>60</v>
      </c>
      <c r="G973" s="5">
        <f t="shared" si="51"/>
        <v>5</v>
      </c>
      <c r="H973" t="s">
        <v>359</v>
      </c>
      <c r="I973" t="s">
        <v>390</v>
      </c>
      <c r="J973" t="s">
        <v>390</v>
      </c>
      <c r="K973">
        <v>60</v>
      </c>
      <c r="L973" t="s">
        <v>361</v>
      </c>
    </row>
    <row r="974" spans="1:12" x14ac:dyDescent="0.25">
      <c r="A974" s="1">
        <f t="shared" si="52"/>
        <v>45504</v>
      </c>
      <c r="B974" s="31">
        <f>TIME(16,29,0)</f>
        <v>0.68680555555555556</v>
      </c>
      <c r="C974" t="str">
        <f>Inventory!A143</f>
        <v>Royco Beef Mchuzi Mix</v>
      </c>
      <c r="D974" s="27">
        <v>1</v>
      </c>
      <c r="E974" s="5">
        <f>Table4[[#This Row],[qty]]*(VLOOKUP(Table4[[#This Row],[item_sold]],Table6[],4,FALSE))</f>
        <v>10</v>
      </c>
      <c r="F974" s="5">
        <f>(VLOOKUP(Table4[[#This Row],[item_sold]],Table6[],3,FALSE))*Table4[[#This Row],[qty]]</f>
        <v>8.3333333333333339</v>
      </c>
      <c r="G974" s="5">
        <f t="shared" si="51"/>
        <v>1.6666666666666661</v>
      </c>
      <c r="H974" t="s">
        <v>361</v>
      </c>
    </row>
    <row r="975" spans="1:12" x14ac:dyDescent="0.25">
      <c r="A975" s="1">
        <f t="shared" si="52"/>
        <v>45504</v>
      </c>
      <c r="B975" s="31">
        <f>TIME(16,29,0)</f>
        <v>0.68680555555555556</v>
      </c>
      <c r="C975" t="str">
        <f>Inventory!A115</f>
        <v>Onion</v>
      </c>
      <c r="D975" s="27">
        <v>3</v>
      </c>
      <c r="E975" s="5">
        <f>Table4[[#This Row],[qty]]*(VLOOKUP(Table4[[#This Row],[item_sold]],Table6[],4,FALSE))+15</f>
        <v>45</v>
      </c>
      <c r="F975" s="5">
        <f>(VLOOKUP(Table4[[#This Row],[item_sold]],Table6[],3,FALSE))*Table4[[#This Row],[qty]]</f>
        <v>24</v>
      </c>
      <c r="G975" s="5">
        <f t="shared" si="51"/>
        <v>21</v>
      </c>
      <c r="H975" t="s">
        <v>359</v>
      </c>
      <c r="I975" t="s">
        <v>411</v>
      </c>
    </row>
    <row r="976" spans="1:12" x14ac:dyDescent="0.25">
      <c r="A976" s="1">
        <f t="shared" si="52"/>
        <v>45504</v>
      </c>
      <c r="B976" s="31">
        <f>TIME(16,50,0)</f>
        <v>0.70138888888888884</v>
      </c>
      <c r="C976" t="str">
        <f>Inventory!A23</f>
        <v>Mt kenya milk 500ml</v>
      </c>
      <c r="D976" s="27">
        <v>2</v>
      </c>
      <c r="E976" s="5">
        <f>Table4[[#This Row],[qty]]*(VLOOKUP(Table4[[#This Row],[item_sold]],Table6[],4,FALSE))</f>
        <v>130</v>
      </c>
      <c r="F976" s="5">
        <f>(VLOOKUP(Table4[[#This Row],[item_sold]],Table6[],3,FALSE))*Table4[[#This Row],[qty]]</f>
        <v>96.666666666666671</v>
      </c>
      <c r="G976" s="5">
        <f t="shared" si="51"/>
        <v>33.333333333333329</v>
      </c>
      <c r="H976" t="s">
        <v>361</v>
      </c>
    </row>
    <row r="977" spans="1:9" x14ac:dyDescent="0.25">
      <c r="A977" s="1">
        <f t="shared" si="52"/>
        <v>45504</v>
      </c>
      <c r="B977" s="31">
        <f>TIME(17,50,0)</f>
        <v>0.74305555555555547</v>
      </c>
      <c r="C977" t="str">
        <f>Inventory!A36</f>
        <v>Tamu  Tamu Green</v>
      </c>
      <c r="D977" s="27">
        <v>2</v>
      </c>
      <c r="E977" s="5">
        <f>Table4[[#This Row],[qty]]*(VLOOKUP(Table4[[#This Row],[item_sold]],Table6[],4,FALSE))</f>
        <v>30</v>
      </c>
      <c r="F977" s="5">
        <f>(VLOOKUP(Table4[[#This Row],[item_sold]],Table6[],3,FALSE))*Table4[[#This Row],[qty]]</f>
        <v>17.2</v>
      </c>
      <c r="G977" s="5">
        <f t="shared" si="51"/>
        <v>12.8</v>
      </c>
      <c r="H977" t="s">
        <v>247</v>
      </c>
    </row>
    <row r="978" spans="1:9" x14ac:dyDescent="0.25">
      <c r="A978" s="1">
        <f t="shared" si="52"/>
        <v>45504</v>
      </c>
      <c r="B978" s="31">
        <f>TIME(17,50,0)</f>
        <v>0.74305555555555547</v>
      </c>
      <c r="C978" t="str">
        <f>Inventory!A46</f>
        <v>Nuvita Bisquit</v>
      </c>
      <c r="D978" s="27">
        <v>4</v>
      </c>
      <c r="E978" s="5">
        <f>Table4[[#This Row],[qty]]*(VLOOKUP(Table4[[#This Row],[item_sold]],Table6[],4,FALSE))</f>
        <v>20</v>
      </c>
      <c r="F978" s="5">
        <f>(VLOOKUP(Table4[[#This Row],[item_sold]],Table6[],3,FALSE))*Table4[[#This Row],[qty]]</f>
        <v>16.666666666666668</v>
      </c>
      <c r="G978" s="5">
        <f t="shared" si="51"/>
        <v>3.3333333333333321</v>
      </c>
      <c r="H978" t="s">
        <v>247</v>
      </c>
    </row>
    <row r="979" spans="1:9" x14ac:dyDescent="0.25">
      <c r="A979" s="1">
        <f t="shared" si="52"/>
        <v>45504</v>
      </c>
      <c r="B979" s="31">
        <f>TIME(17,55,0)</f>
        <v>0.74652777777777779</v>
      </c>
      <c r="C979" t="str">
        <f>Inventory!A168</f>
        <v>Garlic</v>
      </c>
      <c r="D979" s="27">
        <v>2</v>
      </c>
      <c r="E979" s="5">
        <f>Table4[[#This Row],[qty]]*(VLOOKUP(Table4[[#This Row],[item_sold]],Table6[],4,FALSE))</f>
        <v>60</v>
      </c>
      <c r="F979" s="5">
        <f>(VLOOKUP(Table4[[#This Row],[item_sold]],Table6[],3,FALSE))*Table4[[#This Row],[qty]]</f>
        <v>40</v>
      </c>
      <c r="G979" s="5">
        <f t="shared" si="51"/>
        <v>20</v>
      </c>
      <c r="H979" t="s">
        <v>247</v>
      </c>
    </row>
    <row r="980" spans="1:9" x14ac:dyDescent="0.25">
      <c r="A980" s="1">
        <f t="shared" si="52"/>
        <v>45504</v>
      </c>
      <c r="B980" s="31">
        <f>TIME(18,1,0)</f>
        <v>0.75069444444444444</v>
      </c>
      <c r="C980" t="str">
        <f>Inventory!A6</f>
        <v xml:space="preserve"> soda 1.25lts</v>
      </c>
      <c r="D980" s="27">
        <v>1</v>
      </c>
      <c r="E980" s="5">
        <f>Table4[[#This Row],[qty]]*(VLOOKUP(Table4[[#This Row],[item_sold]],Table6[],4,FALSE))</f>
        <v>130</v>
      </c>
      <c r="F980" s="5">
        <f>(VLOOKUP(Table4[[#This Row],[item_sold]],Table6[],3,FALSE))*Table4[[#This Row],[qty]]</f>
        <v>112.5</v>
      </c>
      <c r="G980" s="5">
        <f t="shared" si="51"/>
        <v>17.5</v>
      </c>
      <c r="H980" t="s">
        <v>361</v>
      </c>
    </row>
    <row r="981" spans="1:9" x14ac:dyDescent="0.25">
      <c r="A981" s="1">
        <f t="shared" si="52"/>
        <v>45504</v>
      </c>
      <c r="B981" s="31">
        <f>TIME(18,1,0)</f>
        <v>0.75069444444444444</v>
      </c>
      <c r="C981" t="str">
        <f>Inventory!A116</f>
        <v>Tomatoes</v>
      </c>
      <c r="D981" s="27">
        <v>10</v>
      </c>
      <c r="E981" s="5">
        <f>Table4[[#This Row],[qty]]*(VLOOKUP(Table4[[#This Row],[item_sold]],Table6[],4,FALSE))</f>
        <v>100</v>
      </c>
      <c r="F981" s="5">
        <f>(VLOOKUP(Table4[[#This Row],[item_sold]],Table6[],3,FALSE))*Table4[[#This Row],[qty]]</f>
        <v>50</v>
      </c>
      <c r="G981" s="5">
        <f t="shared" si="51"/>
        <v>50</v>
      </c>
      <c r="H981" t="s">
        <v>361</v>
      </c>
    </row>
    <row r="982" spans="1:9" x14ac:dyDescent="0.25">
      <c r="A982" s="1">
        <f t="shared" si="52"/>
        <v>45504</v>
      </c>
      <c r="B982" s="31">
        <f>TIME(18,1,0)</f>
        <v>0.75069444444444444</v>
      </c>
      <c r="C982" t="str">
        <f>Inventory!A129</f>
        <v>Carrier bag small</v>
      </c>
      <c r="D982" s="27">
        <v>1</v>
      </c>
      <c r="E982" s="5">
        <f>Table4[[#This Row],[qty]]*(VLOOKUP(Table4[[#This Row],[item_sold]],Table6[],4,FALSE))</f>
        <v>10</v>
      </c>
      <c r="F982" s="5">
        <f>(VLOOKUP(Table4[[#This Row],[item_sold]],Table6[],3,FALSE))*Table4[[#This Row],[qty]]</f>
        <v>3</v>
      </c>
      <c r="G982" s="5">
        <f t="shared" si="51"/>
        <v>7</v>
      </c>
      <c r="H982" t="s">
        <v>361</v>
      </c>
    </row>
    <row r="983" spans="1:9" x14ac:dyDescent="0.25">
      <c r="A983" s="1">
        <f t="shared" si="52"/>
        <v>45504</v>
      </c>
      <c r="B983" s="31">
        <f>TIME(18,7,0)</f>
        <v>0.75486111111111109</v>
      </c>
      <c r="C983" t="str">
        <f>Inventory!A32</f>
        <v>Festive 600g</v>
      </c>
      <c r="D983" s="27">
        <v>1</v>
      </c>
      <c r="E983" s="5">
        <f>Table4[[#This Row],[qty]]*(VLOOKUP(Table4[[#This Row],[item_sold]],Table6[],4,FALSE))</f>
        <v>100</v>
      </c>
      <c r="F983" s="5">
        <f>(VLOOKUP(Table4[[#This Row],[item_sold]],Table6[],3,FALSE))*Table4[[#This Row],[qty]]</f>
        <v>90</v>
      </c>
      <c r="G983" s="5">
        <f t="shared" si="51"/>
        <v>10</v>
      </c>
      <c r="H983" t="s">
        <v>361</v>
      </c>
    </row>
    <row r="984" spans="1:9" x14ac:dyDescent="0.25">
      <c r="A984" s="1">
        <f t="shared" si="52"/>
        <v>45504</v>
      </c>
      <c r="B984" s="31">
        <f>TIME(18,40,0)</f>
        <v>0.77777777777777779</v>
      </c>
      <c r="C984" t="str">
        <f>Inventory!A132</f>
        <v>Festive Bread 400g</v>
      </c>
      <c r="D984" s="27">
        <v>2</v>
      </c>
      <c r="E984" s="5">
        <f>Table4[[#This Row],[qty]]*(VLOOKUP(Table4[[#This Row],[item_sold]],Table6[],4,FALSE))</f>
        <v>130</v>
      </c>
      <c r="F984" s="5">
        <f>(VLOOKUP(Table4[[#This Row],[item_sold]],Table6[],3,FALSE))*Table4[[#This Row],[qty]]</f>
        <v>120</v>
      </c>
      <c r="G984" s="5">
        <f t="shared" si="51"/>
        <v>10</v>
      </c>
      <c r="H984" t="s">
        <v>361</v>
      </c>
    </row>
    <row r="985" spans="1:9" x14ac:dyDescent="0.25">
      <c r="A985" s="1">
        <f t="shared" si="52"/>
        <v>45504</v>
      </c>
      <c r="B985" s="31">
        <f>TIME(18,50,0)</f>
        <v>0.78472222222222221</v>
      </c>
      <c r="C985" t="str">
        <f>Inventory!A81</f>
        <v>eggs</v>
      </c>
      <c r="D985" s="27">
        <v>3</v>
      </c>
      <c r="E985" s="5">
        <f>Table4[[#This Row],[qty]]*(VLOOKUP(Table4[[#This Row],[item_sold]],Table6[],4,FALSE))</f>
        <v>60</v>
      </c>
      <c r="F985" s="5">
        <f>(VLOOKUP(Table4[[#This Row],[item_sold]],Table6[],3,FALSE))*Table4[[#This Row],[qty]]</f>
        <v>43</v>
      </c>
      <c r="G985" s="5">
        <f t="shared" si="51"/>
        <v>17</v>
      </c>
      <c r="H985" t="s">
        <v>247</v>
      </c>
    </row>
    <row r="986" spans="1:9" x14ac:dyDescent="0.25">
      <c r="A986" s="1">
        <f t="shared" si="52"/>
        <v>45504</v>
      </c>
      <c r="B986" s="31">
        <f>TIME(18,50,0)</f>
        <v>0.78472222222222221</v>
      </c>
      <c r="C986" t="str">
        <f>Inventory!A81</f>
        <v>eggs</v>
      </c>
      <c r="D986" s="27">
        <v>1</v>
      </c>
      <c r="E986" s="5">
        <f>Table4[[#This Row],[qty]]*(VLOOKUP(Table4[[#This Row],[item_sold]],Table6[],4,FALSE))</f>
        <v>20</v>
      </c>
      <c r="F986" s="5">
        <f>(VLOOKUP(Table4[[#This Row],[item_sold]],Table6[],3,FALSE))*Table4[[#This Row],[qty]]</f>
        <v>14.333333333333334</v>
      </c>
      <c r="G986" s="5">
        <f t="shared" si="51"/>
        <v>5.6666666666666661</v>
      </c>
      <c r="H986" t="s">
        <v>359</v>
      </c>
      <c r="I986" t="s">
        <v>401</v>
      </c>
    </row>
    <row r="987" spans="1:9" x14ac:dyDescent="0.25">
      <c r="A987" s="1">
        <f t="shared" si="52"/>
        <v>45504</v>
      </c>
      <c r="B987" s="31">
        <f>TIME(18,50,0)</f>
        <v>0.78472222222222221</v>
      </c>
      <c r="C987" t="str">
        <f>Inventory!A115</f>
        <v>Onion</v>
      </c>
      <c r="D987" s="27">
        <v>1</v>
      </c>
      <c r="E987" s="5">
        <f>Table4[[#This Row],[qty]]*(VLOOKUP(Table4[[#This Row],[item_sold]],Table6[],4,FALSE))</f>
        <v>10</v>
      </c>
      <c r="F987" s="5">
        <f>(VLOOKUP(Table4[[#This Row],[item_sold]],Table6[],3,FALSE))*Table4[[#This Row],[qty]]</f>
        <v>8</v>
      </c>
      <c r="G987" s="5">
        <f t="shared" si="51"/>
        <v>2</v>
      </c>
      <c r="H987" t="s">
        <v>359</v>
      </c>
      <c r="I987" t="s">
        <v>401</v>
      </c>
    </row>
    <row r="988" spans="1:9" x14ac:dyDescent="0.25">
      <c r="A988" s="1">
        <f t="shared" si="52"/>
        <v>45504</v>
      </c>
      <c r="B988" s="31">
        <f>TIME(18,50,0)</f>
        <v>0.78472222222222221</v>
      </c>
      <c r="C988" t="str">
        <f>Inventory!A116</f>
        <v>Tomatoes</v>
      </c>
      <c r="D988" s="27">
        <v>1</v>
      </c>
      <c r="E988" s="5">
        <f>Table4[[#This Row],[qty]]*(VLOOKUP(Table4[[#This Row],[item_sold]],Table6[],4,FALSE))</f>
        <v>10</v>
      </c>
      <c r="F988" s="5">
        <f>(VLOOKUP(Table4[[#This Row],[item_sold]],Table6[],3,FALSE))*Table4[[#This Row],[qty]]</f>
        <v>5</v>
      </c>
      <c r="G988" s="5">
        <f t="shared" si="51"/>
        <v>5</v>
      </c>
      <c r="H988" t="s">
        <v>359</v>
      </c>
      <c r="I988" t="s">
        <v>401</v>
      </c>
    </row>
    <row r="989" spans="1:9" x14ac:dyDescent="0.25">
      <c r="A989" s="1">
        <f t="shared" si="52"/>
        <v>45504</v>
      </c>
      <c r="B989" s="31">
        <f>TIME(18,50,0)</f>
        <v>0.78472222222222221</v>
      </c>
      <c r="C989" t="str">
        <f>Inventory!A169</f>
        <v>210 Maize Meal 2kg</v>
      </c>
      <c r="D989" s="27">
        <v>2</v>
      </c>
      <c r="E989" s="5">
        <f>Table4[[#This Row],[qty]]*(VLOOKUP(Table4[[#This Row],[item_sold]],Table6[],4,FALSE))</f>
        <v>320</v>
      </c>
      <c r="F989" s="5">
        <f>(VLOOKUP(Table4[[#This Row],[item_sold]],Table6[],3,FALSE))*Table4[[#This Row],[qty]]</f>
        <v>234.16666666666666</v>
      </c>
      <c r="G989" s="5">
        <f t="shared" si="51"/>
        <v>85.833333333333343</v>
      </c>
      <c r="H989" t="s">
        <v>359</v>
      </c>
      <c r="I989" t="s">
        <v>401</v>
      </c>
    </row>
    <row r="990" spans="1:9" x14ac:dyDescent="0.25">
      <c r="A990" s="1">
        <f t="shared" si="52"/>
        <v>45504</v>
      </c>
      <c r="B990" s="31">
        <f>TIME(18,52,0)</f>
        <v>0.78611111111111109</v>
      </c>
      <c r="C990" t="str">
        <f>Inventory!A61</f>
        <v>Bigdaddy</v>
      </c>
      <c r="D990" s="27">
        <v>1</v>
      </c>
      <c r="E990" s="5">
        <f>Table4[[#This Row],[qty]]*(VLOOKUP(Table4[[#This Row],[item_sold]],Table6[],4,FALSE))</f>
        <v>10</v>
      </c>
      <c r="F990" s="5">
        <f>(VLOOKUP(Table4[[#This Row],[item_sold]],Table6[],3,FALSE))*Table4[[#This Row],[qty]]</f>
        <v>6</v>
      </c>
      <c r="G990" s="5">
        <f t="shared" si="51"/>
        <v>4</v>
      </c>
      <c r="H990" t="s">
        <v>247</v>
      </c>
    </row>
    <row r="991" spans="1:9" x14ac:dyDescent="0.25">
      <c r="A991" s="1">
        <f t="shared" si="52"/>
        <v>45504</v>
      </c>
      <c r="B991" s="31">
        <f>TIME(18,52,0)</f>
        <v>0.78611111111111109</v>
      </c>
      <c r="C991" t="str">
        <f>Inventory!A61</f>
        <v>Bigdaddy</v>
      </c>
      <c r="D991" s="27">
        <v>2</v>
      </c>
      <c r="E991" s="5">
        <f>Table4[[#This Row],[qty]]*(VLOOKUP(Table4[[#This Row],[item_sold]],Table6[],4,FALSE))</f>
        <v>20</v>
      </c>
      <c r="F991" s="5">
        <f>(VLOOKUP(Table4[[#This Row],[item_sold]],Table6[],3,FALSE))*Table4[[#This Row],[qty]]</f>
        <v>12</v>
      </c>
      <c r="G991" s="5">
        <f t="shared" si="51"/>
        <v>8</v>
      </c>
      <c r="H991" t="s">
        <v>247</v>
      </c>
    </row>
    <row r="992" spans="1:9" x14ac:dyDescent="0.25">
      <c r="A992" s="1">
        <f t="shared" si="52"/>
        <v>45504</v>
      </c>
      <c r="B992" s="31">
        <f>TIME(19,14,0)</f>
        <v>0.80138888888888893</v>
      </c>
      <c r="C992" t="str">
        <f>Inventory!A169</f>
        <v>210 Maize Meal 2kg</v>
      </c>
      <c r="D992" s="27">
        <v>1</v>
      </c>
      <c r="E992" s="5">
        <f>Table4[[#This Row],[qty]]*(VLOOKUP(Table4[[#This Row],[item_sold]],Table6[],4,FALSE))</f>
        <v>160</v>
      </c>
      <c r="F992" s="5">
        <f>(VLOOKUP(Table4[[#This Row],[item_sold]],Table6[],3,FALSE))*Table4[[#This Row],[qty]]</f>
        <v>117.08333333333333</v>
      </c>
      <c r="G992" s="5">
        <f t="shared" si="51"/>
        <v>42.916666666666671</v>
      </c>
      <c r="H992" t="s">
        <v>361</v>
      </c>
    </row>
    <row r="993" spans="1:9" x14ac:dyDescent="0.25">
      <c r="A993" s="1">
        <f t="shared" si="52"/>
        <v>45504</v>
      </c>
      <c r="B993" s="31">
        <f>TIME(19,14,0)</f>
        <v>0.80138888888888893</v>
      </c>
      <c r="C993" t="str">
        <f>Inventory!A81</f>
        <v>eggs</v>
      </c>
      <c r="D993" s="27">
        <v>3</v>
      </c>
      <c r="E993" s="5">
        <f>Table4[[#This Row],[qty]]*(VLOOKUP(Table4[[#This Row],[item_sold]],Table6[],4,FALSE))</f>
        <v>60</v>
      </c>
      <c r="F993" s="5">
        <f>(VLOOKUP(Table4[[#This Row],[item_sold]],Table6[],3,FALSE))*Table4[[#This Row],[qty]]</f>
        <v>43</v>
      </c>
      <c r="G993" s="5">
        <f t="shared" si="51"/>
        <v>17</v>
      </c>
      <c r="H993" t="s">
        <v>361</v>
      </c>
    </row>
    <row r="994" spans="1:9" x14ac:dyDescent="0.25">
      <c r="A994" s="1">
        <f t="shared" si="52"/>
        <v>45504</v>
      </c>
      <c r="B994" s="31">
        <f>TIME(19,14,0)</f>
        <v>0.80138888888888893</v>
      </c>
      <c r="C994" t="str">
        <f>Inventory!A123</f>
        <v>Mt Kenya milk 200ml</v>
      </c>
      <c r="D994" s="27">
        <v>1</v>
      </c>
      <c r="E994" s="5">
        <f>Table4[[#This Row],[qty]]*(VLOOKUP(Table4[[#This Row],[item_sold]],Table6[],4,FALSE))</f>
        <v>35</v>
      </c>
      <c r="F994" s="5">
        <f>(VLOOKUP(Table4[[#This Row],[item_sold]],Table6[],3,FALSE))*Table4[[#This Row],[qty]]</f>
        <v>24.285714285714285</v>
      </c>
      <c r="G994" s="5">
        <f t="shared" si="51"/>
        <v>10.714285714285715</v>
      </c>
      <c r="H994" t="s">
        <v>361</v>
      </c>
    </row>
    <row r="995" spans="1:9" x14ac:dyDescent="0.25">
      <c r="A995" s="1">
        <f t="shared" si="52"/>
        <v>45504</v>
      </c>
      <c r="B995" s="31">
        <f>TIME(19,28,0)</f>
        <v>0.81111111111111101</v>
      </c>
      <c r="C995" t="str">
        <f>Inventory!A117</f>
        <v>Cooking Oil Measured</v>
      </c>
      <c r="D995" s="27">
        <v>2</v>
      </c>
      <c r="E995" s="5">
        <f>Table4[[#This Row],[qty]]*(VLOOKUP(Table4[[#This Row],[item_sold]],Table6[],4,FALSE))</f>
        <v>560</v>
      </c>
      <c r="F995" s="5">
        <f>(VLOOKUP(Table4[[#This Row],[item_sold]],Table6[],3,FALSE))*Table4[[#This Row],[qty]]</f>
        <v>400</v>
      </c>
      <c r="G995" s="5">
        <f t="shared" si="51"/>
        <v>160</v>
      </c>
      <c r="H995" t="s">
        <v>361</v>
      </c>
    </row>
    <row r="996" spans="1:9" x14ac:dyDescent="0.25">
      <c r="A996" s="1">
        <f t="shared" si="52"/>
        <v>45504</v>
      </c>
      <c r="B996" s="31">
        <f>TIME(19,28,0)</f>
        <v>0.81111111111111101</v>
      </c>
      <c r="C996" t="str">
        <f>Inventory!A149</f>
        <v>Menengai Bar 1kg</v>
      </c>
      <c r="D996" s="27">
        <v>0.2</v>
      </c>
      <c r="E996" s="5">
        <f>Table4[[#This Row],[qty]]*(VLOOKUP(Table4[[#This Row],[item_sold]],Table6[],4,FALSE))</f>
        <v>50</v>
      </c>
      <c r="F996" s="5">
        <f>(VLOOKUP(Table4[[#This Row],[item_sold]],Table6[],3,FALSE))*Table4[[#This Row],[qty]]</f>
        <v>38</v>
      </c>
      <c r="G996" s="5">
        <f t="shared" si="51"/>
        <v>12</v>
      </c>
      <c r="H996" t="s">
        <v>359</v>
      </c>
      <c r="I996" t="s">
        <v>401</v>
      </c>
    </row>
    <row r="997" spans="1:9" x14ac:dyDescent="0.25">
      <c r="A997" s="1">
        <f t="shared" si="52"/>
        <v>45504</v>
      </c>
      <c r="B997" s="31">
        <f>TIME(20,10,0)</f>
        <v>0.84027777777777779</v>
      </c>
      <c r="C997" t="str">
        <f>Inventory!A117</f>
        <v>Cooking Oil Measured</v>
      </c>
      <c r="D997" s="27">
        <v>0.25</v>
      </c>
      <c r="E997" s="5">
        <f>Table4[[#This Row],[qty]]*(VLOOKUP(Table4[[#This Row],[item_sold]],Table6[],4,FALSE))</f>
        <v>70</v>
      </c>
      <c r="F997" s="5">
        <f>(VLOOKUP(Table4[[#This Row],[item_sold]],Table6[],3,FALSE))*Table4[[#This Row],[qty]]</f>
        <v>50</v>
      </c>
      <c r="G997" s="5">
        <f t="shared" si="51"/>
        <v>20</v>
      </c>
      <c r="H997" t="s">
        <v>361</v>
      </c>
    </row>
    <row r="998" spans="1:9" x14ac:dyDescent="0.25">
      <c r="A998" s="1">
        <f t="shared" si="52"/>
        <v>45504</v>
      </c>
      <c r="B998" s="31">
        <f>TIME(20,10,0)</f>
        <v>0.84027777777777779</v>
      </c>
      <c r="C998" t="str">
        <f>Inventory!A31</f>
        <v>BB Bread 200g</v>
      </c>
      <c r="D998" s="27">
        <v>1</v>
      </c>
      <c r="E998" s="5">
        <f>Table4[[#This Row],[qty]]*(VLOOKUP(Table4[[#This Row],[item_sold]],Table6[],4,FALSE))</f>
        <v>40</v>
      </c>
      <c r="F998" s="5">
        <f>(VLOOKUP(Table4[[#This Row],[item_sold]],Table6[],3,FALSE))*Table4[[#This Row],[qty]]</f>
        <v>35</v>
      </c>
      <c r="G998" s="5">
        <f t="shared" si="51"/>
        <v>5</v>
      </c>
      <c r="H998" t="s">
        <v>361</v>
      </c>
    </row>
    <row r="999" spans="1:9" x14ac:dyDescent="0.25">
      <c r="A999" s="1">
        <f t="shared" si="52"/>
        <v>45504</v>
      </c>
      <c r="B999" s="31">
        <f>TIME(20,10,0)</f>
        <v>0.84027777777777779</v>
      </c>
      <c r="C999" t="str">
        <f>Inventory!A154</f>
        <v>waru</v>
      </c>
      <c r="D999" s="27">
        <v>1</v>
      </c>
      <c r="E999" s="5">
        <f>Table4[[#This Row],[qty]]*(VLOOKUP(Table4[[#This Row],[item_sold]],Table6[],4,FALSE))</f>
        <v>50</v>
      </c>
      <c r="F999" s="5">
        <f>(VLOOKUP(Table4[[#This Row],[item_sold]],Table6[],3,FALSE))*Table4[[#This Row],[qty]]</f>
        <v>29.999999999999996</v>
      </c>
      <c r="G999" s="5">
        <f t="shared" si="51"/>
        <v>20.000000000000004</v>
      </c>
      <c r="H999" t="s">
        <v>361</v>
      </c>
    </row>
    <row r="1000" spans="1:9" x14ac:dyDescent="0.25">
      <c r="A1000" s="1">
        <f t="shared" si="52"/>
        <v>45504</v>
      </c>
      <c r="B1000" s="31">
        <f>TIME(20,10,0)</f>
        <v>0.84027777777777779</v>
      </c>
      <c r="C1000" t="str">
        <f>Inventory!A22</f>
        <v>Brookside Lala Sweetened</v>
      </c>
      <c r="D1000" s="27">
        <v>1</v>
      </c>
      <c r="E1000" s="5">
        <f>Table4[[#This Row],[qty]]*(VLOOKUP(Table4[[#This Row],[item_sold]],Table6[],4,FALSE))</f>
        <v>110</v>
      </c>
      <c r="F1000" s="5">
        <f>(VLOOKUP(Table4[[#This Row],[item_sold]],Table6[],3,FALSE))*Table4[[#This Row],[qty]]</f>
        <v>93</v>
      </c>
      <c r="G1000" s="5">
        <f t="shared" si="51"/>
        <v>17</v>
      </c>
      <c r="H1000" t="s">
        <v>359</v>
      </c>
      <c r="I1000" t="s">
        <v>398</v>
      </c>
    </row>
    <row r="1001" spans="1:9" x14ac:dyDescent="0.25">
      <c r="A1001" s="1">
        <f t="shared" si="52"/>
        <v>45504</v>
      </c>
      <c r="B1001" s="31">
        <f>TIME(20,10,0)</f>
        <v>0.84027777777777779</v>
      </c>
      <c r="C1001" t="str">
        <f>Inventory!A71</f>
        <v>Indomie chicken</v>
      </c>
      <c r="D1001" s="27">
        <v>3</v>
      </c>
      <c r="E1001" s="5">
        <f>Table4[[#This Row],[qty]]*(VLOOKUP(Table4[[#This Row],[item_sold]],Table6[],4,FALSE))</f>
        <v>150</v>
      </c>
      <c r="F1001" s="5">
        <f>(VLOOKUP(Table4[[#This Row],[item_sold]],Table6[],3,FALSE))*Table4[[#This Row],[qty]]</f>
        <v>112.5</v>
      </c>
      <c r="G1001" s="5">
        <f t="shared" si="51"/>
        <v>37.5</v>
      </c>
      <c r="H1001" t="s">
        <v>359</v>
      </c>
      <c r="I1001" t="s">
        <v>406</v>
      </c>
    </row>
    <row r="1002" spans="1:9" x14ac:dyDescent="0.25">
      <c r="A1002" s="1">
        <f>DATE(2024,8,1)</f>
        <v>45505</v>
      </c>
      <c r="B1002" s="31">
        <f>TIME(7,56,0)</f>
        <v>0.33055555555555555</v>
      </c>
      <c r="C1002" t="str">
        <f>Inventory!A33</f>
        <v>Festive 800g</v>
      </c>
      <c r="D1002" s="27">
        <v>1</v>
      </c>
      <c r="E1002" s="5">
        <f>Table4[[#This Row],[qty]]*(VLOOKUP(Table4[[#This Row],[item_sold]],Table6[],4,FALSE))</f>
        <v>130</v>
      </c>
      <c r="F1002" s="5">
        <f>(VLOOKUP(Table4[[#This Row],[item_sold]],Table6[],3,FALSE))*Table4[[#This Row],[qty]]</f>
        <v>120</v>
      </c>
      <c r="G1002" s="5">
        <f>E1002-F1002</f>
        <v>10</v>
      </c>
      <c r="H1002" t="s">
        <v>359</v>
      </c>
      <c r="I1002" t="s">
        <v>390</v>
      </c>
    </row>
    <row r="1003" spans="1:9" x14ac:dyDescent="0.25">
      <c r="A1003" s="1">
        <f>DATE(2024,8,1)</f>
        <v>45505</v>
      </c>
      <c r="B1003" s="31">
        <f>TIME(8,12,0)</f>
        <v>0.34166666666666662</v>
      </c>
      <c r="C1003" t="str">
        <f>Inventory!A87</f>
        <v>Ajab 2kg</v>
      </c>
      <c r="D1003" s="27">
        <v>2</v>
      </c>
      <c r="E1003" s="5">
        <f>Table4[[#This Row],[qty]]*(VLOOKUP(Table4[[#This Row],[item_sold]],Table6[],4,FALSE))</f>
        <v>440</v>
      </c>
      <c r="F1003" s="5">
        <f>(VLOOKUP(Table4[[#This Row],[item_sold]],Table6[],3,FALSE))*Table4[[#This Row],[qty]]</f>
        <v>350</v>
      </c>
      <c r="G1003" s="5">
        <f>E1003-F1003</f>
        <v>90</v>
      </c>
      <c r="H1003" t="s">
        <v>359</v>
      </c>
      <c r="I1003" t="s">
        <v>387</v>
      </c>
    </row>
    <row r="1004" spans="1:9" x14ac:dyDescent="0.25">
      <c r="A1004" s="1">
        <f t="shared" ref="A1004:A1075" si="53">DATE(2024,8,1)</f>
        <v>45505</v>
      </c>
      <c r="B1004" s="31">
        <f>TIME(8,12,0)</f>
        <v>0.34166666666666662</v>
      </c>
      <c r="C1004" t="str">
        <f>Inventory!A73</f>
        <v>kabras sugar 1kg</v>
      </c>
      <c r="D1004" s="27">
        <v>1</v>
      </c>
      <c r="E1004" s="5">
        <f>Table4[[#This Row],[qty]]*(VLOOKUP(Table4[[#This Row],[item_sold]],Table6[],4,FALSE))</f>
        <v>180</v>
      </c>
      <c r="F1004" s="5">
        <f>(VLOOKUP(Table4[[#This Row],[item_sold]],Table6[],3,FALSE))*Table4[[#This Row],[qty]]</f>
        <v>140</v>
      </c>
      <c r="G1004" s="5">
        <f t="shared" ref="G1004:G1063" si="54">E1004-F1004</f>
        <v>40</v>
      </c>
      <c r="H1004" t="s">
        <v>359</v>
      </c>
      <c r="I1004" t="s">
        <v>387</v>
      </c>
    </row>
    <row r="1005" spans="1:9" x14ac:dyDescent="0.25">
      <c r="A1005" s="1">
        <f t="shared" si="53"/>
        <v>45505</v>
      </c>
      <c r="B1005" s="31">
        <f>TIME(8,12,0)</f>
        <v>0.34166666666666662</v>
      </c>
      <c r="C1005" t="str">
        <f>Inventory!A101</f>
        <v>Colgate Herbal 70g</v>
      </c>
      <c r="D1005" s="27">
        <v>1</v>
      </c>
      <c r="E1005" s="5">
        <f>Table4[[#This Row],[qty]]*(VLOOKUP(Table4[[#This Row],[item_sold]],Table6[],4,FALSE))</f>
        <v>160</v>
      </c>
      <c r="F1005" s="5">
        <f>(VLOOKUP(Table4[[#This Row],[item_sold]],Table6[],3,FALSE))*Table4[[#This Row],[qty]]</f>
        <v>133.33333333333334</v>
      </c>
      <c r="G1005" s="5">
        <f t="shared" si="54"/>
        <v>26.666666666666657</v>
      </c>
      <c r="H1005" t="s">
        <v>359</v>
      </c>
      <c r="I1005" t="s">
        <v>387</v>
      </c>
    </row>
    <row r="1006" spans="1:9" x14ac:dyDescent="0.25">
      <c r="A1006" s="1">
        <f t="shared" si="53"/>
        <v>45505</v>
      </c>
      <c r="B1006" s="31">
        <f>TIME(8,12,0)</f>
        <v>0.34166666666666662</v>
      </c>
      <c r="C1006" t="str">
        <f>Inventory!A149</f>
        <v>Menengai Bar 1kg</v>
      </c>
      <c r="D1006" s="27">
        <v>1</v>
      </c>
      <c r="E1006" s="5">
        <f>Table4[[#This Row],[qty]]*(VLOOKUP(Table4[[#This Row],[item_sold]],Table6[],4,FALSE))</f>
        <v>250</v>
      </c>
      <c r="F1006" s="5">
        <f>(VLOOKUP(Table4[[#This Row],[item_sold]],Table6[],3,FALSE))*Table4[[#This Row],[qty]]</f>
        <v>190</v>
      </c>
      <c r="G1006" s="5">
        <f t="shared" si="54"/>
        <v>60</v>
      </c>
      <c r="H1006" t="s">
        <v>359</v>
      </c>
      <c r="I1006" t="s">
        <v>387</v>
      </c>
    </row>
    <row r="1007" spans="1:9" x14ac:dyDescent="0.25">
      <c r="A1007" s="1">
        <f t="shared" si="53"/>
        <v>45505</v>
      </c>
      <c r="B1007" s="31">
        <f t="shared" ref="B1007:B1012" si="55">TIME(8,24,0)</f>
        <v>0.35000000000000003</v>
      </c>
      <c r="C1007" t="str">
        <f>Inventory!A122</f>
        <v>Kinangop Fresh Milk 500ml</v>
      </c>
      <c r="D1007" s="27">
        <v>1</v>
      </c>
      <c r="E1007" s="5">
        <f>Table4[[#This Row],[qty]]*(VLOOKUP(Table4[[#This Row],[item_sold]],Table6[],4,FALSE))</f>
        <v>60</v>
      </c>
      <c r="F1007" s="5">
        <f>(VLOOKUP(Table4[[#This Row],[item_sold]],Table6[],3,FALSE))*Table4[[#This Row],[qty]]</f>
        <v>55</v>
      </c>
      <c r="G1007" s="5">
        <f t="shared" si="54"/>
        <v>5</v>
      </c>
      <c r="H1007" t="s">
        <v>359</v>
      </c>
      <c r="I1007" t="s">
        <v>385</v>
      </c>
    </row>
    <row r="1008" spans="1:9" x14ac:dyDescent="0.25">
      <c r="A1008" s="1">
        <f t="shared" si="53"/>
        <v>45505</v>
      </c>
      <c r="B1008" s="31">
        <f t="shared" si="55"/>
        <v>0.35000000000000003</v>
      </c>
      <c r="C1008" t="str">
        <f>Inventory!A30</f>
        <v>BB Bread 400g</v>
      </c>
      <c r="D1008" s="27">
        <v>1</v>
      </c>
      <c r="E1008" s="5">
        <f>Table4[[#This Row],[qty]]*(VLOOKUP(Table4[[#This Row],[item_sold]],Table6[],4,FALSE))</f>
        <v>65</v>
      </c>
      <c r="F1008" s="5">
        <f>(VLOOKUP(Table4[[#This Row],[item_sold]],Table6[],3,FALSE))*Table4[[#This Row],[qty]]</f>
        <v>60</v>
      </c>
      <c r="G1008" s="5">
        <f t="shared" si="54"/>
        <v>5</v>
      </c>
      <c r="H1008" t="s">
        <v>359</v>
      </c>
      <c r="I1008" t="s">
        <v>385</v>
      </c>
    </row>
    <row r="1009" spans="1:12" x14ac:dyDescent="0.25">
      <c r="A1009" s="1">
        <f t="shared" si="53"/>
        <v>45505</v>
      </c>
      <c r="B1009" s="31">
        <f t="shared" si="55"/>
        <v>0.35000000000000003</v>
      </c>
      <c r="C1009" t="str">
        <f>Inventory!A28</f>
        <v>Fahari Tea 50g</v>
      </c>
      <c r="D1009" s="27">
        <v>1</v>
      </c>
      <c r="E1009" s="5">
        <f>Table4[[#This Row],[qty]]*(VLOOKUP(Table4[[#This Row],[item_sold]],Table6[],4,FALSE))</f>
        <v>30</v>
      </c>
      <c r="F1009" s="5">
        <f>(VLOOKUP(Table4[[#This Row],[item_sold]],Table6[],3,FALSE))*Table4[[#This Row],[qty]]</f>
        <v>17.5</v>
      </c>
      <c r="G1009" s="5">
        <f t="shared" si="54"/>
        <v>12.5</v>
      </c>
      <c r="H1009" t="s">
        <v>359</v>
      </c>
      <c r="I1009" t="s">
        <v>385</v>
      </c>
    </row>
    <row r="1010" spans="1:12" x14ac:dyDescent="0.25">
      <c r="A1010" s="1">
        <f t="shared" si="53"/>
        <v>45505</v>
      </c>
      <c r="B1010" s="31">
        <f t="shared" si="55"/>
        <v>0.35000000000000003</v>
      </c>
      <c r="D1010" s="27"/>
      <c r="F1010" s="5"/>
      <c r="J1010" t="s">
        <v>385</v>
      </c>
      <c r="K1010">
        <v>595</v>
      </c>
      <c r="L1010" t="s">
        <v>247</v>
      </c>
    </row>
    <row r="1011" spans="1:12" x14ac:dyDescent="0.25">
      <c r="A1011" s="1">
        <f t="shared" si="53"/>
        <v>45505</v>
      </c>
      <c r="B1011" s="31">
        <f t="shared" si="55"/>
        <v>0.35000000000000003</v>
      </c>
      <c r="D1011" s="27"/>
      <c r="F1011" s="5"/>
      <c r="J1011" t="s">
        <v>393</v>
      </c>
      <c r="K1011">
        <v>50</v>
      </c>
      <c r="L1011" t="s">
        <v>361</v>
      </c>
    </row>
    <row r="1012" spans="1:12" x14ac:dyDescent="0.25">
      <c r="A1012" s="1">
        <f t="shared" si="53"/>
        <v>45505</v>
      </c>
      <c r="B1012" s="31">
        <f t="shared" si="55"/>
        <v>0.35000000000000003</v>
      </c>
      <c r="D1012" s="27"/>
      <c r="F1012" s="5"/>
      <c r="G1012" s="5">
        <f>E1012-F1012</f>
        <v>0</v>
      </c>
      <c r="J1012" t="s">
        <v>387</v>
      </c>
      <c r="K1012">
        <v>75</v>
      </c>
      <c r="L1012" t="s">
        <v>247</v>
      </c>
    </row>
    <row r="1013" spans="1:12" x14ac:dyDescent="0.25">
      <c r="A1013" s="1">
        <f t="shared" si="53"/>
        <v>45505</v>
      </c>
      <c r="B1013" s="31">
        <f>TIME(8,39,0)</f>
        <v>0.36041666666666666</v>
      </c>
      <c r="C1013" t="str">
        <f>Inventory!A43</f>
        <v>Choc-chip Cookies</v>
      </c>
      <c r="D1013" s="27">
        <v>1</v>
      </c>
      <c r="E1013" s="5">
        <f>Table4[[#This Row],[qty]]*(VLOOKUP(Table4[[#This Row],[item_sold]],Table6[],4,FALSE))</f>
        <v>35</v>
      </c>
      <c r="F1013" s="5">
        <f>(VLOOKUP(Table4[[#This Row],[item_sold]],Table6[],3,FALSE))*Table4[[#This Row],[qty]]</f>
        <v>25</v>
      </c>
      <c r="G1013" s="5">
        <f t="shared" si="54"/>
        <v>10</v>
      </c>
      <c r="H1013" t="s">
        <v>361</v>
      </c>
    </row>
    <row r="1014" spans="1:12" x14ac:dyDescent="0.25">
      <c r="A1014" s="1">
        <f t="shared" si="53"/>
        <v>45505</v>
      </c>
      <c r="B1014" s="31">
        <f>TIME(8,39,0)</f>
        <v>0.36041666666666666</v>
      </c>
      <c r="C1014" t="str">
        <f>Inventory!A132</f>
        <v>Festive Bread 400g</v>
      </c>
      <c r="D1014" s="27">
        <v>1</v>
      </c>
      <c r="E1014" s="5">
        <f>Table4[[#This Row],[qty]]*(VLOOKUP(Table4[[#This Row],[item_sold]],Table6[],4,FALSE))</f>
        <v>65</v>
      </c>
      <c r="F1014" s="5">
        <f>(VLOOKUP(Table4[[#This Row],[item_sold]],Table6[],3,FALSE))*Table4[[#This Row],[qty]]</f>
        <v>60</v>
      </c>
      <c r="G1014" s="5">
        <f t="shared" si="54"/>
        <v>5</v>
      </c>
      <c r="H1014" t="s">
        <v>361</v>
      </c>
    </row>
    <row r="1015" spans="1:12" x14ac:dyDescent="0.25">
      <c r="A1015" s="1">
        <f t="shared" si="53"/>
        <v>45505</v>
      </c>
      <c r="B1015" s="31">
        <f>TIME(8,39,0)</f>
        <v>0.36041666666666666</v>
      </c>
      <c r="C1015" t="str">
        <f>Inventory!A86</f>
        <v>Medium Colgate Toothbrush</v>
      </c>
      <c r="D1015" s="27">
        <v>2</v>
      </c>
      <c r="E1015" s="5">
        <f>Table4[[#This Row],[qty]]*(VLOOKUP(Table4[[#This Row],[item_sold]],Table6[],4,FALSE))</f>
        <v>80</v>
      </c>
      <c r="F1015" s="5">
        <f>(VLOOKUP(Table4[[#This Row],[item_sold]],Table6[],3,FALSE))*Table4[[#This Row],[qty]]</f>
        <v>50</v>
      </c>
      <c r="G1015" s="5">
        <f t="shared" si="54"/>
        <v>30</v>
      </c>
      <c r="H1015" t="s">
        <v>361</v>
      </c>
    </row>
    <row r="1016" spans="1:12" x14ac:dyDescent="0.25">
      <c r="A1016" s="1">
        <f t="shared" si="53"/>
        <v>45505</v>
      </c>
      <c r="B1016" s="31">
        <f>TIME(9,19,0)</f>
        <v>0.38819444444444445</v>
      </c>
      <c r="C1016" t="str">
        <f>Inventory!A153</f>
        <v>Pishori rice</v>
      </c>
      <c r="D1016" s="27">
        <v>1</v>
      </c>
      <c r="E1016" s="5">
        <f>Table4[[#This Row],[qty]]*(VLOOKUP(Table4[[#This Row],[item_sold]],Table6[],4,FALSE))</f>
        <v>220</v>
      </c>
      <c r="F1016" s="5">
        <f>(VLOOKUP(Table4[[#This Row],[item_sold]],Table6[],3,FALSE))*Table4[[#This Row],[qty]]</f>
        <v>180</v>
      </c>
      <c r="G1016" s="5">
        <f t="shared" si="54"/>
        <v>40</v>
      </c>
      <c r="H1016" t="s">
        <v>361</v>
      </c>
    </row>
    <row r="1017" spans="1:12" x14ac:dyDescent="0.25">
      <c r="A1017" s="1">
        <f t="shared" si="53"/>
        <v>45505</v>
      </c>
      <c r="B1017" s="31">
        <f t="shared" ref="B1017:B1031" si="56">TIME(9,19,0)</f>
        <v>0.38819444444444445</v>
      </c>
      <c r="C1017" t="str">
        <f>Inventory!A73</f>
        <v>kabras sugar 1kg</v>
      </c>
      <c r="D1017" s="27">
        <v>1</v>
      </c>
      <c r="E1017" s="5">
        <f>Table4[[#This Row],[qty]]*(VLOOKUP(Table4[[#This Row],[item_sold]],Table6[],4,FALSE))</f>
        <v>180</v>
      </c>
      <c r="F1017" s="5">
        <f>(VLOOKUP(Table4[[#This Row],[item_sold]],Table6[],3,FALSE))*Table4[[#This Row],[qty]]</f>
        <v>140</v>
      </c>
      <c r="G1017" s="5">
        <f t="shared" si="54"/>
        <v>40</v>
      </c>
      <c r="H1017" t="s">
        <v>361</v>
      </c>
    </row>
    <row r="1018" spans="1:12" x14ac:dyDescent="0.25">
      <c r="A1018" s="1">
        <f t="shared" si="53"/>
        <v>45505</v>
      </c>
      <c r="B1018" s="31">
        <f t="shared" si="56"/>
        <v>0.38819444444444445</v>
      </c>
      <c r="C1018" t="str">
        <f>Inventory!A92</f>
        <v>Freshfry</v>
      </c>
      <c r="D1018" s="27">
        <v>1</v>
      </c>
      <c r="E1018" s="5">
        <f>Table4[[#This Row],[qty]]*(VLOOKUP(Table4[[#This Row],[item_sold]],Table6[],4,FALSE))</f>
        <v>350</v>
      </c>
      <c r="F1018" s="5">
        <f>(VLOOKUP(Table4[[#This Row],[item_sold]],Table6[],3,FALSE))*Table4[[#This Row],[qty]]</f>
        <v>290</v>
      </c>
      <c r="G1018" s="5">
        <f t="shared" si="54"/>
        <v>60</v>
      </c>
      <c r="H1018" t="s">
        <v>361</v>
      </c>
    </row>
    <row r="1019" spans="1:12" x14ac:dyDescent="0.25">
      <c r="A1019" s="1">
        <f t="shared" si="53"/>
        <v>45505</v>
      </c>
      <c r="B1019" s="31">
        <f t="shared" si="56"/>
        <v>0.38819444444444445</v>
      </c>
      <c r="C1019" t="str">
        <f>Inventory!A93</f>
        <v>Hanaan Tissue</v>
      </c>
      <c r="D1019" s="27">
        <v>2</v>
      </c>
      <c r="E1019" s="5">
        <f>Table4[[#This Row],[qty]]*(VLOOKUP(Table4[[#This Row],[item_sold]],Table6[],4,FALSE))</f>
        <v>100</v>
      </c>
      <c r="F1019" s="5">
        <f>(VLOOKUP(Table4[[#This Row],[item_sold]],Table6[],3,FALSE))*Table4[[#This Row],[qty]]</f>
        <v>86</v>
      </c>
      <c r="G1019" s="5">
        <f t="shared" si="54"/>
        <v>14</v>
      </c>
      <c r="H1019" t="s">
        <v>361</v>
      </c>
    </row>
    <row r="1020" spans="1:12" x14ac:dyDescent="0.25">
      <c r="A1020" s="1">
        <f t="shared" si="53"/>
        <v>45505</v>
      </c>
      <c r="B1020" s="31">
        <f t="shared" si="56"/>
        <v>0.38819444444444445</v>
      </c>
      <c r="C1020" t="str">
        <f>Inventory!A113</f>
        <v>Downy lavender</v>
      </c>
      <c r="D1020" s="27">
        <v>3</v>
      </c>
      <c r="E1020" s="5">
        <f>Table4[[#This Row],[qty]]*(VLOOKUP(Table4[[#This Row],[item_sold]],Table6[],4,FALSE))</f>
        <v>60</v>
      </c>
      <c r="F1020" s="5">
        <f>(VLOOKUP(Table4[[#This Row],[item_sold]],Table6[],3,FALSE))*Table4[[#This Row],[qty]]</f>
        <v>52</v>
      </c>
      <c r="G1020" s="5">
        <f t="shared" si="54"/>
        <v>8</v>
      </c>
      <c r="H1020" t="s">
        <v>361</v>
      </c>
    </row>
    <row r="1021" spans="1:12" x14ac:dyDescent="0.25">
      <c r="A1021" s="1">
        <f t="shared" si="53"/>
        <v>45505</v>
      </c>
      <c r="B1021" s="31">
        <f t="shared" si="56"/>
        <v>0.38819444444444445</v>
      </c>
      <c r="C1021" t="str">
        <f>Inventory!A116</f>
        <v>Tomatoes</v>
      </c>
      <c r="D1021" s="27">
        <v>3</v>
      </c>
      <c r="E1021" s="5">
        <f>Table4[[#This Row],[qty]]*(VLOOKUP(Table4[[#This Row],[item_sold]],Table6[],4,FALSE))</f>
        <v>30</v>
      </c>
      <c r="F1021" s="5">
        <f>(VLOOKUP(Table4[[#This Row],[item_sold]],Table6[],3,FALSE))*Table4[[#This Row],[qty]]</f>
        <v>15</v>
      </c>
      <c r="G1021" s="5">
        <f t="shared" si="54"/>
        <v>15</v>
      </c>
      <c r="H1021" t="s">
        <v>361</v>
      </c>
    </row>
    <row r="1022" spans="1:12" x14ac:dyDescent="0.25">
      <c r="A1022" s="1">
        <f t="shared" si="53"/>
        <v>45505</v>
      </c>
      <c r="B1022" s="31">
        <f t="shared" si="56"/>
        <v>0.38819444444444445</v>
      </c>
      <c r="C1022" t="str">
        <f>Inventory!A24</f>
        <v>Brookside milk 500ml</v>
      </c>
      <c r="D1022" s="27">
        <v>1</v>
      </c>
      <c r="E1022" s="5">
        <f>Table4[[#This Row],[qty]]*(VLOOKUP(Table4[[#This Row],[item_sold]],Table6[],4,FALSE))</f>
        <v>70</v>
      </c>
      <c r="F1022" s="5">
        <f>(VLOOKUP(Table4[[#This Row],[item_sold]],Table6[],3,FALSE))*Table4[[#This Row],[qty]]</f>
        <v>59</v>
      </c>
      <c r="G1022" s="5">
        <f t="shared" si="54"/>
        <v>11</v>
      </c>
      <c r="H1022" t="s">
        <v>361</v>
      </c>
    </row>
    <row r="1023" spans="1:12" x14ac:dyDescent="0.25">
      <c r="A1023" s="1">
        <f t="shared" si="53"/>
        <v>45505</v>
      </c>
      <c r="B1023" s="31">
        <f t="shared" si="56"/>
        <v>0.38819444444444445</v>
      </c>
      <c r="C1023" t="str">
        <f>Inventory!A81</f>
        <v>eggs</v>
      </c>
      <c r="D1023" s="27">
        <v>10</v>
      </c>
      <c r="E1023" s="5">
        <f>Table4[[#This Row],[qty]]*(VLOOKUP(Table4[[#This Row],[item_sold]],Table6[],4,FALSE))</f>
        <v>200</v>
      </c>
      <c r="F1023" s="5">
        <f>(VLOOKUP(Table4[[#This Row],[item_sold]],Table6[],3,FALSE))*Table4[[#This Row],[qty]]</f>
        <v>143.33333333333334</v>
      </c>
      <c r="G1023" s="5">
        <f t="shared" si="54"/>
        <v>56.666666666666657</v>
      </c>
      <c r="H1023" t="s">
        <v>361</v>
      </c>
    </row>
    <row r="1024" spans="1:12" x14ac:dyDescent="0.25">
      <c r="A1024" s="1">
        <f t="shared" si="53"/>
        <v>45505</v>
      </c>
      <c r="B1024" s="31">
        <f t="shared" si="56"/>
        <v>0.38819444444444445</v>
      </c>
      <c r="C1024" t="str">
        <f>Inventory!A106</f>
        <v xml:space="preserve">Whitewash </v>
      </c>
      <c r="D1024" s="27">
        <v>1</v>
      </c>
      <c r="E1024" s="5">
        <f>Table4[[#This Row],[qty]]*(VLOOKUP(Table4[[#This Row],[item_sold]],Table6[],4,FALSE))</f>
        <v>50</v>
      </c>
      <c r="F1024" s="5">
        <f>(VLOOKUP(Table4[[#This Row],[item_sold]],Table6[],3,FALSE))*Table4[[#This Row],[qty]]</f>
        <v>33.75</v>
      </c>
      <c r="G1024" s="5">
        <f t="shared" si="54"/>
        <v>16.25</v>
      </c>
      <c r="H1024" t="s">
        <v>361</v>
      </c>
    </row>
    <row r="1025" spans="1:9" x14ac:dyDescent="0.25">
      <c r="A1025" s="1">
        <f t="shared" si="53"/>
        <v>45505</v>
      </c>
      <c r="B1025" s="31">
        <f t="shared" si="56"/>
        <v>0.38819444444444445</v>
      </c>
      <c r="C1025" t="str">
        <f>Inventory!A35</f>
        <v>Bitez</v>
      </c>
      <c r="D1025" s="27">
        <v>2</v>
      </c>
      <c r="E1025" s="5">
        <f>Table4[[#This Row],[qty]]*(VLOOKUP(Table4[[#This Row],[item_sold]],Table6[],4,FALSE))</f>
        <v>30</v>
      </c>
      <c r="F1025" s="5">
        <f>(VLOOKUP(Table4[[#This Row],[item_sold]],Table6[],3,FALSE))*Table4[[#This Row],[qty]]</f>
        <v>17.600000000000001</v>
      </c>
      <c r="G1025" s="5">
        <f t="shared" si="54"/>
        <v>12.399999999999999</v>
      </c>
      <c r="H1025" t="s">
        <v>361</v>
      </c>
    </row>
    <row r="1026" spans="1:9" x14ac:dyDescent="0.25">
      <c r="A1026" s="1">
        <f t="shared" si="53"/>
        <v>45505</v>
      </c>
      <c r="B1026" s="31">
        <f t="shared" si="56"/>
        <v>0.38819444444444445</v>
      </c>
      <c r="C1026" t="str">
        <f>Inventory!A126</f>
        <v>Royco cubes</v>
      </c>
      <c r="D1026" s="27">
        <v>6</v>
      </c>
      <c r="E1026" s="5">
        <f>Table4[[#This Row],[qty]]*(VLOOKUP(Table4[[#This Row],[item_sold]],Table6[],4,FALSE))</f>
        <v>30</v>
      </c>
      <c r="F1026" s="5">
        <f>(VLOOKUP(Table4[[#This Row],[item_sold]],Table6[],3,FALSE))*Table4[[#This Row],[qty]]</f>
        <v>18</v>
      </c>
      <c r="G1026" s="5">
        <f t="shared" si="54"/>
        <v>12</v>
      </c>
      <c r="H1026" t="s">
        <v>361</v>
      </c>
    </row>
    <row r="1027" spans="1:9" x14ac:dyDescent="0.25">
      <c r="A1027" s="1">
        <f t="shared" si="53"/>
        <v>45505</v>
      </c>
      <c r="B1027" s="31">
        <f t="shared" si="56"/>
        <v>0.38819444444444445</v>
      </c>
      <c r="C1027" t="str">
        <f>Inventory!A162</f>
        <v>Match Box</v>
      </c>
      <c r="D1027" s="27">
        <v>4</v>
      </c>
      <c r="E1027" s="5">
        <f>Table4[[#This Row],[qty]]*(VLOOKUP(Table4[[#This Row],[item_sold]],Table6[],4,FALSE))</f>
        <v>20</v>
      </c>
      <c r="F1027" s="5">
        <f>(VLOOKUP(Table4[[#This Row],[item_sold]],Table6[],3,FALSE))*Table4[[#This Row],[qty]]</f>
        <v>9.4444444444444446</v>
      </c>
      <c r="G1027" s="5">
        <f t="shared" si="54"/>
        <v>10.555555555555555</v>
      </c>
      <c r="H1027" t="s">
        <v>361</v>
      </c>
    </row>
    <row r="1028" spans="1:9" x14ac:dyDescent="0.25">
      <c r="A1028" s="1">
        <f t="shared" si="53"/>
        <v>45505</v>
      </c>
      <c r="B1028" s="31">
        <f t="shared" si="56"/>
        <v>0.38819444444444445</v>
      </c>
      <c r="C1028" t="str">
        <f>Inventory!A87</f>
        <v>Ajab 2kg</v>
      </c>
      <c r="D1028" s="27">
        <v>1</v>
      </c>
      <c r="E1028" s="5">
        <f>Table4[[#This Row],[qty]]*(VLOOKUP(Table4[[#This Row],[item_sold]],Table6[],4,FALSE))</f>
        <v>220</v>
      </c>
      <c r="F1028" s="5">
        <f>(VLOOKUP(Table4[[#This Row],[item_sold]],Table6[],3,FALSE))*Table4[[#This Row],[qty]]</f>
        <v>175</v>
      </c>
      <c r="G1028" s="5">
        <f t="shared" si="54"/>
        <v>45</v>
      </c>
      <c r="H1028" t="s">
        <v>361</v>
      </c>
    </row>
    <row r="1029" spans="1:9" x14ac:dyDescent="0.25">
      <c r="A1029" s="1">
        <f t="shared" si="53"/>
        <v>45505</v>
      </c>
      <c r="B1029" s="31">
        <f t="shared" si="56"/>
        <v>0.38819444444444445</v>
      </c>
      <c r="C1029" t="str">
        <f>Inventory!A89</f>
        <v>Tukuza 1kg</v>
      </c>
      <c r="D1029" s="27">
        <v>1</v>
      </c>
      <c r="E1029" s="5">
        <f>Table4[[#This Row],[qty]]*(VLOOKUP(Table4[[#This Row],[item_sold]],Table6[],4,FALSE))</f>
        <v>90</v>
      </c>
      <c r="F1029" s="5">
        <f>(VLOOKUP(Table4[[#This Row],[item_sold]],Table6[],3,FALSE))*Table4[[#This Row],[qty]]</f>
        <v>61.25</v>
      </c>
      <c r="G1029" s="5">
        <f t="shared" si="54"/>
        <v>28.75</v>
      </c>
      <c r="H1029" t="s">
        <v>361</v>
      </c>
    </row>
    <row r="1030" spans="1:9" x14ac:dyDescent="0.25">
      <c r="A1030" s="1">
        <f t="shared" si="53"/>
        <v>45505</v>
      </c>
      <c r="B1030" s="31">
        <f t="shared" si="56"/>
        <v>0.38819444444444445</v>
      </c>
      <c r="C1030" t="str">
        <f>Inventory!A71</f>
        <v>Indomie chicken</v>
      </c>
      <c r="D1030" s="27">
        <v>2</v>
      </c>
      <c r="E1030" s="5">
        <f>Table4[[#This Row],[qty]]*(VLOOKUP(Table4[[#This Row],[item_sold]],Table6[],4,FALSE))</f>
        <v>100</v>
      </c>
      <c r="F1030" s="5">
        <f>(VLOOKUP(Table4[[#This Row],[item_sold]],Table6[],3,FALSE))*Table4[[#This Row],[qty]]</f>
        <v>75</v>
      </c>
      <c r="G1030" s="5">
        <f t="shared" si="54"/>
        <v>25</v>
      </c>
      <c r="H1030" t="s">
        <v>361</v>
      </c>
    </row>
    <row r="1031" spans="1:9" x14ac:dyDescent="0.25">
      <c r="A1031" s="1">
        <f t="shared" si="53"/>
        <v>45505</v>
      </c>
      <c r="B1031" s="31">
        <f t="shared" si="56"/>
        <v>0.38819444444444445</v>
      </c>
      <c r="C1031" t="str">
        <f>Inventory!A14</f>
        <v>soda 500ml glass</v>
      </c>
      <c r="D1031" s="27">
        <v>1</v>
      </c>
      <c r="E1031" s="5">
        <f>Table4[[#This Row],[qty]]*(VLOOKUP(Table4[[#This Row],[item_sold]],Table6[],4,FALSE))</f>
        <v>55</v>
      </c>
      <c r="F1031" s="5">
        <f>(VLOOKUP(Table4[[#This Row],[item_sold]],Table6[],3,FALSE))*Table4[[#This Row],[qty]]</f>
        <v>50</v>
      </c>
      <c r="G1031" s="5">
        <f t="shared" si="54"/>
        <v>5</v>
      </c>
      <c r="H1031" t="s">
        <v>361</v>
      </c>
    </row>
    <row r="1032" spans="1:9" x14ac:dyDescent="0.25">
      <c r="A1032" s="1">
        <f t="shared" si="53"/>
        <v>45505</v>
      </c>
      <c r="B1032" s="31">
        <f>TIME(9,19,0)</f>
        <v>0.38819444444444445</v>
      </c>
      <c r="C1032" t="str">
        <f>Inventory!A159</f>
        <v>Sunlight 400g</v>
      </c>
      <c r="D1032" s="27">
        <v>1</v>
      </c>
      <c r="E1032" s="5">
        <f>Table4[[#This Row],[qty]]*(VLOOKUP(Table4[[#This Row],[item_sold]],Table6[],4,FALSE))</f>
        <v>250</v>
      </c>
      <c r="F1032" s="5">
        <f>(VLOOKUP(Table4[[#This Row],[item_sold]],Table6[],3,FALSE))*Table4[[#This Row],[qty]]</f>
        <v>150</v>
      </c>
      <c r="G1032" s="5">
        <f t="shared" si="54"/>
        <v>100</v>
      </c>
      <c r="H1032" t="s">
        <v>361</v>
      </c>
    </row>
    <row r="1033" spans="1:9" x14ac:dyDescent="0.25">
      <c r="A1033" s="1">
        <f t="shared" si="53"/>
        <v>45505</v>
      </c>
      <c r="B1033" s="31">
        <f>TIME(9,33,0)</f>
        <v>0.3979166666666667</v>
      </c>
      <c r="C1033" t="str">
        <f>Inventory!A84</f>
        <v>Safari</v>
      </c>
      <c r="D1033" s="27">
        <v>1</v>
      </c>
      <c r="E1033" s="5">
        <f>Table4[[#This Row],[qty]]*(VLOOKUP(Table4[[#This Row],[item_sold]],Table6[],4,FALSE))</f>
        <v>15</v>
      </c>
      <c r="F1033" s="5">
        <f>(VLOOKUP(Table4[[#This Row],[item_sold]],Table6[],3,FALSE))*Table4[[#This Row],[qty]]</f>
        <v>8.5</v>
      </c>
      <c r="G1033" s="5">
        <f t="shared" si="54"/>
        <v>6.5</v>
      </c>
      <c r="H1033" t="s">
        <v>247</v>
      </c>
    </row>
    <row r="1034" spans="1:9" x14ac:dyDescent="0.25">
      <c r="A1034" s="1">
        <f t="shared" si="53"/>
        <v>45505</v>
      </c>
      <c r="B1034" s="31">
        <f>TIME(9,35,0)</f>
        <v>0.39930555555555558</v>
      </c>
      <c r="C1034" t="str">
        <f>Inventory!A30</f>
        <v>BB Bread 400g</v>
      </c>
      <c r="D1034" s="27">
        <v>1</v>
      </c>
      <c r="E1034" s="5">
        <f>Table4[[#This Row],[qty]]*(VLOOKUP(Table4[[#This Row],[item_sold]],Table6[],4,FALSE))</f>
        <v>65</v>
      </c>
      <c r="F1034" s="5">
        <f>(VLOOKUP(Table4[[#This Row],[item_sold]],Table6[],3,FALSE))*Table4[[#This Row],[qty]]</f>
        <v>60</v>
      </c>
      <c r="G1034" s="5">
        <f t="shared" si="54"/>
        <v>5</v>
      </c>
      <c r="H1034" t="s">
        <v>359</v>
      </c>
      <c r="I1034" t="s">
        <v>392</v>
      </c>
    </row>
    <row r="1035" spans="1:9" x14ac:dyDescent="0.25">
      <c r="A1035" s="1">
        <f t="shared" si="53"/>
        <v>45505</v>
      </c>
      <c r="B1035" s="31">
        <f>TIME(9,37,0)</f>
        <v>0.40069444444444446</v>
      </c>
      <c r="C1035" t="str">
        <f>Inventory!A123</f>
        <v>Mt Kenya milk 200ml</v>
      </c>
      <c r="D1035" s="27">
        <v>1</v>
      </c>
      <c r="E1035" s="5">
        <f>Table4[[#This Row],[qty]]*(VLOOKUP(Table4[[#This Row],[item_sold]],Table6[],4,FALSE))</f>
        <v>35</v>
      </c>
      <c r="F1035" s="5">
        <f>(VLOOKUP(Table4[[#This Row],[item_sold]],Table6[],3,FALSE))*Table4[[#This Row],[qty]]</f>
        <v>24.285714285714285</v>
      </c>
      <c r="G1035" s="5">
        <f t="shared" si="54"/>
        <v>10.714285714285715</v>
      </c>
      <c r="H1035" t="s">
        <v>247</v>
      </c>
    </row>
    <row r="1036" spans="1:9" x14ac:dyDescent="0.25">
      <c r="A1036" s="1">
        <f t="shared" si="53"/>
        <v>45505</v>
      </c>
      <c r="B1036" s="31">
        <f>TIME(9,37,0)</f>
        <v>0.40069444444444446</v>
      </c>
      <c r="C1036" t="str">
        <f>Inventory!A147</f>
        <v>Sugar</v>
      </c>
      <c r="D1036" s="27">
        <v>0.5</v>
      </c>
      <c r="E1036" s="5">
        <f>Table4[[#This Row],[qty]]*(VLOOKUP(Table4[[#This Row],[item_sold]],Table6[],4,FALSE))</f>
        <v>90</v>
      </c>
      <c r="F1036" s="5">
        <f>(VLOOKUP(Table4[[#This Row],[item_sold]],Table6[],3,FALSE))*Table4[[#This Row],[qty]]</f>
        <v>65</v>
      </c>
      <c r="G1036" s="5">
        <f t="shared" si="54"/>
        <v>25</v>
      </c>
      <c r="H1036" t="s">
        <v>247</v>
      </c>
    </row>
    <row r="1037" spans="1:9" x14ac:dyDescent="0.25">
      <c r="A1037" s="1">
        <f t="shared" si="53"/>
        <v>45505</v>
      </c>
      <c r="B1037" s="31">
        <f>TIME(9,50,0)</f>
        <v>0.40972222222222227</v>
      </c>
      <c r="C1037" t="str">
        <f>Inventory!A23</f>
        <v>Mt kenya milk 500ml</v>
      </c>
      <c r="D1037" s="27">
        <v>1</v>
      </c>
      <c r="E1037" s="5">
        <f>Table4[[#This Row],[qty]]*(VLOOKUP(Table4[[#This Row],[item_sold]],Table6[],4,FALSE))</f>
        <v>65</v>
      </c>
      <c r="F1037" s="5">
        <f>(VLOOKUP(Table4[[#This Row],[item_sold]],Table6[],3,FALSE))*Table4[[#This Row],[qty]]</f>
        <v>48.333333333333336</v>
      </c>
      <c r="G1037" s="5">
        <f t="shared" si="54"/>
        <v>16.666666666666664</v>
      </c>
      <c r="H1037" t="s">
        <v>361</v>
      </c>
    </row>
    <row r="1038" spans="1:9" x14ac:dyDescent="0.25">
      <c r="A1038" s="1">
        <f t="shared" si="53"/>
        <v>45505</v>
      </c>
      <c r="B1038" s="31">
        <f>TIME(9,50,0)</f>
        <v>0.40972222222222227</v>
      </c>
      <c r="C1038" t="str">
        <f>Inventory!A30</f>
        <v>BB Bread 400g</v>
      </c>
      <c r="D1038" s="27">
        <v>1</v>
      </c>
      <c r="E1038" s="5">
        <f>Table4[[#This Row],[qty]]*(VLOOKUP(Table4[[#This Row],[item_sold]],Table6[],4,FALSE))</f>
        <v>65</v>
      </c>
      <c r="F1038" s="5">
        <f>(VLOOKUP(Table4[[#This Row],[item_sold]],Table6[],3,FALSE))*Table4[[#This Row],[qty]]</f>
        <v>60</v>
      </c>
      <c r="G1038" s="5">
        <f t="shared" si="54"/>
        <v>5</v>
      </c>
      <c r="H1038" t="s">
        <v>361</v>
      </c>
    </row>
    <row r="1039" spans="1:9" x14ac:dyDescent="0.25">
      <c r="A1039" s="1">
        <f t="shared" si="53"/>
        <v>45505</v>
      </c>
      <c r="B1039" s="31">
        <f>TIME(10,47,0)</f>
        <v>0.44930555555555557</v>
      </c>
      <c r="C1039" t="str">
        <f>Inventory!A122</f>
        <v>Kinangop Fresh Milk 500ml</v>
      </c>
      <c r="D1039" s="27">
        <v>1</v>
      </c>
      <c r="E1039" s="5">
        <f>Table4[[#This Row],[qty]]*(VLOOKUP(Table4[[#This Row],[item_sold]],Table6[],4,FALSE))</f>
        <v>60</v>
      </c>
      <c r="F1039" s="5">
        <f>(VLOOKUP(Table4[[#This Row],[item_sold]],Table6[],3,FALSE))*Table4[[#This Row],[qty]]</f>
        <v>55</v>
      </c>
      <c r="G1039" s="5">
        <f t="shared" si="54"/>
        <v>5</v>
      </c>
      <c r="H1039" t="s">
        <v>361</v>
      </c>
    </row>
    <row r="1040" spans="1:9" x14ac:dyDescent="0.25">
      <c r="A1040" s="1">
        <f t="shared" si="53"/>
        <v>45505</v>
      </c>
      <c r="B1040" s="31">
        <f>TIME(10,47,0)</f>
        <v>0.44930555555555557</v>
      </c>
      <c r="C1040" t="str">
        <f>Inventory!A110</f>
        <v>omo 75g</v>
      </c>
      <c r="D1040" s="27">
        <v>1</v>
      </c>
      <c r="E1040" s="5">
        <f>Table4[[#This Row],[qty]]*(VLOOKUP(Table4[[#This Row],[item_sold]],Table6[],4,FALSE))</f>
        <v>35</v>
      </c>
      <c r="F1040" s="5">
        <f>(VLOOKUP(Table4[[#This Row],[item_sold]],Table6[],3,FALSE))*Table4[[#This Row],[qty]]</f>
        <v>27.5</v>
      </c>
      <c r="G1040" s="5">
        <f t="shared" si="54"/>
        <v>7.5</v>
      </c>
      <c r="H1040" t="s">
        <v>361</v>
      </c>
    </row>
    <row r="1041" spans="1:12" x14ac:dyDescent="0.25">
      <c r="A1041" s="1">
        <f t="shared" si="53"/>
        <v>45505</v>
      </c>
      <c r="B1041" s="31">
        <f>TIME(10,47,0)</f>
        <v>0.44930555555555557</v>
      </c>
      <c r="C1041" t="str">
        <f>Inventory!A106</f>
        <v xml:space="preserve">Whitewash </v>
      </c>
      <c r="D1041" s="27">
        <v>1</v>
      </c>
      <c r="E1041" s="5">
        <f>Table4[[#This Row],[qty]]*(VLOOKUP(Table4[[#This Row],[item_sold]],Table6[],4,FALSE))</f>
        <v>50</v>
      </c>
      <c r="F1041" s="5">
        <f>(VLOOKUP(Table4[[#This Row],[item_sold]],Table6[],3,FALSE))*Table4[[#This Row],[qty]]</f>
        <v>33.75</v>
      </c>
      <c r="G1041" s="5">
        <f t="shared" si="54"/>
        <v>16.25</v>
      </c>
      <c r="H1041" t="s">
        <v>361</v>
      </c>
    </row>
    <row r="1042" spans="1:12" x14ac:dyDescent="0.25">
      <c r="A1042" s="1">
        <f t="shared" si="53"/>
        <v>45505</v>
      </c>
      <c r="B1042" s="31">
        <f>TIME(11,25,0)</f>
        <v>0.47569444444444442</v>
      </c>
      <c r="C1042" t="str">
        <f>Inventory!A153</f>
        <v>Pishori rice</v>
      </c>
      <c r="D1042" s="27">
        <v>1</v>
      </c>
      <c r="E1042" s="5">
        <f>Table4[[#This Row],[qty]]*(VLOOKUP(Table4[[#This Row],[item_sold]],Table6[],4,FALSE))</f>
        <v>220</v>
      </c>
      <c r="F1042" s="5">
        <f>(VLOOKUP(Table4[[#This Row],[item_sold]],Table6[],3,FALSE))*Table4[[#This Row],[qty]]</f>
        <v>180</v>
      </c>
      <c r="G1042" s="5">
        <f t="shared" si="54"/>
        <v>40</v>
      </c>
      <c r="H1042" t="s">
        <v>359</v>
      </c>
      <c r="I1042" t="s">
        <v>389</v>
      </c>
      <c r="J1042" t="s">
        <v>389</v>
      </c>
      <c r="K1042">
        <v>200</v>
      </c>
      <c r="L1042" t="s">
        <v>361</v>
      </c>
    </row>
    <row r="1043" spans="1:12" x14ac:dyDescent="0.25">
      <c r="A1043" s="1">
        <f t="shared" si="53"/>
        <v>45505</v>
      </c>
      <c r="B1043" s="31">
        <f>TIME(11,25,0)</f>
        <v>0.47569444444444442</v>
      </c>
      <c r="D1043" s="27"/>
      <c r="F1043" s="5"/>
      <c r="J1043" t="s">
        <v>390</v>
      </c>
      <c r="K1043">
        <v>100</v>
      </c>
      <c r="L1043" t="s">
        <v>361</v>
      </c>
    </row>
    <row r="1044" spans="1:12" x14ac:dyDescent="0.25">
      <c r="A1044" s="1">
        <f t="shared" si="53"/>
        <v>45505</v>
      </c>
      <c r="B1044" s="31">
        <f>TIME(11,37,0)</f>
        <v>0.48402777777777778</v>
      </c>
      <c r="C1044" t="str">
        <f>Inventory!A147</f>
        <v>Sugar</v>
      </c>
      <c r="D1044" s="27">
        <v>0.5</v>
      </c>
      <c r="E1044" s="5">
        <f>Table4[[#This Row],[qty]]*(VLOOKUP(Table4[[#This Row],[item_sold]],Table6[],4,FALSE))</f>
        <v>90</v>
      </c>
      <c r="F1044" s="5">
        <f>(VLOOKUP(Table4[[#This Row],[item_sold]],Table6[],3,FALSE))*Table4[[#This Row],[qty]]</f>
        <v>65</v>
      </c>
      <c r="G1044" s="5">
        <f t="shared" si="54"/>
        <v>25</v>
      </c>
      <c r="H1044" t="s">
        <v>361</v>
      </c>
    </row>
    <row r="1045" spans="1:12" x14ac:dyDescent="0.25">
      <c r="A1045" s="1">
        <f t="shared" si="53"/>
        <v>45505</v>
      </c>
      <c r="B1045" s="31">
        <f>TIME(12,42,0)</f>
        <v>0.52916666666666667</v>
      </c>
      <c r="C1045" t="str">
        <f>Inventory!A99</f>
        <v>Colgate 15g</v>
      </c>
      <c r="D1045" s="27">
        <v>1</v>
      </c>
      <c r="E1045" s="5">
        <f>Table4[[#This Row],[qty]]*(VLOOKUP(Table4[[#This Row],[item_sold]],Table6[],4,FALSE))</f>
        <v>50</v>
      </c>
      <c r="F1045" s="5">
        <f>(VLOOKUP(Table4[[#This Row],[item_sold]],Table6[],3,FALSE))*Table4[[#This Row],[qty]]</f>
        <v>36.25</v>
      </c>
      <c r="G1045" s="5">
        <f t="shared" si="54"/>
        <v>13.75</v>
      </c>
      <c r="H1045" t="s">
        <v>361</v>
      </c>
    </row>
    <row r="1046" spans="1:12" x14ac:dyDescent="0.25">
      <c r="A1046" s="1">
        <f t="shared" si="53"/>
        <v>45505</v>
      </c>
      <c r="B1046" s="31">
        <f>TIME(12,42,0)</f>
        <v>0.52916666666666667</v>
      </c>
      <c r="D1046" s="27"/>
      <c r="F1046" s="5"/>
      <c r="J1046" t="s">
        <v>403</v>
      </c>
      <c r="K1046">
        <v>40</v>
      </c>
      <c r="L1046" t="s">
        <v>247</v>
      </c>
    </row>
    <row r="1047" spans="1:12" x14ac:dyDescent="0.25">
      <c r="A1047" s="1">
        <f t="shared" si="53"/>
        <v>45505</v>
      </c>
      <c r="B1047" s="31">
        <f>TIME(13,16,0)</f>
        <v>0.55277777777777781</v>
      </c>
      <c r="C1047" t="str">
        <f>Inventory!A13</f>
        <v>soda 300ml glass</v>
      </c>
      <c r="D1047" s="27">
        <v>1</v>
      </c>
      <c r="E1047" s="5">
        <f>Table4[[#This Row],[qty]]*(VLOOKUP(Table4[[#This Row],[item_sold]],Table6[],4,FALSE))</f>
        <v>40</v>
      </c>
      <c r="F1047" s="5">
        <f>(VLOOKUP(Table4[[#This Row],[item_sold]],Table6[],3,FALSE))*Table4[[#This Row],[qty]]</f>
        <v>32.5</v>
      </c>
      <c r="G1047" s="5">
        <f t="shared" si="54"/>
        <v>7.5</v>
      </c>
      <c r="H1047" t="s">
        <v>247</v>
      </c>
    </row>
    <row r="1048" spans="1:12" x14ac:dyDescent="0.25">
      <c r="A1048" s="1">
        <f t="shared" si="53"/>
        <v>45505</v>
      </c>
      <c r="B1048" s="31">
        <f>TIME(13,16,0)</f>
        <v>0.55277777777777781</v>
      </c>
      <c r="C1048" t="str">
        <f>Inventory!A121</f>
        <v>Banana</v>
      </c>
      <c r="D1048" s="27">
        <v>2</v>
      </c>
      <c r="E1048" s="5">
        <f>Table4[[#This Row],[qty]]*(VLOOKUP(Table4[[#This Row],[item_sold]],Table6[],4,FALSE))</f>
        <v>20</v>
      </c>
      <c r="F1048" s="5">
        <f>(VLOOKUP(Table4[[#This Row],[item_sold]],Table6[],3,FALSE))*Table4[[#This Row],[qty]]</f>
        <v>16.666666666666668</v>
      </c>
      <c r="G1048" s="5">
        <f t="shared" si="54"/>
        <v>3.3333333333333321</v>
      </c>
      <c r="H1048" t="s">
        <v>247</v>
      </c>
    </row>
    <row r="1049" spans="1:12" x14ac:dyDescent="0.25">
      <c r="A1049" s="1">
        <f t="shared" si="53"/>
        <v>45505</v>
      </c>
      <c r="B1049" s="31">
        <f>TIME(13,29,0)</f>
        <v>0.56180555555555556</v>
      </c>
      <c r="C1049" t="str">
        <f>Inventory!A50</f>
        <v>Ring Cake</v>
      </c>
      <c r="D1049" s="27">
        <v>1</v>
      </c>
      <c r="E1049" s="5">
        <f>Table4[[#This Row],[qty]]*(VLOOKUP(Table4[[#This Row],[item_sold]],Table6[],4,FALSE))</f>
        <v>50</v>
      </c>
      <c r="F1049" s="5">
        <f>(VLOOKUP(Table4[[#This Row],[item_sold]],Table6[],3,FALSE))*Table4[[#This Row],[qty]]</f>
        <v>45</v>
      </c>
      <c r="G1049" s="5">
        <f t="shared" si="54"/>
        <v>5</v>
      </c>
      <c r="H1049" t="s">
        <v>247</v>
      </c>
    </row>
    <row r="1050" spans="1:12" x14ac:dyDescent="0.25">
      <c r="A1050" s="1">
        <f t="shared" si="53"/>
        <v>45505</v>
      </c>
      <c r="B1050" s="31">
        <f>TIME(13,29,0)</f>
        <v>0.56180555555555556</v>
      </c>
      <c r="C1050" t="str">
        <f>Inventory!A121</f>
        <v>Banana</v>
      </c>
      <c r="D1050" s="27">
        <v>1</v>
      </c>
      <c r="E1050" s="5">
        <f>Table4[[#This Row],[qty]]*(VLOOKUP(Table4[[#This Row],[item_sold]],Table6[],4,FALSE))</f>
        <v>10</v>
      </c>
      <c r="F1050" s="5">
        <f>(VLOOKUP(Table4[[#This Row],[item_sold]],Table6[],3,FALSE))*Table4[[#This Row],[qty]]</f>
        <v>8.3333333333333339</v>
      </c>
      <c r="G1050" s="5">
        <f t="shared" si="54"/>
        <v>1.6666666666666661</v>
      </c>
      <c r="H1050" t="s">
        <v>247</v>
      </c>
    </row>
    <row r="1051" spans="1:12" x14ac:dyDescent="0.25">
      <c r="A1051" s="1">
        <f t="shared" si="53"/>
        <v>45505</v>
      </c>
      <c r="B1051" s="31">
        <f>TIME(13,35,0)</f>
        <v>0.56597222222222221</v>
      </c>
      <c r="C1051" t="str">
        <f>Inventory!A122</f>
        <v>Kinangop Fresh Milk 500ml</v>
      </c>
      <c r="D1051" s="27">
        <v>1</v>
      </c>
      <c r="E1051" s="5">
        <f>Table4[[#This Row],[qty]]*(VLOOKUP(Table4[[#This Row],[item_sold]],Table6[],4,FALSE))</f>
        <v>60</v>
      </c>
      <c r="F1051" s="5">
        <f>(VLOOKUP(Table4[[#This Row],[item_sold]],Table6[],3,FALSE))*Table4[[#This Row],[qty]]</f>
        <v>55</v>
      </c>
      <c r="G1051" s="5">
        <f t="shared" si="54"/>
        <v>5</v>
      </c>
      <c r="H1051" t="s">
        <v>361</v>
      </c>
    </row>
    <row r="1052" spans="1:12" x14ac:dyDescent="0.25">
      <c r="A1052" s="1">
        <f t="shared" si="53"/>
        <v>45505</v>
      </c>
      <c r="B1052" s="31">
        <f>TIME(14,18,0)</f>
        <v>0.59583333333333333</v>
      </c>
      <c r="C1052" t="str">
        <f>Inventory!A117</f>
        <v>Cooking Oil Measured</v>
      </c>
      <c r="D1052" s="27">
        <v>0.25</v>
      </c>
      <c r="E1052" s="5">
        <f>Table4[[#This Row],[qty]]*(VLOOKUP(Table4[[#This Row],[item_sold]],Table6[],4,FALSE))</f>
        <v>70</v>
      </c>
      <c r="F1052" s="5">
        <f>(VLOOKUP(Table4[[#This Row],[item_sold]],Table6[],3,FALSE))*Table4[[#This Row],[qty]]</f>
        <v>50</v>
      </c>
      <c r="G1052" s="5">
        <f t="shared" si="54"/>
        <v>20</v>
      </c>
      <c r="H1052" t="s">
        <v>361</v>
      </c>
    </row>
    <row r="1053" spans="1:12" x14ac:dyDescent="0.25">
      <c r="A1053" s="1">
        <f t="shared" si="53"/>
        <v>45505</v>
      </c>
      <c r="B1053" s="31">
        <f>TIME(14,18,0)</f>
        <v>0.59583333333333333</v>
      </c>
      <c r="C1053" t="str">
        <f>Inventory!A116</f>
        <v>Tomatoes</v>
      </c>
      <c r="D1053" s="27">
        <v>3</v>
      </c>
      <c r="E1053" s="5">
        <f>Table4[[#This Row],[qty]]*(VLOOKUP(Table4[[#This Row],[item_sold]],Table6[],4,FALSE))</f>
        <v>30</v>
      </c>
      <c r="F1053" s="5">
        <f>(VLOOKUP(Table4[[#This Row],[item_sold]],Table6[],3,FALSE))*Table4[[#This Row],[qty]]</f>
        <v>15</v>
      </c>
      <c r="G1053" s="5">
        <f t="shared" si="54"/>
        <v>15</v>
      </c>
      <c r="H1053" t="s">
        <v>361</v>
      </c>
    </row>
    <row r="1054" spans="1:12" x14ac:dyDescent="0.25">
      <c r="A1054" s="1">
        <f t="shared" si="53"/>
        <v>45505</v>
      </c>
      <c r="B1054" s="31">
        <f>TIME(14,18,0)</f>
        <v>0.59583333333333333</v>
      </c>
      <c r="C1054" t="str">
        <f>Inventory!A115</f>
        <v>Onion</v>
      </c>
      <c r="D1054" s="27">
        <v>2</v>
      </c>
      <c r="E1054" s="5">
        <f>Table4[[#This Row],[qty]]*(VLOOKUP(Table4[[#This Row],[item_sold]],Table6[],4,FALSE))</f>
        <v>20</v>
      </c>
      <c r="F1054" s="5">
        <f>(VLOOKUP(Table4[[#This Row],[item_sold]],Table6[],3,FALSE))*Table4[[#This Row],[qty]]</f>
        <v>16</v>
      </c>
      <c r="G1054" s="5">
        <f t="shared" si="54"/>
        <v>4</v>
      </c>
      <c r="H1054" t="s">
        <v>361</v>
      </c>
    </row>
    <row r="1055" spans="1:12" x14ac:dyDescent="0.25">
      <c r="A1055" s="1">
        <f t="shared" si="53"/>
        <v>45505</v>
      </c>
      <c r="B1055" s="31">
        <f>TIME(14,18,0)</f>
        <v>0.59583333333333333</v>
      </c>
      <c r="C1055" t="str">
        <f>Inventory!A125</f>
        <v>Dhania</v>
      </c>
      <c r="D1055" s="27">
        <v>1</v>
      </c>
      <c r="E1055" s="5">
        <f>Table4[[#This Row],[qty]]*(VLOOKUP(Table4[[#This Row],[item_sold]],Table6[],4,FALSE))</f>
        <v>5</v>
      </c>
      <c r="F1055" s="5">
        <f>(VLOOKUP(Table4[[#This Row],[item_sold]],Table6[],3,FALSE))*Table4[[#This Row],[qty]]</f>
        <v>3.3333333333333335</v>
      </c>
      <c r="G1055" s="5">
        <f t="shared" si="54"/>
        <v>1.6666666666666665</v>
      </c>
      <c r="H1055" t="s">
        <v>361</v>
      </c>
    </row>
    <row r="1056" spans="1:12" x14ac:dyDescent="0.25">
      <c r="A1056" s="1">
        <f t="shared" si="53"/>
        <v>45505</v>
      </c>
      <c r="B1056" s="31">
        <f>TIME(14,57,0)</f>
        <v>0.62291666666666667</v>
      </c>
      <c r="C1056" t="str">
        <f>Inventory!A126</f>
        <v>Royco cubes</v>
      </c>
      <c r="D1056" s="27">
        <v>2</v>
      </c>
      <c r="E1056" s="5">
        <f>Table4[[#This Row],[qty]]*(VLOOKUP(Table4[[#This Row],[item_sold]],Table6[],4,FALSE))</f>
        <v>10</v>
      </c>
      <c r="F1056" s="5">
        <f>(VLOOKUP(Table4[[#This Row],[item_sold]],Table6[],3,FALSE))*Table4[[#This Row],[qty]]</f>
        <v>6</v>
      </c>
      <c r="G1056" s="5">
        <f t="shared" si="54"/>
        <v>4</v>
      </c>
      <c r="H1056" t="s">
        <v>361</v>
      </c>
    </row>
    <row r="1057" spans="1:12" x14ac:dyDescent="0.25">
      <c r="A1057" s="1">
        <f t="shared" si="53"/>
        <v>45505</v>
      </c>
      <c r="B1057" s="31">
        <f>TIME(14,57,0)</f>
        <v>0.62291666666666667</v>
      </c>
      <c r="C1057" t="str">
        <f>Inventory!A65</f>
        <v>Tropical</v>
      </c>
      <c r="D1057" s="27">
        <v>1</v>
      </c>
      <c r="E1057" s="5">
        <f>Table4[[#This Row],[qty]]*(VLOOKUP(Table4[[#This Row],[item_sold]],Table6[],4,FALSE))</f>
        <v>5</v>
      </c>
      <c r="F1057" s="5">
        <f>(VLOOKUP(Table4[[#This Row],[item_sold]],Table6[],3,FALSE))*Table4[[#This Row],[qty]]</f>
        <v>1.5</v>
      </c>
      <c r="G1057" s="5">
        <f t="shared" si="54"/>
        <v>3.5</v>
      </c>
      <c r="H1057" t="s">
        <v>247</v>
      </c>
    </row>
    <row r="1058" spans="1:12" x14ac:dyDescent="0.25">
      <c r="A1058" s="1">
        <f t="shared" si="53"/>
        <v>45505</v>
      </c>
      <c r="B1058" s="31">
        <f>TIME(14,57,0)</f>
        <v>0.62291666666666667</v>
      </c>
      <c r="C1058" t="str">
        <f>Inventory!A60</f>
        <v>Lollipop</v>
      </c>
      <c r="D1058" s="27">
        <v>1</v>
      </c>
      <c r="E1058" s="5">
        <f>Table4[[#This Row],[qty]]*(VLOOKUP(Table4[[#This Row],[item_sold]],Table6[],4,FALSE))</f>
        <v>5</v>
      </c>
      <c r="F1058" s="5">
        <f>(VLOOKUP(Table4[[#This Row],[item_sold]],Table6[],3,FALSE))*Table4[[#This Row],[qty]]</f>
        <v>2.4</v>
      </c>
      <c r="G1058" s="5">
        <f t="shared" si="54"/>
        <v>2.6</v>
      </c>
      <c r="H1058" t="s">
        <v>247</v>
      </c>
    </row>
    <row r="1059" spans="1:12" x14ac:dyDescent="0.25">
      <c r="A1059" s="1">
        <f t="shared" si="53"/>
        <v>45505</v>
      </c>
      <c r="B1059" s="31">
        <f>TIME(15,15,0)</f>
        <v>0.63541666666666663</v>
      </c>
      <c r="C1059" t="str">
        <f>Inventory!A14</f>
        <v>soda 500ml glass</v>
      </c>
      <c r="D1059" s="27">
        <v>2</v>
      </c>
      <c r="E1059" s="5">
        <f>Table4[[#This Row],[qty]]*(VLOOKUP(Table4[[#This Row],[item_sold]],Table6[],4,FALSE))</f>
        <v>110</v>
      </c>
      <c r="F1059" s="5">
        <f>(VLOOKUP(Table4[[#This Row],[item_sold]],Table6[],3,FALSE))*Table4[[#This Row],[qty]]</f>
        <v>100</v>
      </c>
      <c r="G1059" s="5">
        <f t="shared" si="54"/>
        <v>10</v>
      </c>
      <c r="H1059" t="s">
        <v>361</v>
      </c>
    </row>
    <row r="1060" spans="1:12" x14ac:dyDescent="0.25">
      <c r="A1060" s="1">
        <f t="shared" si="53"/>
        <v>45505</v>
      </c>
      <c r="B1060" s="31">
        <f>TIME(15,15,0)</f>
        <v>0.63541666666666663</v>
      </c>
      <c r="C1060" t="str">
        <f>Inventory!A46</f>
        <v>Nuvita Bisquit</v>
      </c>
      <c r="D1060" s="27">
        <v>8</v>
      </c>
      <c r="E1060" s="5">
        <f>Table4[[#This Row],[qty]]*(VLOOKUP(Table4[[#This Row],[item_sold]],Table6[],4,FALSE))</f>
        <v>40</v>
      </c>
      <c r="F1060" s="5">
        <f>(VLOOKUP(Table4[[#This Row],[item_sold]],Table6[],3,FALSE))*Table4[[#This Row],[qty]]</f>
        <v>33.333333333333336</v>
      </c>
      <c r="G1060" s="5">
        <f t="shared" si="54"/>
        <v>6.6666666666666643</v>
      </c>
      <c r="H1060" t="s">
        <v>361</v>
      </c>
    </row>
    <row r="1061" spans="1:12" x14ac:dyDescent="0.25">
      <c r="A1061" s="1">
        <f t="shared" si="53"/>
        <v>45505</v>
      </c>
      <c r="B1061" s="31">
        <f>TIME(15,15,0)</f>
        <v>0.63541666666666663</v>
      </c>
      <c r="D1061" s="27"/>
      <c r="F1061" s="5"/>
      <c r="J1061" t="s">
        <v>409</v>
      </c>
      <c r="K1061">
        <v>85</v>
      </c>
      <c r="L1061" t="s">
        <v>361</v>
      </c>
    </row>
    <row r="1062" spans="1:12" x14ac:dyDescent="0.25">
      <c r="A1062" s="1">
        <f t="shared" si="53"/>
        <v>45505</v>
      </c>
      <c r="B1062" s="31">
        <f>TIME(15,15,0)</f>
        <v>0.63541666666666663</v>
      </c>
      <c r="C1062" t="str">
        <f>Inventory!A121</f>
        <v>Banana</v>
      </c>
      <c r="D1062" s="27">
        <v>3</v>
      </c>
      <c r="E1062" s="5">
        <f>Table4[[#This Row],[qty]]*(VLOOKUP(Table4[[#This Row],[item_sold]],Table6[],4,FALSE))</f>
        <v>30</v>
      </c>
      <c r="F1062" s="5">
        <f>(VLOOKUP(Table4[[#This Row],[item_sold]],Table6[],3,FALSE))*Table4[[#This Row],[qty]]</f>
        <v>25</v>
      </c>
      <c r="G1062" s="5">
        <f t="shared" si="54"/>
        <v>5</v>
      </c>
      <c r="H1062" t="s">
        <v>361</v>
      </c>
    </row>
    <row r="1063" spans="1:12" x14ac:dyDescent="0.25">
      <c r="A1063" s="1">
        <f t="shared" si="53"/>
        <v>45505</v>
      </c>
      <c r="B1063" s="31">
        <f>TIME(15,18,0)</f>
        <v>0.63750000000000007</v>
      </c>
      <c r="C1063" t="str">
        <f>Inventory!A187</f>
        <v>action</v>
      </c>
      <c r="D1063" s="27">
        <v>1</v>
      </c>
      <c r="E1063" s="5">
        <f>Table4[[#This Row],[qty]]*(VLOOKUP(Table4[[#This Row],[item_sold]],Table6[],4,FALSE))</f>
        <v>10</v>
      </c>
      <c r="F1063" s="5">
        <f>(VLOOKUP(Table4[[#This Row],[item_sold]],Table6[],3,FALSE))*Table4[[#This Row],[qty]]</f>
        <v>6</v>
      </c>
      <c r="G1063" s="5">
        <f t="shared" si="54"/>
        <v>4</v>
      </c>
      <c r="H1063" t="s">
        <v>247</v>
      </c>
    </row>
    <row r="1064" spans="1:12" x14ac:dyDescent="0.25">
      <c r="A1064" s="1">
        <f t="shared" si="53"/>
        <v>45505</v>
      </c>
      <c r="B1064" s="31">
        <f>TIME(15,18,0)</f>
        <v>0.63750000000000007</v>
      </c>
      <c r="C1064" t="str">
        <f>Inventory!A161</f>
        <v>Ndimu</v>
      </c>
      <c r="D1064" s="27">
        <v>1</v>
      </c>
      <c r="E1064" s="5">
        <f>Table4[[#This Row],[qty]]*(VLOOKUP(Table4[[#This Row],[item_sold]],Table6[],4,FALSE))</f>
        <v>20</v>
      </c>
      <c r="F1064" s="5">
        <f>(VLOOKUP(Table4[[#This Row],[item_sold]],Table6[],3,FALSE))*Table4[[#This Row],[qty]]</f>
        <v>8.3333333333333339</v>
      </c>
      <c r="G1064" s="5">
        <f t="shared" ref="G1064:G1101" si="57">E1064-F1064</f>
        <v>11.666666666666666</v>
      </c>
      <c r="H1064" t="s">
        <v>247</v>
      </c>
    </row>
    <row r="1065" spans="1:12" x14ac:dyDescent="0.25">
      <c r="A1065" s="1">
        <f t="shared" si="53"/>
        <v>45505</v>
      </c>
      <c r="B1065" s="31">
        <f>TIME(15,23,0)</f>
        <v>0.64097222222222217</v>
      </c>
      <c r="D1065" s="27"/>
      <c r="F1065" s="5"/>
      <c r="J1065" t="s">
        <v>412</v>
      </c>
      <c r="K1065">
        <v>1080</v>
      </c>
      <c r="L1065" t="s">
        <v>361</v>
      </c>
    </row>
    <row r="1066" spans="1:12" x14ac:dyDescent="0.25">
      <c r="A1066" s="1">
        <f t="shared" si="53"/>
        <v>45505</v>
      </c>
      <c r="B1066" s="31">
        <f>TIME(15,51,0)</f>
        <v>0.66041666666666665</v>
      </c>
      <c r="C1066" t="str">
        <f>Inventory!A39</f>
        <v>T.Heat Potato crisps vinegar and salt 25g</v>
      </c>
      <c r="D1066" s="27">
        <v>2</v>
      </c>
      <c r="E1066" s="5">
        <f>Table4[[#This Row],[qty]]*(VLOOKUP(Table4[[#This Row],[item_sold]],Table6[],4,FALSE))</f>
        <v>60</v>
      </c>
      <c r="F1066" s="5">
        <f>(VLOOKUP(Table4[[#This Row],[item_sold]],Table6[],3,FALSE))*Table4[[#This Row],[qty]]</f>
        <v>45.833333333333336</v>
      </c>
      <c r="G1066" s="5">
        <f t="shared" si="57"/>
        <v>14.166666666666664</v>
      </c>
      <c r="H1066" t="s">
        <v>247</v>
      </c>
    </row>
    <row r="1067" spans="1:12" x14ac:dyDescent="0.25">
      <c r="A1067" s="1">
        <f t="shared" si="53"/>
        <v>45505</v>
      </c>
      <c r="B1067" s="31">
        <f>TIME(15,51,0)</f>
        <v>0.66041666666666665</v>
      </c>
      <c r="C1067" t="str">
        <f>Inventory!A58</f>
        <v>Patco</v>
      </c>
      <c r="D1067" s="27">
        <v>4</v>
      </c>
      <c r="E1067" s="5">
        <f>Table4[[#This Row],[qty]]*(VLOOKUP(Table4[[#This Row],[item_sold]],Table6[],4,FALSE))</f>
        <v>10</v>
      </c>
      <c r="F1067" s="5">
        <f>(VLOOKUP(Table4[[#This Row],[item_sold]],Table6[],3,FALSE))*Table4[[#This Row],[qty]]</f>
        <v>4.8</v>
      </c>
      <c r="G1067" s="5">
        <f t="shared" si="57"/>
        <v>5.2</v>
      </c>
      <c r="H1067" t="s">
        <v>247</v>
      </c>
    </row>
    <row r="1068" spans="1:12" x14ac:dyDescent="0.25">
      <c r="A1068" s="1">
        <f t="shared" si="53"/>
        <v>45505</v>
      </c>
      <c r="B1068" s="31">
        <f>TIME(15,51,0)</f>
        <v>0.66041666666666665</v>
      </c>
      <c r="C1068" t="str">
        <f>Inventory!A59</f>
        <v>coo</v>
      </c>
      <c r="D1068" s="27">
        <v>4</v>
      </c>
      <c r="E1068" s="5">
        <f>Table4[[#This Row],[qty]]*(VLOOKUP(Table4[[#This Row],[item_sold]],Table6[],4,FALSE))</f>
        <v>10</v>
      </c>
      <c r="F1068" s="5">
        <f>(VLOOKUP(Table4[[#This Row],[item_sold]],Table6[],3,FALSE))*Table4[[#This Row],[qty]]</f>
        <v>4.8</v>
      </c>
      <c r="G1068" s="5">
        <f t="shared" si="57"/>
        <v>5.2</v>
      </c>
      <c r="H1068" t="s">
        <v>247</v>
      </c>
    </row>
    <row r="1069" spans="1:12" x14ac:dyDescent="0.25">
      <c r="A1069" s="1">
        <f t="shared" si="53"/>
        <v>45505</v>
      </c>
      <c r="B1069" s="31">
        <f>TIME(15,51,0)</f>
        <v>0.66041666666666665</v>
      </c>
      <c r="C1069" t="str">
        <f>Inventory!A40</f>
        <v>Glucose 10g</v>
      </c>
      <c r="D1069" s="27">
        <v>2</v>
      </c>
      <c r="E1069" s="5">
        <f>Table4[[#This Row],[qty]]*(VLOOKUP(Table4[[#This Row],[item_sold]],Table6[],4,FALSE))</f>
        <v>10</v>
      </c>
      <c r="F1069" s="5">
        <f>(VLOOKUP(Table4[[#This Row],[item_sold]],Table6[],3,FALSE))*Table4[[#This Row],[qty]]</f>
        <v>7.5</v>
      </c>
      <c r="G1069" s="5">
        <f t="shared" si="57"/>
        <v>2.5</v>
      </c>
      <c r="H1069" t="s">
        <v>247</v>
      </c>
    </row>
    <row r="1070" spans="1:12" x14ac:dyDescent="0.25">
      <c r="A1070" s="1">
        <f t="shared" si="53"/>
        <v>45505</v>
      </c>
      <c r="B1070" s="31">
        <f>TIME(15,51,0)</f>
        <v>0.66041666666666665</v>
      </c>
      <c r="C1070" t="str">
        <f>Inventory!A61</f>
        <v>Bigdaddy</v>
      </c>
      <c r="D1070" s="27">
        <v>1</v>
      </c>
      <c r="E1070" s="5">
        <f>Table4[[#This Row],[qty]]*(VLOOKUP(Table4[[#This Row],[item_sold]],Table6[],4,FALSE))</f>
        <v>10</v>
      </c>
      <c r="F1070" s="5">
        <f>(VLOOKUP(Table4[[#This Row],[item_sold]],Table6[],3,FALSE))*Table4[[#This Row],[qty]]</f>
        <v>6</v>
      </c>
      <c r="G1070" s="5">
        <f t="shared" si="57"/>
        <v>4</v>
      </c>
      <c r="H1070" t="s">
        <v>247</v>
      </c>
    </row>
    <row r="1071" spans="1:12" x14ac:dyDescent="0.25">
      <c r="A1071" s="1">
        <f t="shared" si="53"/>
        <v>45505</v>
      </c>
      <c r="B1071" s="31">
        <f>TIME(15,58,0)</f>
        <v>0.66527777777777775</v>
      </c>
      <c r="D1071" s="27"/>
      <c r="F1071" s="5"/>
      <c r="J1071" t="s">
        <v>389</v>
      </c>
      <c r="K1071">
        <v>450</v>
      </c>
      <c r="L1071" t="s">
        <v>361</v>
      </c>
    </row>
    <row r="1072" spans="1:12" x14ac:dyDescent="0.25">
      <c r="A1072" s="1">
        <f t="shared" si="53"/>
        <v>45505</v>
      </c>
      <c r="B1072" s="31">
        <f>TIME(16,4,0)</f>
        <v>0.6694444444444444</v>
      </c>
      <c r="C1072" t="str">
        <f>Inventory!A122</f>
        <v>Kinangop Fresh Milk 500ml</v>
      </c>
      <c r="D1072" s="27">
        <v>3</v>
      </c>
      <c r="E1072" s="5">
        <f>Table4[[#This Row],[qty]]*(VLOOKUP(Table4[[#This Row],[item_sold]],Table6[],4,FALSE))</f>
        <v>180</v>
      </c>
      <c r="F1072" s="5">
        <f>(VLOOKUP(Table4[[#This Row],[item_sold]],Table6[],3,FALSE))*Table4[[#This Row],[qty]]</f>
        <v>165</v>
      </c>
      <c r="G1072" s="5">
        <f t="shared" si="57"/>
        <v>15</v>
      </c>
      <c r="H1072" t="s">
        <v>247</v>
      </c>
    </row>
    <row r="1073" spans="1:8" x14ac:dyDescent="0.25">
      <c r="A1073" s="1">
        <f t="shared" si="53"/>
        <v>45505</v>
      </c>
      <c r="B1073" s="31">
        <f>TIME(16,55,0)</f>
        <v>0.70486111111111116</v>
      </c>
      <c r="C1073" t="str">
        <f>Inventory!A2</f>
        <v>5ltrs water</v>
      </c>
      <c r="D1073" s="27">
        <v>1</v>
      </c>
      <c r="E1073" s="5">
        <f>Table4[[#This Row],[qty]]*(VLOOKUP(Table4[[#This Row],[item_sold]],Table6[],4,FALSE))</f>
        <v>120</v>
      </c>
      <c r="F1073" s="5">
        <f>(VLOOKUP(Table4[[#This Row],[item_sold]],Table6[],3,FALSE))*Table4[[#This Row],[qty]]</f>
        <v>75</v>
      </c>
      <c r="G1073" s="5">
        <f t="shared" si="57"/>
        <v>45</v>
      </c>
      <c r="H1073" t="s">
        <v>361</v>
      </c>
    </row>
    <row r="1074" spans="1:8" x14ac:dyDescent="0.25">
      <c r="A1074" s="1">
        <f t="shared" si="53"/>
        <v>45505</v>
      </c>
      <c r="B1074" s="31">
        <f>TIME(16,56,0)</f>
        <v>0.7055555555555556</v>
      </c>
      <c r="C1074" t="str">
        <f>Inventory!A81</f>
        <v>eggs</v>
      </c>
      <c r="D1074" s="27">
        <v>1</v>
      </c>
      <c r="E1074" s="5">
        <f>Table4[[#This Row],[qty]]*(VLOOKUP(Table4[[#This Row],[item_sold]],Table6[],4,FALSE))</f>
        <v>20</v>
      </c>
      <c r="F1074" s="5">
        <f>(VLOOKUP(Table4[[#This Row],[item_sold]],Table6[],3,FALSE))*Table4[[#This Row],[qty]]</f>
        <v>14.333333333333334</v>
      </c>
      <c r="G1074" s="5">
        <f t="shared" si="57"/>
        <v>5.6666666666666661</v>
      </c>
      <c r="H1074" t="s">
        <v>361</v>
      </c>
    </row>
    <row r="1075" spans="1:8" x14ac:dyDescent="0.25">
      <c r="A1075" s="1">
        <f t="shared" si="53"/>
        <v>45505</v>
      </c>
      <c r="B1075" s="31">
        <f>TIME(17,8,0)</f>
        <v>0.71388888888888891</v>
      </c>
      <c r="C1075" t="str">
        <f>Inventory!A3</f>
        <v>1.5ltrs water</v>
      </c>
      <c r="D1075" s="27">
        <v>1</v>
      </c>
      <c r="E1075" s="5">
        <f>Table4[[#This Row],[qty]]*(VLOOKUP(Table4[[#This Row],[item_sold]],Table6[],4,FALSE))</f>
        <v>70</v>
      </c>
      <c r="F1075" s="5">
        <f>(VLOOKUP(Table4[[#This Row],[item_sold]],Table6[],3,FALSE))*Table4[[#This Row],[qty]]</f>
        <v>25</v>
      </c>
      <c r="G1075" s="5">
        <f t="shared" si="57"/>
        <v>45</v>
      </c>
      <c r="H1075" t="s">
        <v>361</v>
      </c>
    </row>
    <row r="1076" spans="1:8" x14ac:dyDescent="0.25">
      <c r="A1076" s="1">
        <f t="shared" ref="A1076:A1105" si="58">DATE(2024,8,1)</f>
        <v>45505</v>
      </c>
      <c r="B1076" s="31">
        <f>TIME(17,16,0)</f>
        <v>0.71944444444444444</v>
      </c>
      <c r="C1076" t="str">
        <f>Inventory!A4</f>
        <v>300ml water</v>
      </c>
      <c r="D1076" s="27">
        <v>1</v>
      </c>
      <c r="E1076" s="5">
        <f>Table4[[#This Row],[qty]]*(VLOOKUP(Table4[[#This Row],[item_sold]],Table6[],4,FALSE))</f>
        <v>30</v>
      </c>
      <c r="F1076" s="5">
        <f>(VLOOKUP(Table4[[#This Row],[item_sold]],Table6[],3,FALSE))*Table4[[#This Row],[qty]]</f>
        <v>12.5</v>
      </c>
      <c r="G1076" s="5">
        <f t="shared" si="57"/>
        <v>17.5</v>
      </c>
      <c r="H1076" t="s">
        <v>247</v>
      </c>
    </row>
    <row r="1077" spans="1:8" x14ac:dyDescent="0.25">
      <c r="A1077" s="1">
        <f t="shared" si="58"/>
        <v>45505</v>
      </c>
      <c r="B1077" s="31">
        <f>TIME(17,16,0)</f>
        <v>0.71944444444444444</v>
      </c>
      <c r="C1077" t="str">
        <f>Inventory!A95</f>
        <v>Poa Pekee Tissue</v>
      </c>
      <c r="D1077" s="27">
        <v>1</v>
      </c>
      <c r="E1077" s="5">
        <f>Table4[[#This Row],[qty]]*(VLOOKUP(Table4[[#This Row],[item_sold]],Table6[],4,FALSE))</f>
        <v>30</v>
      </c>
      <c r="F1077" s="5">
        <f>(VLOOKUP(Table4[[#This Row],[item_sold]],Table6[],3,FALSE))*Table4[[#This Row],[qty]]</f>
        <v>13.333333333333334</v>
      </c>
      <c r="G1077" s="5">
        <f t="shared" si="57"/>
        <v>16.666666666666664</v>
      </c>
      <c r="H1077" t="s">
        <v>247</v>
      </c>
    </row>
    <row r="1078" spans="1:8" x14ac:dyDescent="0.25">
      <c r="A1078" s="1">
        <f t="shared" si="58"/>
        <v>45505</v>
      </c>
      <c r="B1078" s="31">
        <f>TIME(17,38,0)</f>
        <v>0.73472222222222217</v>
      </c>
      <c r="C1078" t="str">
        <f>Inventory!A65</f>
        <v>Tropical</v>
      </c>
      <c r="D1078" s="27">
        <v>10</v>
      </c>
      <c r="E1078" s="5">
        <f>Table4[[#This Row],[qty]]*(VLOOKUP(Table4[[#This Row],[item_sold]],Table6[],4,FALSE))</f>
        <v>50</v>
      </c>
      <c r="F1078" s="5">
        <f>(VLOOKUP(Table4[[#This Row],[item_sold]],Table6[],3,FALSE))*Table4[[#This Row],[qty]]</f>
        <v>15</v>
      </c>
      <c r="G1078" s="5">
        <f t="shared" si="57"/>
        <v>35</v>
      </c>
      <c r="H1078" t="s">
        <v>247</v>
      </c>
    </row>
    <row r="1079" spans="1:8" x14ac:dyDescent="0.25">
      <c r="A1079" s="1">
        <f t="shared" si="58"/>
        <v>45505</v>
      </c>
      <c r="B1079" s="31">
        <f>TIME(17,38,0)</f>
        <v>0.73472222222222217</v>
      </c>
      <c r="C1079" t="str">
        <f>Inventory!A46</f>
        <v>Nuvita Bisquit</v>
      </c>
      <c r="D1079" s="27">
        <v>10</v>
      </c>
      <c r="E1079" s="5">
        <f>Table4[[#This Row],[qty]]*(VLOOKUP(Table4[[#This Row],[item_sold]],Table6[],4,FALSE))</f>
        <v>50</v>
      </c>
      <c r="F1079" s="5">
        <f>(VLOOKUP(Table4[[#This Row],[item_sold]],Table6[],3,FALSE))*Table4[[#This Row],[qty]]</f>
        <v>41.666666666666671</v>
      </c>
      <c r="G1079" s="5">
        <f t="shared" si="57"/>
        <v>8.3333333333333286</v>
      </c>
      <c r="H1079" t="s">
        <v>247</v>
      </c>
    </row>
    <row r="1080" spans="1:8" x14ac:dyDescent="0.25">
      <c r="A1080" s="1">
        <f t="shared" si="58"/>
        <v>45505</v>
      </c>
      <c r="B1080" s="31">
        <f>TIME(18,1,0)</f>
        <v>0.75069444444444444</v>
      </c>
      <c r="C1080" t="str">
        <f>Inventory!A61</f>
        <v>Bigdaddy</v>
      </c>
      <c r="D1080" s="27">
        <v>2</v>
      </c>
      <c r="E1080" s="5">
        <f>Table4[[#This Row],[qty]]*(VLOOKUP(Table4[[#This Row],[item_sold]],Table6[],4,FALSE))</f>
        <v>20</v>
      </c>
      <c r="F1080" s="5">
        <f>(VLOOKUP(Table4[[#This Row],[item_sold]],Table6[],3,FALSE))*Table4[[#This Row],[qty]]</f>
        <v>12</v>
      </c>
      <c r="G1080" s="5">
        <f t="shared" si="57"/>
        <v>8</v>
      </c>
      <c r="H1080" t="s">
        <v>247</v>
      </c>
    </row>
    <row r="1081" spans="1:8" x14ac:dyDescent="0.25">
      <c r="A1081" s="1">
        <f t="shared" si="58"/>
        <v>45505</v>
      </c>
      <c r="B1081" s="31">
        <f>TIME(18,1,0)</f>
        <v>0.75069444444444444</v>
      </c>
      <c r="C1081" t="str">
        <f>Inventory!A46</f>
        <v>Nuvita Bisquit</v>
      </c>
      <c r="D1081" s="27">
        <v>2</v>
      </c>
      <c r="E1081" s="5">
        <f>Table4[[#This Row],[qty]]*(VLOOKUP(Table4[[#This Row],[item_sold]],Table6[],4,FALSE))</f>
        <v>10</v>
      </c>
      <c r="F1081" s="5">
        <f>(VLOOKUP(Table4[[#This Row],[item_sold]],Table6[],3,FALSE))*Table4[[#This Row],[qty]]</f>
        <v>8.3333333333333339</v>
      </c>
      <c r="G1081" s="5">
        <f t="shared" si="57"/>
        <v>1.6666666666666661</v>
      </c>
      <c r="H1081" t="s">
        <v>247</v>
      </c>
    </row>
    <row r="1082" spans="1:8" x14ac:dyDescent="0.25">
      <c r="A1082" s="1">
        <f t="shared" si="58"/>
        <v>45505</v>
      </c>
      <c r="B1082" s="31">
        <f>TIME(18,14,0)</f>
        <v>0.7597222222222223</v>
      </c>
      <c r="C1082" t="str">
        <f>Inventory!A68</f>
        <v>scooter cans</v>
      </c>
      <c r="D1082" s="27">
        <v>3</v>
      </c>
      <c r="E1082" s="5">
        <f>Table4[[#This Row],[qty]]*(VLOOKUP(Table4[[#This Row],[item_sold]],Table6[],4,FALSE))</f>
        <v>60</v>
      </c>
      <c r="F1082" s="5">
        <f>(VLOOKUP(Table4[[#This Row],[item_sold]],Table6[],3,FALSE))*Table4[[#This Row],[qty]]</f>
        <v>45</v>
      </c>
      <c r="G1082" s="5">
        <f t="shared" si="57"/>
        <v>15</v>
      </c>
      <c r="H1082" t="s">
        <v>247</v>
      </c>
    </row>
    <row r="1083" spans="1:8" x14ac:dyDescent="0.25">
      <c r="A1083" s="1">
        <f t="shared" si="58"/>
        <v>45505</v>
      </c>
      <c r="B1083" s="31">
        <f>TIME(18,14,0)</f>
        <v>0.7597222222222223</v>
      </c>
      <c r="C1083" t="str">
        <f>Inventory!A76</f>
        <v>kensalt 1kg</v>
      </c>
      <c r="D1083" s="27">
        <v>1</v>
      </c>
      <c r="E1083" s="5">
        <f>Table4[[#This Row],[qty]]*(VLOOKUP(Table4[[#This Row],[item_sold]],Table6[],4,FALSE))</f>
        <v>50</v>
      </c>
      <c r="F1083" s="5">
        <f>(VLOOKUP(Table4[[#This Row],[item_sold]],Table6[],3,FALSE))*Table4[[#This Row],[qty]]</f>
        <v>35</v>
      </c>
      <c r="G1083" s="5">
        <f t="shared" si="57"/>
        <v>15</v>
      </c>
      <c r="H1083" t="s">
        <v>247</v>
      </c>
    </row>
    <row r="1084" spans="1:8" x14ac:dyDescent="0.25">
      <c r="A1084" s="1">
        <f t="shared" si="58"/>
        <v>45505</v>
      </c>
      <c r="B1084" s="31">
        <f>TIME(18,14,0)</f>
        <v>0.7597222222222223</v>
      </c>
      <c r="C1084" t="str">
        <f>Inventory!A135</f>
        <v>Safaricom 20 Credit</v>
      </c>
      <c r="D1084" s="27">
        <v>1</v>
      </c>
      <c r="E1084" s="5">
        <f>Table4[[#This Row],[qty]]*(VLOOKUP(Table4[[#This Row],[item_sold]],Table6[],4,FALSE))</f>
        <v>20</v>
      </c>
      <c r="F1084" s="5">
        <f>(VLOOKUP(Table4[[#This Row],[item_sold]],Table6[],3,FALSE))*Table4[[#This Row],[qty]]</f>
        <v>18</v>
      </c>
      <c r="G1084" s="5">
        <f t="shared" si="57"/>
        <v>2</v>
      </c>
      <c r="H1084" t="s">
        <v>247</v>
      </c>
    </row>
    <row r="1085" spans="1:8" x14ac:dyDescent="0.25">
      <c r="A1085" s="1">
        <f t="shared" si="58"/>
        <v>45505</v>
      </c>
      <c r="B1085" s="31">
        <f>TIME(18,21,0)</f>
        <v>0.76458333333333339</v>
      </c>
      <c r="C1085" t="str">
        <f>Inventory!A61</f>
        <v>Bigdaddy</v>
      </c>
      <c r="D1085" s="27">
        <v>2</v>
      </c>
      <c r="E1085" s="5">
        <f>Table4[[#This Row],[qty]]*(VLOOKUP(Table4[[#This Row],[item_sold]],Table6[],4,FALSE))</f>
        <v>20</v>
      </c>
      <c r="F1085" s="5">
        <f>(VLOOKUP(Table4[[#This Row],[item_sold]],Table6[],3,FALSE))*Table4[[#This Row],[qty]]</f>
        <v>12</v>
      </c>
      <c r="G1085" s="5">
        <f t="shared" si="57"/>
        <v>8</v>
      </c>
      <c r="H1085" t="s">
        <v>247</v>
      </c>
    </row>
    <row r="1086" spans="1:8" x14ac:dyDescent="0.25">
      <c r="A1086" s="1">
        <f t="shared" si="58"/>
        <v>45505</v>
      </c>
      <c r="B1086" s="31">
        <f>TIME(18,21,0)</f>
        <v>0.76458333333333339</v>
      </c>
      <c r="C1086" t="str">
        <f>Inventory!A40</f>
        <v>Glucose 10g</v>
      </c>
      <c r="D1086" s="27">
        <v>1</v>
      </c>
      <c r="E1086" s="5">
        <f>Table4[[#This Row],[qty]]*(VLOOKUP(Table4[[#This Row],[item_sold]],Table6[],4,FALSE))</f>
        <v>5</v>
      </c>
      <c r="F1086" s="5">
        <f>(VLOOKUP(Table4[[#This Row],[item_sold]],Table6[],3,FALSE))*Table4[[#This Row],[qty]]</f>
        <v>3.75</v>
      </c>
      <c r="G1086" s="5">
        <f t="shared" si="57"/>
        <v>1.25</v>
      </c>
      <c r="H1086" t="s">
        <v>247</v>
      </c>
    </row>
    <row r="1087" spans="1:8" x14ac:dyDescent="0.25">
      <c r="A1087" s="1">
        <f t="shared" si="58"/>
        <v>45505</v>
      </c>
      <c r="B1087" s="31">
        <f>TIME(18,30,0)</f>
        <v>0.77083333333333337</v>
      </c>
      <c r="C1087" t="str">
        <f>Inventory!A32</f>
        <v>Festive 600g</v>
      </c>
      <c r="D1087" s="27">
        <v>1</v>
      </c>
      <c r="E1087" s="5">
        <f>Table4[[#This Row],[qty]]*(VLOOKUP(Table4[[#This Row],[item_sold]],Table6[],4,FALSE))</f>
        <v>100</v>
      </c>
      <c r="F1087" s="5">
        <f>(VLOOKUP(Table4[[#This Row],[item_sold]],Table6[],3,FALSE))*Table4[[#This Row],[qty]]</f>
        <v>90</v>
      </c>
      <c r="G1087" s="5">
        <f t="shared" si="57"/>
        <v>10</v>
      </c>
      <c r="H1087" t="s">
        <v>247</v>
      </c>
    </row>
    <row r="1088" spans="1:8" x14ac:dyDescent="0.25">
      <c r="A1088" s="1">
        <f t="shared" si="58"/>
        <v>45505</v>
      </c>
      <c r="B1088" s="31">
        <f>TIME(18,41,0)</f>
        <v>0.77847222222222223</v>
      </c>
      <c r="C1088" t="str">
        <f>Inventory!A188</f>
        <v>pens</v>
      </c>
      <c r="D1088" s="27">
        <v>1</v>
      </c>
      <c r="E1088" s="5">
        <f>Table4[[#This Row],[qty]]*(VLOOKUP(Table4[[#This Row],[item_sold]],Table6[],4,FALSE))</f>
        <v>10</v>
      </c>
      <c r="F1088" s="5">
        <f>(VLOOKUP(Table4[[#This Row],[item_sold]],Table6[],3,FALSE))*Table4[[#This Row],[qty]]</f>
        <v>6</v>
      </c>
      <c r="G1088" s="5">
        <f t="shared" si="57"/>
        <v>4</v>
      </c>
      <c r="H1088" t="s">
        <v>247</v>
      </c>
    </row>
    <row r="1089" spans="1:12" x14ac:dyDescent="0.25">
      <c r="A1089" s="1">
        <f t="shared" si="58"/>
        <v>45505</v>
      </c>
      <c r="B1089" s="31">
        <f>TIME(18,41,0)</f>
        <v>0.77847222222222223</v>
      </c>
      <c r="C1089" t="str">
        <f>Inventory!A46</f>
        <v>Nuvita Bisquit</v>
      </c>
      <c r="D1089" s="27">
        <v>2</v>
      </c>
      <c r="E1089" s="5">
        <f>Table4[[#This Row],[qty]]*(VLOOKUP(Table4[[#This Row],[item_sold]],Table6[],4,FALSE))</f>
        <v>10</v>
      </c>
      <c r="F1089" s="5">
        <f>(VLOOKUP(Table4[[#This Row],[item_sold]],Table6[],3,FALSE))*Table4[[#This Row],[qty]]</f>
        <v>8.3333333333333339</v>
      </c>
      <c r="G1089" s="5">
        <f t="shared" si="57"/>
        <v>1.6666666666666661</v>
      </c>
      <c r="H1089" t="s">
        <v>247</v>
      </c>
    </row>
    <row r="1090" spans="1:12" x14ac:dyDescent="0.25">
      <c r="A1090" s="1">
        <f t="shared" si="58"/>
        <v>45505</v>
      </c>
      <c r="B1090" s="31">
        <f>TIME(19,0,0)</f>
        <v>0.79166666666666663</v>
      </c>
      <c r="C1090" t="str">
        <f>Inventory!A154</f>
        <v>waru</v>
      </c>
      <c r="D1090" s="27">
        <v>1</v>
      </c>
      <c r="E1090" s="5">
        <f>Table4[[#This Row],[qty]]*(VLOOKUP(Table4[[#This Row],[item_sold]],Table6[],4,FALSE))</f>
        <v>50</v>
      </c>
      <c r="F1090" s="5">
        <f>(VLOOKUP(Table4[[#This Row],[item_sold]],Table6[],3,FALSE))*Table4[[#This Row],[qty]]</f>
        <v>29.999999999999996</v>
      </c>
      <c r="G1090" s="5">
        <f t="shared" si="57"/>
        <v>20.000000000000004</v>
      </c>
      <c r="H1090" t="s">
        <v>361</v>
      </c>
    </row>
    <row r="1091" spans="1:12" x14ac:dyDescent="0.25">
      <c r="A1091" s="1">
        <f t="shared" si="58"/>
        <v>45505</v>
      </c>
      <c r="B1091" s="31">
        <f>TIME(19,0,0)</f>
        <v>0.79166666666666663</v>
      </c>
      <c r="C1091" t="str">
        <f>Inventory!A176</f>
        <v>hoho</v>
      </c>
      <c r="D1091" s="27">
        <v>2</v>
      </c>
      <c r="E1091" s="5">
        <f>Table4[[#This Row],[qty]]*(VLOOKUP(Table4[[#This Row],[item_sold]],Table6[],4,FALSE))</f>
        <v>20</v>
      </c>
      <c r="F1091" s="5">
        <f>(VLOOKUP(Table4[[#This Row],[item_sold]],Table6[],3,FALSE))*Table4[[#This Row],[qty]]</f>
        <v>13.333333333333334</v>
      </c>
      <c r="G1091" s="5">
        <f t="shared" si="57"/>
        <v>6.6666666666666661</v>
      </c>
      <c r="H1091" t="s">
        <v>361</v>
      </c>
    </row>
    <row r="1092" spans="1:12" x14ac:dyDescent="0.25">
      <c r="A1092" s="1">
        <f t="shared" si="58"/>
        <v>45505</v>
      </c>
      <c r="B1092" s="31">
        <f>TIME(19,0,0)</f>
        <v>0.79166666666666663</v>
      </c>
      <c r="C1092" t="str">
        <f>Inventory!A125</f>
        <v>Dhania</v>
      </c>
      <c r="D1092" s="27">
        <v>1</v>
      </c>
      <c r="E1092" s="5">
        <f>Table4[[#This Row],[qty]]*(VLOOKUP(Table4[[#This Row],[item_sold]],Table6[],4,FALSE))</f>
        <v>5</v>
      </c>
      <c r="F1092" s="5">
        <f>(VLOOKUP(Table4[[#This Row],[item_sold]],Table6[],3,FALSE))*Table4[[#This Row],[qty]]</f>
        <v>3.3333333333333335</v>
      </c>
      <c r="G1092" s="5">
        <f t="shared" si="57"/>
        <v>1.6666666666666665</v>
      </c>
      <c r="H1092" t="s">
        <v>361</v>
      </c>
    </row>
    <row r="1093" spans="1:12" x14ac:dyDescent="0.25">
      <c r="A1093" s="1">
        <f t="shared" si="58"/>
        <v>45505</v>
      </c>
      <c r="B1093" s="31">
        <f>TIME(19,1,0)</f>
        <v>0.79236111111111107</v>
      </c>
      <c r="C1093" t="str">
        <f>Inventory!A140</f>
        <v>Airtel 50 Credit</v>
      </c>
      <c r="D1093" s="27">
        <v>1</v>
      </c>
      <c r="E1093" s="5">
        <f>Table4[[#This Row],[qty]]*(VLOOKUP(Table4[[#This Row],[item_sold]],Table6[],4,FALSE))</f>
        <v>50</v>
      </c>
      <c r="F1093" s="5">
        <f>(VLOOKUP(Table4[[#This Row],[item_sold]],Table6[],3,FALSE))*Table4[[#This Row],[qty]]</f>
        <v>47</v>
      </c>
      <c r="G1093" s="5">
        <f t="shared" si="57"/>
        <v>3</v>
      </c>
      <c r="H1093" t="s">
        <v>247</v>
      </c>
    </row>
    <row r="1094" spans="1:12" x14ac:dyDescent="0.25">
      <c r="A1094" s="1">
        <f t="shared" si="58"/>
        <v>45505</v>
      </c>
      <c r="B1094" s="31">
        <f>TIME(19,13,0)</f>
        <v>0.80069444444444438</v>
      </c>
      <c r="C1094" t="str">
        <f>Inventory!A116</f>
        <v>Tomatoes</v>
      </c>
      <c r="D1094" s="27">
        <v>5</v>
      </c>
      <c r="E1094" s="5">
        <f>Table4[[#This Row],[qty]]*(VLOOKUP(Table4[[#This Row],[item_sold]],Table6[],4,FALSE))</f>
        <v>50</v>
      </c>
      <c r="F1094" s="5">
        <f>(VLOOKUP(Table4[[#This Row],[item_sold]],Table6[],3,FALSE))*Table4[[#This Row],[qty]]</f>
        <v>25</v>
      </c>
      <c r="G1094" s="5">
        <f t="shared" si="57"/>
        <v>25</v>
      </c>
      <c r="H1094" t="s">
        <v>359</v>
      </c>
      <c r="I1094" t="s">
        <v>389</v>
      </c>
    </row>
    <row r="1095" spans="1:12" x14ac:dyDescent="0.25">
      <c r="A1095" s="1">
        <f t="shared" si="58"/>
        <v>45505</v>
      </c>
      <c r="B1095" s="31">
        <f>TIME(19,13,0)</f>
        <v>0.80069444444444438</v>
      </c>
      <c r="C1095" t="str">
        <f>Inventory!A81</f>
        <v>eggs</v>
      </c>
      <c r="D1095" s="27">
        <v>5</v>
      </c>
      <c r="E1095" s="5">
        <f>Table4[[#This Row],[qty]]*(VLOOKUP(Table4[[#This Row],[item_sold]],Table6[],4,FALSE))</f>
        <v>100</v>
      </c>
      <c r="F1095" s="5">
        <f>(VLOOKUP(Table4[[#This Row],[item_sold]],Table6[],3,FALSE))*Table4[[#This Row],[qty]]</f>
        <v>71.666666666666671</v>
      </c>
      <c r="G1095" s="5">
        <f t="shared" si="57"/>
        <v>28.333333333333329</v>
      </c>
      <c r="H1095" t="s">
        <v>359</v>
      </c>
      <c r="I1095" t="s">
        <v>389</v>
      </c>
    </row>
    <row r="1096" spans="1:12" x14ac:dyDescent="0.25">
      <c r="A1096" s="1">
        <f t="shared" si="58"/>
        <v>45505</v>
      </c>
      <c r="B1096" s="31">
        <f>TIME(19,15,0)</f>
        <v>0.80208333333333337</v>
      </c>
      <c r="C1096" t="str">
        <f>Inventory!A119</f>
        <v>Magadi</v>
      </c>
      <c r="D1096" s="27">
        <v>2</v>
      </c>
      <c r="E1096" s="5">
        <f>Table4[[#This Row],[qty]]*(VLOOKUP(Table4[[#This Row],[item_sold]],Table6[],4,FALSE))</f>
        <v>10</v>
      </c>
      <c r="F1096" s="5">
        <f>(VLOOKUP(Table4[[#This Row],[item_sold]],Table6[],3,FALSE))*Table4[[#This Row],[qty]]</f>
        <v>6</v>
      </c>
      <c r="G1096" s="5">
        <f t="shared" si="57"/>
        <v>4</v>
      </c>
      <c r="H1096" t="s">
        <v>247</v>
      </c>
    </row>
    <row r="1097" spans="1:12" x14ac:dyDescent="0.25">
      <c r="A1097" s="1">
        <f t="shared" si="58"/>
        <v>45505</v>
      </c>
      <c r="B1097" s="31">
        <f>TIME(19,29,0)</f>
        <v>0.81180555555555556</v>
      </c>
      <c r="C1097" t="str">
        <f>Inventory!A89</f>
        <v>Tukuza 1kg</v>
      </c>
      <c r="D1097" s="27">
        <v>1</v>
      </c>
      <c r="E1097" s="5">
        <f>Table4[[#This Row],[qty]]*(VLOOKUP(Table4[[#This Row],[item_sold]],Table6[],4,FALSE))</f>
        <v>90</v>
      </c>
      <c r="F1097" s="5">
        <f>(VLOOKUP(Table4[[#This Row],[item_sold]],Table6[],3,FALSE))*Table4[[#This Row],[qty]]</f>
        <v>61.25</v>
      </c>
      <c r="G1097" s="5">
        <f t="shared" si="57"/>
        <v>28.75</v>
      </c>
      <c r="H1097" t="s">
        <v>359</v>
      </c>
      <c r="I1097" t="s">
        <v>394</v>
      </c>
      <c r="J1097" t="s">
        <v>394</v>
      </c>
      <c r="K1097">
        <v>35</v>
      </c>
      <c r="L1097" t="s">
        <v>361</v>
      </c>
    </row>
    <row r="1098" spans="1:12" x14ac:dyDescent="0.25">
      <c r="A1098" s="1">
        <f t="shared" si="58"/>
        <v>45505</v>
      </c>
      <c r="B1098" s="31">
        <f>TIME(19,36,0)</f>
        <v>0.81666666666666676</v>
      </c>
      <c r="C1098" t="str">
        <f>Inventory!A25</f>
        <v>Crown Gold Milk 500ml</v>
      </c>
      <c r="D1098" s="27">
        <v>1</v>
      </c>
      <c r="E1098" s="5">
        <f>Table4[[#This Row],[qty]]*(VLOOKUP(Table4[[#This Row],[item_sold]],Table6[],4,FALSE))</f>
        <v>65</v>
      </c>
      <c r="F1098" s="5">
        <f>(VLOOKUP(Table4[[#This Row],[item_sold]],Table6[],3,FALSE))*Table4[[#This Row],[qty]]</f>
        <v>54.166666666666664</v>
      </c>
      <c r="G1098" s="5">
        <f t="shared" si="57"/>
        <v>10.833333333333336</v>
      </c>
      <c r="H1098" t="s">
        <v>247</v>
      </c>
    </row>
    <row r="1099" spans="1:12" x14ac:dyDescent="0.25">
      <c r="A1099" s="1">
        <f t="shared" si="58"/>
        <v>45505</v>
      </c>
      <c r="B1099" s="31">
        <f>TIME(19,51,0)</f>
        <v>0.82708333333333339</v>
      </c>
      <c r="C1099" t="str">
        <f>Inventory!A2</f>
        <v>5ltrs water</v>
      </c>
      <c r="D1099" s="27">
        <v>1</v>
      </c>
      <c r="E1099" s="5">
        <f>Table4[[#This Row],[qty]]*(VLOOKUP(Table4[[#This Row],[item_sold]],Table6[],4,FALSE))</f>
        <v>120</v>
      </c>
      <c r="F1099" s="5">
        <f>(VLOOKUP(Table4[[#This Row],[item_sold]],Table6[],3,FALSE))*Table4[[#This Row],[qty]]</f>
        <v>75</v>
      </c>
      <c r="G1099" s="5">
        <f t="shared" si="57"/>
        <v>45</v>
      </c>
      <c r="H1099" t="s">
        <v>361</v>
      </c>
    </row>
    <row r="1100" spans="1:12" x14ac:dyDescent="0.25">
      <c r="A1100" s="1">
        <f t="shared" si="58"/>
        <v>45505</v>
      </c>
      <c r="B1100" s="31">
        <f>TIME(19,51,0)</f>
        <v>0.82708333333333339</v>
      </c>
      <c r="C1100" t="str">
        <f>Inventory!A189</f>
        <v>tumbocide</v>
      </c>
      <c r="D1100" s="27">
        <v>2</v>
      </c>
      <c r="E1100" s="5">
        <f>Table4[[#This Row],[qty]]*(VLOOKUP(Table4[[#This Row],[item_sold]],Table6[],4,FALSE))</f>
        <v>20</v>
      </c>
      <c r="F1100" s="5">
        <f>(VLOOKUP(Table4[[#This Row],[item_sold]],Table6[],3,FALSE))*Table4[[#This Row],[qty]]</f>
        <v>14</v>
      </c>
      <c r="G1100" s="5">
        <f t="shared" si="57"/>
        <v>6</v>
      </c>
      <c r="H1100" t="s">
        <v>361</v>
      </c>
    </row>
    <row r="1101" spans="1:12" x14ac:dyDescent="0.25">
      <c r="A1101" s="1">
        <f t="shared" si="58"/>
        <v>45505</v>
      </c>
      <c r="B1101" s="31">
        <f>TIME(19,51,0)</f>
        <v>0.82708333333333339</v>
      </c>
      <c r="C1101" t="str">
        <f>Inventory!A25</f>
        <v>Crown Gold Milk 500ml</v>
      </c>
      <c r="D1101" s="27">
        <v>1</v>
      </c>
      <c r="E1101" s="5">
        <f>Table4[[#This Row],[qty]]*(VLOOKUP(Table4[[#This Row],[item_sold]],Table6[],4,FALSE))</f>
        <v>65</v>
      </c>
      <c r="F1101" s="5">
        <f>(VLOOKUP(Table4[[#This Row],[item_sold]],Table6[],3,FALSE))*Table4[[#This Row],[qty]]</f>
        <v>54.166666666666664</v>
      </c>
      <c r="G1101" s="5">
        <f t="shared" si="57"/>
        <v>10.833333333333336</v>
      </c>
      <c r="H1101" t="s">
        <v>361</v>
      </c>
    </row>
    <row r="1102" spans="1:12" x14ac:dyDescent="0.25">
      <c r="A1102" s="1">
        <f t="shared" si="58"/>
        <v>45505</v>
      </c>
      <c r="B1102" s="31">
        <f>TIME(19,51,0)</f>
        <v>0.82708333333333339</v>
      </c>
      <c r="C1102" t="str">
        <f>Inventory!A182</f>
        <v>Lighter</v>
      </c>
      <c r="D1102" s="27">
        <v>1</v>
      </c>
      <c r="E1102" s="5">
        <f>Table4[[#This Row],[qty]]*(VLOOKUP(Table4[[#This Row],[item_sold]],Table6[],4,FALSE))</f>
        <v>30</v>
      </c>
      <c r="F1102" s="5">
        <f>(VLOOKUP(Table4[[#This Row],[item_sold]],Table6[],3,FALSE))*Table4[[#This Row],[qty]]</f>
        <v>15</v>
      </c>
      <c r="G1102" s="5">
        <f>E1102-F1102</f>
        <v>15</v>
      </c>
      <c r="H1102" t="s">
        <v>361</v>
      </c>
    </row>
    <row r="1103" spans="1:12" x14ac:dyDescent="0.25">
      <c r="A1103" s="1">
        <f t="shared" si="58"/>
        <v>45505</v>
      </c>
      <c r="B1103" s="31">
        <f>TIME(20,4,0)</f>
        <v>0.83611111111111114</v>
      </c>
      <c r="C1103" t="str">
        <f>Inventory!A84</f>
        <v>Safari</v>
      </c>
      <c r="D1103" s="27">
        <v>2</v>
      </c>
      <c r="E1103" s="5">
        <f>Table4[[#This Row],[qty]]*(VLOOKUP(Table4[[#This Row],[item_sold]],Table6[],4,FALSE))</f>
        <v>30</v>
      </c>
      <c r="F1103" s="5">
        <f>(VLOOKUP(Table4[[#This Row],[item_sold]],Table6[],3,FALSE))*Table4[[#This Row],[qty]]</f>
        <v>17</v>
      </c>
      <c r="G1103" s="5">
        <f>E1103-F1103</f>
        <v>13</v>
      </c>
      <c r="H1103" t="s">
        <v>361</v>
      </c>
    </row>
    <row r="1104" spans="1:12" x14ac:dyDescent="0.25">
      <c r="A1104" s="1">
        <f t="shared" si="58"/>
        <v>45505</v>
      </c>
      <c r="B1104" s="31">
        <f>TIME(20,4,0)</f>
        <v>0.83611111111111114</v>
      </c>
      <c r="C1104" t="str">
        <f>Inventory!A190</f>
        <v>mosquito stick</v>
      </c>
      <c r="D1104" s="27">
        <v>1</v>
      </c>
      <c r="E1104" s="5">
        <f>Table4[[#This Row],[qty]]*(VLOOKUP(Table4[[#This Row],[item_sold]],Table6[],4,FALSE))</f>
        <v>10</v>
      </c>
      <c r="F1104" s="5">
        <f>(VLOOKUP(Table4[[#This Row],[item_sold]],Table6[],3,FALSE))*Table4[[#This Row],[qty]]</f>
        <v>9</v>
      </c>
      <c r="G1104" s="5">
        <f>E1104-F1104</f>
        <v>1</v>
      </c>
      <c r="H1104" t="s">
        <v>361</v>
      </c>
    </row>
    <row r="1105" spans="1:12" x14ac:dyDescent="0.25">
      <c r="A1105" s="1">
        <f t="shared" si="58"/>
        <v>45505</v>
      </c>
      <c r="B1105" s="31">
        <f>TIME(20,36,0)</f>
        <v>0.85833333333333339</v>
      </c>
      <c r="C1105" t="str">
        <f>Inventory!A117</f>
        <v>Cooking Oil Measured</v>
      </c>
      <c r="D1105" s="27">
        <v>0.25</v>
      </c>
      <c r="E1105" s="5">
        <f>Table4[[#This Row],[qty]]*(VLOOKUP(Table4[[#This Row],[item_sold]],Table6[],4,FALSE))</f>
        <v>70</v>
      </c>
      <c r="F1105" s="5">
        <f>(VLOOKUP(Table4[[#This Row],[item_sold]],Table6[],3,FALSE))*Table4[[#This Row],[qty]]</f>
        <v>50</v>
      </c>
      <c r="G1105" s="5">
        <f>E1105-F1105</f>
        <v>20</v>
      </c>
      <c r="H1105" t="s">
        <v>359</v>
      </c>
      <c r="I1105" t="s">
        <v>401</v>
      </c>
      <c r="J1105" t="s">
        <v>401</v>
      </c>
      <c r="K1105">
        <v>20</v>
      </c>
      <c r="L1105" t="s">
        <v>361</v>
      </c>
    </row>
    <row r="1106" spans="1:12" x14ac:dyDescent="0.25">
      <c r="A1106" s="1">
        <f t="shared" ref="A1106:A1138" si="59">DATE(2024,8,2)</f>
        <v>45506</v>
      </c>
      <c r="B1106" s="31">
        <f>TIME(8,22,0)</f>
        <v>0.34861111111111115</v>
      </c>
      <c r="C1106" t="str">
        <f>Inventory!A17</f>
        <v>ilara 250g yoghurt</v>
      </c>
      <c r="D1106" s="27">
        <v>1</v>
      </c>
      <c r="E1106" s="5">
        <f>Table4[[#This Row],[qty]]*(VLOOKUP(Table4[[#This Row],[item_sold]],Table6[],4,FALSE))</f>
        <v>85</v>
      </c>
      <c r="F1106" s="5">
        <f>(VLOOKUP(Table4[[#This Row],[item_sold]],Table6[],3,FALSE))*Table4[[#This Row],[qty]]</f>
        <v>73</v>
      </c>
      <c r="G1106" s="5">
        <f t="shared" ref="G1106:G1138" si="60">E1106-F1106</f>
        <v>12</v>
      </c>
      <c r="H1106" t="s">
        <v>361</v>
      </c>
    </row>
    <row r="1107" spans="1:12" x14ac:dyDescent="0.25">
      <c r="A1107" s="1">
        <f t="shared" si="59"/>
        <v>45506</v>
      </c>
      <c r="B1107" s="31">
        <f>TIME(8,37,0)</f>
        <v>0.35902777777777778</v>
      </c>
      <c r="C1107" t="str">
        <f>Inventory!A81</f>
        <v>eggs</v>
      </c>
      <c r="D1107" s="27">
        <v>2</v>
      </c>
      <c r="E1107" s="5">
        <f>Table4[[#This Row],[qty]]*(VLOOKUP(Table4[[#This Row],[item_sold]],Table6[],4,FALSE))</f>
        <v>40</v>
      </c>
      <c r="F1107" s="5">
        <f>(VLOOKUP(Table4[[#This Row],[item_sold]],Table6[],3,FALSE))*Table4[[#This Row],[qty]]</f>
        <v>28.666666666666668</v>
      </c>
      <c r="G1107" s="5">
        <f t="shared" si="60"/>
        <v>11.333333333333332</v>
      </c>
      <c r="H1107" t="s">
        <v>361</v>
      </c>
    </row>
    <row r="1108" spans="1:12" x14ac:dyDescent="0.25">
      <c r="A1108" s="1">
        <f t="shared" si="59"/>
        <v>45506</v>
      </c>
      <c r="B1108" s="31">
        <f>TIME(8,37,0)</f>
        <v>0.35902777777777778</v>
      </c>
      <c r="C1108" t="str">
        <f>Inventory!A23</f>
        <v>Mt kenya milk 500ml</v>
      </c>
      <c r="D1108" s="27">
        <v>1</v>
      </c>
      <c r="E1108" s="5">
        <f>Table4[[#This Row],[qty]]*(VLOOKUP(Table4[[#This Row],[item_sold]],Table6[],4,FALSE))</f>
        <v>65</v>
      </c>
      <c r="F1108" s="5">
        <f>(VLOOKUP(Table4[[#This Row],[item_sold]],Table6[],3,FALSE))*Table4[[#This Row],[qty]]</f>
        <v>48.333333333333336</v>
      </c>
      <c r="G1108" s="5">
        <f t="shared" si="60"/>
        <v>16.666666666666664</v>
      </c>
      <c r="H1108" t="s">
        <v>361</v>
      </c>
    </row>
    <row r="1109" spans="1:12" x14ac:dyDescent="0.25">
      <c r="A1109" s="1">
        <f t="shared" si="59"/>
        <v>45506</v>
      </c>
      <c r="B1109" s="31">
        <f>TIME(8,48,0)</f>
        <v>0.3666666666666667</v>
      </c>
      <c r="C1109" t="str">
        <f>Inventory!A23</f>
        <v>Mt kenya milk 500ml</v>
      </c>
      <c r="D1109" s="27">
        <v>1</v>
      </c>
      <c r="E1109" s="5">
        <f>Table4[[#This Row],[qty]]*(VLOOKUP(Table4[[#This Row],[item_sold]],Table6[],4,FALSE))</f>
        <v>65</v>
      </c>
      <c r="F1109" s="5">
        <f>(VLOOKUP(Table4[[#This Row],[item_sold]],Table6[],3,FALSE))*Table4[[#This Row],[qty]]</f>
        <v>48.333333333333336</v>
      </c>
      <c r="G1109" s="5">
        <f t="shared" si="60"/>
        <v>16.666666666666664</v>
      </c>
      <c r="H1109" t="s">
        <v>247</v>
      </c>
    </row>
    <row r="1110" spans="1:12" x14ac:dyDescent="0.25">
      <c r="A1110" s="1">
        <f t="shared" si="59"/>
        <v>45506</v>
      </c>
      <c r="B1110" s="31">
        <f>TIME(8,48,0)</f>
        <v>0.3666666666666667</v>
      </c>
      <c r="C1110" t="str">
        <f>Inventory!A23</f>
        <v>Mt kenya milk 500ml</v>
      </c>
      <c r="D1110" s="27">
        <v>1</v>
      </c>
      <c r="E1110" s="5">
        <f>Table4[[#This Row],[qty]]*(VLOOKUP(Table4[[#This Row],[item_sold]],Table6[],4,FALSE))</f>
        <v>65</v>
      </c>
      <c r="F1110" s="5">
        <f>(VLOOKUP(Table4[[#This Row],[item_sold]],Table6[],3,FALSE))*Table4[[#This Row],[qty]]</f>
        <v>48.333333333333336</v>
      </c>
      <c r="G1110" s="5">
        <f t="shared" si="60"/>
        <v>16.666666666666664</v>
      </c>
      <c r="H1110" t="s">
        <v>247</v>
      </c>
    </row>
    <row r="1111" spans="1:12" x14ac:dyDescent="0.25">
      <c r="A1111" s="1">
        <f t="shared" si="59"/>
        <v>45506</v>
      </c>
      <c r="B1111" s="31">
        <f>TIME(9,30,0)</f>
        <v>0.39583333333333331</v>
      </c>
      <c r="C1111" t="str">
        <f>Inventory!A23</f>
        <v>Mt kenya milk 500ml</v>
      </c>
      <c r="D1111" s="27">
        <v>1</v>
      </c>
      <c r="E1111" s="5">
        <f>Table4[[#This Row],[qty]]*(VLOOKUP(Table4[[#This Row],[item_sold]],Table6[],4,FALSE))</f>
        <v>65</v>
      </c>
      <c r="F1111" s="5">
        <f>(VLOOKUP(Table4[[#This Row],[item_sold]],Table6[],3,FALSE))*Table4[[#This Row],[qty]]</f>
        <v>48.333333333333336</v>
      </c>
      <c r="G1111" s="5">
        <f t="shared" si="60"/>
        <v>16.666666666666664</v>
      </c>
      <c r="H1111" t="s">
        <v>359</v>
      </c>
      <c r="I1111" t="s">
        <v>394</v>
      </c>
    </row>
    <row r="1112" spans="1:12" x14ac:dyDescent="0.25">
      <c r="A1112" s="1">
        <f t="shared" si="59"/>
        <v>45506</v>
      </c>
      <c r="B1112" s="31">
        <f>TIME(9,30,0)</f>
        <v>0.39583333333333331</v>
      </c>
      <c r="C1112" t="str">
        <f>Inventory!A84</f>
        <v>Safari</v>
      </c>
      <c r="D1112" s="27">
        <v>1</v>
      </c>
      <c r="E1112" s="5">
        <f>Table4[[#This Row],[qty]]*(VLOOKUP(Table4[[#This Row],[item_sold]],Table6[],4,FALSE))</f>
        <v>15</v>
      </c>
      <c r="F1112" s="5">
        <f>(VLOOKUP(Table4[[#This Row],[item_sold]],Table6[],3,FALSE))*Table4[[#This Row],[qty]]</f>
        <v>8.5</v>
      </c>
      <c r="G1112" s="5">
        <f t="shared" si="60"/>
        <v>6.5</v>
      </c>
      <c r="H1112" t="s">
        <v>247</v>
      </c>
    </row>
    <row r="1113" spans="1:12" x14ac:dyDescent="0.25">
      <c r="A1113" s="1">
        <f t="shared" si="59"/>
        <v>45506</v>
      </c>
      <c r="B1113" s="31">
        <f>TIME(9,56, 0)</f>
        <v>0.41388888888888892</v>
      </c>
      <c r="C1113" t="str">
        <f>Inventory!A23</f>
        <v>Mt kenya milk 500ml</v>
      </c>
      <c r="D1113" s="27">
        <v>1</v>
      </c>
      <c r="E1113" s="5">
        <f>Table4[[#This Row],[qty]]*(VLOOKUP(Table4[[#This Row],[item_sold]],Table6[],4,FALSE))</f>
        <v>65</v>
      </c>
      <c r="F1113" s="5">
        <f>(VLOOKUP(Table4[[#This Row],[item_sold]],Table6[],3,FALSE))*Table4[[#This Row],[qty]]</f>
        <v>48.333333333333336</v>
      </c>
      <c r="G1113" s="5">
        <f t="shared" si="60"/>
        <v>16.666666666666664</v>
      </c>
      <c r="H1113" t="s">
        <v>361</v>
      </c>
    </row>
    <row r="1114" spans="1:12" x14ac:dyDescent="0.25">
      <c r="A1114" s="1">
        <f t="shared" si="59"/>
        <v>45506</v>
      </c>
      <c r="B1114" s="31">
        <f>TIME(9,56, 0)</f>
        <v>0.41388888888888892</v>
      </c>
      <c r="C1114" t="str">
        <f>Inventory!A30</f>
        <v>BB Bread 400g</v>
      </c>
      <c r="D1114" s="27">
        <v>1</v>
      </c>
      <c r="E1114" s="5">
        <f>Table4[[#This Row],[qty]]*(VLOOKUP(Table4[[#This Row],[item_sold]],Table6[],4,FALSE))</f>
        <v>65</v>
      </c>
      <c r="F1114" s="5">
        <f>(VLOOKUP(Table4[[#This Row],[item_sold]],Table6[],3,FALSE))*Table4[[#This Row],[qty]]</f>
        <v>60</v>
      </c>
      <c r="G1114" s="5">
        <f t="shared" si="60"/>
        <v>5</v>
      </c>
      <c r="H1114" t="s">
        <v>361</v>
      </c>
    </row>
    <row r="1115" spans="1:12" x14ac:dyDescent="0.25">
      <c r="A1115" s="1">
        <f t="shared" si="59"/>
        <v>45506</v>
      </c>
      <c r="B1115" s="31">
        <f>TIME(9,57, 0)</f>
        <v>0.4145833333333333</v>
      </c>
      <c r="C1115" t="str">
        <f>Inventory!A182</f>
        <v>Lighter</v>
      </c>
      <c r="D1115" s="27">
        <v>1</v>
      </c>
      <c r="E1115" s="5">
        <f>Table4[[#This Row],[qty]]*(VLOOKUP(Table4[[#This Row],[item_sold]],Table6[],4,FALSE))</f>
        <v>30</v>
      </c>
      <c r="F1115" s="5">
        <f>(VLOOKUP(Table4[[#This Row],[item_sold]],Table6[],3,FALSE))*Table4[[#This Row],[qty]]</f>
        <v>15</v>
      </c>
      <c r="G1115" s="5">
        <f t="shared" si="60"/>
        <v>15</v>
      </c>
      <c r="H1115" t="s">
        <v>361</v>
      </c>
    </row>
    <row r="1116" spans="1:12" x14ac:dyDescent="0.25">
      <c r="A1116" s="1">
        <f t="shared" si="59"/>
        <v>45506</v>
      </c>
      <c r="B1116" s="31">
        <f>TIME(9,57, 0)</f>
        <v>0.4145833333333333</v>
      </c>
      <c r="C1116" t="str">
        <f>Inventory!A121</f>
        <v>Banana</v>
      </c>
      <c r="D1116" s="27">
        <v>2</v>
      </c>
      <c r="E1116" s="5">
        <f>Table4[[#This Row],[qty]]*(VLOOKUP(Table4[[#This Row],[item_sold]],Table6[],4,FALSE))</f>
        <v>20</v>
      </c>
      <c r="F1116" s="5">
        <f>(VLOOKUP(Table4[[#This Row],[item_sold]],Table6[],3,FALSE))*Table4[[#This Row],[qty]]</f>
        <v>16.666666666666668</v>
      </c>
      <c r="G1116" s="5">
        <f t="shared" si="60"/>
        <v>3.3333333333333321</v>
      </c>
      <c r="H1116" t="s">
        <v>361</v>
      </c>
    </row>
    <row r="1117" spans="1:12" x14ac:dyDescent="0.25">
      <c r="A1117" s="1">
        <f t="shared" si="59"/>
        <v>45506</v>
      </c>
      <c r="B1117" s="31">
        <f>TIME(9,57, 0)</f>
        <v>0.4145833333333333</v>
      </c>
      <c r="C1117" t="str">
        <f>Inventory!A122</f>
        <v>Kinangop Fresh Milk 500ml</v>
      </c>
      <c r="D1117" s="27">
        <v>1</v>
      </c>
      <c r="E1117" s="5">
        <f>Table4[[#This Row],[qty]]*(VLOOKUP(Table4[[#This Row],[item_sold]],Table6[],4,FALSE))</f>
        <v>60</v>
      </c>
      <c r="F1117" s="5">
        <f>(VLOOKUP(Table4[[#This Row],[item_sold]],Table6[],3,FALSE))*Table4[[#This Row],[qty]]</f>
        <v>55</v>
      </c>
      <c r="G1117" s="5">
        <f t="shared" si="60"/>
        <v>5</v>
      </c>
      <c r="H1117" t="s">
        <v>359</v>
      </c>
      <c r="I1117" t="s">
        <v>385</v>
      </c>
    </row>
    <row r="1118" spans="1:12" x14ac:dyDescent="0.25">
      <c r="A1118" s="1">
        <f t="shared" si="59"/>
        <v>45506</v>
      </c>
      <c r="B1118" s="31">
        <f>TIME(9,58, 0)</f>
        <v>0.4152777777777778</v>
      </c>
      <c r="C1118" t="str">
        <f>Inventory!A30</f>
        <v>BB Bread 400g</v>
      </c>
      <c r="D1118" s="27">
        <v>1</v>
      </c>
      <c r="E1118" s="5">
        <f>Table4[[#This Row],[qty]]*(VLOOKUP(Table4[[#This Row],[item_sold]],Table6[],4,FALSE))</f>
        <v>65</v>
      </c>
      <c r="F1118" s="5">
        <f>(VLOOKUP(Table4[[#This Row],[item_sold]],Table6[],3,FALSE))*Table4[[#This Row],[qty]]</f>
        <v>60</v>
      </c>
      <c r="G1118" s="5">
        <f t="shared" si="60"/>
        <v>5</v>
      </c>
      <c r="H1118" t="s">
        <v>359</v>
      </c>
      <c r="I1118" t="s">
        <v>385</v>
      </c>
    </row>
    <row r="1119" spans="1:12" x14ac:dyDescent="0.25">
      <c r="A1119" s="1">
        <f t="shared" si="59"/>
        <v>45506</v>
      </c>
      <c r="B1119" s="31">
        <f>TIME(10,40, 0)</f>
        <v>0.44444444444444442</v>
      </c>
      <c r="C1119" t="str">
        <f>Inventory!A32</f>
        <v>Festive 600g</v>
      </c>
      <c r="D1119" s="27">
        <v>1</v>
      </c>
      <c r="E1119" s="5">
        <f>Table4[[#This Row],[qty]]*(VLOOKUP(Table4[[#This Row],[item_sold]],Table6[],4,FALSE))</f>
        <v>100</v>
      </c>
      <c r="F1119" s="5">
        <f>(VLOOKUP(Table4[[#This Row],[item_sold]],Table6[],3,FALSE))*Table4[[#This Row],[qty]]</f>
        <v>90</v>
      </c>
      <c r="G1119" s="5">
        <f t="shared" si="60"/>
        <v>10</v>
      </c>
      <c r="H1119" t="s">
        <v>247</v>
      </c>
    </row>
    <row r="1120" spans="1:12" x14ac:dyDescent="0.25">
      <c r="A1120" s="1">
        <f t="shared" si="59"/>
        <v>45506</v>
      </c>
      <c r="B1120" s="31">
        <f>TIME(10,40, 0)</f>
        <v>0.44444444444444442</v>
      </c>
      <c r="C1120" t="str">
        <f>Inventory!A121</f>
        <v>Banana</v>
      </c>
      <c r="D1120" s="27">
        <v>3</v>
      </c>
      <c r="E1120" s="5">
        <f>Table4[[#This Row],[qty]]*(VLOOKUP(Table4[[#This Row],[item_sold]],Table6[],4,FALSE))</f>
        <v>30</v>
      </c>
      <c r="F1120" s="5">
        <f>(VLOOKUP(Table4[[#This Row],[item_sold]],Table6[],3,FALSE))*Table4[[#This Row],[qty]]</f>
        <v>25</v>
      </c>
      <c r="G1120" s="5">
        <f t="shared" si="60"/>
        <v>5</v>
      </c>
      <c r="H1120" t="s">
        <v>247</v>
      </c>
    </row>
    <row r="1121" spans="1:12" x14ac:dyDescent="0.25">
      <c r="A1121" s="1">
        <f t="shared" si="59"/>
        <v>45506</v>
      </c>
      <c r="B1121" s="31">
        <f>TIME(11, 48, 0)</f>
        <v>0.4916666666666667</v>
      </c>
      <c r="C1121" t="str">
        <f>Inventory!A150</f>
        <v>Sonaplast</v>
      </c>
      <c r="D1121" s="27">
        <v>1</v>
      </c>
      <c r="E1121" s="5">
        <f>Table4[[#This Row],[qty]]*(VLOOKUP(Table4[[#This Row],[item_sold]],Table6[],4,FALSE))</f>
        <v>10</v>
      </c>
      <c r="F1121" s="5">
        <f>(VLOOKUP(Table4[[#This Row],[item_sold]],Table6[],3,FALSE))*Table4[[#This Row],[qty]]</f>
        <v>7</v>
      </c>
      <c r="G1121" s="5">
        <f t="shared" si="60"/>
        <v>3</v>
      </c>
      <c r="H1121" t="s">
        <v>361</v>
      </c>
    </row>
    <row r="1122" spans="1:12" x14ac:dyDescent="0.25">
      <c r="A1122" s="1">
        <f t="shared" si="59"/>
        <v>45506</v>
      </c>
      <c r="B1122" s="31">
        <f>TIME(11, 49, 0)</f>
        <v>0.49236111111111108</v>
      </c>
      <c r="C1122" t="str">
        <f>Inventory!A81</f>
        <v>eggs</v>
      </c>
      <c r="D1122" s="27">
        <v>2</v>
      </c>
      <c r="E1122" s="5">
        <f>Table4[[#This Row],[qty]]*(VLOOKUP(Table4[[#This Row],[item_sold]],Table6[],4,FALSE))</f>
        <v>40</v>
      </c>
      <c r="F1122" s="5">
        <f>(VLOOKUP(Table4[[#This Row],[item_sold]],Table6[],3,FALSE))*Table4[[#This Row],[qty]]</f>
        <v>28.666666666666668</v>
      </c>
      <c r="G1122" s="5">
        <f t="shared" si="60"/>
        <v>11.333333333333332</v>
      </c>
      <c r="H1122" t="s">
        <v>361</v>
      </c>
    </row>
    <row r="1123" spans="1:12" x14ac:dyDescent="0.25">
      <c r="A1123" s="1">
        <f t="shared" si="59"/>
        <v>45506</v>
      </c>
      <c r="B1123" s="31">
        <f>TIME(11, 49, 0)</f>
        <v>0.49236111111111108</v>
      </c>
      <c r="D1123" s="27"/>
      <c r="F1123" s="5"/>
      <c r="J1123" t="s">
        <v>384</v>
      </c>
      <c r="K1123">
        <v>1705</v>
      </c>
      <c r="L1123" t="s">
        <v>247</v>
      </c>
    </row>
    <row r="1124" spans="1:12" x14ac:dyDescent="0.25">
      <c r="A1124" s="1">
        <f t="shared" si="59"/>
        <v>45506</v>
      </c>
      <c r="B1124" s="31">
        <f>TIME(12, 32, 0)</f>
        <v>0.52222222222222225</v>
      </c>
      <c r="C1124" t="str">
        <f>Inventory!A108</f>
        <v>ariel 75g</v>
      </c>
      <c r="D1124" s="27">
        <v>1</v>
      </c>
      <c r="E1124" s="5">
        <f>Table4[[#This Row],[qty]]*(VLOOKUP(Table4[[#This Row],[item_sold]],Table6[],4,FALSE))</f>
        <v>35</v>
      </c>
      <c r="F1124" s="5">
        <f>(VLOOKUP(Table4[[#This Row],[item_sold]],Table6[],3,FALSE))*Table4[[#This Row],[qty]]</f>
        <v>27.5</v>
      </c>
      <c r="G1124" s="5">
        <f t="shared" si="60"/>
        <v>7.5</v>
      </c>
      <c r="H1124" t="s">
        <v>359</v>
      </c>
      <c r="I1124" t="s">
        <v>385</v>
      </c>
    </row>
    <row r="1125" spans="1:12" x14ac:dyDescent="0.25">
      <c r="A1125" s="1">
        <f t="shared" si="59"/>
        <v>45506</v>
      </c>
      <c r="B1125" s="31">
        <f>TIME(1, 43, 0)</f>
        <v>7.1527777777777787E-2</v>
      </c>
      <c r="C1125" t="str">
        <f>Inventory!A22</f>
        <v>Brookside Lala Sweetened</v>
      </c>
      <c r="D1125" s="27">
        <v>2</v>
      </c>
      <c r="E1125" s="5">
        <f>Table4[[#This Row],[qty]]*(VLOOKUP(Table4[[#This Row],[item_sold]],Table6[],4,FALSE))</f>
        <v>220</v>
      </c>
      <c r="F1125" s="5">
        <f>(VLOOKUP(Table4[[#This Row],[item_sold]],Table6[],3,FALSE))*Table4[[#This Row],[qty]]</f>
        <v>186</v>
      </c>
      <c r="G1125" s="5">
        <f t="shared" si="60"/>
        <v>34</v>
      </c>
      <c r="H1125" t="s">
        <v>361</v>
      </c>
    </row>
    <row r="1126" spans="1:12" x14ac:dyDescent="0.25">
      <c r="A1126" s="1">
        <f t="shared" si="59"/>
        <v>45506</v>
      </c>
      <c r="B1126" s="31">
        <f>TIME(1, 45, 0)</f>
        <v>7.2916666666666671E-2</v>
      </c>
      <c r="C1126" t="str">
        <f>Inventory!A135</f>
        <v>Safaricom 20 Credit</v>
      </c>
      <c r="D1126" s="27">
        <v>2</v>
      </c>
      <c r="E1126" s="5">
        <f>Table4[[#This Row],[qty]]*(VLOOKUP(Table4[[#This Row],[item_sold]],Table6[],4,FALSE))</f>
        <v>40</v>
      </c>
      <c r="F1126" s="5">
        <f>(VLOOKUP(Table4[[#This Row],[item_sold]],Table6[],3,FALSE))*Table4[[#This Row],[qty]]</f>
        <v>36</v>
      </c>
      <c r="G1126" s="5">
        <f t="shared" si="60"/>
        <v>4</v>
      </c>
      <c r="H1126" t="s">
        <v>247</v>
      </c>
    </row>
    <row r="1127" spans="1:12" x14ac:dyDescent="0.25">
      <c r="A1127" s="1">
        <f t="shared" si="59"/>
        <v>45506</v>
      </c>
      <c r="B1127" s="31">
        <f>TIME(13, 45, 0)</f>
        <v>0.57291666666666663</v>
      </c>
      <c r="C1127" t="str">
        <f>Inventory!A61</f>
        <v>Bigdaddy</v>
      </c>
      <c r="D1127" s="27">
        <v>1</v>
      </c>
      <c r="E1127" s="5">
        <f>Table4[[#This Row],[qty]]*(VLOOKUP(Table4[[#This Row],[item_sold]],Table6[],4,FALSE))</f>
        <v>10</v>
      </c>
      <c r="F1127" s="5">
        <f>(VLOOKUP(Table4[[#This Row],[item_sold]],Table6[],3,FALSE))*Table4[[#This Row],[qty]]</f>
        <v>6</v>
      </c>
      <c r="G1127" s="5">
        <f t="shared" si="60"/>
        <v>4</v>
      </c>
      <c r="H1127" t="s">
        <v>247</v>
      </c>
    </row>
    <row r="1128" spans="1:12" x14ac:dyDescent="0.25">
      <c r="A1128" s="1">
        <f t="shared" si="59"/>
        <v>45506</v>
      </c>
      <c r="B1128" s="31">
        <f>TIME(14, 6, 0)</f>
        <v>0.58750000000000002</v>
      </c>
      <c r="C1128" t="str">
        <f>Inventory!A169</f>
        <v>210 Maize Meal 2kg</v>
      </c>
      <c r="D1128" s="27">
        <v>1</v>
      </c>
      <c r="E1128" s="5">
        <f>Table4[[#This Row],[qty]]*(VLOOKUP(Table4[[#This Row],[item_sold]],Table6[],4,FALSE))</f>
        <v>160</v>
      </c>
      <c r="F1128" s="5">
        <f>(VLOOKUP(Table4[[#This Row],[item_sold]],Table6[],3,FALSE))*Table4[[#This Row],[qty]]</f>
        <v>117.08333333333333</v>
      </c>
      <c r="G1128" s="5">
        <f t="shared" si="60"/>
        <v>42.916666666666671</v>
      </c>
      <c r="H1128" t="s">
        <v>361</v>
      </c>
    </row>
    <row r="1129" spans="1:12" x14ac:dyDescent="0.25">
      <c r="A1129" s="1">
        <f t="shared" si="59"/>
        <v>45506</v>
      </c>
      <c r="B1129" s="31">
        <f>TIME(14, 22, 0)</f>
        <v>0.59861111111111109</v>
      </c>
      <c r="C1129" t="str">
        <f>Inventory!A126</f>
        <v>Royco cubes</v>
      </c>
      <c r="D1129" s="27">
        <v>6</v>
      </c>
      <c r="E1129" s="5">
        <f>Table4[[#This Row],[qty]]*(VLOOKUP(Table4[[#This Row],[item_sold]],Table6[],4,FALSE))</f>
        <v>30</v>
      </c>
      <c r="F1129" s="5">
        <f>(VLOOKUP(Table4[[#This Row],[item_sold]],Table6[],3,FALSE))*Table4[[#This Row],[qty]]</f>
        <v>18</v>
      </c>
      <c r="G1129" s="5">
        <f t="shared" si="60"/>
        <v>12</v>
      </c>
      <c r="H1129" t="s">
        <v>247</v>
      </c>
    </row>
    <row r="1130" spans="1:12" x14ac:dyDescent="0.25">
      <c r="A1130" s="1">
        <f t="shared" si="59"/>
        <v>45506</v>
      </c>
      <c r="B1130" s="31">
        <f>TIME(14,34, 0)</f>
        <v>0.6069444444444444</v>
      </c>
      <c r="C1130" t="str">
        <f>Inventory!A58</f>
        <v>Patco</v>
      </c>
      <c r="D1130" s="27">
        <v>2</v>
      </c>
      <c r="E1130" s="5">
        <f>Table4[[#This Row],[qty]]*(VLOOKUP(Table4[[#This Row],[item_sold]],Table6[],4,FALSE))</f>
        <v>5</v>
      </c>
      <c r="F1130" s="5">
        <f>(VLOOKUP(Table4[[#This Row],[item_sold]],Table6[],3,FALSE))*Table4[[#This Row],[qty]]</f>
        <v>2.4</v>
      </c>
      <c r="G1130" s="5">
        <f t="shared" si="60"/>
        <v>2.6</v>
      </c>
      <c r="H1130" t="s">
        <v>247</v>
      </c>
    </row>
    <row r="1131" spans="1:12" x14ac:dyDescent="0.25">
      <c r="A1131" s="1">
        <f t="shared" si="59"/>
        <v>45506</v>
      </c>
      <c r="B1131" s="31">
        <f>TIME(14,34, 0)</f>
        <v>0.6069444444444444</v>
      </c>
      <c r="C1131" t="str">
        <f>Inventory!A61</f>
        <v>Bigdaddy</v>
      </c>
      <c r="D1131" s="27">
        <v>1</v>
      </c>
      <c r="E1131" s="5">
        <f>Table4[[#This Row],[qty]]*(VLOOKUP(Table4[[#This Row],[item_sold]],Table6[],4,FALSE))</f>
        <v>10</v>
      </c>
      <c r="F1131" s="5">
        <f>(VLOOKUP(Table4[[#This Row],[item_sold]],Table6[],3,FALSE))*Table4[[#This Row],[qty]]</f>
        <v>6</v>
      </c>
      <c r="G1131" s="5">
        <f t="shared" si="60"/>
        <v>4</v>
      </c>
      <c r="H1131" t="s">
        <v>247</v>
      </c>
    </row>
    <row r="1132" spans="1:12" x14ac:dyDescent="0.25">
      <c r="A1132" s="1">
        <f t="shared" si="59"/>
        <v>45506</v>
      </c>
      <c r="B1132" s="31">
        <f>TIME(14, 48, 0)</f>
        <v>0.6166666666666667</v>
      </c>
      <c r="C1132" t="str">
        <f>Inventory!A135</f>
        <v>Safaricom 20 Credit</v>
      </c>
      <c r="D1132" s="27">
        <v>1</v>
      </c>
      <c r="E1132" s="5">
        <f>Table4[[#This Row],[qty]]*(VLOOKUP(Table4[[#This Row],[item_sold]],Table6[],4,FALSE))</f>
        <v>20</v>
      </c>
      <c r="F1132" s="5">
        <f>(VLOOKUP(Table4[[#This Row],[item_sold]],Table6[],3,FALSE))*Table4[[#This Row],[qty]]</f>
        <v>18</v>
      </c>
      <c r="G1132" s="5">
        <f t="shared" si="60"/>
        <v>2</v>
      </c>
      <c r="H1132" t="s">
        <v>247</v>
      </c>
    </row>
    <row r="1133" spans="1:12" x14ac:dyDescent="0.25">
      <c r="A1133" s="1">
        <f t="shared" si="59"/>
        <v>45506</v>
      </c>
      <c r="B1133" s="31">
        <f>TIME(14, 59, 0)</f>
        <v>0.62430555555555556</v>
      </c>
      <c r="C1133" t="str">
        <f>Inventory!A120</f>
        <v>Icepop</v>
      </c>
      <c r="D1133" s="27">
        <v>1</v>
      </c>
      <c r="E1133" s="5">
        <f>Table4[[#This Row],[qty]]*(VLOOKUP(Table4[[#This Row],[item_sold]],Table6[],4,FALSE))</f>
        <v>15</v>
      </c>
      <c r="F1133" s="5">
        <f>(VLOOKUP(Table4[[#This Row],[item_sold]],Table6[],3,FALSE))*Table4[[#This Row],[qty]]</f>
        <v>7.5</v>
      </c>
      <c r="G1133" s="5">
        <f t="shared" si="60"/>
        <v>7.5</v>
      </c>
      <c r="H1133" t="s">
        <v>247</v>
      </c>
    </row>
    <row r="1134" spans="1:12" x14ac:dyDescent="0.25">
      <c r="A1134" s="1">
        <f t="shared" si="59"/>
        <v>45506</v>
      </c>
      <c r="B1134" s="31">
        <f>TIME(15, 0, 0)</f>
        <v>0.625</v>
      </c>
      <c r="C1134" t="str">
        <f>Inventory!A71</f>
        <v>Indomie chicken</v>
      </c>
      <c r="D1134" s="27">
        <v>2</v>
      </c>
      <c r="E1134" s="5">
        <f>Table4[[#This Row],[qty]]*(VLOOKUP(Table4[[#This Row],[item_sold]],Table6[],4,FALSE))</f>
        <v>100</v>
      </c>
      <c r="F1134" s="5">
        <f>(VLOOKUP(Table4[[#This Row],[item_sold]],Table6[],3,FALSE))*Table4[[#This Row],[qty]]</f>
        <v>75</v>
      </c>
      <c r="G1134" s="5">
        <f t="shared" si="60"/>
        <v>25</v>
      </c>
      <c r="H1134" t="s">
        <v>247</v>
      </c>
    </row>
    <row r="1135" spans="1:12" x14ac:dyDescent="0.25">
      <c r="A1135" s="1">
        <f t="shared" si="59"/>
        <v>45506</v>
      </c>
      <c r="B1135" s="31">
        <f>TIME(15, 0, 0)</f>
        <v>0.625</v>
      </c>
      <c r="C1135" t="str">
        <f>Inventory!A58</f>
        <v>Patco</v>
      </c>
      <c r="D1135" s="27">
        <v>2</v>
      </c>
      <c r="E1135" s="5">
        <f>Table4[[#This Row],[qty]]*(VLOOKUP(Table4[[#This Row],[item_sold]],Table6[],4,FALSE))</f>
        <v>5</v>
      </c>
      <c r="F1135" s="5">
        <f>(VLOOKUP(Table4[[#This Row],[item_sold]],Table6[],3,FALSE))*Table4[[#This Row],[qty]]</f>
        <v>2.4</v>
      </c>
      <c r="G1135" s="5">
        <f t="shared" si="60"/>
        <v>2.6</v>
      </c>
      <c r="H1135" t="s">
        <v>247</v>
      </c>
    </row>
    <row r="1136" spans="1:12" x14ac:dyDescent="0.25">
      <c r="A1136" s="1">
        <f t="shared" si="59"/>
        <v>45506</v>
      </c>
      <c r="B1136" s="31">
        <f>TIME(16, 34, 0)</f>
        <v>0.69027777777777777</v>
      </c>
      <c r="C1136" t="str">
        <f>Inventory!A50</f>
        <v>Ring Cake</v>
      </c>
      <c r="D1136" s="27">
        <v>1</v>
      </c>
      <c r="E1136" s="5">
        <f>Table4[[#This Row],[qty]]*(VLOOKUP(Table4[[#This Row],[item_sold]],Table6[],4,FALSE))</f>
        <v>50</v>
      </c>
      <c r="F1136" s="5">
        <f>(VLOOKUP(Table4[[#This Row],[item_sold]],Table6[],3,FALSE))*Table4[[#This Row],[qty]]</f>
        <v>45</v>
      </c>
      <c r="G1136" s="5">
        <f t="shared" si="60"/>
        <v>5</v>
      </c>
      <c r="H1136" t="s">
        <v>247</v>
      </c>
    </row>
    <row r="1137" spans="1:8" x14ac:dyDescent="0.25">
      <c r="A1137" s="1">
        <f t="shared" si="59"/>
        <v>45506</v>
      </c>
      <c r="B1137" s="31">
        <f t="shared" ref="B1137:B1145" si="61">TIME(16, 49, 0)</f>
        <v>0.7006944444444444</v>
      </c>
      <c r="C1137" t="str">
        <f>Inventory!A39</f>
        <v>T.Heat Potato crisps vinegar and salt 25g</v>
      </c>
      <c r="D1137" s="27">
        <v>2</v>
      </c>
      <c r="E1137" s="5">
        <f>Table4[[#This Row],[qty]]*(VLOOKUP(Table4[[#This Row],[item_sold]],Table6[],4,FALSE))</f>
        <v>60</v>
      </c>
      <c r="F1137" s="5">
        <f>(VLOOKUP(Table4[[#This Row],[item_sold]],Table6[],3,FALSE))*Table4[[#This Row],[qty]]</f>
        <v>45.833333333333336</v>
      </c>
      <c r="G1137" s="5">
        <f t="shared" si="60"/>
        <v>14.166666666666664</v>
      </c>
      <c r="H1137" t="s">
        <v>247</v>
      </c>
    </row>
    <row r="1138" spans="1:8" x14ac:dyDescent="0.25">
      <c r="A1138" s="1">
        <f t="shared" si="59"/>
        <v>45506</v>
      </c>
      <c r="B1138" s="31">
        <f t="shared" si="61"/>
        <v>0.7006944444444444</v>
      </c>
      <c r="C1138" t="str">
        <f>Inventory!A40</f>
        <v>Glucose 10g</v>
      </c>
      <c r="D1138" s="27">
        <v>1</v>
      </c>
      <c r="E1138" s="5">
        <f>Table4[[#This Row],[qty]]*(VLOOKUP(Table4[[#This Row],[item_sold]],Table6[],4,FALSE))</f>
        <v>5</v>
      </c>
      <c r="F1138" s="5">
        <f>(VLOOKUP(Table4[[#This Row],[item_sold]],Table6[],3,FALSE))*Table4[[#This Row],[qty]]</f>
        <v>3.75</v>
      </c>
      <c r="G1138" s="5">
        <f t="shared" si="60"/>
        <v>1.25</v>
      </c>
      <c r="H1138" t="s">
        <v>247</v>
      </c>
    </row>
    <row r="1139" spans="1:8" x14ac:dyDescent="0.25">
      <c r="A1139" s="1">
        <f t="shared" ref="A1139:A1165" si="62">DATE(2024,8,2)</f>
        <v>45506</v>
      </c>
      <c r="B1139" s="31">
        <f t="shared" si="61"/>
        <v>0.7006944444444444</v>
      </c>
      <c r="C1139" t="str">
        <f>Inventory!A63</f>
        <v>Gomba</v>
      </c>
      <c r="D1139" s="27">
        <v>8</v>
      </c>
      <c r="E1139" s="5">
        <f>Table4[[#This Row],[qty]]*(VLOOKUP(Table4[[#This Row],[item_sold]],Table6[],4,FALSE))</f>
        <v>20</v>
      </c>
      <c r="F1139" s="5">
        <f>(VLOOKUP(Table4[[#This Row],[item_sold]],Table6[],3,FALSE))*Table4[[#This Row],[qty]]</f>
        <v>14.4</v>
      </c>
      <c r="G1139" s="5">
        <f t="shared" ref="G1139:G1165" si="63">E1139-F1139</f>
        <v>5.6</v>
      </c>
      <c r="H1139" t="s">
        <v>247</v>
      </c>
    </row>
    <row r="1140" spans="1:8" x14ac:dyDescent="0.25">
      <c r="A1140" s="1">
        <f t="shared" si="62"/>
        <v>45506</v>
      </c>
      <c r="B1140" s="31">
        <f t="shared" si="61"/>
        <v>0.7006944444444444</v>
      </c>
      <c r="C1140" t="str">
        <f>Inventory!A58</f>
        <v>Patco</v>
      </c>
      <c r="D1140" s="27">
        <v>4</v>
      </c>
      <c r="E1140" s="5">
        <f>Table4[[#This Row],[qty]]*(VLOOKUP(Table4[[#This Row],[item_sold]],Table6[],4,FALSE))</f>
        <v>10</v>
      </c>
      <c r="F1140" s="5">
        <f>(VLOOKUP(Table4[[#This Row],[item_sold]],Table6[],3,FALSE))*Table4[[#This Row],[qty]]</f>
        <v>4.8</v>
      </c>
      <c r="G1140" s="5">
        <f t="shared" si="63"/>
        <v>5.2</v>
      </c>
      <c r="H1140" t="s">
        <v>247</v>
      </c>
    </row>
    <row r="1141" spans="1:8" x14ac:dyDescent="0.25">
      <c r="A1141" s="1">
        <f t="shared" si="62"/>
        <v>45506</v>
      </c>
      <c r="B1141" s="31">
        <f t="shared" si="61"/>
        <v>0.7006944444444444</v>
      </c>
      <c r="C1141" t="str">
        <f>Inventory!A59</f>
        <v>coo</v>
      </c>
      <c r="D1141" s="27">
        <v>4</v>
      </c>
      <c r="E1141" s="5">
        <f>Table4[[#This Row],[qty]]*(VLOOKUP(Table4[[#This Row],[item_sold]],Table6[],4,FALSE))</f>
        <v>10</v>
      </c>
      <c r="F1141" s="5">
        <f>(VLOOKUP(Table4[[#This Row],[item_sold]],Table6[],3,FALSE))*Table4[[#This Row],[qty]]</f>
        <v>4.8</v>
      </c>
      <c r="G1141" s="5">
        <f t="shared" si="63"/>
        <v>5.2</v>
      </c>
      <c r="H1141" t="s">
        <v>247</v>
      </c>
    </row>
    <row r="1142" spans="1:8" x14ac:dyDescent="0.25">
      <c r="A1142" s="1">
        <f t="shared" si="62"/>
        <v>45506</v>
      </c>
      <c r="B1142" s="31">
        <f t="shared" si="61"/>
        <v>0.7006944444444444</v>
      </c>
      <c r="C1142" t="str">
        <f>Inventory!A67</f>
        <v>Bigboss</v>
      </c>
      <c r="D1142" s="27">
        <v>2</v>
      </c>
      <c r="E1142" s="5">
        <f>Table4[[#This Row],[qty]]*(VLOOKUP(Table4[[#This Row],[item_sold]],Table6[],4,FALSE))</f>
        <v>10</v>
      </c>
      <c r="F1142" s="5">
        <f>(VLOOKUP(Table4[[#This Row],[item_sold]],Table6[],3,FALSE))*Table4[[#This Row],[qty]]</f>
        <v>7</v>
      </c>
      <c r="G1142" s="5">
        <f t="shared" si="63"/>
        <v>3</v>
      </c>
      <c r="H1142" t="s">
        <v>247</v>
      </c>
    </row>
    <row r="1143" spans="1:8" x14ac:dyDescent="0.25">
      <c r="A1143" s="1">
        <f t="shared" si="62"/>
        <v>45506</v>
      </c>
      <c r="B1143" s="31">
        <f t="shared" si="61"/>
        <v>0.7006944444444444</v>
      </c>
      <c r="C1143" t="str">
        <f>Inventory!A60</f>
        <v>Lollipop</v>
      </c>
      <c r="D1143" s="27">
        <v>2</v>
      </c>
      <c r="E1143" s="5">
        <f>Table4[[#This Row],[qty]]*(VLOOKUP(Table4[[#This Row],[item_sold]],Table6[],4,FALSE))</f>
        <v>10</v>
      </c>
      <c r="F1143" s="5">
        <f>(VLOOKUP(Table4[[#This Row],[item_sold]],Table6[],3,FALSE))*Table4[[#This Row],[qty]]</f>
        <v>4.8</v>
      </c>
      <c r="G1143" s="5">
        <f t="shared" si="63"/>
        <v>5.2</v>
      </c>
      <c r="H1143" t="s">
        <v>247</v>
      </c>
    </row>
    <row r="1144" spans="1:8" x14ac:dyDescent="0.25">
      <c r="A1144" s="1">
        <f t="shared" si="62"/>
        <v>45506</v>
      </c>
      <c r="B1144" s="31">
        <f t="shared" si="61"/>
        <v>0.7006944444444444</v>
      </c>
      <c r="C1144" t="str">
        <f>Inventory!A61</f>
        <v>Bigdaddy</v>
      </c>
      <c r="D1144" s="27">
        <v>1</v>
      </c>
      <c r="E1144" s="5">
        <f>Table4[[#This Row],[qty]]*(VLOOKUP(Table4[[#This Row],[item_sold]],Table6[],4,FALSE))</f>
        <v>10</v>
      </c>
      <c r="F1144" s="5">
        <f>(VLOOKUP(Table4[[#This Row],[item_sold]],Table6[],3,FALSE))*Table4[[#This Row],[qty]]</f>
        <v>6</v>
      </c>
      <c r="G1144" s="5">
        <f t="shared" si="63"/>
        <v>4</v>
      </c>
      <c r="H1144" t="s">
        <v>247</v>
      </c>
    </row>
    <row r="1145" spans="1:8" x14ac:dyDescent="0.25">
      <c r="A1145" s="1">
        <f t="shared" si="62"/>
        <v>45506</v>
      </c>
      <c r="B1145" s="31">
        <f t="shared" si="61"/>
        <v>0.7006944444444444</v>
      </c>
      <c r="C1145" t="str">
        <f>Inventory!A62</f>
        <v>Cough drops</v>
      </c>
      <c r="D1145" s="27">
        <v>1</v>
      </c>
      <c r="E1145" s="5">
        <f>Table4[[#This Row],[qty]]*(VLOOKUP(Table4[[#This Row],[item_sold]],Table6[],4,FALSE))</f>
        <v>5</v>
      </c>
      <c r="F1145" s="5">
        <f>(VLOOKUP(Table4[[#This Row],[item_sold]],Table6[],3,FALSE))*Table4[[#This Row],[qty]]</f>
        <v>4</v>
      </c>
      <c r="G1145" s="5">
        <f t="shared" si="63"/>
        <v>1</v>
      </c>
      <c r="H1145" t="s">
        <v>247</v>
      </c>
    </row>
    <row r="1146" spans="1:8" x14ac:dyDescent="0.25">
      <c r="A1146" s="1">
        <f t="shared" si="62"/>
        <v>45506</v>
      </c>
      <c r="B1146" s="31">
        <f>TIME(17, 13, 0)</f>
        <v>0.71736111111111101</v>
      </c>
      <c r="C1146" t="str">
        <f>Inventory!A116</f>
        <v>Tomatoes</v>
      </c>
      <c r="D1146" s="27">
        <v>10</v>
      </c>
      <c r="E1146" s="5">
        <f>Table4[[#This Row],[qty]]*(VLOOKUP(Table4[[#This Row],[item_sold]],Table6[],4,FALSE))</f>
        <v>100</v>
      </c>
      <c r="F1146" s="5">
        <f>(VLOOKUP(Table4[[#This Row],[item_sold]],Table6[],3,FALSE))*Table4[[#This Row],[qty]]</f>
        <v>50</v>
      </c>
      <c r="G1146" s="5">
        <f t="shared" si="63"/>
        <v>50</v>
      </c>
      <c r="H1146" t="s">
        <v>247</v>
      </c>
    </row>
    <row r="1147" spans="1:8" x14ac:dyDescent="0.25">
      <c r="A1147" s="1">
        <f t="shared" si="62"/>
        <v>45506</v>
      </c>
      <c r="B1147" s="31">
        <f>TIME(17, 13, 0)</f>
        <v>0.71736111111111101</v>
      </c>
      <c r="C1147" t="str">
        <f>Inventory!A28</f>
        <v>Fahari Tea 50g</v>
      </c>
      <c r="D1147" s="27">
        <v>1</v>
      </c>
      <c r="E1147" s="5">
        <f>Table4[[#This Row],[qty]]*(VLOOKUP(Table4[[#This Row],[item_sold]],Table6[],4,FALSE))</f>
        <v>30</v>
      </c>
      <c r="F1147" s="5">
        <f>(VLOOKUP(Table4[[#This Row],[item_sold]],Table6[],3,FALSE))*Table4[[#This Row],[qty]]</f>
        <v>17.5</v>
      </c>
      <c r="G1147" s="5">
        <f t="shared" si="63"/>
        <v>12.5</v>
      </c>
      <c r="H1147" t="s">
        <v>247</v>
      </c>
    </row>
    <row r="1148" spans="1:8" x14ac:dyDescent="0.25">
      <c r="A1148" s="1">
        <f t="shared" si="62"/>
        <v>45506</v>
      </c>
      <c r="B1148" s="31">
        <f>TIME(17, 13, 0)</f>
        <v>0.71736111111111101</v>
      </c>
      <c r="C1148" t="str">
        <f>Inventory!A191</f>
        <v>spinach</v>
      </c>
      <c r="D1148" s="27">
        <v>5</v>
      </c>
      <c r="E1148" s="5">
        <f>Table4[[#This Row],[qty]]*(VLOOKUP(Table4[[#This Row],[item_sold]],Table6[],4,FALSE))</f>
        <v>100</v>
      </c>
      <c r="F1148" s="5">
        <f>(VLOOKUP(Table4[[#This Row],[item_sold]],Table6[],3,FALSE))*Table4[[#This Row],[qty]]</f>
        <v>50</v>
      </c>
      <c r="G1148" s="5">
        <f t="shared" si="63"/>
        <v>50</v>
      </c>
      <c r="H1148" t="s">
        <v>247</v>
      </c>
    </row>
    <row r="1149" spans="1:8" x14ac:dyDescent="0.25">
      <c r="A1149" s="1">
        <f t="shared" si="62"/>
        <v>45506</v>
      </c>
      <c r="B1149" s="31">
        <f>TIME(17, 13, 0)</f>
        <v>0.71736111111111101</v>
      </c>
      <c r="C1149" t="str">
        <f>Inventory!A193</f>
        <v>toothpick</v>
      </c>
      <c r="D1149" s="27">
        <v>1</v>
      </c>
      <c r="E1149" s="5">
        <f>Table4[[#This Row],[qty]]*(VLOOKUP(Table4[[#This Row],[item_sold]],Table6[],4,FALSE))</f>
        <v>20</v>
      </c>
      <c r="F1149" s="5">
        <f>(VLOOKUP(Table4[[#This Row],[item_sold]],Table6[],3,FALSE))*Table4[[#This Row],[qty]]</f>
        <v>15</v>
      </c>
      <c r="G1149" s="5">
        <f t="shared" si="63"/>
        <v>5</v>
      </c>
      <c r="H1149" t="s">
        <v>247</v>
      </c>
    </row>
    <row r="1150" spans="1:8" x14ac:dyDescent="0.25">
      <c r="A1150" s="1">
        <f t="shared" si="62"/>
        <v>45506</v>
      </c>
      <c r="B1150" s="31">
        <f>TIME(17, 32, 0)</f>
        <v>0.73055555555555562</v>
      </c>
      <c r="C1150" t="str">
        <f>Inventory!A61</f>
        <v>Bigdaddy</v>
      </c>
      <c r="D1150" s="27">
        <v>2</v>
      </c>
      <c r="E1150" s="5">
        <f>Table4[[#This Row],[qty]]*(VLOOKUP(Table4[[#This Row],[item_sold]],Table6[],4,FALSE))</f>
        <v>20</v>
      </c>
      <c r="F1150" s="5">
        <f>(VLOOKUP(Table4[[#This Row],[item_sold]],Table6[],3,FALSE))*Table4[[#This Row],[qty]]</f>
        <v>12</v>
      </c>
      <c r="G1150" s="5">
        <f t="shared" si="63"/>
        <v>8</v>
      </c>
      <c r="H1150" t="s">
        <v>247</v>
      </c>
    </row>
    <row r="1151" spans="1:8" x14ac:dyDescent="0.25">
      <c r="A1151" s="1">
        <f t="shared" si="62"/>
        <v>45506</v>
      </c>
      <c r="B1151" s="31">
        <f>TIME(17, 43, 0)</f>
        <v>0.73819444444444438</v>
      </c>
      <c r="C1151" t="str">
        <f>Inventory!A117</f>
        <v>Cooking Oil Measured</v>
      </c>
      <c r="D1151" s="27">
        <v>0.25</v>
      </c>
      <c r="E1151" s="5">
        <f>Table4[[#This Row],[qty]]*(VLOOKUP(Table4[[#This Row],[item_sold]],Table6[],4,FALSE))</f>
        <v>70</v>
      </c>
      <c r="F1151" s="5">
        <f>(VLOOKUP(Table4[[#This Row],[item_sold]],Table6[],3,FALSE))*Table4[[#This Row],[qty]]</f>
        <v>50</v>
      </c>
      <c r="G1151" s="5">
        <f t="shared" si="63"/>
        <v>20</v>
      </c>
      <c r="H1151" t="s">
        <v>361</v>
      </c>
    </row>
    <row r="1152" spans="1:8" x14ac:dyDescent="0.25">
      <c r="A1152" s="1">
        <f t="shared" si="62"/>
        <v>45506</v>
      </c>
      <c r="B1152" s="31">
        <f>TIME(17, 43, 0)</f>
        <v>0.73819444444444438</v>
      </c>
      <c r="C1152" t="str">
        <f>Inventory!A30</f>
        <v>BB Bread 400g</v>
      </c>
      <c r="D1152" s="27">
        <v>2</v>
      </c>
      <c r="E1152" s="5">
        <f>Table4[[#This Row],[qty]]*(VLOOKUP(Table4[[#This Row],[item_sold]],Table6[],4,FALSE))</f>
        <v>130</v>
      </c>
      <c r="F1152" s="5">
        <f>(VLOOKUP(Table4[[#This Row],[item_sold]],Table6[],3,FALSE))*Table4[[#This Row],[qty]]</f>
        <v>120</v>
      </c>
      <c r="G1152" s="5">
        <f t="shared" si="63"/>
        <v>10</v>
      </c>
      <c r="H1152" t="s">
        <v>361</v>
      </c>
    </row>
    <row r="1153" spans="1:12" x14ac:dyDescent="0.25">
      <c r="A1153" s="1">
        <f t="shared" si="62"/>
        <v>45506</v>
      </c>
      <c r="B1153" s="31">
        <f>TIME(17, 43, 0)</f>
        <v>0.73819444444444438</v>
      </c>
      <c r="C1153" t="str">
        <f>Inventory!A25</f>
        <v>Crown Gold Milk 500ml</v>
      </c>
      <c r="D1153" s="27">
        <v>1</v>
      </c>
      <c r="E1153" s="5">
        <f>Table4[[#This Row],[qty]]*(VLOOKUP(Table4[[#This Row],[item_sold]],Table6[],4,FALSE))</f>
        <v>65</v>
      </c>
      <c r="F1153" s="5">
        <f>(VLOOKUP(Table4[[#This Row],[item_sold]],Table6[],3,FALSE))*Table4[[#This Row],[qty]]</f>
        <v>54.166666666666664</v>
      </c>
      <c r="G1153" s="5">
        <f t="shared" si="63"/>
        <v>10.833333333333336</v>
      </c>
      <c r="H1153" t="s">
        <v>361</v>
      </c>
    </row>
    <row r="1154" spans="1:12" x14ac:dyDescent="0.25">
      <c r="A1154" s="1">
        <f t="shared" si="62"/>
        <v>45506</v>
      </c>
      <c r="B1154" s="31">
        <f>TIME(17, 43, 0)</f>
        <v>0.73819444444444438</v>
      </c>
      <c r="C1154" t="str">
        <f>Inventory!A162</f>
        <v>Match Box</v>
      </c>
      <c r="D1154" s="27">
        <v>1</v>
      </c>
      <c r="E1154" s="5">
        <f>Table4[[#This Row],[qty]]*(VLOOKUP(Table4[[#This Row],[item_sold]],Table6[],4,FALSE))</f>
        <v>5</v>
      </c>
      <c r="F1154" s="5">
        <f>(VLOOKUP(Table4[[#This Row],[item_sold]],Table6[],3,FALSE))*Table4[[#This Row],[qty]]</f>
        <v>2.3611111111111112</v>
      </c>
      <c r="G1154" s="5">
        <f t="shared" si="63"/>
        <v>2.6388888888888888</v>
      </c>
      <c r="H1154" t="s">
        <v>361</v>
      </c>
    </row>
    <row r="1155" spans="1:12" x14ac:dyDescent="0.25">
      <c r="A1155" s="1">
        <f t="shared" si="62"/>
        <v>45506</v>
      </c>
      <c r="B1155" s="31">
        <f>TIME(17, 43, 0)</f>
        <v>0.73819444444444438</v>
      </c>
      <c r="C1155" t="str">
        <f>Inventory!A147</f>
        <v>Sugar</v>
      </c>
      <c r="D1155" s="27">
        <v>0.5</v>
      </c>
      <c r="E1155" s="5">
        <f>Table4[[#This Row],[qty]]*(VLOOKUP(Table4[[#This Row],[item_sold]],Table6[],4,FALSE))</f>
        <v>90</v>
      </c>
      <c r="F1155" s="5">
        <f>(VLOOKUP(Table4[[#This Row],[item_sold]],Table6[],3,FALSE))*Table4[[#This Row],[qty]]</f>
        <v>65</v>
      </c>
      <c r="G1155" s="5">
        <f t="shared" si="63"/>
        <v>25</v>
      </c>
      <c r="H1155" t="s">
        <v>361</v>
      </c>
    </row>
    <row r="1156" spans="1:12" x14ac:dyDescent="0.25">
      <c r="A1156" s="1">
        <f t="shared" si="62"/>
        <v>45506</v>
      </c>
      <c r="B1156" s="31">
        <f>TIME(18, 38, 0)</f>
        <v>0.77638888888888891</v>
      </c>
      <c r="C1156" t="str">
        <f>Inventory!A81</f>
        <v>eggs</v>
      </c>
      <c r="D1156" s="27">
        <v>5</v>
      </c>
      <c r="E1156" s="5">
        <f>Table4[[#This Row],[qty]]*(VLOOKUP(Table4[[#This Row],[item_sold]],Table6[],4,FALSE))</f>
        <v>100</v>
      </c>
      <c r="F1156" s="5">
        <f>(VLOOKUP(Table4[[#This Row],[item_sold]],Table6[],3,FALSE))*Table4[[#This Row],[qty]]</f>
        <v>71.666666666666671</v>
      </c>
      <c r="G1156" s="5">
        <f t="shared" si="63"/>
        <v>28.333333333333329</v>
      </c>
      <c r="H1156" t="s">
        <v>359</v>
      </c>
      <c r="I1156" t="s">
        <v>401</v>
      </c>
    </row>
    <row r="1157" spans="1:12" x14ac:dyDescent="0.25">
      <c r="A1157" s="1">
        <f t="shared" si="62"/>
        <v>45506</v>
      </c>
      <c r="B1157" s="31">
        <f>TIME(18, 38, 0)</f>
        <v>0.77638888888888891</v>
      </c>
      <c r="C1157" t="str">
        <f>Inventory!A121</f>
        <v>Banana</v>
      </c>
      <c r="D1157" s="27">
        <v>1</v>
      </c>
      <c r="E1157" s="5">
        <f>Table4[[#This Row],[qty]]*(VLOOKUP(Table4[[#This Row],[item_sold]],Table6[],4,FALSE))</f>
        <v>10</v>
      </c>
      <c r="F1157" s="5">
        <f>(VLOOKUP(Table4[[#This Row],[item_sold]],Table6[],3,FALSE))*Table4[[#This Row],[qty]]</f>
        <v>8.3333333333333339</v>
      </c>
      <c r="G1157" s="5">
        <f t="shared" si="63"/>
        <v>1.6666666666666661</v>
      </c>
      <c r="H1157" t="s">
        <v>359</v>
      </c>
      <c r="I1157" t="s">
        <v>401</v>
      </c>
    </row>
    <row r="1158" spans="1:12" x14ac:dyDescent="0.25">
      <c r="A1158" s="1">
        <f t="shared" si="62"/>
        <v>45506</v>
      </c>
      <c r="B1158" s="31">
        <f>TIME(18, 38, 0)</f>
        <v>0.77638888888888891</v>
      </c>
      <c r="C1158" t="str">
        <f>Inventory!A65</f>
        <v>Tropical</v>
      </c>
      <c r="D1158" s="27">
        <v>2</v>
      </c>
      <c r="E1158" s="5">
        <f>Table4[[#This Row],[qty]]*(VLOOKUP(Table4[[#This Row],[item_sold]],Table6[],4,FALSE))</f>
        <v>10</v>
      </c>
      <c r="F1158" s="5">
        <f>(VLOOKUP(Table4[[#This Row],[item_sold]],Table6[],3,FALSE))*Table4[[#This Row],[qty]]</f>
        <v>3</v>
      </c>
      <c r="G1158" s="5">
        <f t="shared" si="63"/>
        <v>7</v>
      </c>
      <c r="H1158" t="s">
        <v>359</v>
      </c>
      <c r="I1158" t="s">
        <v>401</v>
      </c>
    </row>
    <row r="1159" spans="1:12" x14ac:dyDescent="0.25">
      <c r="A1159" s="1">
        <f t="shared" si="62"/>
        <v>45506</v>
      </c>
      <c r="B1159" s="31">
        <f>TIME(18, 38, 0)</f>
        <v>0.77638888888888891</v>
      </c>
      <c r="C1159" t="str">
        <f>Inventory!A116</f>
        <v>Tomatoes</v>
      </c>
      <c r="D1159" s="27">
        <v>1</v>
      </c>
      <c r="E1159" s="5">
        <f>Table4[[#This Row],[qty]]*(VLOOKUP(Table4[[#This Row],[item_sold]],Table6[],4,FALSE))</f>
        <v>10</v>
      </c>
      <c r="F1159" s="5">
        <f>(VLOOKUP(Table4[[#This Row],[item_sold]],Table6[],3,FALSE))*Table4[[#This Row],[qty]]</f>
        <v>5</v>
      </c>
      <c r="G1159" s="5">
        <f t="shared" si="63"/>
        <v>5</v>
      </c>
      <c r="H1159" t="s">
        <v>359</v>
      </c>
      <c r="I1159" t="s">
        <v>401</v>
      </c>
    </row>
    <row r="1160" spans="1:12" x14ac:dyDescent="0.25">
      <c r="A1160" s="1">
        <f t="shared" si="62"/>
        <v>45506</v>
      </c>
      <c r="B1160" s="31">
        <f>TIME(19, 15, 0)</f>
        <v>0.80208333333333337</v>
      </c>
      <c r="D1160" s="27"/>
      <c r="F1160" s="5"/>
      <c r="J1160" t="s">
        <v>392</v>
      </c>
      <c r="K1160">
        <v>510</v>
      </c>
      <c r="L1160" t="s">
        <v>361</v>
      </c>
    </row>
    <row r="1161" spans="1:12" x14ac:dyDescent="0.25">
      <c r="A1161" s="1">
        <f t="shared" si="62"/>
        <v>45506</v>
      </c>
      <c r="B1161" s="31">
        <f>TIME(19, 20, 0)</f>
        <v>0.80555555555555547</v>
      </c>
      <c r="D1161" s="27"/>
      <c r="F1161" s="5"/>
      <c r="J1161" t="s">
        <v>384</v>
      </c>
      <c r="K1161">
        <v>460</v>
      </c>
      <c r="L1161" t="s">
        <v>361</v>
      </c>
    </row>
    <row r="1162" spans="1:12" x14ac:dyDescent="0.25">
      <c r="A1162" s="1">
        <f t="shared" si="62"/>
        <v>45506</v>
      </c>
      <c r="B1162" s="31">
        <f>TIME(19, 58, 0)</f>
        <v>0.83194444444444438</v>
      </c>
      <c r="C1162" t="str">
        <f>Inventory!A12</f>
        <v>predator</v>
      </c>
      <c r="D1162" s="27">
        <v>3</v>
      </c>
      <c r="E1162" s="5">
        <f>Table4[[#This Row],[qty]]*(VLOOKUP(Table4[[#This Row],[item_sold]],Table6[],4,FALSE))</f>
        <v>210</v>
      </c>
      <c r="F1162" s="5">
        <f>(VLOOKUP(Table4[[#This Row],[item_sold]],Table6[],3,FALSE))*Table4[[#This Row],[qty]]</f>
        <v>162.5</v>
      </c>
      <c r="G1162" s="5">
        <f t="shared" si="63"/>
        <v>47.5</v>
      </c>
      <c r="H1162" t="s">
        <v>361</v>
      </c>
    </row>
    <row r="1163" spans="1:12" x14ac:dyDescent="0.25">
      <c r="A1163" s="1">
        <f t="shared" si="62"/>
        <v>45506</v>
      </c>
      <c r="B1163" s="31">
        <f>TIME(20, 16, 0)</f>
        <v>0.84444444444444444</v>
      </c>
      <c r="C1163" t="str">
        <f>Inventory!A122</f>
        <v>Kinangop Fresh Milk 500ml</v>
      </c>
      <c r="D1163" s="27">
        <v>1</v>
      </c>
      <c r="E1163" s="5">
        <f>Table4[[#This Row],[qty]]*(VLOOKUP(Table4[[#This Row],[item_sold]],Table6[],4,FALSE))</f>
        <v>60</v>
      </c>
      <c r="F1163" s="5">
        <f>(VLOOKUP(Table4[[#This Row],[item_sold]],Table6[],3,FALSE))*Table4[[#This Row],[qty]]</f>
        <v>55</v>
      </c>
      <c r="G1163" s="5">
        <f t="shared" si="63"/>
        <v>5</v>
      </c>
      <c r="H1163" t="s">
        <v>359</v>
      </c>
      <c r="I1163" t="s">
        <v>390</v>
      </c>
    </row>
    <row r="1164" spans="1:12" x14ac:dyDescent="0.25">
      <c r="A1164" s="1">
        <f t="shared" si="62"/>
        <v>45506</v>
      </c>
      <c r="B1164" s="31">
        <f>TIME(20, 23, 0)</f>
        <v>0.84930555555555554</v>
      </c>
      <c r="C1164" t="str">
        <f>Inventory!A191</f>
        <v>spinach</v>
      </c>
      <c r="D1164" s="27">
        <v>2</v>
      </c>
      <c r="E1164" s="5">
        <f>Table4[[#This Row],[qty]]*(VLOOKUP(Table4[[#This Row],[item_sold]],Table6[],4,FALSE))</f>
        <v>40</v>
      </c>
      <c r="F1164" s="5">
        <f>(VLOOKUP(Table4[[#This Row],[item_sold]],Table6[],3,FALSE))*Table4[[#This Row],[qty]]</f>
        <v>20</v>
      </c>
      <c r="G1164" s="5">
        <f t="shared" si="63"/>
        <v>20</v>
      </c>
      <c r="H1164" t="s">
        <v>361</v>
      </c>
    </row>
    <row r="1165" spans="1:12" x14ac:dyDescent="0.25">
      <c r="A1165" s="1">
        <f t="shared" si="62"/>
        <v>45506</v>
      </c>
      <c r="B1165" s="31">
        <f>TIME(20, 23, 0)</f>
        <v>0.84930555555555554</v>
      </c>
      <c r="C1165" t="str">
        <f>Inventory!A49</f>
        <v>Half pound cake</v>
      </c>
      <c r="D1165" s="27">
        <v>1</v>
      </c>
      <c r="E1165" s="5">
        <f>Table4[[#This Row],[qty]]*(VLOOKUP(Table4[[#This Row],[item_sold]],Table6[],4,FALSE))</f>
        <v>100</v>
      </c>
      <c r="F1165" s="5">
        <f>(VLOOKUP(Table4[[#This Row],[item_sold]],Table6[],3,FALSE))*Table4[[#This Row],[qty]]</f>
        <v>90</v>
      </c>
      <c r="G1165" s="5">
        <f t="shared" si="63"/>
        <v>10</v>
      </c>
      <c r="H1165" t="s">
        <v>359</v>
      </c>
      <c r="I1165" t="s">
        <v>398</v>
      </c>
    </row>
    <row r="1166" spans="1:12" x14ac:dyDescent="0.25">
      <c r="A1166" s="1">
        <f>DATE(2024,8,3)</f>
        <v>45507</v>
      </c>
      <c r="B1166" s="31">
        <f>TIME(8, 5, 0)</f>
        <v>0.33680555555555558</v>
      </c>
      <c r="C1166" t="str">
        <f>Inventory!A44</f>
        <v>Peanut Cookies</v>
      </c>
      <c r="D1166" s="27">
        <v>1</v>
      </c>
      <c r="E1166" s="5">
        <f>Table4[[#This Row],[qty]]*(VLOOKUP(Table4[[#This Row],[item_sold]],Table6[],4,FALSE))</f>
        <v>35</v>
      </c>
      <c r="F1166" s="5">
        <f>(VLOOKUP(Table4[[#This Row],[item_sold]],Table6[],3,FALSE))*Table4[[#This Row],[qty]]</f>
        <v>25</v>
      </c>
      <c r="G1166" s="5">
        <f t="shared" ref="G1166:G1232" si="64">E1166-F1166</f>
        <v>10</v>
      </c>
      <c r="H1166" t="s">
        <v>247</v>
      </c>
    </row>
    <row r="1167" spans="1:12" x14ac:dyDescent="0.25">
      <c r="A1167" s="1">
        <f t="shared" ref="A1167:A1233" si="65">DATE(2024,8,3)</f>
        <v>45507</v>
      </c>
      <c r="B1167" s="31">
        <f>TIME(8, 5, 0)</f>
        <v>0.33680555555555558</v>
      </c>
      <c r="C1167" t="str">
        <f>Inventory!A108</f>
        <v>ariel 75g</v>
      </c>
      <c r="D1167" s="27">
        <v>1</v>
      </c>
      <c r="E1167" s="5">
        <f>Table4[[#This Row],[qty]]*(VLOOKUP(Table4[[#This Row],[item_sold]],Table6[],4,FALSE))</f>
        <v>35</v>
      </c>
      <c r="F1167" s="5">
        <f>(VLOOKUP(Table4[[#This Row],[item_sold]],Table6[],3,FALSE))*Table4[[#This Row],[qty]]</f>
        <v>27.5</v>
      </c>
      <c r="G1167" s="5">
        <f t="shared" si="64"/>
        <v>7.5</v>
      </c>
      <c r="H1167" t="s">
        <v>247</v>
      </c>
    </row>
    <row r="1168" spans="1:12" x14ac:dyDescent="0.25">
      <c r="A1168" s="1">
        <f t="shared" si="65"/>
        <v>45507</v>
      </c>
      <c r="B1168" s="31">
        <f>TIME(8, 10, 0)</f>
        <v>0.34027777777777773</v>
      </c>
      <c r="C1168" t="str">
        <f>Inventory!A84</f>
        <v>Safari</v>
      </c>
      <c r="D1168" s="27">
        <v>4</v>
      </c>
      <c r="E1168" s="5">
        <f>Table4[[#This Row],[qty]]*(VLOOKUP(Table4[[#This Row],[item_sold]],Table6[],4,FALSE))</f>
        <v>60</v>
      </c>
      <c r="F1168" s="5">
        <f>(VLOOKUP(Table4[[#This Row],[item_sold]],Table6[],3,FALSE))*Table4[[#This Row],[qty]]</f>
        <v>34</v>
      </c>
      <c r="G1168" s="5">
        <f t="shared" si="64"/>
        <v>26</v>
      </c>
      <c r="H1168" t="s">
        <v>359</v>
      </c>
      <c r="I1168" t="s">
        <v>391</v>
      </c>
    </row>
    <row r="1169" spans="1:9" x14ac:dyDescent="0.25">
      <c r="A1169" s="1">
        <f t="shared" si="65"/>
        <v>45507</v>
      </c>
      <c r="B1169" s="31">
        <f>TIME(8, 10, 0)</f>
        <v>0.34027777777777773</v>
      </c>
      <c r="C1169" t="str">
        <f>Inventory!A31</f>
        <v>BB Bread 200g</v>
      </c>
      <c r="D1169" s="27">
        <v>1</v>
      </c>
      <c r="E1169" s="5">
        <f>Table4[[#This Row],[qty]]*(VLOOKUP(Table4[[#This Row],[item_sold]],Table6[],4,FALSE))</f>
        <v>40</v>
      </c>
      <c r="F1169" s="5">
        <f>(VLOOKUP(Table4[[#This Row],[item_sold]],Table6[],3,FALSE))*Table4[[#This Row],[qty]]</f>
        <v>35</v>
      </c>
      <c r="G1169" s="5">
        <f t="shared" si="64"/>
        <v>5</v>
      </c>
      <c r="H1169" t="s">
        <v>359</v>
      </c>
      <c r="I1169" t="s">
        <v>391</v>
      </c>
    </row>
    <row r="1170" spans="1:9" x14ac:dyDescent="0.25">
      <c r="A1170" s="1">
        <f t="shared" si="65"/>
        <v>45507</v>
      </c>
      <c r="B1170" s="31">
        <f>TIME(8, 10, 0)</f>
        <v>0.34027777777777773</v>
      </c>
      <c r="C1170" t="str">
        <f>Inventory!A123</f>
        <v>Mt Kenya milk 200ml</v>
      </c>
      <c r="D1170" s="27">
        <v>1</v>
      </c>
      <c r="E1170" s="5">
        <f>Table4[[#This Row],[qty]]*(VLOOKUP(Table4[[#This Row],[item_sold]],Table6[],4,FALSE))</f>
        <v>35</v>
      </c>
      <c r="F1170" s="5">
        <f>(VLOOKUP(Table4[[#This Row],[item_sold]],Table6[],3,FALSE))*Table4[[#This Row],[qty]]</f>
        <v>24.285714285714285</v>
      </c>
      <c r="G1170" s="5">
        <f t="shared" si="64"/>
        <v>10.714285714285715</v>
      </c>
      <c r="H1170" t="s">
        <v>359</v>
      </c>
      <c r="I1170" t="s">
        <v>391</v>
      </c>
    </row>
    <row r="1171" spans="1:9" x14ac:dyDescent="0.25">
      <c r="A1171" s="1">
        <f t="shared" si="65"/>
        <v>45507</v>
      </c>
      <c r="B1171" s="31">
        <f>TIME(8, 15, 0)</f>
        <v>0.34375</v>
      </c>
      <c r="C1171" t="str">
        <f>Inventory!A132</f>
        <v>Festive Bread 400g</v>
      </c>
      <c r="D1171" s="27">
        <v>2</v>
      </c>
      <c r="E1171" s="5">
        <f>Table4[[#This Row],[qty]]*(VLOOKUP(Table4[[#This Row],[item_sold]],Table6[],4,FALSE))</f>
        <v>130</v>
      </c>
      <c r="F1171" s="5">
        <f>(VLOOKUP(Table4[[#This Row],[item_sold]],Table6[],3,FALSE))*Table4[[#This Row],[qty]]</f>
        <v>120</v>
      </c>
      <c r="G1171" s="5">
        <f t="shared" si="64"/>
        <v>10</v>
      </c>
      <c r="H1171" t="s">
        <v>247</v>
      </c>
    </row>
    <row r="1172" spans="1:9" x14ac:dyDescent="0.25">
      <c r="A1172" s="1">
        <f t="shared" si="65"/>
        <v>45507</v>
      </c>
      <c r="B1172" s="31">
        <f>TIME(8, 15, 0)</f>
        <v>0.34375</v>
      </c>
      <c r="C1172" t="str">
        <f>Inventory!A149</f>
        <v>Menengai Bar 1kg</v>
      </c>
      <c r="D1172" s="27">
        <v>0.2</v>
      </c>
      <c r="E1172" s="5">
        <f>Table4[[#This Row],[qty]]*(VLOOKUP(Table4[[#This Row],[item_sold]],Table6[],4,FALSE))</f>
        <v>50</v>
      </c>
      <c r="F1172" s="5">
        <f>(VLOOKUP(Table4[[#This Row],[item_sold]],Table6[],3,FALSE))*Table4[[#This Row],[qty]]</f>
        <v>38</v>
      </c>
      <c r="G1172" s="5">
        <f t="shared" si="64"/>
        <v>12</v>
      </c>
      <c r="H1172" t="s">
        <v>247</v>
      </c>
    </row>
    <row r="1173" spans="1:9" x14ac:dyDescent="0.25">
      <c r="A1173" s="1">
        <f t="shared" si="65"/>
        <v>45507</v>
      </c>
      <c r="B1173" s="31">
        <f>TIME(8, 31, 0)</f>
        <v>0.35486111111111113</v>
      </c>
      <c r="C1173" t="str">
        <f>Inventory!A24</f>
        <v>Brookside milk 500ml</v>
      </c>
      <c r="D1173" s="27">
        <v>3</v>
      </c>
      <c r="E1173" s="5">
        <f>Table4[[#This Row],[qty]]*(VLOOKUP(Table4[[#This Row],[item_sold]],Table6[],4,FALSE))</f>
        <v>210</v>
      </c>
      <c r="F1173" s="5">
        <f>(VLOOKUP(Table4[[#This Row],[item_sold]],Table6[],3,FALSE))*Table4[[#This Row],[qty]]</f>
        <v>177</v>
      </c>
      <c r="G1173" s="5">
        <f t="shared" si="64"/>
        <v>33</v>
      </c>
      <c r="H1173" t="s">
        <v>359</v>
      </c>
      <c r="I1173" t="s">
        <v>403</v>
      </c>
    </row>
    <row r="1174" spans="1:9" x14ac:dyDescent="0.25">
      <c r="A1174" s="1">
        <f t="shared" si="65"/>
        <v>45507</v>
      </c>
      <c r="B1174" s="31">
        <f>TIME(8, 36, 0)</f>
        <v>0.35833333333333334</v>
      </c>
      <c r="C1174" t="str">
        <f>Inventory!A23</f>
        <v>Mt kenya milk 500ml</v>
      </c>
      <c r="D1174" s="27">
        <v>1</v>
      </c>
      <c r="E1174" s="5">
        <f>Table4[[#This Row],[qty]]*(VLOOKUP(Table4[[#This Row],[item_sold]],Table6[],4,FALSE))</f>
        <v>65</v>
      </c>
      <c r="F1174" s="5">
        <f>(VLOOKUP(Table4[[#This Row],[item_sold]],Table6[],3,FALSE))*Table4[[#This Row],[qty]]</f>
        <v>48.333333333333336</v>
      </c>
      <c r="G1174" s="5">
        <f t="shared" si="64"/>
        <v>16.666666666666664</v>
      </c>
      <c r="H1174" t="s">
        <v>359</v>
      </c>
      <c r="I1174" t="s">
        <v>384</v>
      </c>
    </row>
    <row r="1175" spans="1:9" x14ac:dyDescent="0.25">
      <c r="A1175" s="1">
        <f t="shared" si="65"/>
        <v>45507</v>
      </c>
      <c r="B1175" s="31">
        <f>TIME(8, 36, 0)</f>
        <v>0.35833333333333334</v>
      </c>
      <c r="C1175" t="str">
        <f>Inventory!A30</f>
        <v>BB Bread 400g</v>
      </c>
      <c r="D1175" s="27">
        <v>1</v>
      </c>
      <c r="E1175" s="5">
        <f>Table4[[#This Row],[qty]]*(VLOOKUP(Table4[[#This Row],[item_sold]],Table6[],4,FALSE))</f>
        <v>65</v>
      </c>
      <c r="F1175" s="5">
        <f>(VLOOKUP(Table4[[#This Row],[item_sold]],Table6[],3,FALSE))*Table4[[#This Row],[qty]]</f>
        <v>60</v>
      </c>
      <c r="G1175" s="5">
        <f t="shared" si="64"/>
        <v>5</v>
      </c>
      <c r="H1175" t="s">
        <v>359</v>
      </c>
      <c r="I1175" t="s">
        <v>384</v>
      </c>
    </row>
    <row r="1176" spans="1:9" x14ac:dyDescent="0.25">
      <c r="A1176" s="1">
        <f t="shared" si="65"/>
        <v>45507</v>
      </c>
      <c r="B1176" s="31">
        <f>TIME(8, 36, 0)</f>
        <v>0.35833333333333334</v>
      </c>
      <c r="C1176" t="str">
        <f>Inventory!A145</f>
        <v>Steel Wire</v>
      </c>
      <c r="D1176" s="27">
        <v>1</v>
      </c>
      <c r="E1176" s="5">
        <f>Table4[[#This Row],[qty]]*(VLOOKUP(Table4[[#This Row],[item_sold]],Table6[],4,FALSE))</f>
        <v>10</v>
      </c>
      <c r="F1176" s="5">
        <f>(VLOOKUP(Table4[[#This Row],[item_sold]],Table6[],3,FALSE))*Table4[[#This Row],[qty]]</f>
        <v>6</v>
      </c>
      <c r="G1176" s="5">
        <f t="shared" si="64"/>
        <v>4</v>
      </c>
      <c r="H1176" t="s">
        <v>359</v>
      </c>
      <c r="I1176" t="s">
        <v>384</v>
      </c>
    </row>
    <row r="1177" spans="1:9" x14ac:dyDescent="0.25">
      <c r="A1177" s="1">
        <f t="shared" si="65"/>
        <v>45507</v>
      </c>
      <c r="B1177" s="31">
        <f>TIME(8, 38, 0)</f>
        <v>0.35972222222222222</v>
      </c>
      <c r="C1177" t="str">
        <f>Inventory!A104</f>
        <v>Toss 100g</v>
      </c>
      <c r="D1177" s="27">
        <v>1</v>
      </c>
      <c r="E1177" s="5">
        <f>Table4[[#This Row],[qty]]*(VLOOKUP(Table4[[#This Row],[item_sold]],Table6[],4,FALSE))</f>
        <v>60</v>
      </c>
      <c r="F1177" s="5">
        <f>(VLOOKUP(Table4[[#This Row],[item_sold]],Table6[],3,FALSE))*Table4[[#This Row],[qty]]</f>
        <v>36.666666666666664</v>
      </c>
      <c r="G1177" s="5">
        <f t="shared" si="64"/>
        <v>23.333333333333336</v>
      </c>
      <c r="H1177" t="s">
        <v>247</v>
      </c>
    </row>
    <row r="1178" spans="1:9" x14ac:dyDescent="0.25">
      <c r="A1178" s="1">
        <f t="shared" si="65"/>
        <v>45507</v>
      </c>
      <c r="B1178" s="31">
        <f>TIME(8, 38, 0)</f>
        <v>0.35972222222222222</v>
      </c>
      <c r="C1178" t="str">
        <f>Inventory!A111</f>
        <v>omo 20g</v>
      </c>
      <c r="D1178" s="27">
        <v>2</v>
      </c>
      <c r="E1178" s="5">
        <f>Table4[[#This Row],[qty]]*(VLOOKUP(Table4[[#This Row],[item_sold]],Table6[],4,FALSE))</f>
        <v>30</v>
      </c>
      <c r="F1178" s="5">
        <f>(VLOOKUP(Table4[[#This Row],[item_sold]],Table6[],3,FALSE))*Table4[[#This Row],[qty]]</f>
        <v>18.333333333333332</v>
      </c>
      <c r="G1178" s="5">
        <f t="shared" si="64"/>
        <v>11.666666666666668</v>
      </c>
      <c r="H1178" t="s">
        <v>247</v>
      </c>
    </row>
    <row r="1179" spans="1:9" x14ac:dyDescent="0.25">
      <c r="A1179" s="1">
        <f t="shared" si="65"/>
        <v>45507</v>
      </c>
      <c r="B1179" s="31">
        <f>TIME(9, 4, 0)</f>
        <v>0.37777777777777777</v>
      </c>
      <c r="C1179" t="str">
        <f>Inventory!A33</f>
        <v>Festive 800g</v>
      </c>
      <c r="D1179" s="27">
        <v>1</v>
      </c>
      <c r="E1179" s="5">
        <f>Table4[[#This Row],[qty]]*(VLOOKUP(Table4[[#This Row],[item_sold]],Table6[],4,FALSE))</f>
        <v>130</v>
      </c>
      <c r="F1179" s="5">
        <f>(VLOOKUP(Table4[[#This Row],[item_sold]],Table6[],3,FALSE))*Table4[[#This Row],[qty]]</f>
        <v>120</v>
      </c>
      <c r="G1179" s="5">
        <f t="shared" si="64"/>
        <v>10</v>
      </c>
      <c r="H1179" t="s">
        <v>361</v>
      </c>
    </row>
    <row r="1180" spans="1:9" x14ac:dyDescent="0.25">
      <c r="A1180" s="1">
        <f t="shared" si="65"/>
        <v>45507</v>
      </c>
      <c r="B1180" s="31">
        <f>TIME(9, 4, 0)</f>
        <v>0.37777777777777777</v>
      </c>
      <c r="C1180" t="str">
        <f>Inventory!A84</f>
        <v>Safari</v>
      </c>
      <c r="D1180" s="27">
        <v>1</v>
      </c>
      <c r="E1180" s="5">
        <f>Table4[[#This Row],[qty]]*(VLOOKUP(Table4[[#This Row],[item_sold]],Table6[],4,FALSE))</f>
        <v>15</v>
      </c>
      <c r="F1180" s="5">
        <f>(VLOOKUP(Table4[[#This Row],[item_sold]],Table6[],3,FALSE))*Table4[[#This Row],[qty]]</f>
        <v>8.5</v>
      </c>
      <c r="G1180" s="5">
        <f t="shared" si="64"/>
        <v>6.5</v>
      </c>
      <c r="H1180" t="s">
        <v>247</v>
      </c>
    </row>
    <row r="1181" spans="1:9" x14ac:dyDescent="0.25">
      <c r="A1181" s="1">
        <f t="shared" si="65"/>
        <v>45507</v>
      </c>
      <c r="B1181" s="31">
        <f>TIME(9, 15, 0)</f>
        <v>0.38541666666666669</v>
      </c>
      <c r="C1181" t="str">
        <f>Inventory!A33</f>
        <v>Festive 800g</v>
      </c>
      <c r="D1181" s="27">
        <v>1</v>
      </c>
      <c r="E1181" s="5">
        <f>Table4[[#This Row],[qty]]*(VLOOKUP(Table4[[#This Row],[item_sold]],Table6[],4,FALSE))</f>
        <v>130</v>
      </c>
      <c r="F1181" s="5">
        <f>(VLOOKUP(Table4[[#This Row],[item_sold]],Table6[],3,FALSE))*Table4[[#This Row],[qty]]</f>
        <v>120</v>
      </c>
      <c r="G1181" s="5">
        <f t="shared" si="64"/>
        <v>10</v>
      </c>
      <c r="H1181" t="s">
        <v>361</v>
      </c>
    </row>
    <row r="1182" spans="1:9" x14ac:dyDescent="0.25">
      <c r="A1182" s="1">
        <f t="shared" si="65"/>
        <v>45507</v>
      </c>
      <c r="B1182" s="31">
        <f>TIME(9, 28, 0)</f>
        <v>0.39444444444444443</v>
      </c>
      <c r="C1182" t="str">
        <f>Inventory!A24</f>
        <v>Brookside milk 500ml</v>
      </c>
      <c r="D1182" s="27">
        <v>1</v>
      </c>
      <c r="E1182" s="5">
        <f>Table4[[#This Row],[qty]]*(VLOOKUP(Table4[[#This Row],[item_sold]],Table6[],4,FALSE))</f>
        <v>70</v>
      </c>
      <c r="F1182" s="5">
        <f>(VLOOKUP(Table4[[#This Row],[item_sold]],Table6[],3,FALSE))*Table4[[#This Row],[qty]]</f>
        <v>59</v>
      </c>
      <c r="G1182" s="5">
        <f t="shared" si="64"/>
        <v>11</v>
      </c>
      <c r="H1182" t="s">
        <v>359</v>
      </c>
      <c r="I1182" t="s">
        <v>389</v>
      </c>
    </row>
    <row r="1183" spans="1:9" x14ac:dyDescent="0.25">
      <c r="A1183" s="1">
        <f t="shared" si="65"/>
        <v>45507</v>
      </c>
      <c r="B1183" s="31">
        <f>TIME(9, 28, 0)</f>
        <v>0.39444444444444443</v>
      </c>
      <c r="C1183" t="str">
        <f>Inventory!A50</f>
        <v>Ring Cake</v>
      </c>
      <c r="D1183" s="27">
        <v>1</v>
      </c>
      <c r="E1183" s="5">
        <f>Table4[[#This Row],[qty]]*(VLOOKUP(Table4[[#This Row],[item_sold]],Table6[],4,FALSE))</f>
        <v>50</v>
      </c>
      <c r="F1183" s="5">
        <f>(VLOOKUP(Table4[[#This Row],[item_sold]],Table6[],3,FALSE))*Table4[[#This Row],[qty]]</f>
        <v>45</v>
      </c>
      <c r="G1183" s="5">
        <f t="shared" si="64"/>
        <v>5</v>
      </c>
      <c r="H1183" t="s">
        <v>359</v>
      </c>
      <c r="I1183" t="s">
        <v>389</v>
      </c>
    </row>
    <row r="1184" spans="1:9" x14ac:dyDescent="0.25">
      <c r="A1184" s="1">
        <f t="shared" si="65"/>
        <v>45507</v>
      </c>
      <c r="B1184" s="31">
        <f>TIME(10, 15, 0)</f>
        <v>0.42708333333333331</v>
      </c>
      <c r="C1184" t="str">
        <f>Inventory!A132</f>
        <v>Festive Bread 400g</v>
      </c>
      <c r="D1184" s="27">
        <v>1</v>
      </c>
      <c r="E1184" s="5">
        <f>Table4[[#This Row],[qty]]*(VLOOKUP(Table4[[#This Row],[item_sold]],Table6[],4,FALSE))</f>
        <v>65</v>
      </c>
      <c r="F1184" s="5">
        <f>(VLOOKUP(Table4[[#This Row],[item_sold]],Table6[],3,FALSE))*Table4[[#This Row],[qty]]</f>
        <v>60</v>
      </c>
      <c r="G1184" s="5">
        <f t="shared" si="64"/>
        <v>5</v>
      </c>
      <c r="H1184" t="s">
        <v>361</v>
      </c>
    </row>
    <row r="1185" spans="1:8" x14ac:dyDescent="0.25">
      <c r="A1185" s="1">
        <f t="shared" si="65"/>
        <v>45507</v>
      </c>
      <c r="B1185" s="31">
        <f>TIME(10, 15, 0)</f>
        <v>0.42708333333333331</v>
      </c>
      <c r="C1185" t="str">
        <f>Inventory!A38</f>
        <v>T.Heat Potato crisps salted 25g</v>
      </c>
      <c r="D1185" s="27">
        <v>1</v>
      </c>
      <c r="E1185" s="5">
        <f>Table4[[#This Row],[qty]]*(VLOOKUP(Table4[[#This Row],[item_sold]],Table6[],4,FALSE))</f>
        <v>30</v>
      </c>
      <c r="F1185" s="5">
        <f>(VLOOKUP(Table4[[#This Row],[item_sold]],Table6[],3,FALSE))*Table4[[#This Row],[qty]]</f>
        <v>22.916666666666668</v>
      </c>
      <c r="G1185" s="5">
        <f t="shared" si="64"/>
        <v>7.0833333333333321</v>
      </c>
      <c r="H1185" t="s">
        <v>247</v>
      </c>
    </row>
    <row r="1186" spans="1:8" x14ac:dyDescent="0.25">
      <c r="A1186" s="1">
        <f t="shared" si="65"/>
        <v>45507</v>
      </c>
      <c r="B1186" s="31">
        <f>TIME(10, 46, 0)</f>
        <v>0.44861111111111113</v>
      </c>
      <c r="C1186" t="str">
        <f>Inventory!A30</f>
        <v>BB Bread 400g</v>
      </c>
      <c r="D1186" s="27">
        <v>1</v>
      </c>
      <c r="E1186" s="5">
        <f>Table4[[#This Row],[qty]]*(VLOOKUP(Table4[[#This Row],[item_sold]],Table6[],4,FALSE))</f>
        <v>65</v>
      </c>
      <c r="F1186" s="5">
        <f>(VLOOKUP(Table4[[#This Row],[item_sold]],Table6[],3,FALSE))*Table4[[#This Row],[qty]]</f>
        <v>60</v>
      </c>
      <c r="G1186" s="5">
        <f t="shared" si="64"/>
        <v>5</v>
      </c>
      <c r="H1186" t="s">
        <v>361</v>
      </c>
    </row>
    <row r="1187" spans="1:8" x14ac:dyDescent="0.25">
      <c r="A1187" s="1">
        <f t="shared" si="65"/>
        <v>45507</v>
      </c>
      <c r="B1187" s="31">
        <f>TIME(10, 46, 0)</f>
        <v>0.44861111111111113</v>
      </c>
      <c r="C1187" t="str">
        <f>Inventory!A81</f>
        <v>eggs</v>
      </c>
      <c r="D1187" s="27">
        <v>6</v>
      </c>
      <c r="E1187" s="5">
        <f>Table4[[#This Row],[qty]]*(VLOOKUP(Table4[[#This Row],[item_sold]],Table6[],4,FALSE))</f>
        <v>120</v>
      </c>
      <c r="F1187" s="5">
        <f>(VLOOKUP(Table4[[#This Row],[item_sold]],Table6[],3,FALSE))*Table4[[#This Row],[qty]]</f>
        <v>86</v>
      </c>
      <c r="G1187" s="5">
        <f t="shared" si="64"/>
        <v>34</v>
      </c>
      <c r="H1187" t="s">
        <v>361</v>
      </c>
    </row>
    <row r="1188" spans="1:8" x14ac:dyDescent="0.25">
      <c r="A1188" s="1">
        <f t="shared" si="65"/>
        <v>45507</v>
      </c>
      <c r="B1188" s="31">
        <f>TIME(10, 46, 0)</f>
        <v>0.44861111111111113</v>
      </c>
      <c r="C1188" t="str">
        <f>Inventory!A9</f>
        <v>minutemaid 400ml</v>
      </c>
      <c r="D1188" s="27">
        <v>1</v>
      </c>
      <c r="E1188" s="5">
        <f>Table4[[#This Row],[qty]]*(VLOOKUP(Table4[[#This Row],[item_sold]],Table6[],4,FALSE))-5</f>
        <v>80</v>
      </c>
      <c r="F1188" s="5">
        <f>(VLOOKUP(Table4[[#This Row],[item_sold]],Table6[],3,FALSE))*Table4[[#This Row],[qty]]</f>
        <v>62.5</v>
      </c>
      <c r="G1188" s="5">
        <f t="shared" si="64"/>
        <v>17.5</v>
      </c>
      <c r="H1188" t="s">
        <v>361</v>
      </c>
    </row>
    <row r="1189" spans="1:8" x14ac:dyDescent="0.25">
      <c r="A1189" s="1">
        <f t="shared" si="65"/>
        <v>45507</v>
      </c>
      <c r="B1189" s="31">
        <f>TIME(11, 5, 0)</f>
        <v>0.46180555555555558</v>
      </c>
      <c r="C1189" t="str">
        <f>Inventory!A114</f>
        <v>Maramoja</v>
      </c>
      <c r="D1189" s="27">
        <v>1</v>
      </c>
      <c r="E1189" s="5">
        <f>Table4[[#This Row],[qty]]*(VLOOKUP(Table4[[#This Row],[item_sold]],Table6[],4,FALSE))</f>
        <v>10</v>
      </c>
      <c r="F1189" s="5">
        <f>(VLOOKUP(Table4[[#This Row],[item_sold]],Table6[],3,FALSE))*Table4[[#This Row],[qty]]</f>
        <v>7</v>
      </c>
      <c r="G1189" s="5">
        <f t="shared" si="64"/>
        <v>3</v>
      </c>
      <c r="H1189" t="s">
        <v>247</v>
      </c>
    </row>
    <row r="1190" spans="1:8" x14ac:dyDescent="0.25">
      <c r="A1190" s="1">
        <f t="shared" si="65"/>
        <v>45507</v>
      </c>
      <c r="B1190" s="31">
        <f>TIME(11, 12, 0)</f>
        <v>0.46666666666666662</v>
      </c>
      <c r="C1190" t="str">
        <f>Inventory!A84</f>
        <v>Safari</v>
      </c>
      <c r="D1190" s="27">
        <v>1</v>
      </c>
      <c r="E1190" s="5">
        <f>Table4[[#This Row],[qty]]*(VLOOKUP(Table4[[#This Row],[item_sold]],Table6[],4,FALSE))</f>
        <v>15</v>
      </c>
      <c r="F1190" s="5">
        <f>(VLOOKUP(Table4[[#This Row],[item_sold]],Table6[],3,FALSE))*Table4[[#This Row],[qty]]</f>
        <v>8.5</v>
      </c>
      <c r="G1190" s="5">
        <f t="shared" si="64"/>
        <v>6.5</v>
      </c>
      <c r="H1190" t="s">
        <v>361</v>
      </c>
    </row>
    <row r="1191" spans="1:8" x14ac:dyDescent="0.25">
      <c r="A1191" s="1">
        <f t="shared" si="65"/>
        <v>45507</v>
      </c>
      <c r="B1191" s="31">
        <f>TIME(11, 58, 0)</f>
        <v>0.49861111111111112</v>
      </c>
      <c r="C1191" t="str">
        <f>Inventory!A108</f>
        <v>ariel 75g</v>
      </c>
      <c r="D1191" s="27">
        <v>2</v>
      </c>
      <c r="E1191" s="5">
        <f>Table4[[#This Row],[qty]]*(VLOOKUP(Table4[[#This Row],[item_sold]],Table6[],4,FALSE))</f>
        <v>70</v>
      </c>
      <c r="F1191" s="5">
        <f>(VLOOKUP(Table4[[#This Row],[item_sold]],Table6[],3,FALSE))*Table4[[#This Row],[qty]]</f>
        <v>55</v>
      </c>
      <c r="G1191" s="5">
        <f t="shared" si="64"/>
        <v>15</v>
      </c>
      <c r="H1191" t="s">
        <v>361</v>
      </c>
    </row>
    <row r="1192" spans="1:8" x14ac:dyDescent="0.25">
      <c r="A1192" s="1">
        <f t="shared" si="65"/>
        <v>45507</v>
      </c>
      <c r="B1192" s="31">
        <f>TIME(11, 58, 0)</f>
        <v>0.49861111111111112</v>
      </c>
      <c r="C1192" t="str">
        <f>Inventory!A112</f>
        <v>Downy lavender</v>
      </c>
      <c r="D1192" s="27">
        <v>1</v>
      </c>
      <c r="E1192" s="5">
        <f>Table4[[#This Row],[qty]]*(VLOOKUP(Table4[[#This Row],[item_sold]],Table6[],4,FALSE))</f>
        <v>20</v>
      </c>
      <c r="F1192" s="5">
        <f>(VLOOKUP(Table4[[#This Row],[item_sold]],Table6[],3,FALSE))*Table4[[#This Row],[qty]]</f>
        <v>17.333333333333332</v>
      </c>
      <c r="G1192" s="5">
        <f t="shared" si="64"/>
        <v>2.6666666666666679</v>
      </c>
      <c r="H1192" t="s">
        <v>361</v>
      </c>
    </row>
    <row r="1193" spans="1:8" x14ac:dyDescent="0.25">
      <c r="A1193" s="1">
        <f t="shared" si="65"/>
        <v>45507</v>
      </c>
      <c r="B1193" s="31">
        <f>TIME(12, 0, 0)</f>
        <v>0.5</v>
      </c>
      <c r="C1193" t="str">
        <f>Inventory!A84</f>
        <v>Safari</v>
      </c>
      <c r="D1193" s="27">
        <v>1</v>
      </c>
      <c r="E1193" s="5">
        <f>Table4[[#This Row],[qty]]*(VLOOKUP(Table4[[#This Row],[item_sold]],Table6[],4,FALSE))</f>
        <v>15</v>
      </c>
      <c r="F1193" s="5">
        <f>(VLOOKUP(Table4[[#This Row],[item_sold]],Table6[],3,FALSE))*Table4[[#This Row],[qty]]</f>
        <v>8.5</v>
      </c>
      <c r="G1193" s="5">
        <f t="shared" si="64"/>
        <v>6.5</v>
      </c>
      <c r="H1193" t="s">
        <v>361</v>
      </c>
    </row>
    <row r="1194" spans="1:8" x14ac:dyDescent="0.25">
      <c r="A1194" s="1">
        <f t="shared" si="65"/>
        <v>45507</v>
      </c>
      <c r="B1194" s="31">
        <f>TIME(12, 0, 0)</f>
        <v>0.5</v>
      </c>
      <c r="C1194" t="str">
        <f>Inventory!A84</f>
        <v>Safari</v>
      </c>
      <c r="D1194" s="27">
        <v>2</v>
      </c>
      <c r="E1194" s="5">
        <f>Table4[[#This Row],[qty]]*(VLOOKUP(Table4[[#This Row],[item_sold]],Table6[],4,FALSE))</f>
        <v>30</v>
      </c>
      <c r="F1194" s="5">
        <f>(VLOOKUP(Table4[[#This Row],[item_sold]],Table6[],3,FALSE))*Table4[[#This Row],[qty]]</f>
        <v>17</v>
      </c>
      <c r="G1194" s="5">
        <f t="shared" si="64"/>
        <v>13</v>
      </c>
      <c r="H1194" t="s">
        <v>247</v>
      </c>
    </row>
    <row r="1195" spans="1:8" x14ac:dyDescent="0.25">
      <c r="A1195" s="1">
        <f t="shared" si="65"/>
        <v>45507</v>
      </c>
      <c r="B1195" s="31">
        <f>TIME(12, 8, 0)</f>
        <v>0.50555555555555554</v>
      </c>
      <c r="C1195" t="str">
        <f>Inventory!A24</f>
        <v>Brookside milk 500ml</v>
      </c>
      <c r="D1195" s="27">
        <v>2</v>
      </c>
      <c r="E1195" s="5">
        <f>Table4[[#This Row],[qty]]*(VLOOKUP(Table4[[#This Row],[item_sold]],Table6[],4,FALSE))</f>
        <v>140</v>
      </c>
      <c r="F1195" s="5">
        <f>(VLOOKUP(Table4[[#This Row],[item_sold]],Table6[],3,FALSE))*Table4[[#This Row],[qty]]</f>
        <v>118</v>
      </c>
      <c r="G1195" s="5">
        <f t="shared" si="64"/>
        <v>22</v>
      </c>
      <c r="H1195" t="s">
        <v>247</v>
      </c>
    </row>
    <row r="1196" spans="1:8" x14ac:dyDescent="0.25">
      <c r="A1196" s="1">
        <f t="shared" si="65"/>
        <v>45507</v>
      </c>
      <c r="B1196" s="31">
        <f>TIME(12, 8, 0)</f>
        <v>0.50555555555555554</v>
      </c>
      <c r="C1196" t="str">
        <f>Inventory!A61</f>
        <v>Bigdaddy</v>
      </c>
      <c r="D1196" s="27">
        <v>3</v>
      </c>
      <c r="E1196" s="5">
        <f>Table4[[#This Row],[qty]]*(VLOOKUP(Table4[[#This Row],[item_sold]],Table6[],4,FALSE))</f>
        <v>30</v>
      </c>
      <c r="F1196" s="5">
        <f>(VLOOKUP(Table4[[#This Row],[item_sold]],Table6[],3,FALSE))*Table4[[#This Row],[qty]]</f>
        <v>18</v>
      </c>
      <c r="G1196" s="5">
        <f t="shared" si="64"/>
        <v>12</v>
      </c>
      <c r="H1196" t="s">
        <v>247</v>
      </c>
    </row>
    <row r="1197" spans="1:8" x14ac:dyDescent="0.25">
      <c r="A1197" s="1">
        <f t="shared" si="65"/>
        <v>45507</v>
      </c>
      <c r="B1197" s="31">
        <f>TIME(12, 8, 0)</f>
        <v>0.50555555555555554</v>
      </c>
      <c r="C1197" t="str">
        <f>Inventory!A194</f>
        <v>funtime snacks</v>
      </c>
      <c r="D1197" s="27">
        <v>2</v>
      </c>
      <c r="E1197" s="5">
        <f>Table4[[#This Row],[qty]]*(VLOOKUP(Table4[[#This Row],[item_sold]],Table6[],4,FALSE))</f>
        <v>30</v>
      </c>
      <c r="F1197" s="5">
        <f>(VLOOKUP(Table4[[#This Row],[item_sold]],Table6[],3,FALSE))*Table4[[#This Row],[qty]]</f>
        <v>18</v>
      </c>
      <c r="G1197" s="5">
        <f t="shared" si="64"/>
        <v>12</v>
      </c>
      <c r="H1197" t="s">
        <v>247</v>
      </c>
    </row>
    <row r="1198" spans="1:8" x14ac:dyDescent="0.25">
      <c r="A1198" s="1">
        <f t="shared" si="65"/>
        <v>45507</v>
      </c>
      <c r="B1198" s="31">
        <f>TIME(12, 40, 0)</f>
        <v>0.52777777777777779</v>
      </c>
      <c r="C1198" t="str">
        <f>Inventory!A50</f>
        <v>Ring Cake</v>
      </c>
      <c r="D1198" s="27">
        <v>2</v>
      </c>
      <c r="E1198" s="5">
        <f>Table4[[#This Row],[qty]]*(VLOOKUP(Table4[[#This Row],[item_sold]],Table6[],4,FALSE))</f>
        <v>100</v>
      </c>
      <c r="F1198" s="5">
        <f>(VLOOKUP(Table4[[#This Row],[item_sold]],Table6[],3,FALSE))*Table4[[#This Row],[qty]]</f>
        <v>90</v>
      </c>
      <c r="G1198" s="5">
        <f>E1198-F1198</f>
        <v>10</v>
      </c>
      <c r="H1198" t="s">
        <v>361</v>
      </c>
    </row>
    <row r="1199" spans="1:8" x14ac:dyDescent="0.25">
      <c r="A1199" s="1">
        <f t="shared" si="65"/>
        <v>45507</v>
      </c>
      <c r="B1199" s="31">
        <f>TIME(12, 40, 0)</f>
        <v>0.52777777777777779</v>
      </c>
      <c r="C1199" t="str">
        <f>Inventory!A49</f>
        <v>Half pound cake</v>
      </c>
      <c r="D1199" s="27">
        <v>1</v>
      </c>
      <c r="E1199" s="5">
        <f>Table4[[#This Row],[qty]]*(VLOOKUP(Table4[[#This Row],[item_sold]],Table6[],4,FALSE))</f>
        <v>100</v>
      </c>
      <c r="F1199" s="5">
        <f>(VLOOKUP(Table4[[#This Row],[item_sold]],Table6[],3,FALSE))*Table4[[#This Row],[qty]]</f>
        <v>90</v>
      </c>
      <c r="G1199" s="5">
        <f>E1199-F1199</f>
        <v>10</v>
      </c>
      <c r="H1199" t="s">
        <v>361</v>
      </c>
    </row>
    <row r="1200" spans="1:8" x14ac:dyDescent="0.25">
      <c r="A1200" s="1">
        <f t="shared" si="65"/>
        <v>45507</v>
      </c>
      <c r="B1200" s="31">
        <f>TIME(12, 40, 0)</f>
        <v>0.52777777777777779</v>
      </c>
      <c r="C1200" t="str">
        <f>Inventory!A30</f>
        <v>BB Bread 400g</v>
      </c>
      <c r="D1200" s="27">
        <v>1</v>
      </c>
      <c r="E1200" s="5">
        <f>Table4[[#This Row],[qty]]*(VLOOKUP(Table4[[#This Row],[item_sold]],Table6[],4,FALSE))</f>
        <v>65</v>
      </c>
      <c r="F1200" s="5">
        <f>(VLOOKUP(Table4[[#This Row],[item_sold]],Table6[],3,FALSE))*Table4[[#This Row],[qty]]</f>
        <v>60</v>
      </c>
      <c r="G1200" s="5">
        <f>E1200-F1200</f>
        <v>5</v>
      </c>
      <c r="H1200" t="s">
        <v>361</v>
      </c>
    </row>
    <row r="1201" spans="1:9" x14ac:dyDescent="0.25">
      <c r="A1201" s="1">
        <f t="shared" si="65"/>
        <v>45507</v>
      </c>
      <c r="B1201" s="31">
        <f>TIME(12, 46, 0)</f>
        <v>0.53194444444444444</v>
      </c>
      <c r="C1201" t="str">
        <f>Inventory!A94</f>
        <v>Bella Tissue</v>
      </c>
      <c r="D1201" s="27">
        <v>1</v>
      </c>
      <c r="E1201" s="5">
        <f>Table4[[#This Row],[qty]]*(VLOOKUP(Table4[[#This Row],[item_sold]],Table6[],4,FALSE))</f>
        <v>45</v>
      </c>
      <c r="F1201" s="5">
        <f>(VLOOKUP(Table4[[#This Row],[item_sold]],Table6[],3,FALSE))*Table4[[#This Row],[qty]]</f>
        <v>35</v>
      </c>
      <c r="G1201" s="5">
        <f t="shared" si="64"/>
        <v>10</v>
      </c>
      <c r="H1201" t="s">
        <v>361</v>
      </c>
    </row>
    <row r="1202" spans="1:9" x14ac:dyDescent="0.25">
      <c r="A1202" s="1">
        <f t="shared" si="65"/>
        <v>45507</v>
      </c>
      <c r="B1202" s="31">
        <f>TIME(12, 46, 0)</f>
        <v>0.53194444444444444</v>
      </c>
      <c r="C1202" t="str">
        <f>Inventory!A126</f>
        <v>Royco cubes</v>
      </c>
      <c r="D1202" s="27">
        <v>4</v>
      </c>
      <c r="E1202" s="5">
        <f>Table4[[#This Row],[qty]]*(VLOOKUP(Table4[[#This Row],[item_sold]],Table6[],4,FALSE))</f>
        <v>20</v>
      </c>
      <c r="F1202" s="5">
        <f>(VLOOKUP(Table4[[#This Row],[item_sold]],Table6[],3,FALSE))*Table4[[#This Row],[qty]]</f>
        <v>12</v>
      </c>
      <c r="G1202" s="5">
        <f t="shared" si="64"/>
        <v>8</v>
      </c>
      <c r="H1202" t="s">
        <v>361</v>
      </c>
    </row>
    <row r="1203" spans="1:9" x14ac:dyDescent="0.25">
      <c r="A1203" s="1">
        <f t="shared" si="65"/>
        <v>45507</v>
      </c>
      <c r="B1203" s="31">
        <f>TIME(12, 52, 0)</f>
        <v>0.53611111111111109</v>
      </c>
      <c r="C1203" t="str">
        <f>Inventory!A125</f>
        <v>Dhania</v>
      </c>
      <c r="D1203" s="27">
        <v>2</v>
      </c>
      <c r="E1203" s="5">
        <f>Table4[[#This Row],[qty]]*(VLOOKUP(Table4[[#This Row],[item_sold]],Table6[],4,FALSE))</f>
        <v>10</v>
      </c>
      <c r="F1203" s="5">
        <f>(VLOOKUP(Table4[[#This Row],[item_sold]],Table6[],3,FALSE))*Table4[[#This Row],[qty]]</f>
        <v>6.666666666666667</v>
      </c>
      <c r="G1203" s="5">
        <f t="shared" si="64"/>
        <v>3.333333333333333</v>
      </c>
      <c r="H1203" t="s">
        <v>247</v>
      </c>
    </row>
    <row r="1204" spans="1:9" x14ac:dyDescent="0.25">
      <c r="A1204" s="1">
        <f t="shared" si="65"/>
        <v>45507</v>
      </c>
      <c r="B1204" s="31">
        <f>TIME(12, 52, 0)</f>
        <v>0.53611111111111109</v>
      </c>
      <c r="C1204" t="str">
        <f>Inventory!A126</f>
        <v>Royco cubes</v>
      </c>
      <c r="D1204" s="27">
        <v>2</v>
      </c>
      <c r="E1204" s="5">
        <f>Table4[[#This Row],[qty]]*(VLOOKUP(Table4[[#This Row],[item_sold]],Table6[],4,FALSE))</f>
        <v>10</v>
      </c>
      <c r="F1204" s="5">
        <f>(VLOOKUP(Table4[[#This Row],[item_sold]],Table6[],3,FALSE))*Table4[[#This Row],[qty]]</f>
        <v>6</v>
      </c>
      <c r="G1204" s="5">
        <f t="shared" si="64"/>
        <v>4</v>
      </c>
      <c r="H1204" t="s">
        <v>247</v>
      </c>
    </row>
    <row r="1205" spans="1:9" x14ac:dyDescent="0.25">
      <c r="A1205" s="1">
        <f t="shared" si="65"/>
        <v>45507</v>
      </c>
      <c r="B1205" s="31">
        <f>TIME(12, 52, 0)</f>
        <v>0.53611111111111109</v>
      </c>
      <c r="C1205" t="str">
        <f>Inventory!A42</f>
        <v>Njugu</v>
      </c>
      <c r="D1205" s="27">
        <v>1</v>
      </c>
      <c r="E1205" s="5">
        <f>Table4[[#This Row],[qty]]*(VLOOKUP(Table4[[#This Row],[item_sold]],Table6[],4,FALSE))</f>
        <v>20</v>
      </c>
      <c r="F1205" s="5">
        <f>(VLOOKUP(Table4[[#This Row],[item_sold]],Table6[],3,FALSE))*Table4[[#This Row],[qty]]</f>
        <v>10.666666666666666</v>
      </c>
      <c r="G1205" s="5">
        <f t="shared" si="64"/>
        <v>9.3333333333333339</v>
      </c>
      <c r="H1205" t="s">
        <v>247</v>
      </c>
    </row>
    <row r="1206" spans="1:9" x14ac:dyDescent="0.25">
      <c r="A1206" s="1">
        <f t="shared" si="65"/>
        <v>45507</v>
      </c>
      <c r="B1206" s="31">
        <f>TIME(13, 12, 0)</f>
        <v>0.54999999999999993</v>
      </c>
      <c r="C1206" t="str">
        <f>Inventory!A121</f>
        <v>Banana</v>
      </c>
      <c r="D1206" s="27">
        <v>1</v>
      </c>
      <c r="E1206" s="5">
        <f>Table4[[#This Row],[qty]]*(VLOOKUP(Table4[[#This Row],[item_sold]],Table6[],4,FALSE))</f>
        <v>10</v>
      </c>
      <c r="F1206" s="5">
        <f>(VLOOKUP(Table4[[#This Row],[item_sold]],Table6[],3,FALSE))*Table4[[#This Row],[qty]]</f>
        <v>8.3333333333333339</v>
      </c>
      <c r="G1206" s="5">
        <f t="shared" si="64"/>
        <v>1.6666666666666661</v>
      </c>
      <c r="H1206" t="s">
        <v>247</v>
      </c>
    </row>
    <row r="1207" spans="1:9" x14ac:dyDescent="0.25">
      <c r="A1207" s="1">
        <f t="shared" si="65"/>
        <v>45507</v>
      </c>
      <c r="B1207" s="31">
        <f>TIME(13, 12, 0)</f>
        <v>0.54999999999999993</v>
      </c>
      <c r="C1207" t="str">
        <f>Inventory!A144</f>
        <v>Drinking Chocolate 20g</v>
      </c>
      <c r="D1207" s="27">
        <v>1</v>
      </c>
      <c r="E1207" s="5">
        <f>Table4[[#This Row],[qty]]*(VLOOKUP(Table4[[#This Row],[item_sold]],Table6[],4,FALSE))</f>
        <v>20</v>
      </c>
      <c r="F1207" s="5">
        <f>(VLOOKUP(Table4[[#This Row],[item_sold]],Table6[],3,FALSE))*Table4[[#This Row],[qty]]</f>
        <v>10.416666666666666</v>
      </c>
      <c r="G1207" s="5">
        <f t="shared" si="64"/>
        <v>9.5833333333333339</v>
      </c>
      <c r="H1207" t="s">
        <v>247</v>
      </c>
    </row>
    <row r="1208" spans="1:9" x14ac:dyDescent="0.25">
      <c r="A1208" s="1">
        <f t="shared" si="65"/>
        <v>45507</v>
      </c>
      <c r="B1208" s="31">
        <f>TIME(13, 15, 0)</f>
        <v>0.55208333333333337</v>
      </c>
      <c r="C1208" t="str">
        <f>Inventory!A153</f>
        <v>Pishori rice</v>
      </c>
      <c r="D1208" s="27">
        <v>0.5</v>
      </c>
      <c r="E1208" s="5">
        <f>Table4[[#This Row],[qty]]*(VLOOKUP(Table4[[#This Row],[item_sold]],Table6[],4,FALSE))</f>
        <v>110</v>
      </c>
      <c r="F1208" s="5">
        <f>(VLOOKUP(Table4[[#This Row],[item_sold]],Table6[],3,FALSE))*Table4[[#This Row],[qty]]</f>
        <v>90</v>
      </c>
      <c r="G1208" s="5">
        <f t="shared" si="64"/>
        <v>20</v>
      </c>
      <c r="H1208" t="s">
        <v>359</v>
      </c>
      <c r="I1208" t="s">
        <v>385</v>
      </c>
    </row>
    <row r="1209" spans="1:9" x14ac:dyDescent="0.25">
      <c r="A1209" s="1">
        <f t="shared" si="65"/>
        <v>45507</v>
      </c>
      <c r="B1209" s="31">
        <f>TIME(13, 15, 0)</f>
        <v>0.55208333333333337</v>
      </c>
      <c r="C1209" t="str">
        <f>Inventory!A125</f>
        <v>Dhania</v>
      </c>
      <c r="D1209" s="27">
        <v>1</v>
      </c>
      <c r="E1209" s="5">
        <f>Table4[[#This Row],[qty]]*(VLOOKUP(Table4[[#This Row],[item_sold]],Table6[],4,FALSE))</f>
        <v>5</v>
      </c>
      <c r="F1209" s="5">
        <f>(VLOOKUP(Table4[[#This Row],[item_sold]],Table6[],3,FALSE))*Table4[[#This Row],[qty]]</f>
        <v>3.3333333333333335</v>
      </c>
      <c r="G1209" s="5">
        <f t="shared" si="64"/>
        <v>1.6666666666666665</v>
      </c>
      <c r="H1209" t="s">
        <v>359</v>
      </c>
      <c r="I1209" t="s">
        <v>385</v>
      </c>
    </row>
    <row r="1210" spans="1:9" x14ac:dyDescent="0.25">
      <c r="A1210" s="1">
        <f t="shared" si="65"/>
        <v>45507</v>
      </c>
      <c r="B1210" s="31">
        <f>TIME(13, 15, 0)</f>
        <v>0.55208333333333337</v>
      </c>
      <c r="C1210" t="str">
        <f>Inventory!A176</f>
        <v>hoho</v>
      </c>
      <c r="D1210" s="27">
        <v>1</v>
      </c>
      <c r="E1210" s="5">
        <f>Table4[[#This Row],[qty]]*(VLOOKUP(Table4[[#This Row],[item_sold]],Table6[],4,FALSE))</f>
        <v>10</v>
      </c>
      <c r="F1210" s="5">
        <f>(VLOOKUP(Table4[[#This Row],[item_sold]],Table6[],3,FALSE))*Table4[[#This Row],[qty]]</f>
        <v>6.666666666666667</v>
      </c>
      <c r="G1210" s="5">
        <f t="shared" si="64"/>
        <v>3.333333333333333</v>
      </c>
      <c r="H1210" t="s">
        <v>359</v>
      </c>
      <c r="I1210" t="s">
        <v>385</v>
      </c>
    </row>
    <row r="1211" spans="1:9" x14ac:dyDescent="0.25">
      <c r="A1211" s="1">
        <f t="shared" si="65"/>
        <v>45507</v>
      </c>
      <c r="B1211" s="31">
        <f>TIME(13, 18, 0)</f>
        <v>0.5541666666666667</v>
      </c>
      <c r="C1211" t="str">
        <f>Inventory!A6</f>
        <v xml:space="preserve"> soda 1.25lts</v>
      </c>
      <c r="D1211" s="27">
        <v>2</v>
      </c>
      <c r="E1211" s="5">
        <f>Table4[[#This Row],[qty]]*(VLOOKUP(Table4[[#This Row],[item_sold]],Table6[],4,FALSE))</f>
        <v>260</v>
      </c>
      <c r="F1211" s="5">
        <f>(VLOOKUP(Table4[[#This Row],[item_sold]],Table6[],3,FALSE))*Table4[[#This Row],[qty]]</f>
        <v>225</v>
      </c>
      <c r="G1211" s="5">
        <f t="shared" si="64"/>
        <v>35</v>
      </c>
      <c r="H1211" t="s">
        <v>361</v>
      </c>
    </row>
    <row r="1212" spans="1:9" x14ac:dyDescent="0.25">
      <c r="A1212" s="1">
        <f t="shared" si="65"/>
        <v>45507</v>
      </c>
      <c r="B1212" s="31">
        <f>TIME(13, 18, 0)</f>
        <v>0.5541666666666667</v>
      </c>
      <c r="C1212" t="str">
        <f>Inventory!A194</f>
        <v>funtime snacks</v>
      </c>
      <c r="D1212" s="27">
        <v>1</v>
      </c>
      <c r="E1212" s="5">
        <f>Table4[[#This Row],[qty]]*(VLOOKUP(Table4[[#This Row],[item_sold]],Table6[],4,FALSE))</f>
        <v>15</v>
      </c>
      <c r="F1212" s="5">
        <f>(VLOOKUP(Table4[[#This Row],[item_sold]],Table6[],3,FALSE))*Table4[[#This Row],[qty]]</f>
        <v>9</v>
      </c>
      <c r="G1212" s="5">
        <f t="shared" si="64"/>
        <v>6</v>
      </c>
      <c r="H1212" t="s">
        <v>361</v>
      </c>
    </row>
    <row r="1213" spans="1:9" x14ac:dyDescent="0.25">
      <c r="A1213" s="1">
        <f t="shared" si="65"/>
        <v>45507</v>
      </c>
      <c r="B1213" s="31">
        <f>TIME(13, 29, 0)</f>
        <v>0.56180555555555556</v>
      </c>
      <c r="C1213" t="str">
        <f>Inventory!A6</f>
        <v xml:space="preserve"> soda 1.25lts</v>
      </c>
      <c r="D1213" s="27">
        <v>2</v>
      </c>
      <c r="E1213" s="5">
        <f>Table4[[#This Row],[qty]]*(VLOOKUP(Table4[[#This Row],[item_sold]],Table6[],4,FALSE))</f>
        <v>260</v>
      </c>
      <c r="F1213" s="5">
        <f>(VLOOKUP(Table4[[#This Row],[item_sold]],Table6[],3,FALSE))*Table4[[#This Row],[qty]]</f>
        <v>225</v>
      </c>
      <c r="G1213" s="5">
        <f t="shared" si="64"/>
        <v>35</v>
      </c>
      <c r="H1213" t="s">
        <v>361</v>
      </c>
    </row>
    <row r="1214" spans="1:9" x14ac:dyDescent="0.25">
      <c r="A1214" s="1">
        <f t="shared" si="65"/>
        <v>45507</v>
      </c>
      <c r="B1214" s="31">
        <f>TIME(13, 29, 0)</f>
        <v>0.56180555555555556</v>
      </c>
      <c r="C1214" t="str">
        <f>Inventory!A35</f>
        <v>Bitez</v>
      </c>
      <c r="D1214" s="27">
        <v>2</v>
      </c>
      <c r="E1214" s="5">
        <f>Table4[[#This Row],[qty]]*(VLOOKUP(Table4[[#This Row],[item_sold]],Table6[],4,FALSE))</f>
        <v>30</v>
      </c>
      <c r="F1214" s="5">
        <f>(VLOOKUP(Table4[[#This Row],[item_sold]],Table6[],3,FALSE))*Table4[[#This Row],[qty]]</f>
        <v>17.600000000000001</v>
      </c>
      <c r="G1214" s="5">
        <f t="shared" si="64"/>
        <v>12.399999999999999</v>
      </c>
      <c r="H1214" t="s">
        <v>361</v>
      </c>
    </row>
    <row r="1215" spans="1:9" x14ac:dyDescent="0.25">
      <c r="A1215" s="1">
        <f t="shared" si="65"/>
        <v>45507</v>
      </c>
      <c r="B1215" s="31">
        <f>TIME(13, 29, 0)</f>
        <v>0.56180555555555556</v>
      </c>
      <c r="C1215" t="str">
        <f>Inventory!A194</f>
        <v>funtime snacks</v>
      </c>
      <c r="D1215" s="27">
        <v>1</v>
      </c>
      <c r="E1215" s="5">
        <f>Table4[[#This Row],[qty]]*(VLOOKUP(Table4[[#This Row],[item_sold]],Table6[],4,FALSE))</f>
        <v>15</v>
      </c>
      <c r="F1215" s="5">
        <f>(VLOOKUP(Table4[[#This Row],[item_sold]],Table6[],3,FALSE))*Table4[[#This Row],[qty]]</f>
        <v>9</v>
      </c>
      <c r="G1215" s="5">
        <f t="shared" si="64"/>
        <v>6</v>
      </c>
      <c r="H1215" t="s">
        <v>361</v>
      </c>
    </row>
    <row r="1216" spans="1:9" x14ac:dyDescent="0.25">
      <c r="A1216" s="1">
        <f t="shared" si="65"/>
        <v>45507</v>
      </c>
      <c r="B1216" s="31">
        <f>TIME(13, 37, 0)</f>
        <v>0.56736111111111109</v>
      </c>
      <c r="C1216" t="str">
        <f>Inventory!A7</f>
        <v>soda 500ml plastic</v>
      </c>
      <c r="D1216" s="27">
        <v>1</v>
      </c>
      <c r="E1216" s="5">
        <f>Table4[[#This Row],[qty]]*(VLOOKUP(Table4[[#This Row],[item_sold]],Table6[],4,FALSE))</f>
        <v>70</v>
      </c>
      <c r="F1216" s="5">
        <f>(VLOOKUP(Table4[[#This Row],[item_sold]],Table6[],3,FALSE))*Table4[[#This Row],[qty]]</f>
        <v>60.416666666666664</v>
      </c>
      <c r="G1216" s="5">
        <f t="shared" si="64"/>
        <v>9.5833333333333357</v>
      </c>
      <c r="H1216" t="s">
        <v>359</v>
      </c>
      <c r="I1216" t="s">
        <v>401</v>
      </c>
    </row>
    <row r="1217" spans="1:9" x14ac:dyDescent="0.25">
      <c r="A1217" s="1">
        <f t="shared" si="65"/>
        <v>45507</v>
      </c>
      <c r="B1217" s="31">
        <f>TIME(13, 37, 0)</f>
        <v>0.56736111111111109</v>
      </c>
      <c r="C1217" t="str">
        <f>Inventory!A44</f>
        <v>Peanut Cookies</v>
      </c>
      <c r="D1217" s="27">
        <v>1</v>
      </c>
      <c r="E1217" s="5">
        <f>Table4[[#This Row],[qty]]*(VLOOKUP(Table4[[#This Row],[item_sold]],Table6[],4,FALSE))</f>
        <v>35</v>
      </c>
      <c r="F1217" s="5">
        <f>(VLOOKUP(Table4[[#This Row],[item_sold]],Table6[],3,FALSE))*Table4[[#This Row],[qty]]</f>
        <v>25</v>
      </c>
      <c r="G1217" s="5">
        <f t="shared" si="64"/>
        <v>10</v>
      </c>
      <c r="H1217" t="s">
        <v>359</v>
      </c>
      <c r="I1217" t="s">
        <v>401</v>
      </c>
    </row>
    <row r="1218" spans="1:9" x14ac:dyDescent="0.25">
      <c r="A1218" s="1">
        <f t="shared" si="65"/>
        <v>45507</v>
      </c>
      <c r="B1218" s="31">
        <f>TIME(13, 37, 0)</f>
        <v>0.56736111111111109</v>
      </c>
      <c r="C1218" t="str">
        <f>Inventory!A13</f>
        <v>soda 300ml glass</v>
      </c>
      <c r="D1218" s="27">
        <v>2</v>
      </c>
      <c r="E1218" s="5">
        <f>Table4[[#This Row],[qty]]*(VLOOKUP(Table4[[#This Row],[item_sold]],Table6[],4,FALSE))</f>
        <v>80</v>
      </c>
      <c r="F1218" s="5">
        <f>(VLOOKUP(Table4[[#This Row],[item_sold]],Table6[],3,FALSE))*Table4[[#This Row],[qty]]</f>
        <v>65</v>
      </c>
      <c r="G1218" s="5">
        <f t="shared" si="64"/>
        <v>15</v>
      </c>
      <c r="H1218" t="s">
        <v>359</v>
      </c>
      <c r="I1218" t="s">
        <v>401</v>
      </c>
    </row>
    <row r="1219" spans="1:9" x14ac:dyDescent="0.25">
      <c r="A1219" s="1">
        <f t="shared" si="65"/>
        <v>45507</v>
      </c>
      <c r="B1219" s="31">
        <f>TIME(13, 37, 0)</f>
        <v>0.56736111111111109</v>
      </c>
      <c r="C1219" t="str">
        <f>Inventory!A31</f>
        <v>BB Bread 200g</v>
      </c>
      <c r="D1219" s="27">
        <v>1</v>
      </c>
      <c r="E1219" s="5">
        <f>Table4[[#This Row],[qty]]*(VLOOKUP(Table4[[#This Row],[item_sold]],Table6[],4,FALSE))</f>
        <v>40</v>
      </c>
      <c r="F1219" s="5">
        <f>(VLOOKUP(Table4[[#This Row],[item_sold]],Table6[],3,FALSE))*Table4[[#This Row],[qty]]</f>
        <v>35</v>
      </c>
      <c r="G1219" s="5">
        <f t="shared" si="64"/>
        <v>5</v>
      </c>
      <c r="H1219" t="s">
        <v>359</v>
      </c>
      <c r="I1219" t="s">
        <v>401</v>
      </c>
    </row>
    <row r="1220" spans="1:9" x14ac:dyDescent="0.25">
      <c r="A1220" s="1">
        <f t="shared" si="65"/>
        <v>45507</v>
      </c>
      <c r="B1220" s="31">
        <f>TIME(13, 37, 0)</f>
        <v>0.56736111111111109</v>
      </c>
      <c r="C1220" t="str">
        <f>Inventory!A46</f>
        <v>Nuvita Bisquit</v>
      </c>
      <c r="D1220" s="27">
        <v>2</v>
      </c>
      <c r="E1220" s="5">
        <f>Table4[[#This Row],[qty]]*(VLOOKUP(Table4[[#This Row],[item_sold]],Table6[],4,FALSE))</f>
        <v>10</v>
      </c>
      <c r="F1220" s="5">
        <f>(VLOOKUP(Table4[[#This Row],[item_sold]],Table6[],3,FALSE))*Table4[[#This Row],[qty]]</f>
        <v>8.3333333333333339</v>
      </c>
      <c r="G1220" s="5">
        <f t="shared" si="64"/>
        <v>1.6666666666666661</v>
      </c>
      <c r="H1220" t="s">
        <v>359</v>
      </c>
      <c r="I1220" t="s">
        <v>401</v>
      </c>
    </row>
    <row r="1221" spans="1:9" x14ac:dyDescent="0.25">
      <c r="A1221" s="1">
        <f t="shared" si="65"/>
        <v>45507</v>
      </c>
      <c r="B1221" s="31">
        <f>TIME(13, 43, 0)</f>
        <v>0.57152777777777775</v>
      </c>
      <c r="C1221" t="str">
        <f>Inventory!A14</f>
        <v>soda 500ml glass</v>
      </c>
      <c r="D1221" s="27">
        <v>1</v>
      </c>
      <c r="E1221" s="5">
        <f>Table4[[#This Row],[qty]]*(VLOOKUP(Table4[[#This Row],[item_sold]],Table6[],4,FALSE))</f>
        <v>55</v>
      </c>
      <c r="F1221" s="5">
        <f>(VLOOKUP(Table4[[#This Row],[item_sold]],Table6[],3,FALSE))*Table4[[#This Row],[qty]]</f>
        <v>50</v>
      </c>
      <c r="G1221" s="5">
        <f t="shared" si="64"/>
        <v>5</v>
      </c>
      <c r="H1221" t="s">
        <v>247</v>
      </c>
    </row>
    <row r="1222" spans="1:9" x14ac:dyDescent="0.25">
      <c r="A1222" s="1">
        <f t="shared" si="65"/>
        <v>45507</v>
      </c>
      <c r="B1222" s="31">
        <f>TIME(13, 43, 0)</f>
        <v>0.57152777777777775</v>
      </c>
      <c r="C1222" t="str">
        <f>Inventory!A121</f>
        <v>Banana</v>
      </c>
      <c r="D1222" s="27">
        <v>2</v>
      </c>
      <c r="E1222" s="5">
        <f>Table4[[#This Row],[qty]]*(VLOOKUP(Table4[[#This Row],[item_sold]],Table6[],4,FALSE))</f>
        <v>20</v>
      </c>
      <c r="F1222" s="5">
        <f>(VLOOKUP(Table4[[#This Row],[item_sold]],Table6[],3,FALSE))*Table4[[#This Row],[qty]]</f>
        <v>16.666666666666668</v>
      </c>
      <c r="G1222" s="5">
        <f t="shared" si="64"/>
        <v>3.3333333333333321</v>
      </c>
      <c r="H1222" t="s">
        <v>247</v>
      </c>
    </row>
    <row r="1223" spans="1:9" x14ac:dyDescent="0.25">
      <c r="A1223" s="1">
        <f t="shared" si="65"/>
        <v>45507</v>
      </c>
      <c r="B1223" s="31">
        <f>TIME(13, 55, 0)</f>
        <v>0.57986111111111105</v>
      </c>
      <c r="C1223" t="str">
        <f>Inventory!A121</f>
        <v>Banana</v>
      </c>
      <c r="D1223" s="27">
        <v>3</v>
      </c>
      <c r="E1223" s="5">
        <f>Table4[[#This Row],[qty]]*(VLOOKUP(Table4[[#This Row],[item_sold]],Table6[],4,FALSE))</f>
        <v>30</v>
      </c>
      <c r="F1223" s="5">
        <f>(VLOOKUP(Table4[[#This Row],[item_sold]],Table6[],3,FALSE))*Table4[[#This Row],[qty]]</f>
        <v>25</v>
      </c>
      <c r="G1223" s="5">
        <f t="shared" si="64"/>
        <v>5</v>
      </c>
      <c r="H1223" t="s">
        <v>361</v>
      </c>
    </row>
    <row r="1224" spans="1:9" x14ac:dyDescent="0.25">
      <c r="A1224" s="1">
        <f t="shared" si="65"/>
        <v>45507</v>
      </c>
      <c r="B1224" s="31">
        <f>TIME(13, 55, 0)</f>
        <v>0.57986111111111105</v>
      </c>
      <c r="C1224" t="str">
        <f>Inventory!A13</f>
        <v>soda 300ml glass</v>
      </c>
      <c r="D1224" s="27">
        <v>3</v>
      </c>
      <c r="E1224" s="5">
        <f>Table4[[#This Row],[qty]]*(VLOOKUP(Table4[[#This Row],[item_sold]],Table6[],4,FALSE))</f>
        <v>120</v>
      </c>
      <c r="F1224" s="5">
        <f>(VLOOKUP(Table4[[#This Row],[item_sold]],Table6[],3,FALSE))*Table4[[#This Row],[qty]]</f>
        <v>97.5</v>
      </c>
      <c r="G1224" s="5">
        <f t="shared" si="64"/>
        <v>22.5</v>
      </c>
      <c r="H1224" t="s">
        <v>361</v>
      </c>
    </row>
    <row r="1225" spans="1:9" x14ac:dyDescent="0.25">
      <c r="A1225" s="1">
        <f t="shared" si="65"/>
        <v>45507</v>
      </c>
      <c r="B1225" s="31">
        <f>TIME(13, 55, 0)</f>
        <v>0.57986111111111105</v>
      </c>
      <c r="C1225" t="str">
        <f>Inventory!A30</f>
        <v>BB Bread 400g</v>
      </c>
      <c r="D1225" s="27">
        <v>1</v>
      </c>
      <c r="E1225" s="5">
        <f>Table4[[#This Row],[qty]]*(VLOOKUP(Table4[[#This Row],[item_sold]],Table6[],4,FALSE))</f>
        <v>65</v>
      </c>
      <c r="F1225" s="5">
        <f>(VLOOKUP(Table4[[#This Row],[item_sold]],Table6[],3,FALSE))*Table4[[#This Row],[qty]]</f>
        <v>60</v>
      </c>
      <c r="G1225" s="5">
        <f t="shared" si="64"/>
        <v>5</v>
      </c>
      <c r="H1225" t="s">
        <v>361</v>
      </c>
    </row>
    <row r="1226" spans="1:9" x14ac:dyDescent="0.25">
      <c r="A1226" s="1">
        <f t="shared" si="65"/>
        <v>45507</v>
      </c>
      <c r="B1226" s="31">
        <f>TIME(14, 14, 0)</f>
        <v>0.59305555555555556</v>
      </c>
      <c r="C1226" t="str">
        <f>Inventory!A84</f>
        <v>Safari</v>
      </c>
      <c r="D1226" s="27">
        <v>6</v>
      </c>
      <c r="E1226" s="5">
        <f>Table4[[#This Row],[qty]]*(VLOOKUP(Table4[[#This Row],[item_sold]],Table6[],4,FALSE))</f>
        <v>90</v>
      </c>
      <c r="F1226" s="5">
        <f>(VLOOKUP(Table4[[#This Row],[item_sold]],Table6[],3,FALSE))*Table4[[#This Row],[qty]]</f>
        <v>51</v>
      </c>
      <c r="G1226" s="5">
        <f t="shared" si="64"/>
        <v>39</v>
      </c>
      <c r="H1226" t="s">
        <v>361</v>
      </c>
    </row>
    <row r="1227" spans="1:9" x14ac:dyDescent="0.25">
      <c r="A1227" s="1">
        <f t="shared" si="65"/>
        <v>45507</v>
      </c>
      <c r="B1227" s="31">
        <f>TIME(14, 32, 0)</f>
        <v>0.60555555555555551</v>
      </c>
      <c r="C1227" t="str">
        <f>Inventory!A13</f>
        <v>soda 300ml glass</v>
      </c>
      <c r="D1227" s="27">
        <v>1</v>
      </c>
      <c r="E1227" s="5">
        <f>Table4[[#This Row],[qty]]*(VLOOKUP(Table4[[#This Row],[item_sold]],Table6[],4,FALSE))</f>
        <v>40</v>
      </c>
      <c r="F1227" s="5">
        <f>(VLOOKUP(Table4[[#This Row],[item_sold]],Table6[],3,FALSE))*Table4[[#This Row],[qty]]</f>
        <v>32.5</v>
      </c>
      <c r="G1227" s="5">
        <f t="shared" si="64"/>
        <v>7.5</v>
      </c>
      <c r="H1227" t="s">
        <v>247</v>
      </c>
    </row>
    <row r="1228" spans="1:9" x14ac:dyDescent="0.25">
      <c r="A1228" s="1">
        <f t="shared" si="65"/>
        <v>45507</v>
      </c>
      <c r="B1228" s="31">
        <f>TIME(14, 32, 0)</f>
        <v>0.60555555555555551</v>
      </c>
      <c r="C1228" t="str">
        <f>Inventory!A46</f>
        <v>Nuvita Bisquit</v>
      </c>
      <c r="D1228" s="27">
        <v>2</v>
      </c>
      <c r="E1228" s="5">
        <f>Table4[[#This Row],[qty]]*(VLOOKUP(Table4[[#This Row],[item_sold]],Table6[],4,FALSE))</f>
        <v>10</v>
      </c>
      <c r="F1228" s="5">
        <f>(VLOOKUP(Table4[[#This Row],[item_sold]],Table6[],3,FALSE))*Table4[[#This Row],[qty]]</f>
        <v>8.3333333333333339</v>
      </c>
      <c r="G1228" s="5">
        <f t="shared" si="64"/>
        <v>1.6666666666666661</v>
      </c>
      <c r="H1228" t="s">
        <v>247</v>
      </c>
    </row>
    <row r="1229" spans="1:9" x14ac:dyDescent="0.25">
      <c r="A1229" s="1">
        <f t="shared" si="65"/>
        <v>45507</v>
      </c>
      <c r="B1229" s="31">
        <f>TIME(15, 54, 0)</f>
        <v>0.66249999999999998</v>
      </c>
      <c r="C1229" t="str">
        <f>Inventory!A92</f>
        <v>Freshfry</v>
      </c>
      <c r="D1229" s="27">
        <v>1</v>
      </c>
      <c r="E1229" s="5">
        <f>Table4[[#This Row],[qty]]*(VLOOKUP(Table4[[#This Row],[item_sold]],Table6[],4,FALSE))</f>
        <v>350</v>
      </c>
      <c r="F1229" s="5">
        <f>(VLOOKUP(Table4[[#This Row],[item_sold]],Table6[],3,FALSE))*Table4[[#This Row],[qty]]</f>
        <v>290</v>
      </c>
      <c r="G1229" s="5">
        <f t="shared" si="64"/>
        <v>60</v>
      </c>
      <c r="H1229" t="s">
        <v>361</v>
      </c>
    </row>
    <row r="1230" spans="1:9" x14ac:dyDescent="0.25">
      <c r="A1230" s="1">
        <f t="shared" si="65"/>
        <v>45507</v>
      </c>
      <c r="B1230" s="31">
        <f>TIME(16, 54, 0)</f>
        <v>0.70416666666666661</v>
      </c>
      <c r="C1230" t="str">
        <f>Inventory!A84</f>
        <v>Safari</v>
      </c>
      <c r="D1230" s="27">
        <v>2</v>
      </c>
      <c r="E1230" s="5">
        <f>Table4[[#This Row],[qty]]*(VLOOKUP(Table4[[#This Row],[item_sold]],Table6[],4,FALSE))</f>
        <v>30</v>
      </c>
      <c r="F1230" s="5">
        <f>(VLOOKUP(Table4[[#This Row],[item_sold]],Table6[],3,FALSE))*Table4[[#This Row],[qty]]</f>
        <v>17</v>
      </c>
      <c r="G1230" s="5">
        <f t="shared" si="64"/>
        <v>13</v>
      </c>
      <c r="H1230" t="s">
        <v>361</v>
      </c>
    </row>
    <row r="1231" spans="1:9" x14ac:dyDescent="0.25">
      <c r="A1231" s="1">
        <f t="shared" si="65"/>
        <v>45507</v>
      </c>
      <c r="B1231" s="31">
        <f>TIME(16, 33, 0)</f>
        <v>0.68958333333333333</v>
      </c>
      <c r="C1231" t="str">
        <f>Inventory!A117</f>
        <v>Cooking Oil Measured</v>
      </c>
      <c r="D1231" s="27">
        <v>0.75</v>
      </c>
      <c r="E1231" s="5">
        <f>Table4[[#This Row],[qty]]*(VLOOKUP(Table4[[#This Row],[item_sold]],Table6[],4,FALSE))</f>
        <v>210</v>
      </c>
      <c r="F1231" s="5">
        <f>(VLOOKUP(Table4[[#This Row],[item_sold]],Table6[],3,FALSE))*Table4[[#This Row],[qty]]</f>
        <v>150</v>
      </c>
      <c r="G1231" s="5">
        <f t="shared" si="64"/>
        <v>60</v>
      </c>
      <c r="H1231" t="s">
        <v>361</v>
      </c>
    </row>
    <row r="1232" spans="1:9" x14ac:dyDescent="0.25">
      <c r="A1232" s="1">
        <f t="shared" si="65"/>
        <v>45507</v>
      </c>
      <c r="B1232" s="31">
        <f>TIME(16, 39, 0)</f>
        <v>0.69374999999999998</v>
      </c>
      <c r="C1232" t="str">
        <f>Inventory!A87</f>
        <v>Ajab 2kg</v>
      </c>
      <c r="D1232" s="27">
        <v>1</v>
      </c>
      <c r="E1232" s="5">
        <f>Table4[[#This Row],[qty]]*(VLOOKUP(Table4[[#This Row],[item_sold]],Table6[],4,FALSE))</f>
        <v>220</v>
      </c>
      <c r="F1232" s="5">
        <f>(VLOOKUP(Table4[[#This Row],[item_sold]],Table6[],3,FALSE))*Table4[[#This Row],[qty]]</f>
        <v>175</v>
      </c>
      <c r="G1232" s="5">
        <f t="shared" si="64"/>
        <v>45</v>
      </c>
      <c r="H1232" t="s">
        <v>359</v>
      </c>
      <c r="I1232" t="s">
        <v>384</v>
      </c>
    </row>
    <row r="1233" spans="1:12" x14ac:dyDescent="0.25">
      <c r="A1233" s="1">
        <f t="shared" si="65"/>
        <v>45507</v>
      </c>
      <c r="B1233" s="31">
        <f>TIME(16, 39, 0)</f>
        <v>0.69374999999999998</v>
      </c>
      <c r="C1233" t="str">
        <f>Inventory!A142</f>
        <v>Ndengu</v>
      </c>
      <c r="D1233" s="27">
        <v>0.75</v>
      </c>
      <c r="E1233" s="5">
        <f>Table4[[#This Row],[qty]]*(VLOOKUP(Table4[[#This Row],[item_sold]],Table6[],4,FALSE))</f>
        <v>120</v>
      </c>
      <c r="F1233" s="5">
        <f>(VLOOKUP(Table4[[#This Row],[item_sold]],Table6[],3,FALSE))*Table4[[#This Row],[qty]]</f>
        <v>90</v>
      </c>
      <c r="G1233" s="5">
        <f t="shared" ref="G1233:G1250" si="66">E1233-F1233</f>
        <v>30</v>
      </c>
      <c r="H1233" t="s">
        <v>359</v>
      </c>
      <c r="I1233" t="s">
        <v>384</v>
      </c>
    </row>
    <row r="1234" spans="1:12" x14ac:dyDescent="0.25">
      <c r="A1234" s="1">
        <f t="shared" ref="A1234:A1250" si="67">DATE(2024,8,3)</f>
        <v>45507</v>
      </c>
      <c r="B1234" s="31">
        <f>TIME(16, 39, 0)</f>
        <v>0.69374999999999998</v>
      </c>
      <c r="C1234" t="str">
        <f>Inventory!A116</f>
        <v>Tomatoes</v>
      </c>
      <c r="D1234" s="27">
        <v>2</v>
      </c>
      <c r="E1234" s="5">
        <f>Table4[[#This Row],[qty]]*(VLOOKUP(Table4[[#This Row],[item_sold]],Table6[],4,FALSE))</f>
        <v>20</v>
      </c>
      <c r="F1234" s="5">
        <f>(VLOOKUP(Table4[[#This Row],[item_sold]],Table6[],3,FALSE))*Table4[[#This Row],[qty]]</f>
        <v>10</v>
      </c>
      <c r="G1234" s="5">
        <f t="shared" si="66"/>
        <v>10</v>
      </c>
      <c r="H1234" t="s">
        <v>359</v>
      </c>
      <c r="I1234" t="s">
        <v>384</v>
      </c>
    </row>
    <row r="1235" spans="1:12" x14ac:dyDescent="0.25">
      <c r="A1235" s="1">
        <f t="shared" si="67"/>
        <v>45507</v>
      </c>
      <c r="B1235" s="31">
        <f>TIME(16, 39, 0)</f>
        <v>0.69374999999999998</v>
      </c>
      <c r="C1235" t="str">
        <f>Inventory!A126</f>
        <v>Royco cubes</v>
      </c>
      <c r="D1235" s="27">
        <v>2</v>
      </c>
      <c r="E1235" s="5">
        <f>Table4[[#This Row],[qty]]*(VLOOKUP(Table4[[#This Row],[item_sold]],Table6[],4,FALSE))</f>
        <v>10</v>
      </c>
      <c r="F1235" s="5">
        <f>(VLOOKUP(Table4[[#This Row],[item_sold]],Table6[],3,FALSE))*Table4[[#This Row],[qty]]</f>
        <v>6</v>
      </c>
      <c r="G1235" s="5">
        <f t="shared" si="66"/>
        <v>4</v>
      </c>
      <c r="H1235" t="s">
        <v>359</v>
      </c>
      <c r="I1235" t="s">
        <v>384</v>
      </c>
    </row>
    <row r="1236" spans="1:12" x14ac:dyDescent="0.25">
      <c r="A1236" s="1">
        <f t="shared" si="67"/>
        <v>45507</v>
      </c>
      <c r="B1236" s="31">
        <f>TIME(17, 31, 0)</f>
        <v>0.72986111111111107</v>
      </c>
      <c r="C1236" t="str">
        <f>Inventory!A24</f>
        <v>Brookside milk 500ml</v>
      </c>
      <c r="D1236" s="27">
        <v>6</v>
      </c>
      <c r="E1236" s="5">
        <f>Table4[[#This Row],[qty]]*(VLOOKUP(Table4[[#This Row],[item_sold]],Table6[],4,FALSE))</f>
        <v>420</v>
      </c>
      <c r="F1236" s="5">
        <f>(VLOOKUP(Table4[[#This Row],[item_sold]],Table6[],3,FALSE))*Table4[[#This Row],[qty]]</f>
        <v>354</v>
      </c>
      <c r="G1236" s="5">
        <f t="shared" si="66"/>
        <v>66</v>
      </c>
      <c r="H1236" t="s">
        <v>247</v>
      </c>
    </row>
    <row r="1237" spans="1:12" x14ac:dyDescent="0.25">
      <c r="A1237" s="1">
        <f t="shared" si="67"/>
        <v>45507</v>
      </c>
      <c r="B1237" s="31">
        <f>TIME(17, 31, 0)</f>
        <v>0.72986111111111107</v>
      </c>
      <c r="C1237" t="str">
        <f>Inventory!A122</f>
        <v>Kinangop Fresh Milk 500ml</v>
      </c>
      <c r="D1237" s="27">
        <v>4</v>
      </c>
      <c r="E1237" s="5">
        <f>Table4[[#This Row],[qty]]*(VLOOKUP(Table4[[#This Row],[item_sold]],Table6[],4,FALSE))</f>
        <v>240</v>
      </c>
      <c r="F1237" s="5">
        <f>(VLOOKUP(Table4[[#This Row],[item_sold]],Table6[],3,FALSE))*Table4[[#This Row],[qty]]</f>
        <v>220</v>
      </c>
      <c r="G1237" s="5">
        <f t="shared" si="66"/>
        <v>20</v>
      </c>
      <c r="H1237" t="s">
        <v>247</v>
      </c>
    </row>
    <row r="1238" spans="1:12" x14ac:dyDescent="0.25">
      <c r="A1238" s="1">
        <f t="shared" si="67"/>
        <v>45507</v>
      </c>
      <c r="B1238" s="31">
        <f>TIME(17, 31, 0)</f>
        <v>0.72986111111111107</v>
      </c>
      <c r="C1238" t="str">
        <f>Inventory!A176</f>
        <v>hoho</v>
      </c>
      <c r="D1238" s="27">
        <v>2</v>
      </c>
      <c r="E1238" s="5">
        <f>Table4[[#This Row],[qty]]*(VLOOKUP(Table4[[#This Row],[item_sold]],Table6[],4,FALSE))</f>
        <v>20</v>
      </c>
      <c r="F1238" s="5">
        <f>(VLOOKUP(Table4[[#This Row],[item_sold]],Table6[],3,FALSE))*Table4[[#This Row],[qty]]</f>
        <v>13.333333333333334</v>
      </c>
      <c r="G1238" s="5">
        <f t="shared" si="66"/>
        <v>6.6666666666666661</v>
      </c>
      <c r="H1238" t="s">
        <v>247</v>
      </c>
    </row>
    <row r="1239" spans="1:12" x14ac:dyDescent="0.25">
      <c r="A1239" s="1">
        <f t="shared" si="67"/>
        <v>45507</v>
      </c>
      <c r="B1239" s="31">
        <f>TIME(17, 31, 0)</f>
        <v>0.72986111111111107</v>
      </c>
      <c r="C1239" t="str">
        <f>Inventory!A32</f>
        <v>Festive 600g</v>
      </c>
      <c r="D1239" s="27">
        <v>2</v>
      </c>
      <c r="E1239" s="5">
        <f>Table4[[#This Row],[qty]]*(VLOOKUP(Table4[[#This Row],[item_sold]],Table6[],4,FALSE))</f>
        <v>200</v>
      </c>
      <c r="F1239" s="5">
        <f>(VLOOKUP(Table4[[#This Row],[item_sold]],Table6[],3,FALSE))*Table4[[#This Row],[qty]]</f>
        <v>180</v>
      </c>
      <c r="G1239" s="5">
        <f t="shared" si="66"/>
        <v>20</v>
      </c>
      <c r="H1239" t="s">
        <v>247</v>
      </c>
    </row>
    <row r="1240" spans="1:12" x14ac:dyDescent="0.25">
      <c r="A1240" s="1">
        <f t="shared" si="67"/>
        <v>45507</v>
      </c>
      <c r="B1240" s="31">
        <f>TIME(17, 49, 0)</f>
        <v>0.74236111111111114</v>
      </c>
      <c r="C1240" t="str">
        <f>Inventory!A63</f>
        <v>Gomba</v>
      </c>
      <c r="D1240" s="27">
        <v>6</v>
      </c>
      <c r="E1240" s="5">
        <f>Table4[[#This Row],[qty]]*(VLOOKUP(Table4[[#This Row],[item_sold]],Table6[],4,FALSE))</f>
        <v>15</v>
      </c>
      <c r="F1240" s="5">
        <f>(VLOOKUP(Table4[[#This Row],[item_sold]],Table6[],3,FALSE))*Table4[[#This Row],[qty]]</f>
        <v>10.8</v>
      </c>
      <c r="G1240" s="5">
        <f t="shared" si="66"/>
        <v>4.1999999999999993</v>
      </c>
      <c r="H1240" t="s">
        <v>247</v>
      </c>
    </row>
    <row r="1241" spans="1:12" x14ac:dyDescent="0.25">
      <c r="A1241" s="1">
        <f t="shared" si="67"/>
        <v>45507</v>
      </c>
      <c r="B1241" s="31">
        <f>TIME(17, 49, 0)</f>
        <v>0.74236111111111114</v>
      </c>
      <c r="C1241" t="str">
        <f>Inventory!A194</f>
        <v>funtime snacks</v>
      </c>
      <c r="D1241" s="27">
        <v>1</v>
      </c>
      <c r="E1241" s="5">
        <f>Table4[[#This Row],[qty]]*(VLOOKUP(Table4[[#This Row],[item_sold]],Table6[],4,FALSE))</f>
        <v>15</v>
      </c>
      <c r="F1241" s="5">
        <f>(VLOOKUP(Table4[[#This Row],[item_sold]],Table6[],3,FALSE))*Table4[[#This Row],[qty]]</f>
        <v>9</v>
      </c>
      <c r="G1241" s="5">
        <f t="shared" si="66"/>
        <v>6</v>
      </c>
      <c r="H1241" t="s">
        <v>247</v>
      </c>
    </row>
    <row r="1242" spans="1:12" x14ac:dyDescent="0.25">
      <c r="A1242" s="1">
        <f t="shared" si="67"/>
        <v>45507</v>
      </c>
      <c r="B1242" s="31">
        <f>TIME(18, 16, 0)</f>
        <v>0.76111111111111107</v>
      </c>
      <c r="C1242" t="str">
        <f>Inventory!A123</f>
        <v>Mt Kenya milk 200ml</v>
      </c>
      <c r="D1242" s="27">
        <v>1</v>
      </c>
      <c r="E1242" s="5">
        <f>Table4[[#This Row],[qty]]*(VLOOKUP(Table4[[#This Row],[item_sold]],Table6[],4,FALSE))</f>
        <v>35</v>
      </c>
      <c r="F1242" s="5">
        <f>(VLOOKUP(Table4[[#This Row],[item_sold]],Table6[],3,FALSE))*Table4[[#This Row],[qty]]</f>
        <v>24.285714285714285</v>
      </c>
      <c r="G1242" s="5">
        <f t="shared" si="66"/>
        <v>10.714285714285715</v>
      </c>
      <c r="H1242" t="s">
        <v>361</v>
      </c>
    </row>
    <row r="1243" spans="1:12" x14ac:dyDescent="0.25">
      <c r="A1243" s="1">
        <f t="shared" si="67"/>
        <v>45507</v>
      </c>
      <c r="B1243" s="31">
        <f>TIME(18, 35, 0)</f>
        <v>0.77430555555555547</v>
      </c>
      <c r="C1243" t="str">
        <f>Inventory!A84</f>
        <v>Safari</v>
      </c>
      <c r="D1243" s="27">
        <v>3</v>
      </c>
      <c r="E1243" s="5">
        <f>Table4[[#This Row],[qty]]*(VLOOKUP(Table4[[#This Row],[item_sold]],Table6[],4,FALSE))</f>
        <v>45</v>
      </c>
      <c r="F1243" s="5">
        <f>(VLOOKUP(Table4[[#This Row],[item_sold]],Table6[],3,FALSE))*Table4[[#This Row],[qty]]</f>
        <v>25.5</v>
      </c>
      <c r="G1243" s="5">
        <f t="shared" si="66"/>
        <v>19.5</v>
      </c>
      <c r="H1243" t="s">
        <v>361</v>
      </c>
    </row>
    <row r="1244" spans="1:12" x14ac:dyDescent="0.25">
      <c r="A1244" s="1">
        <f t="shared" si="67"/>
        <v>45507</v>
      </c>
      <c r="B1244" s="31">
        <f>TIME(19, 33, 0)</f>
        <v>0.81458333333333333</v>
      </c>
      <c r="C1244" t="str">
        <f>Inventory!A125</f>
        <v>Dhania</v>
      </c>
      <c r="D1244" s="27">
        <v>2</v>
      </c>
      <c r="E1244" s="5">
        <f>Table4[[#This Row],[qty]]*(VLOOKUP(Table4[[#This Row],[item_sold]],Table6[],4,FALSE))</f>
        <v>10</v>
      </c>
      <c r="F1244" s="5">
        <f>(VLOOKUP(Table4[[#This Row],[item_sold]],Table6[],3,FALSE))*Table4[[#This Row],[qty]]</f>
        <v>6.666666666666667</v>
      </c>
      <c r="G1244" s="5">
        <f t="shared" si="66"/>
        <v>3.333333333333333</v>
      </c>
      <c r="H1244" t="s">
        <v>359</v>
      </c>
      <c r="I1244" t="s">
        <v>384</v>
      </c>
    </row>
    <row r="1245" spans="1:12" x14ac:dyDescent="0.25">
      <c r="A1245" s="1">
        <f t="shared" si="67"/>
        <v>45507</v>
      </c>
      <c r="B1245" s="31">
        <f>TIME(20, 15, 0)</f>
        <v>0.84375</v>
      </c>
      <c r="C1245" t="str">
        <f>Inventory!A122</f>
        <v>Kinangop Fresh Milk 500ml</v>
      </c>
      <c r="D1245" s="27">
        <v>1</v>
      </c>
      <c r="E1245" s="5">
        <f>Table4[[#This Row],[qty]]*(VLOOKUP(Table4[[#This Row],[item_sold]],Table6[],4,FALSE))</f>
        <v>60</v>
      </c>
      <c r="F1245" s="5">
        <f>(VLOOKUP(Table4[[#This Row],[item_sold]],Table6[],3,FALSE))*Table4[[#This Row],[qty]]</f>
        <v>55</v>
      </c>
      <c r="G1245" s="5">
        <f t="shared" si="66"/>
        <v>5</v>
      </c>
      <c r="H1245" t="s">
        <v>247</v>
      </c>
    </row>
    <row r="1246" spans="1:12" x14ac:dyDescent="0.25">
      <c r="A1246" s="1">
        <f t="shared" si="67"/>
        <v>45507</v>
      </c>
      <c r="B1246" s="31">
        <f>TIME(20, 15, 0)</f>
        <v>0.84375</v>
      </c>
      <c r="D1246" s="27"/>
      <c r="F1246" s="5"/>
      <c r="J1246" t="s">
        <v>390</v>
      </c>
      <c r="K1246">
        <v>780</v>
      </c>
      <c r="L1246" t="s">
        <v>247</v>
      </c>
    </row>
    <row r="1247" spans="1:12" x14ac:dyDescent="0.25">
      <c r="A1247" s="1">
        <f t="shared" si="67"/>
        <v>45507</v>
      </c>
      <c r="B1247" s="31">
        <f>TIME(20, 15, 0)</f>
        <v>0.84375</v>
      </c>
      <c r="D1247" s="27"/>
      <c r="F1247" s="5"/>
      <c r="J1247" t="s">
        <v>401</v>
      </c>
      <c r="K1247">
        <v>130</v>
      </c>
      <c r="L1247" t="s">
        <v>247</v>
      </c>
    </row>
    <row r="1248" spans="1:12" x14ac:dyDescent="0.25">
      <c r="A1248" s="1">
        <f t="shared" si="67"/>
        <v>45507</v>
      </c>
      <c r="B1248" s="31">
        <f>TIME(20, 15, 0)</f>
        <v>0.84375</v>
      </c>
      <c r="D1248" s="27"/>
      <c r="F1248" s="5"/>
      <c r="J1248" t="s">
        <v>388</v>
      </c>
      <c r="K1248">
        <v>30</v>
      </c>
      <c r="L1248" t="s">
        <v>247</v>
      </c>
    </row>
    <row r="1249" spans="1:12" x14ac:dyDescent="0.25">
      <c r="A1249" s="1">
        <f t="shared" si="67"/>
        <v>45507</v>
      </c>
      <c r="B1249" s="31">
        <f>TIME(20, 15, 0)</f>
        <v>0.84375</v>
      </c>
      <c r="D1249" s="27"/>
      <c r="F1249" s="5"/>
      <c r="J1249" t="s">
        <v>386</v>
      </c>
      <c r="K1249">
        <v>2215</v>
      </c>
      <c r="L1249" t="s">
        <v>361</v>
      </c>
    </row>
    <row r="1250" spans="1:12" x14ac:dyDescent="0.25">
      <c r="A1250" s="1">
        <f t="shared" si="67"/>
        <v>45507</v>
      </c>
      <c r="B1250" s="31">
        <f>TIME(20, 30, 0)</f>
        <v>0.85416666666666663</v>
      </c>
      <c r="C1250" t="str">
        <f>Inventory!A14</f>
        <v>soda 500ml glass</v>
      </c>
      <c r="D1250" s="27">
        <v>1</v>
      </c>
      <c r="E1250" s="5">
        <f>Table4[[#This Row],[qty]]*(VLOOKUP(Table4[[#This Row],[item_sold]],Table6[],4,FALSE))</f>
        <v>55</v>
      </c>
      <c r="F1250" s="5">
        <f>(VLOOKUP(Table4[[#This Row],[item_sold]],Table6[],3,FALSE))*Table4[[#This Row],[qty]]</f>
        <v>50</v>
      </c>
      <c r="G1250" s="5">
        <f t="shared" si="66"/>
        <v>5</v>
      </c>
      <c r="H1250" t="s">
        <v>361</v>
      </c>
    </row>
    <row r="1251" spans="1:12" x14ac:dyDescent="0.25">
      <c r="A1251" s="1">
        <f>DATE(2024,8,4)</f>
        <v>45508</v>
      </c>
      <c r="B1251" s="31">
        <f>TIME(7, 57, 0)</f>
        <v>0.33124999999999999</v>
      </c>
      <c r="C1251" t="str">
        <f>Inventory!A23</f>
        <v>Mt kenya milk 500ml</v>
      </c>
      <c r="D1251" s="27">
        <v>1</v>
      </c>
      <c r="E1251" s="5">
        <f>Table4[[#This Row],[qty]]*(VLOOKUP(Table4[[#This Row],[item_sold]],Table6[],4,FALSE))</f>
        <v>65</v>
      </c>
      <c r="F1251" s="5">
        <f>(VLOOKUP(Table4[[#This Row],[item_sold]],Table6[],3,FALSE))*Table4[[#This Row],[qty]]</f>
        <v>48.333333333333336</v>
      </c>
      <c r="G1251" s="5">
        <f t="shared" ref="G1251:G1314" si="68">E1251-F1251</f>
        <v>16.666666666666664</v>
      </c>
      <c r="H1251" t="s">
        <v>247</v>
      </c>
    </row>
    <row r="1252" spans="1:12" x14ac:dyDescent="0.25">
      <c r="A1252" s="1">
        <f t="shared" ref="A1252:A1316" si="69">DATE(2024,8,4)</f>
        <v>45508</v>
      </c>
      <c r="B1252" s="31">
        <f>TIME(8, 11, 0)</f>
        <v>0.34097222222222223</v>
      </c>
      <c r="C1252" t="str">
        <f>Inventory!A84</f>
        <v>Safari</v>
      </c>
      <c r="D1252" s="27">
        <v>3</v>
      </c>
      <c r="E1252" s="5">
        <f>Table4[[#This Row],[qty]]*(VLOOKUP(Table4[[#This Row],[item_sold]],Table6[],4,FALSE))</f>
        <v>45</v>
      </c>
      <c r="F1252" s="5">
        <f>(VLOOKUP(Table4[[#This Row],[item_sold]],Table6[],3,FALSE))*Table4[[#This Row],[qty]]</f>
        <v>25.5</v>
      </c>
      <c r="G1252" s="5">
        <f t="shared" si="68"/>
        <v>19.5</v>
      </c>
      <c r="H1252" t="s">
        <v>361</v>
      </c>
    </row>
    <row r="1253" spans="1:12" x14ac:dyDescent="0.25">
      <c r="A1253" s="1">
        <f t="shared" si="69"/>
        <v>45508</v>
      </c>
      <c r="B1253" s="31">
        <f>TIME(8, 11, 0)</f>
        <v>0.34097222222222223</v>
      </c>
      <c r="C1253" t="str">
        <f>Inventory!A123</f>
        <v>Mt Kenya milk 200ml</v>
      </c>
      <c r="D1253" s="27">
        <v>1</v>
      </c>
      <c r="E1253" s="5">
        <f>Table4[[#This Row],[qty]]*(VLOOKUP(Table4[[#This Row],[item_sold]],Table6[],4,FALSE))</f>
        <v>35</v>
      </c>
      <c r="F1253" s="5">
        <f>(VLOOKUP(Table4[[#This Row],[item_sold]],Table6[],3,FALSE))*Table4[[#This Row],[qty]]</f>
        <v>24.285714285714285</v>
      </c>
      <c r="G1253" s="5">
        <f t="shared" si="68"/>
        <v>10.714285714285715</v>
      </c>
      <c r="H1253" t="s">
        <v>359</v>
      </c>
      <c r="I1253" t="s">
        <v>391</v>
      </c>
    </row>
    <row r="1254" spans="1:12" x14ac:dyDescent="0.25">
      <c r="A1254" s="1">
        <f t="shared" si="69"/>
        <v>45508</v>
      </c>
      <c r="B1254" s="31">
        <f>TIME(8, 11, 0)</f>
        <v>0.34097222222222223</v>
      </c>
      <c r="C1254" t="str">
        <f>Inventory!A31</f>
        <v>BB Bread 200g</v>
      </c>
      <c r="D1254" s="27">
        <v>1</v>
      </c>
      <c r="E1254" s="5">
        <f>Table4[[#This Row],[qty]]*(VLOOKUP(Table4[[#This Row],[item_sold]],Table6[],4,FALSE))</f>
        <v>40</v>
      </c>
      <c r="F1254" s="5">
        <f>(VLOOKUP(Table4[[#This Row],[item_sold]],Table6[],3,FALSE))*Table4[[#This Row],[qty]]</f>
        <v>35</v>
      </c>
      <c r="G1254" s="5">
        <f t="shared" si="68"/>
        <v>5</v>
      </c>
      <c r="H1254" t="s">
        <v>359</v>
      </c>
      <c r="I1254" t="s">
        <v>391</v>
      </c>
    </row>
    <row r="1255" spans="1:12" x14ac:dyDescent="0.25">
      <c r="A1255" s="1">
        <f t="shared" si="69"/>
        <v>45508</v>
      </c>
      <c r="B1255" s="31">
        <f>TIME(8, 38, 0)</f>
        <v>0.35972222222222222</v>
      </c>
      <c r="C1255" t="str">
        <f>Inventory!A73</f>
        <v>kabras sugar 1kg</v>
      </c>
      <c r="D1255" s="27">
        <v>1</v>
      </c>
      <c r="E1255" s="5">
        <f>Table4[[#This Row],[qty]]*(VLOOKUP(Table4[[#This Row],[item_sold]],Table6[],4,FALSE))</f>
        <v>180</v>
      </c>
      <c r="F1255" s="5">
        <f>(VLOOKUP(Table4[[#This Row],[item_sold]],Table6[],3,FALSE))*Table4[[#This Row],[qty]]</f>
        <v>140</v>
      </c>
      <c r="G1255" s="5">
        <f t="shared" si="68"/>
        <v>40</v>
      </c>
      <c r="H1255" t="s">
        <v>361</v>
      </c>
    </row>
    <row r="1256" spans="1:12" x14ac:dyDescent="0.25">
      <c r="A1256" s="1">
        <f t="shared" si="69"/>
        <v>45508</v>
      </c>
      <c r="B1256" s="31">
        <f>TIME(9, 18, 0)</f>
        <v>0.38750000000000001</v>
      </c>
      <c r="C1256" t="str">
        <f>Inventory!A195</f>
        <v>Tropical heat crisps 50g</v>
      </c>
      <c r="D1256" s="27">
        <v>3</v>
      </c>
      <c r="E1256" s="5">
        <f>Table4[[#This Row],[qty]]*(VLOOKUP(Table4[[#This Row],[item_sold]],Table6[],4,FALSE))</f>
        <v>210</v>
      </c>
      <c r="F1256" s="5">
        <f>(VLOOKUP(Table4[[#This Row],[item_sold]],Table6[],3,FALSE))*Table4[[#This Row],[qty]]</f>
        <v>150</v>
      </c>
      <c r="G1256" s="5">
        <f t="shared" si="68"/>
        <v>60</v>
      </c>
      <c r="H1256" t="s">
        <v>359</v>
      </c>
      <c r="I1256" t="s">
        <v>389</v>
      </c>
    </row>
    <row r="1257" spans="1:12" x14ac:dyDescent="0.25">
      <c r="A1257" s="1">
        <f t="shared" si="69"/>
        <v>45508</v>
      </c>
      <c r="B1257" s="31">
        <f>TIME(10, 11, 0)</f>
        <v>0.42430555555555555</v>
      </c>
      <c r="C1257" t="str">
        <f>Inventory!A162</f>
        <v>Match Box</v>
      </c>
      <c r="D1257" s="27">
        <v>4</v>
      </c>
      <c r="E1257" s="5">
        <f>Table4[[#This Row],[qty]]*(VLOOKUP(Table4[[#This Row],[item_sold]],Table6[],4,FALSE))</f>
        <v>20</v>
      </c>
      <c r="F1257" s="5">
        <f>(VLOOKUP(Table4[[#This Row],[item_sold]],Table6[],3,FALSE))*Table4[[#This Row],[qty]]</f>
        <v>9.4444444444444446</v>
      </c>
      <c r="G1257" s="5">
        <f t="shared" si="68"/>
        <v>10.555555555555555</v>
      </c>
      <c r="H1257" t="s">
        <v>247</v>
      </c>
    </row>
    <row r="1258" spans="1:12" x14ac:dyDescent="0.25">
      <c r="A1258" s="1">
        <f t="shared" si="69"/>
        <v>45508</v>
      </c>
      <c r="B1258" s="31">
        <f>TIME(10, 28, 0)</f>
        <v>0.43611111111111112</v>
      </c>
      <c r="C1258" t="str">
        <f>Inventory!A132</f>
        <v>Festive Bread 400g</v>
      </c>
      <c r="D1258" s="27">
        <v>1</v>
      </c>
      <c r="E1258" s="5">
        <f>Table4[[#This Row],[qty]]*(VLOOKUP(Table4[[#This Row],[item_sold]],Table6[],4,FALSE))</f>
        <v>65</v>
      </c>
      <c r="F1258" s="5">
        <f>(VLOOKUP(Table4[[#This Row],[item_sold]],Table6[],3,FALSE))*Table4[[#This Row],[qty]]</f>
        <v>60</v>
      </c>
      <c r="G1258" s="5">
        <f t="shared" si="68"/>
        <v>5</v>
      </c>
      <c r="H1258" t="s">
        <v>361</v>
      </c>
    </row>
    <row r="1259" spans="1:12" x14ac:dyDescent="0.25">
      <c r="A1259" s="1">
        <f t="shared" si="69"/>
        <v>45508</v>
      </c>
      <c r="B1259" s="31">
        <f>TIME(10, 28, 0)</f>
        <v>0.43611111111111112</v>
      </c>
      <c r="C1259" t="str">
        <f>Inventory!A66</f>
        <v>Gumballs</v>
      </c>
      <c r="D1259" s="27">
        <v>5</v>
      </c>
      <c r="E1259" s="5">
        <f>Table4[[#This Row],[qty]]*(VLOOKUP(Table4[[#This Row],[item_sold]],Table6[],4,FALSE))</f>
        <v>5</v>
      </c>
      <c r="F1259" s="5">
        <f>(VLOOKUP(Table4[[#This Row],[item_sold]],Table6[],3,FALSE))*Table4[[#This Row],[qty]]</f>
        <v>3.5</v>
      </c>
      <c r="G1259" s="5">
        <f t="shared" si="68"/>
        <v>1.5</v>
      </c>
      <c r="H1259" t="s">
        <v>361</v>
      </c>
    </row>
    <row r="1260" spans="1:12" x14ac:dyDescent="0.25">
      <c r="A1260" s="1">
        <f t="shared" si="69"/>
        <v>45508</v>
      </c>
      <c r="B1260" s="31">
        <f>TIME(10, 28, 0)</f>
        <v>0.43611111111111112</v>
      </c>
      <c r="C1260" t="str">
        <f>Inventory!A56</f>
        <v>Fresh green</v>
      </c>
      <c r="D1260" s="27">
        <v>2</v>
      </c>
      <c r="E1260" s="5">
        <f>Table4[[#This Row],[qty]]*(VLOOKUP(Table4[[#This Row],[item_sold]],Table6[],4,FALSE))</f>
        <v>20</v>
      </c>
      <c r="F1260" s="5">
        <f>(VLOOKUP(Table4[[#This Row],[item_sold]],Table6[],3,FALSE))*Table4[[#This Row],[qty]]</f>
        <v>10</v>
      </c>
      <c r="G1260" s="5">
        <f t="shared" si="68"/>
        <v>10</v>
      </c>
      <c r="H1260" t="s">
        <v>361</v>
      </c>
    </row>
    <row r="1261" spans="1:12" x14ac:dyDescent="0.25">
      <c r="A1261" s="1">
        <f t="shared" si="69"/>
        <v>45508</v>
      </c>
      <c r="B1261" s="31">
        <f>TIME(10, 52, 0)</f>
        <v>0.45277777777777778</v>
      </c>
      <c r="C1261" t="str">
        <f>Inventory!A24</f>
        <v>Brookside milk 500ml</v>
      </c>
      <c r="D1261" s="27">
        <v>1</v>
      </c>
      <c r="E1261" s="5">
        <f>Table4[[#This Row],[qty]]*(VLOOKUP(Table4[[#This Row],[item_sold]],Table6[],4,FALSE))</f>
        <v>70</v>
      </c>
      <c r="F1261" s="5">
        <f>(VLOOKUP(Table4[[#This Row],[item_sold]],Table6[],3,FALSE))*Table4[[#This Row],[qty]]</f>
        <v>59</v>
      </c>
      <c r="G1261" s="5">
        <f t="shared" si="68"/>
        <v>11</v>
      </c>
      <c r="H1261" t="s">
        <v>247</v>
      </c>
    </row>
    <row r="1262" spans="1:12" x14ac:dyDescent="0.25">
      <c r="A1262" s="1">
        <f t="shared" si="69"/>
        <v>45508</v>
      </c>
      <c r="B1262" s="31">
        <f>TIME(11, 20, 0)</f>
        <v>0.47222222222222227</v>
      </c>
      <c r="C1262" t="str">
        <f>Inventory!A30</f>
        <v>BB Bread 400g</v>
      </c>
      <c r="D1262" s="27">
        <v>2</v>
      </c>
      <c r="E1262" s="5">
        <f>Table4[[#This Row],[qty]]*(VLOOKUP(Table4[[#This Row],[item_sold]],Table6[],4,FALSE))</f>
        <v>130</v>
      </c>
      <c r="F1262" s="5">
        <f>(VLOOKUP(Table4[[#This Row],[item_sold]],Table6[],3,FALSE))*Table4[[#This Row],[qty]]</f>
        <v>120</v>
      </c>
      <c r="G1262" s="5">
        <f t="shared" si="68"/>
        <v>10</v>
      </c>
      <c r="H1262" t="s">
        <v>359</v>
      </c>
      <c r="I1262" t="s">
        <v>394</v>
      </c>
    </row>
    <row r="1263" spans="1:12" x14ac:dyDescent="0.25">
      <c r="A1263" s="1">
        <f t="shared" si="69"/>
        <v>45508</v>
      </c>
      <c r="B1263" s="31">
        <f>TIME(11, 25, 0)</f>
        <v>0.47569444444444442</v>
      </c>
      <c r="C1263" t="str">
        <f>Inventory!A84</f>
        <v>Safari</v>
      </c>
      <c r="D1263" s="27">
        <v>3</v>
      </c>
      <c r="E1263" s="5">
        <f>Table4[[#This Row],[qty]]*(VLOOKUP(Table4[[#This Row],[item_sold]],Table6[],4,FALSE))</f>
        <v>45</v>
      </c>
      <c r="F1263" s="5">
        <f>(VLOOKUP(Table4[[#This Row],[item_sold]],Table6[],3,FALSE))*Table4[[#This Row],[qty]]</f>
        <v>25.5</v>
      </c>
      <c r="G1263" s="5">
        <f t="shared" si="68"/>
        <v>19.5</v>
      </c>
      <c r="H1263" t="s">
        <v>361</v>
      </c>
    </row>
    <row r="1264" spans="1:12" x14ac:dyDescent="0.25">
      <c r="A1264" s="1">
        <f t="shared" si="69"/>
        <v>45508</v>
      </c>
      <c r="B1264" s="31">
        <f>TIME(11, 59, 0)</f>
        <v>0.4993055555555555</v>
      </c>
      <c r="C1264" t="str">
        <f>Inventory!A111</f>
        <v>omo 20g</v>
      </c>
      <c r="D1264" s="27">
        <v>2</v>
      </c>
      <c r="E1264" s="5">
        <f>Table4[[#This Row],[qty]]*(VLOOKUP(Table4[[#This Row],[item_sold]],Table6[],4,FALSE))</f>
        <v>30</v>
      </c>
      <c r="F1264" s="5">
        <f>(VLOOKUP(Table4[[#This Row],[item_sold]],Table6[],3,FALSE))*Table4[[#This Row],[qty]]</f>
        <v>18.333333333333332</v>
      </c>
      <c r="G1264" s="5">
        <f t="shared" si="68"/>
        <v>11.666666666666668</v>
      </c>
      <c r="H1264" t="s">
        <v>359</v>
      </c>
      <c r="I1264" t="s">
        <v>394</v>
      </c>
    </row>
    <row r="1265" spans="1:9" x14ac:dyDescent="0.25">
      <c r="A1265" s="1">
        <f t="shared" si="69"/>
        <v>45508</v>
      </c>
      <c r="B1265" s="31">
        <f>TIME(11, 59, 0)</f>
        <v>0.4993055555555555</v>
      </c>
      <c r="C1265" t="str">
        <f>Inventory!A106</f>
        <v xml:space="preserve">Whitewash </v>
      </c>
      <c r="D1265" s="27">
        <v>1</v>
      </c>
      <c r="E1265" s="5">
        <f>Table4[[#This Row],[qty]]*(VLOOKUP(Table4[[#This Row],[item_sold]],Table6[],4,FALSE))</f>
        <v>50</v>
      </c>
      <c r="F1265" s="5">
        <f>(VLOOKUP(Table4[[#This Row],[item_sold]],Table6[],3,FALSE))*Table4[[#This Row],[qty]]</f>
        <v>33.75</v>
      </c>
      <c r="G1265" s="5">
        <f t="shared" si="68"/>
        <v>16.25</v>
      </c>
      <c r="H1265" t="s">
        <v>359</v>
      </c>
      <c r="I1265" t="s">
        <v>394</v>
      </c>
    </row>
    <row r="1266" spans="1:9" x14ac:dyDescent="0.25">
      <c r="A1266" s="1">
        <f t="shared" si="69"/>
        <v>45508</v>
      </c>
      <c r="B1266" s="31">
        <f>TIME(12, 13, 0)</f>
        <v>0.50902777777777775</v>
      </c>
      <c r="C1266" t="str">
        <f>Inventory!A108</f>
        <v>ariel 75g</v>
      </c>
      <c r="D1266" s="27">
        <v>1</v>
      </c>
      <c r="E1266" s="5">
        <f>Table4[[#This Row],[qty]]*(VLOOKUP(Table4[[#This Row],[item_sold]],Table6[],4,FALSE))</f>
        <v>35</v>
      </c>
      <c r="F1266" s="5">
        <f>(VLOOKUP(Table4[[#This Row],[item_sold]],Table6[],3,FALSE))*Table4[[#This Row],[qty]]</f>
        <v>27.5</v>
      </c>
      <c r="G1266" s="5">
        <f t="shared" si="68"/>
        <v>7.5</v>
      </c>
      <c r="H1266" t="s">
        <v>361</v>
      </c>
    </row>
    <row r="1267" spans="1:9" x14ac:dyDescent="0.25">
      <c r="A1267" s="1">
        <f t="shared" si="69"/>
        <v>45508</v>
      </c>
      <c r="B1267" s="31">
        <f>TIME(12, 19, 0)</f>
        <v>0.5131944444444444</v>
      </c>
      <c r="C1267" t="str">
        <f>Inventory!A135</f>
        <v>Safaricom 20 Credit</v>
      </c>
      <c r="D1267" s="27">
        <v>1</v>
      </c>
      <c r="E1267" s="5">
        <f>Table4[[#This Row],[qty]]*(VLOOKUP(Table4[[#This Row],[item_sold]],Table6[],4,FALSE))</f>
        <v>20</v>
      </c>
      <c r="F1267" s="5">
        <f>(VLOOKUP(Table4[[#This Row],[item_sold]],Table6[],3,FALSE))*Table4[[#This Row],[qty]]</f>
        <v>18</v>
      </c>
      <c r="G1267" s="5">
        <f t="shared" si="68"/>
        <v>2</v>
      </c>
      <c r="H1267" t="s">
        <v>247</v>
      </c>
    </row>
    <row r="1268" spans="1:9" x14ac:dyDescent="0.25">
      <c r="A1268" s="1">
        <f t="shared" si="69"/>
        <v>45508</v>
      </c>
      <c r="B1268" s="31">
        <f>TIME(12, 30, 0)</f>
        <v>0.52083333333333337</v>
      </c>
      <c r="C1268" t="str">
        <f>Inventory!A131</f>
        <v>Black Shampoo</v>
      </c>
      <c r="D1268" s="27">
        <v>1</v>
      </c>
      <c r="E1268" s="5">
        <f>Table4[[#This Row],[qty]]*(VLOOKUP(Table4[[#This Row],[item_sold]],Table6[],4,FALSE))</f>
        <v>50</v>
      </c>
      <c r="F1268" s="5">
        <f>(VLOOKUP(Table4[[#This Row],[item_sold]],Table6[],3,FALSE))*Table4[[#This Row],[qty]]</f>
        <v>28</v>
      </c>
      <c r="G1268" s="5">
        <f t="shared" si="68"/>
        <v>22</v>
      </c>
      <c r="H1268" t="s">
        <v>359</v>
      </c>
      <c r="I1268" t="s">
        <v>388</v>
      </c>
    </row>
    <row r="1269" spans="1:9" x14ac:dyDescent="0.25">
      <c r="A1269" s="1">
        <f t="shared" si="69"/>
        <v>45508</v>
      </c>
      <c r="B1269" s="31">
        <f>TIME(12, 30, 0)</f>
        <v>0.52083333333333337</v>
      </c>
      <c r="C1269" t="str">
        <f>Inventory!A121</f>
        <v>Banana</v>
      </c>
      <c r="D1269" s="27">
        <v>1</v>
      </c>
      <c r="E1269" s="5">
        <f>Table4[[#This Row],[qty]]*(VLOOKUP(Table4[[#This Row],[item_sold]],Table6[],4,FALSE))</f>
        <v>10</v>
      </c>
      <c r="F1269" s="5">
        <f>(VLOOKUP(Table4[[#This Row],[item_sold]],Table6[],3,FALSE))*Table4[[#This Row],[qty]]</f>
        <v>8.3333333333333339</v>
      </c>
      <c r="G1269" s="5">
        <f t="shared" si="68"/>
        <v>1.6666666666666661</v>
      </c>
      <c r="H1269" t="s">
        <v>359</v>
      </c>
      <c r="I1269" t="s">
        <v>388</v>
      </c>
    </row>
    <row r="1270" spans="1:9" x14ac:dyDescent="0.25">
      <c r="A1270" s="1">
        <f t="shared" si="69"/>
        <v>45508</v>
      </c>
      <c r="B1270" s="31">
        <f>TIME(13, 11, 0)</f>
        <v>0.5493055555555556</v>
      </c>
      <c r="C1270" t="str">
        <f>Inventory!A13</f>
        <v>soda 300ml glass</v>
      </c>
      <c r="D1270" s="27">
        <v>2</v>
      </c>
      <c r="E1270" s="5">
        <f>Table4[[#This Row],[qty]]*(VLOOKUP(Table4[[#This Row],[item_sold]],Table6[],4,FALSE))</f>
        <v>80</v>
      </c>
      <c r="F1270" s="5">
        <f>(VLOOKUP(Table4[[#This Row],[item_sold]],Table6[],3,FALSE))*Table4[[#This Row],[qty]]</f>
        <v>65</v>
      </c>
      <c r="G1270" s="5">
        <f t="shared" si="68"/>
        <v>15</v>
      </c>
      <c r="H1270" t="s">
        <v>361</v>
      </c>
    </row>
    <row r="1271" spans="1:9" x14ac:dyDescent="0.25">
      <c r="A1271" s="1">
        <f t="shared" si="69"/>
        <v>45508</v>
      </c>
      <c r="B1271" s="31">
        <f>TIME(13, 11, 0)</f>
        <v>0.5493055555555556</v>
      </c>
      <c r="C1271" t="str">
        <f>Inventory!A132</f>
        <v>Festive Bread 400g</v>
      </c>
      <c r="D1271" s="27">
        <v>1</v>
      </c>
      <c r="E1271" s="5">
        <f>Table4[[#This Row],[qty]]*(VLOOKUP(Table4[[#This Row],[item_sold]],Table6[],4,FALSE))</f>
        <v>65</v>
      </c>
      <c r="F1271" s="5">
        <f>(VLOOKUP(Table4[[#This Row],[item_sold]],Table6[],3,FALSE))*Table4[[#This Row],[qty]]</f>
        <v>60</v>
      </c>
      <c r="G1271" s="5">
        <f t="shared" si="68"/>
        <v>5</v>
      </c>
      <c r="H1271" t="s">
        <v>361</v>
      </c>
    </row>
    <row r="1272" spans="1:9" x14ac:dyDescent="0.25">
      <c r="A1272" s="1">
        <f t="shared" si="69"/>
        <v>45508</v>
      </c>
      <c r="B1272" s="31">
        <f>TIME(13, 14, 0)</f>
        <v>0.55138888888888882</v>
      </c>
      <c r="C1272" t="str">
        <f>Inventory!A121</f>
        <v>Banana</v>
      </c>
      <c r="D1272" s="27">
        <v>4</v>
      </c>
      <c r="E1272" s="5">
        <f>Table4[[#This Row],[qty]]*(VLOOKUP(Table4[[#This Row],[item_sold]],Table6[],4,FALSE))</f>
        <v>40</v>
      </c>
      <c r="F1272" s="5">
        <f>(VLOOKUP(Table4[[#This Row],[item_sold]],Table6[],3,FALSE))*Table4[[#This Row],[qty]]</f>
        <v>33.333333333333336</v>
      </c>
      <c r="G1272" s="5">
        <f t="shared" si="68"/>
        <v>6.6666666666666643</v>
      </c>
      <c r="H1272" t="s">
        <v>247</v>
      </c>
    </row>
    <row r="1273" spans="1:9" x14ac:dyDescent="0.25">
      <c r="A1273" s="1">
        <f t="shared" si="69"/>
        <v>45508</v>
      </c>
      <c r="B1273" s="31">
        <f>TIME(13, 22, 0)</f>
        <v>0.55694444444444446</v>
      </c>
      <c r="C1273" t="str">
        <f>Inventory!A84</f>
        <v>Safari</v>
      </c>
      <c r="D1273" s="27">
        <v>3</v>
      </c>
      <c r="E1273" s="5">
        <f>Table4[[#This Row],[qty]]*(VLOOKUP(Table4[[#This Row],[item_sold]],Table6[],4,FALSE))</f>
        <v>45</v>
      </c>
      <c r="F1273" s="5">
        <f>(VLOOKUP(Table4[[#This Row],[item_sold]],Table6[],3,FALSE))*Table4[[#This Row],[qty]]</f>
        <v>25.5</v>
      </c>
      <c r="G1273" s="5">
        <f t="shared" si="68"/>
        <v>19.5</v>
      </c>
      <c r="H1273" t="s">
        <v>361</v>
      </c>
    </row>
    <row r="1274" spans="1:9" x14ac:dyDescent="0.25">
      <c r="A1274" s="1">
        <f t="shared" si="69"/>
        <v>45508</v>
      </c>
      <c r="B1274" s="31">
        <f>TIME(13, 39, 0)</f>
        <v>0.56874999999999998</v>
      </c>
      <c r="C1274" t="str">
        <f>Inventory!A196</f>
        <v>Bamsi Antidandruff hair oil</v>
      </c>
      <c r="D1274" s="27">
        <v>1</v>
      </c>
      <c r="E1274" s="5">
        <f>Table4[[#This Row],[qty]]*(VLOOKUP(Table4[[#This Row],[item_sold]],Table6[],4,FALSE))</f>
        <v>100</v>
      </c>
      <c r="F1274" s="5">
        <f>(VLOOKUP(Table4[[#This Row],[item_sold]],Table6[],3,FALSE))*Table4[[#This Row],[qty]]</f>
        <v>70</v>
      </c>
      <c r="G1274" s="5">
        <f t="shared" si="68"/>
        <v>30</v>
      </c>
      <c r="H1274" t="s">
        <v>361</v>
      </c>
    </row>
    <row r="1275" spans="1:9" x14ac:dyDescent="0.25">
      <c r="A1275" s="1">
        <f t="shared" si="69"/>
        <v>45508</v>
      </c>
      <c r="B1275" s="31">
        <f>TIME(13, 39, 0)</f>
        <v>0.56874999999999998</v>
      </c>
      <c r="C1275" t="str">
        <f>Inventory!A9</f>
        <v>minutemaid 400ml</v>
      </c>
      <c r="D1275" s="27">
        <v>1</v>
      </c>
      <c r="E1275" s="5">
        <f>Table4[[#This Row],[qty]]*(VLOOKUP(Table4[[#This Row],[item_sold]],Table6[],4,FALSE))</f>
        <v>85</v>
      </c>
      <c r="F1275" s="5">
        <f>(VLOOKUP(Table4[[#This Row],[item_sold]],Table6[],3,FALSE))*Table4[[#This Row],[qty]]</f>
        <v>62.5</v>
      </c>
      <c r="G1275" s="5">
        <f t="shared" si="68"/>
        <v>22.5</v>
      </c>
      <c r="H1275" t="s">
        <v>361</v>
      </c>
    </row>
    <row r="1276" spans="1:9" x14ac:dyDescent="0.25">
      <c r="A1276" s="1">
        <f t="shared" si="69"/>
        <v>45508</v>
      </c>
      <c r="B1276" s="31">
        <f>TIME(13, 39, 0)</f>
        <v>0.56874999999999998</v>
      </c>
      <c r="C1276" t="str">
        <f>Inventory!A6</f>
        <v xml:space="preserve"> soda 1.25lts</v>
      </c>
      <c r="D1276" s="27">
        <v>1</v>
      </c>
      <c r="E1276" s="5">
        <f>Table4[[#This Row],[qty]]*(VLOOKUP(Table4[[#This Row],[item_sold]],Table6[],4,FALSE))</f>
        <v>130</v>
      </c>
      <c r="F1276" s="5">
        <f>(VLOOKUP(Table4[[#This Row],[item_sold]],Table6[],3,FALSE))*Table4[[#This Row],[qty]]</f>
        <v>112.5</v>
      </c>
      <c r="G1276" s="5">
        <f t="shared" si="68"/>
        <v>17.5</v>
      </c>
      <c r="H1276" t="s">
        <v>361</v>
      </c>
    </row>
    <row r="1277" spans="1:9" x14ac:dyDescent="0.25">
      <c r="A1277" s="1">
        <f t="shared" si="69"/>
        <v>45508</v>
      </c>
      <c r="B1277" s="31">
        <f>TIME(13, 39, 0)</f>
        <v>0.56874999999999998</v>
      </c>
      <c r="C1277" t="str">
        <f>Inventory!A50</f>
        <v>Ring Cake</v>
      </c>
      <c r="D1277" s="27">
        <v>1</v>
      </c>
      <c r="E1277" s="5">
        <f>Table4[[#This Row],[qty]]*(VLOOKUP(Table4[[#This Row],[item_sold]],Table6[],4,FALSE))</f>
        <v>50</v>
      </c>
      <c r="F1277" s="5">
        <f>(VLOOKUP(Table4[[#This Row],[item_sold]],Table6[],3,FALSE))*Table4[[#This Row],[qty]]</f>
        <v>45</v>
      </c>
      <c r="G1277" s="5">
        <f t="shared" si="68"/>
        <v>5</v>
      </c>
      <c r="H1277" t="s">
        <v>361</v>
      </c>
    </row>
    <row r="1278" spans="1:9" x14ac:dyDescent="0.25">
      <c r="A1278" s="1">
        <f t="shared" si="69"/>
        <v>45508</v>
      </c>
      <c r="B1278" s="31">
        <f>TIME(14, 3, 0)</f>
        <v>0.5854166666666667</v>
      </c>
      <c r="C1278" t="str">
        <f>Inventory!A50</f>
        <v>Ring Cake</v>
      </c>
      <c r="D1278" s="27">
        <v>1</v>
      </c>
      <c r="E1278" s="5">
        <f>Table4[[#This Row],[qty]]*(VLOOKUP(Table4[[#This Row],[item_sold]],Table6[],4,FALSE))</f>
        <v>50</v>
      </c>
      <c r="F1278" s="5">
        <f>(VLOOKUP(Table4[[#This Row],[item_sold]],Table6[],3,FALSE))*Table4[[#This Row],[qty]]</f>
        <v>45</v>
      </c>
      <c r="G1278" s="5">
        <f t="shared" si="68"/>
        <v>5</v>
      </c>
      <c r="H1278" t="s">
        <v>247</v>
      </c>
    </row>
    <row r="1279" spans="1:9" x14ac:dyDescent="0.25">
      <c r="A1279" s="1">
        <f t="shared" si="69"/>
        <v>45508</v>
      </c>
      <c r="B1279" s="31">
        <f>TIME(14, 3, 0)</f>
        <v>0.5854166666666667</v>
      </c>
      <c r="C1279" t="str">
        <f>Inventory!A14</f>
        <v>soda 500ml glass</v>
      </c>
      <c r="D1279" s="27">
        <v>1</v>
      </c>
      <c r="E1279" s="5">
        <f>Table4[[#This Row],[qty]]*(VLOOKUP(Table4[[#This Row],[item_sold]],Table6[],4,FALSE))</f>
        <v>55</v>
      </c>
      <c r="F1279" s="5">
        <f>(VLOOKUP(Table4[[#This Row],[item_sold]],Table6[],3,FALSE))*Table4[[#This Row],[qty]]</f>
        <v>50</v>
      </c>
      <c r="G1279" s="5">
        <f t="shared" si="68"/>
        <v>5</v>
      </c>
      <c r="H1279" t="s">
        <v>247</v>
      </c>
    </row>
    <row r="1280" spans="1:9" x14ac:dyDescent="0.25">
      <c r="A1280" s="1">
        <f t="shared" si="69"/>
        <v>45508</v>
      </c>
      <c r="B1280" s="31">
        <f>TIME(14, 3, 0)</f>
        <v>0.5854166666666667</v>
      </c>
      <c r="C1280" t="str">
        <f>Inventory!A65</f>
        <v>Tropical</v>
      </c>
      <c r="D1280" s="27">
        <v>2</v>
      </c>
      <c r="E1280" s="5">
        <f>Table4[[#This Row],[qty]]*(VLOOKUP(Table4[[#This Row],[item_sold]],Table6[],4,FALSE))</f>
        <v>10</v>
      </c>
      <c r="F1280" s="5">
        <f>(VLOOKUP(Table4[[#This Row],[item_sold]],Table6[],3,FALSE))*Table4[[#This Row],[qty]]</f>
        <v>3</v>
      </c>
      <c r="G1280" s="5">
        <f t="shared" si="68"/>
        <v>7</v>
      </c>
      <c r="H1280" t="s">
        <v>247</v>
      </c>
    </row>
    <row r="1281" spans="1:9" x14ac:dyDescent="0.25">
      <c r="A1281" s="1">
        <f t="shared" si="69"/>
        <v>45508</v>
      </c>
      <c r="B1281" s="31">
        <f>TIME(14, 17, 0)</f>
        <v>0.59513888888888888</v>
      </c>
      <c r="C1281" t="str">
        <f>Inventory!A84</f>
        <v>Safari</v>
      </c>
      <c r="D1281" s="27">
        <v>2</v>
      </c>
      <c r="E1281" s="5">
        <f>Table4[[#This Row],[qty]]*(VLOOKUP(Table4[[#This Row],[item_sold]],Table6[],4,FALSE))</f>
        <v>30</v>
      </c>
      <c r="F1281" s="5">
        <f>(VLOOKUP(Table4[[#This Row],[item_sold]],Table6[],3,FALSE))*Table4[[#This Row],[qty]]</f>
        <v>17</v>
      </c>
      <c r="G1281" s="5">
        <f t="shared" si="68"/>
        <v>13</v>
      </c>
      <c r="H1281" t="s">
        <v>361</v>
      </c>
    </row>
    <row r="1282" spans="1:9" x14ac:dyDescent="0.25">
      <c r="A1282" s="1">
        <f t="shared" si="69"/>
        <v>45508</v>
      </c>
      <c r="B1282" s="31">
        <f>TIME(14, 45, 0)</f>
        <v>0.61458333333333337</v>
      </c>
      <c r="C1282" t="str">
        <f>Inventory!A116</f>
        <v>Tomatoes</v>
      </c>
      <c r="D1282" s="27">
        <v>5</v>
      </c>
      <c r="E1282" s="5">
        <f>Table4[[#This Row],[qty]]*(VLOOKUP(Table4[[#This Row],[item_sold]],Table6[],4,FALSE))</f>
        <v>50</v>
      </c>
      <c r="F1282" s="5">
        <f>(VLOOKUP(Table4[[#This Row],[item_sold]],Table6[],3,FALSE))*Table4[[#This Row],[qty]]</f>
        <v>25</v>
      </c>
      <c r="G1282" s="5">
        <f t="shared" si="68"/>
        <v>25</v>
      </c>
      <c r="H1282" t="s">
        <v>247</v>
      </c>
    </row>
    <row r="1283" spans="1:9" x14ac:dyDescent="0.25">
      <c r="A1283" s="1">
        <f t="shared" si="69"/>
        <v>45508</v>
      </c>
      <c r="B1283" s="31">
        <f>TIME(14, 46, 0)</f>
        <v>0.61527777777777781</v>
      </c>
      <c r="C1283" t="str">
        <f>Inventory!A114</f>
        <v>Maramoja</v>
      </c>
      <c r="D1283" s="27">
        <v>3</v>
      </c>
      <c r="E1283" s="5">
        <f>Table4[[#This Row],[qty]]*(VLOOKUP(Table4[[#This Row],[item_sold]],Table6[],4,FALSE))</f>
        <v>30</v>
      </c>
      <c r="F1283" s="5">
        <f>(VLOOKUP(Table4[[#This Row],[item_sold]],Table6[],3,FALSE))*Table4[[#This Row],[qty]]</f>
        <v>21</v>
      </c>
      <c r="G1283" s="5">
        <f t="shared" si="68"/>
        <v>9</v>
      </c>
      <c r="H1283" t="s">
        <v>247</v>
      </c>
    </row>
    <row r="1284" spans="1:9" x14ac:dyDescent="0.25">
      <c r="A1284" s="1">
        <f t="shared" si="69"/>
        <v>45508</v>
      </c>
      <c r="B1284" s="31">
        <f>TIME(14, 48, 0)</f>
        <v>0.6166666666666667</v>
      </c>
      <c r="C1284" t="str">
        <f>Inventory!A84</f>
        <v>Safari</v>
      </c>
      <c r="D1284" s="27">
        <v>2</v>
      </c>
      <c r="E1284" s="5">
        <f>Table4[[#This Row],[qty]]*(VLOOKUP(Table4[[#This Row],[item_sold]],Table6[],4,FALSE))</f>
        <v>30</v>
      </c>
      <c r="F1284" s="5">
        <f>(VLOOKUP(Table4[[#This Row],[item_sold]],Table6[],3,FALSE))*Table4[[#This Row],[qty]]</f>
        <v>17</v>
      </c>
      <c r="G1284" s="5">
        <f t="shared" si="68"/>
        <v>13</v>
      </c>
      <c r="H1284" t="s">
        <v>361</v>
      </c>
    </row>
    <row r="1285" spans="1:9" x14ac:dyDescent="0.25">
      <c r="A1285" s="1">
        <f t="shared" si="69"/>
        <v>45508</v>
      </c>
      <c r="B1285" s="31">
        <f>TIME(15, 20, 0)</f>
        <v>0.63888888888888895</v>
      </c>
      <c r="C1285" t="str">
        <f>Inventory!A35</f>
        <v>Bitez</v>
      </c>
      <c r="D1285" s="27">
        <v>1</v>
      </c>
      <c r="E1285" s="5">
        <f>Table4[[#This Row],[qty]]*(VLOOKUP(Table4[[#This Row],[item_sold]],Table6[],4,FALSE))</f>
        <v>15</v>
      </c>
      <c r="F1285" s="5">
        <f>(VLOOKUP(Table4[[#This Row],[item_sold]],Table6[],3,FALSE))*Table4[[#This Row],[qty]]</f>
        <v>8.8000000000000007</v>
      </c>
      <c r="G1285" s="5">
        <f t="shared" si="68"/>
        <v>6.1999999999999993</v>
      </c>
      <c r="H1285" t="s">
        <v>247</v>
      </c>
    </row>
    <row r="1286" spans="1:9" x14ac:dyDescent="0.25">
      <c r="A1286" s="1">
        <f t="shared" si="69"/>
        <v>45508</v>
      </c>
      <c r="B1286" s="31">
        <f>TIME(15, 20, 0)</f>
        <v>0.63888888888888895</v>
      </c>
      <c r="C1286" t="str">
        <f>Inventory!A120</f>
        <v>Icepop</v>
      </c>
      <c r="D1286" s="27">
        <v>2</v>
      </c>
      <c r="E1286" s="5">
        <f>Table4[[#This Row],[qty]]*(VLOOKUP(Table4[[#This Row],[item_sold]],Table6[],4,FALSE))</f>
        <v>30</v>
      </c>
      <c r="F1286" s="5">
        <f>(VLOOKUP(Table4[[#This Row],[item_sold]],Table6[],3,FALSE))*Table4[[#This Row],[qty]]</f>
        <v>15</v>
      </c>
      <c r="G1286" s="5">
        <f t="shared" si="68"/>
        <v>15</v>
      </c>
      <c r="H1286" t="s">
        <v>247</v>
      </c>
    </row>
    <row r="1287" spans="1:9" x14ac:dyDescent="0.25">
      <c r="A1287" s="1">
        <f t="shared" si="69"/>
        <v>45508</v>
      </c>
      <c r="B1287" s="31">
        <f>TIME(15, 20, 0)</f>
        <v>0.63888888888888895</v>
      </c>
      <c r="C1287" t="str">
        <f>Inventory!A60</f>
        <v>Lollipop</v>
      </c>
      <c r="D1287" s="27">
        <v>1</v>
      </c>
      <c r="E1287" s="5">
        <f>Table4[[#This Row],[qty]]*(VLOOKUP(Table4[[#This Row],[item_sold]],Table6[],4,FALSE))</f>
        <v>5</v>
      </c>
      <c r="F1287" s="5">
        <f>(VLOOKUP(Table4[[#This Row],[item_sold]],Table6[],3,FALSE))*Table4[[#This Row],[qty]]</f>
        <v>2.4</v>
      </c>
      <c r="G1287" s="5">
        <f t="shared" si="68"/>
        <v>2.6</v>
      </c>
      <c r="H1287" t="s">
        <v>247</v>
      </c>
    </row>
    <row r="1288" spans="1:9" x14ac:dyDescent="0.25">
      <c r="A1288" s="1">
        <f t="shared" si="69"/>
        <v>45508</v>
      </c>
      <c r="B1288" s="31">
        <f>TIME(15, 26, 0)</f>
        <v>0.6430555555555556</v>
      </c>
      <c r="C1288" t="str">
        <f>Inventory!A42</f>
        <v>Njugu</v>
      </c>
      <c r="D1288" s="27">
        <v>1</v>
      </c>
      <c r="E1288" s="5">
        <f>Table4[[#This Row],[qty]]*(VLOOKUP(Table4[[#This Row],[item_sold]],Table6[],4,FALSE))</f>
        <v>20</v>
      </c>
      <c r="F1288" s="5">
        <f>(VLOOKUP(Table4[[#This Row],[item_sold]],Table6[],3,FALSE))*Table4[[#This Row],[qty]]</f>
        <v>10.666666666666666</v>
      </c>
      <c r="G1288" s="5">
        <f t="shared" si="68"/>
        <v>9.3333333333333339</v>
      </c>
      <c r="H1288" t="s">
        <v>247</v>
      </c>
    </row>
    <row r="1289" spans="1:9" x14ac:dyDescent="0.25">
      <c r="A1289" s="1">
        <f t="shared" si="69"/>
        <v>45508</v>
      </c>
      <c r="B1289" s="31">
        <f>TIME(16, 0, 0)</f>
        <v>0.66666666666666663</v>
      </c>
      <c r="C1289" t="str">
        <f>Inventory!A3</f>
        <v>1.5ltrs water</v>
      </c>
      <c r="D1289" s="27">
        <v>1</v>
      </c>
      <c r="E1289" s="5">
        <f>Table4[[#This Row],[qty]]*(VLOOKUP(Table4[[#This Row],[item_sold]],Table6[],4,FALSE))</f>
        <v>70</v>
      </c>
      <c r="F1289" s="5">
        <f>(VLOOKUP(Table4[[#This Row],[item_sold]],Table6[],3,FALSE))*Table4[[#This Row],[qty]]</f>
        <v>25</v>
      </c>
      <c r="G1289" s="5">
        <f t="shared" si="68"/>
        <v>45</v>
      </c>
      <c r="H1289" t="s">
        <v>359</v>
      </c>
      <c r="I1289" t="s">
        <v>386</v>
      </c>
    </row>
    <row r="1290" spans="1:9" x14ac:dyDescent="0.25">
      <c r="A1290" s="1">
        <f t="shared" si="69"/>
        <v>45508</v>
      </c>
      <c r="B1290" s="31">
        <f>TIME(16, 0, 0)</f>
        <v>0.66666666666666663</v>
      </c>
      <c r="C1290" t="str">
        <f>Inventory!A44</f>
        <v>Peanut Cookies</v>
      </c>
      <c r="D1290" s="27">
        <v>1</v>
      </c>
      <c r="E1290" s="5">
        <f>Table4[[#This Row],[qty]]*(VLOOKUP(Table4[[#This Row],[item_sold]],Table6[],4,FALSE))</f>
        <v>35</v>
      </c>
      <c r="F1290" s="5">
        <f>(VLOOKUP(Table4[[#This Row],[item_sold]],Table6[],3,FALSE))*Table4[[#This Row],[qty]]</f>
        <v>25</v>
      </c>
      <c r="G1290" s="5">
        <f t="shared" si="68"/>
        <v>10</v>
      </c>
      <c r="H1290" t="s">
        <v>359</v>
      </c>
      <c r="I1290" t="s">
        <v>386</v>
      </c>
    </row>
    <row r="1291" spans="1:9" x14ac:dyDescent="0.25">
      <c r="A1291" s="1">
        <f t="shared" si="69"/>
        <v>45508</v>
      </c>
      <c r="B1291" s="31">
        <f>TIME(16, 3, 0)</f>
        <v>0.66875000000000007</v>
      </c>
      <c r="C1291" t="str">
        <f>Inventory!A61</f>
        <v>Bigdaddy</v>
      </c>
      <c r="D1291" s="27">
        <v>2</v>
      </c>
      <c r="E1291" s="5">
        <f>Table4[[#This Row],[qty]]*(VLOOKUP(Table4[[#This Row],[item_sold]],Table6[],4,FALSE))</f>
        <v>20</v>
      </c>
      <c r="F1291" s="5">
        <f>(VLOOKUP(Table4[[#This Row],[item_sold]],Table6[],3,FALSE))*Table4[[#This Row],[qty]]</f>
        <v>12</v>
      </c>
      <c r="G1291" s="5">
        <f t="shared" si="68"/>
        <v>8</v>
      </c>
      <c r="H1291" t="s">
        <v>247</v>
      </c>
    </row>
    <row r="1292" spans="1:9" x14ac:dyDescent="0.25">
      <c r="A1292" s="1">
        <f t="shared" si="69"/>
        <v>45508</v>
      </c>
      <c r="B1292" s="31">
        <f>TIME(16, 12, 0)</f>
        <v>0.67499999999999993</v>
      </c>
      <c r="C1292" t="str">
        <f>Inventory!A6</f>
        <v xml:space="preserve"> soda 1.25lts</v>
      </c>
      <c r="D1292" s="27">
        <v>1</v>
      </c>
      <c r="E1292" s="5">
        <f>Table4[[#This Row],[qty]]*(VLOOKUP(Table4[[#This Row],[item_sold]],Table6[],4,FALSE))</f>
        <v>130</v>
      </c>
      <c r="F1292" s="5">
        <f>(VLOOKUP(Table4[[#This Row],[item_sold]],Table6[],3,FALSE))*Table4[[#This Row],[qty]]</f>
        <v>112.5</v>
      </c>
      <c r="G1292" s="5">
        <f t="shared" si="68"/>
        <v>17.5</v>
      </c>
      <c r="H1292" t="s">
        <v>361</v>
      </c>
    </row>
    <row r="1293" spans="1:9" x14ac:dyDescent="0.25">
      <c r="A1293" s="1">
        <f t="shared" si="69"/>
        <v>45508</v>
      </c>
      <c r="B1293" s="31">
        <f>TIME(16, 15, 0)</f>
        <v>0.67708333333333337</v>
      </c>
      <c r="C1293" t="str">
        <f>Inventory!A43</f>
        <v>Choc-chip Cookies</v>
      </c>
      <c r="D1293" s="27">
        <v>1</v>
      </c>
      <c r="E1293" s="5">
        <f>Table4[[#This Row],[qty]]*(VLOOKUP(Table4[[#This Row],[item_sold]],Table6[],4,FALSE))</f>
        <v>35</v>
      </c>
      <c r="F1293" s="5">
        <f>(VLOOKUP(Table4[[#This Row],[item_sold]],Table6[],3,FALSE))*Table4[[#This Row],[qty]]</f>
        <v>25</v>
      </c>
      <c r="G1293" s="5">
        <f t="shared" si="68"/>
        <v>10</v>
      </c>
      <c r="H1293" t="s">
        <v>247</v>
      </c>
    </row>
    <row r="1294" spans="1:9" x14ac:dyDescent="0.25">
      <c r="A1294" s="1">
        <f t="shared" si="69"/>
        <v>45508</v>
      </c>
      <c r="B1294" s="31">
        <f>TIME(16, 15, 0)</f>
        <v>0.67708333333333337</v>
      </c>
      <c r="C1294" t="str">
        <f>Inventory!A63</f>
        <v>Gomba</v>
      </c>
      <c r="D1294" s="27">
        <v>6</v>
      </c>
      <c r="E1294" s="5">
        <f>Table4[[#This Row],[qty]]*(VLOOKUP(Table4[[#This Row],[item_sold]],Table6[],4,FALSE))</f>
        <v>15</v>
      </c>
      <c r="F1294" s="5">
        <f>(VLOOKUP(Table4[[#This Row],[item_sold]],Table6[],3,FALSE))*Table4[[#This Row],[qty]]</f>
        <v>10.8</v>
      </c>
      <c r="G1294" s="5">
        <f t="shared" si="68"/>
        <v>4.1999999999999993</v>
      </c>
      <c r="H1294" t="s">
        <v>247</v>
      </c>
    </row>
    <row r="1295" spans="1:9" x14ac:dyDescent="0.25">
      <c r="A1295" s="1">
        <f t="shared" si="69"/>
        <v>45508</v>
      </c>
      <c r="B1295" s="31">
        <f>TIME(16, 30, 0)</f>
        <v>0.6875</v>
      </c>
      <c r="C1295" t="str">
        <f>Inventory!A58</f>
        <v>Patco</v>
      </c>
      <c r="D1295" s="27">
        <v>8</v>
      </c>
      <c r="E1295" s="5">
        <f>Table4[[#This Row],[qty]]*(VLOOKUP(Table4[[#This Row],[item_sold]],Table6[],4,FALSE))</f>
        <v>20</v>
      </c>
      <c r="F1295" s="5">
        <f>(VLOOKUP(Table4[[#This Row],[item_sold]],Table6[],3,FALSE))*Table4[[#This Row],[qty]]</f>
        <v>9.6</v>
      </c>
      <c r="G1295" s="5">
        <f t="shared" si="68"/>
        <v>10.4</v>
      </c>
      <c r="H1295" t="s">
        <v>247</v>
      </c>
    </row>
    <row r="1296" spans="1:9" x14ac:dyDescent="0.25">
      <c r="A1296" s="1">
        <f t="shared" si="69"/>
        <v>45508</v>
      </c>
      <c r="B1296" s="31">
        <f>TIME(16, 30, 0)</f>
        <v>0.6875</v>
      </c>
      <c r="C1296" t="str">
        <f>Inventory!A59</f>
        <v>coo</v>
      </c>
      <c r="D1296" s="27">
        <v>8</v>
      </c>
      <c r="E1296" s="5">
        <f>Table4[[#This Row],[qty]]*(VLOOKUP(Table4[[#This Row],[item_sold]],Table6[],4,FALSE))</f>
        <v>20</v>
      </c>
      <c r="F1296" s="5">
        <f>(VLOOKUP(Table4[[#This Row],[item_sold]],Table6[],3,FALSE))*Table4[[#This Row],[qty]]</f>
        <v>9.6</v>
      </c>
      <c r="G1296" s="5">
        <f t="shared" si="68"/>
        <v>10.4</v>
      </c>
      <c r="H1296" t="s">
        <v>247</v>
      </c>
    </row>
    <row r="1297" spans="1:12" x14ac:dyDescent="0.25">
      <c r="A1297" s="1">
        <f t="shared" si="69"/>
        <v>45508</v>
      </c>
      <c r="B1297" s="31">
        <f>TIME(16, 30, 0)</f>
        <v>0.6875</v>
      </c>
      <c r="C1297" t="str">
        <f>Inventory!A63</f>
        <v>Gomba</v>
      </c>
      <c r="D1297" s="27">
        <v>4</v>
      </c>
      <c r="E1297" s="5">
        <f>Table4[[#This Row],[qty]]*(VLOOKUP(Table4[[#This Row],[item_sold]],Table6[],4,FALSE))</f>
        <v>10</v>
      </c>
      <c r="F1297" s="5">
        <f>(VLOOKUP(Table4[[#This Row],[item_sold]],Table6[],3,FALSE))*Table4[[#This Row],[qty]]</f>
        <v>7.2</v>
      </c>
      <c r="G1297" s="5">
        <f t="shared" si="68"/>
        <v>2.8</v>
      </c>
      <c r="H1297" t="s">
        <v>247</v>
      </c>
    </row>
    <row r="1298" spans="1:12" x14ac:dyDescent="0.25">
      <c r="A1298" s="1">
        <f t="shared" si="69"/>
        <v>45508</v>
      </c>
      <c r="B1298" s="31">
        <f>TIME(16, 50, 0)</f>
        <v>0.70138888888888884</v>
      </c>
      <c r="C1298" t="str">
        <f>Inventory!A60</f>
        <v>Lollipop</v>
      </c>
      <c r="D1298" s="27">
        <v>2</v>
      </c>
      <c r="E1298" s="5">
        <f>Table4[[#This Row],[qty]]*(VLOOKUP(Table4[[#This Row],[item_sold]],Table6[],4,FALSE))</f>
        <v>10</v>
      </c>
      <c r="F1298" s="5">
        <f>(VLOOKUP(Table4[[#This Row],[item_sold]],Table6[],3,FALSE))*Table4[[#This Row],[qty]]</f>
        <v>4.8</v>
      </c>
      <c r="G1298" s="5">
        <f t="shared" si="68"/>
        <v>5.2</v>
      </c>
      <c r="H1298" t="s">
        <v>247</v>
      </c>
    </row>
    <row r="1299" spans="1:12" x14ac:dyDescent="0.25">
      <c r="A1299" s="1">
        <f t="shared" si="69"/>
        <v>45508</v>
      </c>
      <c r="B1299" s="31">
        <f>TIME(17, 35, 0)</f>
        <v>0.73263888888888884</v>
      </c>
      <c r="C1299" t="str">
        <f>Inventory!A154</f>
        <v>waru</v>
      </c>
      <c r="D1299" s="27">
        <v>2</v>
      </c>
      <c r="E1299" s="5">
        <f>Table4[[#This Row],[qty]]*(VLOOKUP(Table4[[#This Row],[item_sold]],Table6[],4,FALSE))</f>
        <v>100</v>
      </c>
      <c r="F1299" s="5">
        <f>(VLOOKUP(Table4[[#This Row],[item_sold]],Table6[],3,FALSE))*Table4[[#This Row],[qty]]</f>
        <v>59.999999999999993</v>
      </c>
      <c r="G1299" s="5">
        <f t="shared" si="68"/>
        <v>40.000000000000007</v>
      </c>
      <c r="H1299" t="s">
        <v>361</v>
      </c>
    </row>
    <row r="1300" spans="1:12" x14ac:dyDescent="0.25">
      <c r="A1300" s="1">
        <f t="shared" si="69"/>
        <v>45508</v>
      </c>
      <c r="B1300" s="31">
        <f>TIME(17, 35, 0)</f>
        <v>0.73263888888888884</v>
      </c>
      <c r="C1300" t="str">
        <f>Inventory!A126</f>
        <v>Royco cubes</v>
      </c>
      <c r="D1300" s="27">
        <v>5</v>
      </c>
      <c r="E1300" s="5">
        <f>Table4[[#This Row],[qty]]*(VLOOKUP(Table4[[#This Row],[item_sold]],Table6[],4,FALSE))</f>
        <v>25</v>
      </c>
      <c r="F1300" s="5">
        <f>(VLOOKUP(Table4[[#This Row],[item_sold]],Table6[],3,FALSE))*Table4[[#This Row],[qty]]</f>
        <v>15</v>
      </c>
      <c r="G1300" s="5">
        <f t="shared" si="68"/>
        <v>10</v>
      </c>
      <c r="H1300" t="s">
        <v>361</v>
      </c>
    </row>
    <row r="1301" spans="1:12" x14ac:dyDescent="0.25">
      <c r="A1301" s="1">
        <f t="shared" si="69"/>
        <v>45508</v>
      </c>
      <c r="B1301" s="31">
        <f>TIME(17, 45, 0)</f>
        <v>0.73958333333333337</v>
      </c>
      <c r="C1301" t="str">
        <f>Inventory!A97</f>
        <v>Softcare pads</v>
      </c>
      <c r="D1301" s="27">
        <v>1</v>
      </c>
      <c r="E1301" s="5">
        <f>Table4[[#This Row],[qty]]*(VLOOKUP(Table4[[#This Row],[item_sold]],Table6[],4,FALSE))</f>
        <v>85</v>
      </c>
      <c r="F1301" s="5">
        <f>(VLOOKUP(Table4[[#This Row],[item_sold]],Table6[],3,FALSE))*Table4[[#This Row],[qty]]</f>
        <v>66</v>
      </c>
      <c r="G1301" s="5">
        <f t="shared" si="68"/>
        <v>19</v>
      </c>
      <c r="H1301" t="s">
        <v>361</v>
      </c>
    </row>
    <row r="1302" spans="1:12" x14ac:dyDescent="0.25">
      <c r="A1302" s="1">
        <f t="shared" si="69"/>
        <v>45508</v>
      </c>
      <c r="B1302" s="31">
        <f>TIME(18, 14, 0)</f>
        <v>0.7597222222222223</v>
      </c>
      <c r="C1302" t="str">
        <f>Inventory!A135</f>
        <v>Safaricom 20 Credit</v>
      </c>
      <c r="D1302" s="27">
        <v>1</v>
      </c>
      <c r="E1302" s="5">
        <f>Table4[[#This Row],[qty]]*(VLOOKUP(Table4[[#This Row],[item_sold]],Table6[],4,FALSE))</f>
        <v>20</v>
      </c>
      <c r="F1302" s="5">
        <f>(VLOOKUP(Table4[[#This Row],[item_sold]],Table6[],3,FALSE))*Table4[[#This Row],[qty]]</f>
        <v>18</v>
      </c>
      <c r="G1302" s="5">
        <f t="shared" si="68"/>
        <v>2</v>
      </c>
      <c r="H1302" t="s">
        <v>361</v>
      </c>
    </row>
    <row r="1303" spans="1:12" x14ac:dyDescent="0.25">
      <c r="A1303" s="1">
        <f t="shared" si="69"/>
        <v>45508</v>
      </c>
      <c r="B1303" s="31">
        <f>TIME(18, 38, 0)</f>
        <v>0.77638888888888891</v>
      </c>
      <c r="C1303" t="str">
        <f>Inventory!A115</f>
        <v>Onion</v>
      </c>
      <c r="D1303" s="27">
        <v>6</v>
      </c>
      <c r="E1303" s="5">
        <f>Table4[[#This Row],[qty]]*(VLOOKUP(Table4[[#This Row],[item_sold]],Table6[],4,FALSE))</f>
        <v>60</v>
      </c>
      <c r="F1303" s="5">
        <f>(VLOOKUP(Table4[[#This Row],[item_sold]],Table6[],3,FALSE))*Table4[[#This Row],[qty]]</f>
        <v>48</v>
      </c>
      <c r="G1303" s="5">
        <f t="shared" si="68"/>
        <v>12</v>
      </c>
      <c r="H1303" t="s">
        <v>247</v>
      </c>
    </row>
    <row r="1304" spans="1:12" x14ac:dyDescent="0.25">
      <c r="A1304" s="1">
        <f t="shared" si="69"/>
        <v>45508</v>
      </c>
      <c r="B1304" s="31">
        <f>TIME(19, 31, 0)</f>
        <v>0.81319444444444444</v>
      </c>
      <c r="C1304" t="str">
        <f>Inventory!A30</f>
        <v>BB Bread 400g</v>
      </c>
      <c r="D1304" s="27">
        <v>1</v>
      </c>
      <c r="E1304" s="5">
        <v>65</v>
      </c>
      <c r="F1304" s="5">
        <f>(VLOOKUP(Table4[[#This Row],[item_sold]],Table6[],3,FALSE))*Table4[[#This Row],[qty]]</f>
        <v>60</v>
      </c>
      <c r="G1304" s="5">
        <f t="shared" si="68"/>
        <v>5</v>
      </c>
      <c r="H1304" t="s">
        <v>359</v>
      </c>
      <c r="I1304" t="s">
        <v>394</v>
      </c>
    </row>
    <row r="1305" spans="1:12" x14ac:dyDescent="0.25">
      <c r="A1305" s="1">
        <f t="shared" si="69"/>
        <v>45508</v>
      </c>
      <c r="B1305" s="31">
        <f>TIME(19, 31, 0)</f>
        <v>0.81319444444444444</v>
      </c>
      <c r="D1305" s="27"/>
      <c r="F1305" s="5"/>
      <c r="J1305" t="s">
        <v>394</v>
      </c>
      <c r="K1305">
        <v>270</v>
      </c>
      <c r="L1305" t="s">
        <v>361</v>
      </c>
    </row>
    <row r="1306" spans="1:12" x14ac:dyDescent="0.25">
      <c r="A1306" s="1">
        <f t="shared" si="69"/>
        <v>45508</v>
      </c>
      <c r="B1306" s="31">
        <f>TIME(19, 34, 0)</f>
        <v>0.81527777777777777</v>
      </c>
      <c r="C1306" t="str">
        <f>Inventory!A88</f>
        <v>Ajab 1kg</v>
      </c>
      <c r="D1306" s="27">
        <v>1</v>
      </c>
      <c r="E1306" s="5">
        <f>Table4[[#This Row],[qty]]*(VLOOKUP(Table4[[#This Row],[item_sold]],Table6[],4,FALSE))</f>
        <v>120</v>
      </c>
      <c r="F1306" s="5">
        <f>(VLOOKUP(Table4[[#This Row],[item_sold]],Table6[],3,FALSE))*Table4[[#This Row],[qty]]</f>
        <v>87.5</v>
      </c>
      <c r="G1306" s="5">
        <f t="shared" si="68"/>
        <v>32.5</v>
      </c>
      <c r="H1306" t="s">
        <v>361</v>
      </c>
    </row>
    <row r="1307" spans="1:12" x14ac:dyDescent="0.25">
      <c r="A1307" s="1">
        <f t="shared" si="69"/>
        <v>45508</v>
      </c>
      <c r="B1307" s="31">
        <f>TIME(19, 34, 0)</f>
        <v>0.81527777777777777</v>
      </c>
      <c r="C1307" t="str">
        <f>Inventory!A123</f>
        <v>Mt Kenya milk 200ml</v>
      </c>
      <c r="D1307" s="27">
        <v>1</v>
      </c>
      <c r="E1307" s="5">
        <f>Table4[[#This Row],[qty]]*(VLOOKUP(Table4[[#This Row],[item_sold]],Table6[],4,FALSE))</f>
        <v>35</v>
      </c>
      <c r="F1307" s="5">
        <f>(VLOOKUP(Table4[[#This Row],[item_sold]],Table6[],3,FALSE))*Table4[[#This Row],[qty]]</f>
        <v>24.285714285714285</v>
      </c>
      <c r="G1307" s="5">
        <f t="shared" si="68"/>
        <v>10.714285714285715</v>
      </c>
      <c r="H1307" t="s">
        <v>361</v>
      </c>
    </row>
    <row r="1308" spans="1:12" x14ac:dyDescent="0.25">
      <c r="A1308" s="1">
        <f t="shared" si="69"/>
        <v>45508</v>
      </c>
      <c r="B1308" s="31">
        <f>TIME(19, 52, 0)</f>
        <v>0.82777777777777783</v>
      </c>
      <c r="C1308" t="str">
        <f>Inventory!A33</f>
        <v>Festive 800g</v>
      </c>
      <c r="D1308" s="27">
        <v>1</v>
      </c>
      <c r="E1308" s="5">
        <f>Table4[[#This Row],[qty]]*(VLOOKUP(Table4[[#This Row],[item_sold]],Table6[],4,FALSE))</f>
        <v>130</v>
      </c>
      <c r="F1308" s="5">
        <f>(VLOOKUP(Table4[[#This Row],[item_sold]],Table6[],3,FALSE))*Table4[[#This Row],[qty]]</f>
        <v>120</v>
      </c>
      <c r="G1308" s="5">
        <f t="shared" si="68"/>
        <v>10</v>
      </c>
      <c r="H1308" t="s">
        <v>247</v>
      </c>
    </row>
    <row r="1309" spans="1:12" x14ac:dyDescent="0.25">
      <c r="A1309" s="1">
        <f t="shared" si="69"/>
        <v>45508</v>
      </c>
      <c r="B1309" s="31">
        <f>TIME(20, 4, 0)</f>
        <v>0.83611111111111114</v>
      </c>
      <c r="C1309" t="str">
        <f>Inventory!A23</f>
        <v>Mt kenya milk 500ml</v>
      </c>
      <c r="D1309" s="27">
        <v>1</v>
      </c>
      <c r="E1309" s="5">
        <f>Table4[[#This Row],[qty]]*(VLOOKUP(Table4[[#This Row],[item_sold]],Table6[],4,FALSE))</f>
        <v>65</v>
      </c>
      <c r="F1309" s="5">
        <f>(VLOOKUP(Table4[[#This Row],[item_sold]],Table6[],3,FALSE))*Table4[[#This Row],[qty]]</f>
        <v>48.333333333333336</v>
      </c>
      <c r="G1309" s="5">
        <f t="shared" si="68"/>
        <v>16.666666666666664</v>
      </c>
      <c r="H1309" t="s">
        <v>359</v>
      </c>
      <c r="I1309" t="s">
        <v>409</v>
      </c>
      <c r="J1309" t="s">
        <v>409</v>
      </c>
      <c r="K1309">
        <v>50</v>
      </c>
      <c r="L1309" t="s">
        <v>361</v>
      </c>
    </row>
    <row r="1310" spans="1:12" x14ac:dyDescent="0.25">
      <c r="A1310" s="1">
        <f t="shared" si="69"/>
        <v>45508</v>
      </c>
      <c r="B1310" s="31">
        <f>TIME(20, 12, 0)</f>
        <v>0.84166666666666667</v>
      </c>
      <c r="C1310" t="str">
        <f>Inventory!A71</f>
        <v>Indomie chicken</v>
      </c>
      <c r="D1310" s="27">
        <v>2</v>
      </c>
      <c r="E1310" s="5">
        <f>Table4[[#This Row],[qty]]*(VLOOKUP(Table4[[#This Row],[item_sold]],Table6[],4,FALSE))</f>
        <v>100</v>
      </c>
      <c r="F1310" s="5">
        <f>(VLOOKUP(Table4[[#This Row],[item_sold]],Table6[],3,FALSE))*Table4[[#This Row],[qty]]</f>
        <v>75</v>
      </c>
      <c r="G1310" s="5">
        <f t="shared" si="68"/>
        <v>25</v>
      </c>
      <c r="H1310" t="s">
        <v>247</v>
      </c>
    </row>
    <row r="1311" spans="1:12" x14ac:dyDescent="0.25">
      <c r="A1311" s="1">
        <f t="shared" si="69"/>
        <v>45508</v>
      </c>
      <c r="B1311" s="31">
        <f>TIME(20, 12, 0)</f>
        <v>0.84166666666666667</v>
      </c>
      <c r="C1311" t="str">
        <f>Inventory!A117</f>
        <v>Cooking Oil Measured</v>
      </c>
      <c r="D1311" s="27">
        <v>1</v>
      </c>
      <c r="E1311" s="5">
        <f>Table4[[#This Row],[qty]]*(VLOOKUP(Table4[[#This Row],[item_sold]],Table6[],4,FALSE))</f>
        <v>280</v>
      </c>
      <c r="F1311" s="5">
        <f>(VLOOKUP(Table4[[#This Row],[item_sold]],Table6[],3,FALSE))*Table4[[#This Row],[qty]]</f>
        <v>200</v>
      </c>
      <c r="G1311" s="5">
        <f t="shared" si="68"/>
        <v>80</v>
      </c>
      <c r="H1311" t="s">
        <v>359</v>
      </c>
      <c r="I1311" t="s">
        <v>394</v>
      </c>
      <c r="J1311" t="s">
        <v>394</v>
      </c>
      <c r="K1311">
        <v>200</v>
      </c>
      <c r="L1311" t="s">
        <v>247</v>
      </c>
    </row>
    <row r="1312" spans="1:12" x14ac:dyDescent="0.25">
      <c r="A1312" s="1">
        <f t="shared" si="69"/>
        <v>45508</v>
      </c>
      <c r="B1312" s="31">
        <f>TIME(20, 22, 0)</f>
        <v>0.84861111111111109</v>
      </c>
      <c r="C1312" t="str">
        <f>Inventory!A23</f>
        <v>Mt kenya milk 500ml</v>
      </c>
      <c r="D1312" s="27">
        <v>4</v>
      </c>
      <c r="E1312" s="5">
        <f>Table4[[#This Row],[qty]]*(VLOOKUP(Table4[[#This Row],[item_sold]],Table6[],4,FALSE))</f>
        <v>260</v>
      </c>
      <c r="F1312" s="5">
        <f>(VLOOKUP(Table4[[#This Row],[item_sold]],Table6[],3,FALSE))*Table4[[#This Row],[qty]]</f>
        <v>193.33333333333334</v>
      </c>
      <c r="G1312" s="5">
        <f t="shared" si="68"/>
        <v>66.666666666666657</v>
      </c>
      <c r="H1312" t="s">
        <v>247</v>
      </c>
    </row>
    <row r="1313" spans="1:12" x14ac:dyDescent="0.25">
      <c r="A1313" s="1">
        <f t="shared" si="69"/>
        <v>45508</v>
      </c>
      <c r="B1313" s="31">
        <f>TIME(18, 0, 0)</f>
        <v>0.75</v>
      </c>
      <c r="C1313" t="str">
        <f>Inventory!A169</f>
        <v>210 Maize Meal 2kg</v>
      </c>
      <c r="D1313" s="27">
        <v>1</v>
      </c>
      <c r="E1313" s="5">
        <f>Table4[[#This Row],[qty]]*(VLOOKUP(Table4[[#This Row],[item_sold]],Table6[],4,FALSE))</f>
        <v>160</v>
      </c>
      <c r="F1313" s="5">
        <f>(VLOOKUP(Table4[[#This Row],[item_sold]],Table6[],3,FALSE))*Table4[[#This Row],[qty]]</f>
        <v>117.08333333333333</v>
      </c>
      <c r="G1313" s="5">
        <f t="shared" si="68"/>
        <v>42.916666666666671</v>
      </c>
      <c r="H1313" t="s">
        <v>359</v>
      </c>
      <c r="I1313" t="s">
        <v>384</v>
      </c>
    </row>
    <row r="1314" spans="1:12" x14ac:dyDescent="0.25">
      <c r="A1314" s="1">
        <f t="shared" si="69"/>
        <v>45508</v>
      </c>
      <c r="B1314" s="31">
        <f>TIME(18, 0, 0)</f>
        <v>0.75</v>
      </c>
      <c r="C1314" t="str">
        <f>Inventory!A116</f>
        <v>Tomatoes</v>
      </c>
      <c r="D1314" s="27">
        <v>2</v>
      </c>
      <c r="E1314" s="5">
        <f>Table4[[#This Row],[qty]]*(VLOOKUP(Table4[[#This Row],[item_sold]],Table6[],4,FALSE))</f>
        <v>20</v>
      </c>
      <c r="F1314" s="5">
        <f>(VLOOKUP(Table4[[#This Row],[item_sold]],Table6[],3,FALSE))*Table4[[#This Row],[qty]]</f>
        <v>10</v>
      </c>
      <c r="G1314" s="5">
        <f t="shared" si="68"/>
        <v>10</v>
      </c>
      <c r="H1314" t="s">
        <v>359</v>
      </c>
      <c r="I1314" t="s">
        <v>384</v>
      </c>
    </row>
    <row r="1315" spans="1:12" x14ac:dyDescent="0.25">
      <c r="A1315" s="1">
        <f t="shared" si="69"/>
        <v>45508</v>
      </c>
      <c r="B1315" s="31">
        <f>TIME(8, 30, 0)</f>
        <v>0.35416666666666669</v>
      </c>
      <c r="C1315" t="str">
        <f>Inventory!A114</f>
        <v>Maramoja</v>
      </c>
      <c r="D1315" s="27">
        <v>1</v>
      </c>
      <c r="E1315" s="5">
        <f>Table4[[#This Row],[qty]]*(VLOOKUP(Table4[[#This Row],[item_sold]],Table6[],4,FALSE))</f>
        <v>10</v>
      </c>
      <c r="F1315" s="5">
        <f>(VLOOKUP(Table4[[#This Row],[item_sold]],Table6[],3,FALSE))*Table4[[#This Row],[qty]]</f>
        <v>7</v>
      </c>
      <c r="G1315" s="5">
        <f>E1315-F1315</f>
        <v>3</v>
      </c>
      <c r="H1315" t="s">
        <v>247</v>
      </c>
    </row>
    <row r="1316" spans="1:12" x14ac:dyDescent="0.25">
      <c r="A1316" s="1">
        <f t="shared" si="69"/>
        <v>45508</v>
      </c>
      <c r="B1316" s="31">
        <f>TIME(20, 40, 0)</f>
        <v>0.86111111111111116</v>
      </c>
      <c r="C1316" t="str">
        <f>Inventory!A122</f>
        <v>Kinangop Fresh Milk 500ml</v>
      </c>
      <c r="D1316" s="27">
        <v>1</v>
      </c>
      <c r="E1316" s="5">
        <f>Table4[[#This Row],[qty]]*(VLOOKUP(Table4[[#This Row],[item_sold]],Table6[],4,FALSE))</f>
        <v>60</v>
      </c>
      <c r="F1316" s="5">
        <f>(VLOOKUP(Table4[[#This Row],[item_sold]],Table6[],3,FALSE))*Table4[[#This Row],[qty]]</f>
        <v>55</v>
      </c>
      <c r="G1316" s="5">
        <f>E1316-F1316</f>
        <v>5</v>
      </c>
      <c r="H1316" t="s">
        <v>359</v>
      </c>
      <c r="I1316" t="s">
        <v>390</v>
      </c>
    </row>
    <row r="1317" spans="1:12" x14ac:dyDescent="0.25">
      <c r="A1317" s="1">
        <f>DATE(2024,8,4)</f>
        <v>45508</v>
      </c>
      <c r="B1317" s="31">
        <f>TIME(20, 40, 0)</f>
        <v>0.86111111111111116</v>
      </c>
      <c r="C1317" t="str">
        <f>Inventory!A132</f>
        <v>Festive Bread 400g</v>
      </c>
      <c r="D1317" s="27">
        <v>1</v>
      </c>
      <c r="E1317" s="5">
        <f>Table4[[#This Row],[qty]]*(VLOOKUP(Table4[[#This Row],[item_sold]],Table6[],4,FALSE))</f>
        <v>65</v>
      </c>
      <c r="F1317" s="5">
        <f>(VLOOKUP(Table4[[#This Row],[item_sold]],Table6[],3,FALSE))*Table4[[#This Row],[qty]]</f>
        <v>60</v>
      </c>
      <c r="G1317" s="5">
        <f>E1317-F1317</f>
        <v>5</v>
      </c>
      <c r="H1317" t="s">
        <v>359</v>
      </c>
      <c r="I1317" t="s">
        <v>390</v>
      </c>
    </row>
    <row r="1318" spans="1:12" x14ac:dyDescent="0.25">
      <c r="A1318" s="1">
        <f>DATE(2024,8,5)</f>
        <v>45509</v>
      </c>
      <c r="B1318" s="31">
        <f>TIME(8, 8, 0)</f>
        <v>0.33888888888888885</v>
      </c>
      <c r="C1318" t="str">
        <f>Inventory!A112</f>
        <v>Downy lavender</v>
      </c>
      <c r="D1318" s="27">
        <v>1</v>
      </c>
      <c r="E1318" s="5">
        <f>Table4[[#This Row],[qty]]*(VLOOKUP(Table4[[#This Row],[item_sold]],Table6[],4,FALSE))</f>
        <v>20</v>
      </c>
      <c r="F1318" s="5">
        <f>(VLOOKUP(Table4[[#This Row],[item_sold]],Table6[],3,FALSE))*Table4[[#This Row],[qty]]</f>
        <v>17.333333333333332</v>
      </c>
      <c r="G1318" s="5">
        <f t="shared" ref="G1318:G1381" si="70">E1318-F1318</f>
        <v>2.6666666666666679</v>
      </c>
      <c r="H1318" t="s">
        <v>361</v>
      </c>
    </row>
    <row r="1319" spans="1:12" x14ac:dyDescent="0.25">
      <c r="A1319" s="1">
        <f>DATE(2024,8,5)</f>
        <v>45509</v>
      </c>
      <c r="B1319" s="31">
        <f>TIME(8, 8, 0)</f>
        <v>0.33888888888888885</v>
      </c>
      <c r="C1319" t="str">
        <f>Inventory!A108</f>
        <v>ariel 75g</v>
      </c>
      <c r="D1319" s="27">
        <v>1</v>
      </c>
      <c r="E1319" s="5">
        <f>Table4[[#This Row],[qty]]*(VLOOKUP(Table4[[#This Row],[item_sold]],Table6[],4,FALSE))</f>
        <v>35</v>
      </c>
      <c r="F1319" s="5">
        <f>(VLOOKUP(Table4[[#This Row],[item_sold]],Table6[],3,FALSE))*Table4[[#This Row],[qty]]</f>
        <v>27.5</v>
      </c>
      <c r="G1319" s="5">
        <f t="shared" si="70"/>
        <v>7.5</v>
      </c>
      <c r="H1319" t="s">
        <v>361</v>
      </c>
    </row>
    <row r="1320" spans="1:12" x14ac:dyDescent="0.25">
      <c r="A1320" s="1">
        <f>DATE(2024,8,4)</f>
        <v>45508</v>
      </c>
      <c r="B1320" s="31">
        <f>TIME(8, 41, 0)</f>
        <v>0.36180555555555555</v>
      </c>
      <c r="D1320" s="27"/>
      <c r="E1320"/>
      <c r="G1320"/>
      <c r="J1320" t="s">
        <v>401</v>
      </c>
      <c r="K1320">
        <v>900</v>
      </c>
      <c r="L1320" t="s">
        <v>361</v>
      </c>
    </row>
    <row r="1321" spans="1:12" x14ac:dyDescent="0.25">
      <c r="A1321" s="1">
        <f>DATE(2024,8,5)</f>
        <v>45509</v>
      </c>
      <c r="B1321" s="31">
        <f>TIME(8, 44, 0)</f>
        <v>0.36388888888888887</v>
      </c>
      <c r="C1321" t="str">
        <f>Inventory!A12</f>
        <v>predator</v>
      </c>
      <c r="D1321" s="27">
        <v>1</v>
      </c>
      <c r="E1321" s="5">
        <f>Table4[[#This Row],[qty]]*(VLOOKUP(Table4[[#This Row],[item_sold]],Table6[],4,FALSE))</f>
        <v>70</v>
      </c>
      <c r="F1321" s="5">
        <f>(VLOOKUP(Table4[[#This Row],[item_sold]],Table6[],3,FALSE))*Table4[[#This Row],[qty]]</f>
        <v>54.166666666666664</v>
      </c>
      <c r="G1321" s="5">
        <f t="shared" si="70"/>
        <v>15.833333333333336</v>
      </c>
      <c r="H1321" t="s">
        <v>361</v>
      </c>
      <c r="J1321" t="s">
        <v>401</v>
      </c>
      <c r="K1321">
        <v>900</v>
      </c>
      <c r="L1321" t="s">
        <v>247</v>
      </c>
    </row>
    <row r="1322" spans="1:12" x14ac:dyDescent="0.25">
      <c r="A1322" s="1">
        <f>DATE(2024,8,5)</f>
        <v>45509</v>
      </c>
      <c r="B1322" s="31">
        <f>TIME(8, 44, 0)</f>
        <v>0.36388888888888887</v>
      </c>
      <c r="C1322" t="str">
        <f>Inventory!A44</f>
        <v>Peanut Cookies</v>
      </c>
      <c r="D1322" s="27">
        <v>1</v>
      </c>
      <c r="E1322" s="5">
        <f>Table4[[#This Row],[qty]]*(VLOOKUP(Table4[[#This Row],[item_sold]],Table6[],4,FALSE))</f>
        <v>35</v>
      </c>
      <c r="F1322" s="5">
        <f>(VLOOKUP(Table4[[#This Row],[item_sold]],Table6[],3,FALSE))*Table4[[#This Row],[qty]]</f>
        <v>25</v>
      </c>
      <c r="G1322" s="5">
        <f t="shared" si="70"/>
        <v>10</v>
      </c>
      <c r="H1322" t="s">
        <v>359</v>
      </c>
      <c r="I1322" t="s">
        <v>401</v>
      </c>
      <c r="J1322" t="s">
        <v>401</v>
      </c>
      <c r="K1322">
        <v>20</v>
      </c>
      <c r="L1322" t="s">
        <v>247</v>
      </c>
    </row>
    <row r="1323" spans="1:12" x14ac:dyDescent="0.25">
      <c r="A1323" s="1">
        <f>DATE(2024,8,4)</f>
        <v>45508</v>
      </c>
      <c r="B1323" s="31">
        <f>TIME(8, 44, 0)</f>
        <v>0.36388888888888887</v>
      </c>
      <c r="D1323" s="27"/>
      <c r="E1323"/>
      <c r="G1323"/>
      <c r="K1323">
        <v>5</v>
      </c>
      <c r="L1323" t="s">
        <v>361</v>
      </c>
    </row>
    <row r="1324" spans="1:12" x14ac:dyDescent="0.25">
      <c r="A1324" s="1">
        <f>DATE(2024,8,5)</f>
        <v>45509</v>
      </c>
      <c r="B1324" s="31">
        <f>TIME(8, 58, 0)</f>
        <v>0.37361111111111112</v>
      </c>
      <c r="C1324" t="str">
        <f>Inventory!A135</f>
        <v>Safaricom 20 Credit</v>
      </c>
      <c r="D1324" s="27">
        <v>1</v>
      </c>
      <c r="E1324" s="5">
        <f>Table4[[#This Row],[qty]]*(VLOOKUP(Table4[[#This Row],[item_sold]],Table6[],4,FALSE))</f>
        <v>20</v>
      </c>
      <c r="F1324" s="5">
        <f>(VLOOKUP(Table4[[#This Row],[item_sold]],Table6[],3,FALSE))*Table4[[#This Row],[qty]]</f>
        <v>18</v>
      </c>
      <c r="G1324" s="5">
        <f t="shared" si="70"/>
        <v>2</v>
      </c>
      <c r="H1324" t="s">
        <v>359</v>
      </c>
      <c r="I1324" t="s">
        <v>413</v>
      </c>
    </row>
    <row r="1325" spans="1:12" x14ac:dyDescent="0.25">
      <c r="A1325" s="1">
        <f>DATE(2024,8,5)</f>
        <v>45509</v>
      </c>
      <c r="B1325" s="31">
        <f>TIME(9, 30, 0)</f>
        <v>0.39583333333333331</v>
      </c>
      <c r="C1325" t="str">
        <f>Inventory!A25</f>
        <v>Crown Gold Milk 500ml</v>
      </c>
      <c r="D1325" s="27">
        <v>1</v>
      </c>
      <c r="E1325" s="5">
        <f>Table4[[#This Row],[qty]]*(VLOOKUP(Table4[[#This Row],[item_sold]],Table6[],4,FALSE))</f>
        <v>65</v>
      </c>
      <c r="F1325" s="5">
        <f>(VLOOKUP(Table4[[#This Row],[item_sold]],Table6[],3,FALSE))*Table4[[#This Row],[qty]]</f>
        <v>54.166666666666664</v>
      </c>
      <c r="G1325" s="5">
        <f t="shared" si="70"/>
        <v>10.833333333333336</v>
      </c>
      <c r="H1325" t="s">
        <v>359</v>
      </c>
      <c r="I1325" t="s">
        <v>385</v>
      </c>
    </row>
    <row r="1326" spans="1:12" x14ac:dyDescent="0.25">
      <c r="A1326" s="1">
        <f>DATE(2024,8,5)</f>
        <v>45509</v>
      </c>
      <c r="B1326" s="31">
        <f>TIME(9, 30, 0)</f>
        <v>0.39583333333333331</v>
      </c>
      <c r="C1326" t="str">
        <f>Inventory!A63</f>
        <v>Gomba</v>
      </c>
      <c r="D1326" s="27">
        <v>2</v>
      </c>
      <c r="E1326" s="5">
        <f>Table4[[#This Row],[qty]]*(VLOOKUP(Table4[[#This Row],[item_sold]],Table6[],4,FALSE))</f>
        <v>5</v>
      </c>
      <c r="F1326" s="5">
        <f>(VLOOKUP(Table4[[#This Row],[item_sold]],Table6[],3,FALSE))*Table4[[#This Row],[qty]]</f>
        <v>3.6</v>
      </c>
      <c r="G1326" s="5">
        <f t="shared" si="70"/>
        <v>1.4</v>
      </c>
      <c r="H1326" t="s">
        <v>359</v>
      </c>
      <c r="I1326" t="s">
        <v>385</v>
      </c>
    </row>
    <row r="1327" spans="1:12" x14ac:dyDescent="0.25">
      <c r="A1327" s="1">
        <f>DATE(2024,8,5)</f>
        <v>45509</v>
      </c>
      <c r="B1327" s="31">
        <f>TIME(10, 25, 0)</f>
        <v>0.43402777777777773</v>
      </c>
      <c r="C1327" t="str">
        <f>Inventory!A38</f>
        <v>T.Heat Potato crisps salted 25g</v>
      </c>
      <c r="D1327" s="27">
        <v>1</v>
      </c>
      <c r="E1327" s="5">
        <f>Table4[[#This Row],[qty]]*(VLOOKUP(Table4[[#This Row],[item_sold]],Table6[],4,FALSE))</f>
        <v>30</v>
      </c>
      <c r="F1327" s="5">
        <f>(VLOOKUP(Table4[[#This Row],[item_sold]],Table6[],3,FALSE))*Table4[[#This Row],[qty]]</f>
        <v>22.916666666666668</v>
      </c>
      <c r="G1327" s="5">
        <f t="shared" si="70"/>
        <v>7.0833333333333321</v>
      </c>
      <c r="H1327" t="s">
        <v>247</v>
      </c>
    </row>
    <row r="1328" spans="1:12" x14ac:dyDescent="0.25">
      <c r="A1328" s="1">
        <f>DATE(2024,8,5)</f>
        <v>45509</v>
      </c>
      <c r="B1328" s="31">
        <f>TIME(10, 32, 0)</f>
        <v>0.43888888888888888</v>
      </c>
      <c r="C1328" t="str">
        <f>Inventory!A163</f>
        <v>Super Glue</v>
      </c>
      <c r="D1328" s="27">
        <v>1</v>
      </c>
      <c r="E1328" s="5">
        <f>Table4[[#This Row],[qty]]*(VLOOKUP(Table4[[#This Row],[item_sold]],Table6[],4,FALSE))</f>
        <v>30</v>
      </c>
      <c r="F1328" s="5">
        <f>(VLOOKUP(Table4[[#This Row],[item_sold]],Table6[],3,FALSE))*Table4[[#This Row],[qty]]</f>
        <v>23.333333333333332</v>
      </c>
      <c r="G1328" s="5">
        <f t="shared" si="70"/>
        <v>6.6666666666666679</v>
      </c>
      <c r="H1328" t="s">
        <v>361</v>
      </c>
    </row>
    <row r="1329" spans="1:12" x14ac:dyDescent="0.25">
      <c r="A1329" s="1">
        <f>DATE(2024,8,4)</f>
        <v>45508</v>
      </c>
      <c r="B1329" s="31">
        <f>TIME(10, 39, 0)</f>
        <v>0.44375000000000003</v>
      </c>
      <c r="D1329" s="27"/>
      <c r="E1329"/>
      <c r="G1329"/>
      <c r="J1329" t="s">
        <v>394</v>
      </c>
    </row>
    <row r="1330" spans="1:12" x14ac:dyDescent="0.25">
      <c r="A1330" s="1">
        <f t="shared" ref="A1330:A1342" si="71">DATE(2024,8,5)</f>
        <v>45509</v>
      </c>
      <c r="B1330" s="31">
        <f>TIME(10, 39, 0)</f>
        <v>0.44375000000000003</v>
      </c>
      <c r="C1330" t="str">
        <f>Inventory!A94</f>
        <v>Bella Tissue</v>
      </c>
      <c r="D1330" s="27">
        <v>1</v>
      </c>
      <c r="E1330" s="5">
        <f>Table4[[#This Row],[qty]]*(VLOOKUP(Table4[[#This Row],[item_sold]],Table6[],4,FALSE))</f>
        <v>45</v>
      </c>
      <c r="F1330" s="5">
        <f>(VLOOKUP(Table4[[#This Row],[item_sold]],Table6[],3,FALSE))*Table4[[#This Row],[qty]]</f>
        <v>35</v>
      </c>
      <c r="G1330" s="5">
        <f t="shared" si="70"/>
        <v>10</v>
      </c>
      <c r="H1330" t="s">
        <v>361</v>
      </c>
      <c r="J1330" t="s">
        <v>394</v>
      </c>
      <c r="K1330">
        <v>80</v>
      </c>
      <c r="L1330" t="s">
        <v>361</v>
      </c>
    </row>
    <row r="1331" spans="1:12" x14ac:dyDescent="0.25">
      <c r="A1331" s="1">
        <f t="shared" si="71"/>
        <v>45509</v>
      </c>
      <c r="B1331" s="31">
        <f>TIME(10, 39, 0)</f>
        <v>0.44375000000000003</v>
      </c>
      <c r="C1331" t="str">
        <f>Inventory!A28</f>
        <v>Fahari Tea 50g</v>
      </c>
      <c r="D1331" s="27">
        <v>1</v>
      </c>
      <c r="E1331" s="5">
        <f>Table4[[#This Row],[qty]]*(VLOOKUP(Table4[[#This Row],[item_sold]],Table6[],4,FALSE))</f>
        <v>30</v>
      </c>
      <c r="F1331" s="5">
        <f>(VLOOKUP(Table4[[#This Row],[item_sold]],Table6[],3,FALSE))*Table4[[#This Row],[qty]]</f>
        <v>17.5</v>
      </c>
      <c r="G1331" s="5">
        <f t="shared" si="70"/>
        <v>12.5</v>
      </c>
      <c r="H1331" t="s">
        <v>361</v>
      </c>
    </row>
    <row r="1332" spans="1:12" x14ac:dyDescent="0.25">
      <c r="A1332" s="1">
        <f t="shared" si="71"/>
        <v>45509</v>
      </c>
      <c r="B1332" s="31">
        <f>TIME(12, 48,0)</f>
        <v>0.53333333333333333</v>
      </c>
      <c r="C1332" t="str">
        <f>Inventory!A133</f>
        <v>Pencil</v>
      </c>
      <c r="D1332" s="27">
        <v>1</v>
      </c>
      <c r="E1332" s="5">
        <f>Table4[[#This Row],[qty]]*(VLOOKUP(Table4[[#This Row],[item_sold]],Table6[],4,FALSE))+5</f>
        <v>15</v>
      </c>
      <c r="F1332" s="5">
        <f>(VLOOKUP(Table4[[#This Row],[item_sold]],Table6[],3,FALSE))*Table4[[#This Row],[qty]]</f>
        <v>7.5</v>
      </c>
      <c r="G1332" s="5">
        <f t="shared" si="70"/>
        <v>7.5</v>
      </c>
      <c r="H1332" t="s">
        <v>247</v>
      </c>
    </row>
    <row r="1333" spans="1:12" x14ac:dyDescent="0.25">
      <c r="A1333" s="1">
        <f t="shared" si="71"/>
        <v>45509</v>
      </c>
      <c r="B1333" s="31">
        <f>TIME(12, 53,0)</f>
        <v>0.53680555555555554</v>
      </c>
      <c r="C1333" t="str">
        <f>Inventory!A115</f>
        <v>Onion</v>
      </c>
      <c r="D1333" s="27">
        <v>10</v>
      </c>
      <c r="E1333" s="5">
        <f>Table4[[#This Row],[qty]]*(VLOOKUP(Table4[[#This Row],[item_sold]],Table6[],4,FALSE))</f>
        <v>100</v>
      </c>
      <c r="F1333" s="5">
        <f>(VLOOKUP(Table4[[#This Row],[item_sold]],Table6[],3,FALSE))*Table4[[#This Row],[qty]]</f>
        <v>80</v>
      </c>
      <c r="G1333" s="5">
        <f t="shared" si="70"/>
        <v>20</v>
      </c>
      <c r="H1333" t="s">
        <v>247</v>
      </c>
    </row>
    <row r="1334" spans="1:12" x14ac:dyDescent="0.25">
      <c r="A1334" s="1">
        <f t="shared" si="71"/>
        <v>45509</v>
      </c>
      <c r="B1334" s="31">
        <f>TIME(12, 53,0)</f>
        <v>0.53680555555555554</v>
      </c>
      <c r="C1334" t="str">
        <f>Inventory!A71</f>
        <v>Indomie chicken</v>
      </c>
      <c r="D1334" s="27">
        <v>3</v>
      </c>
      <c r="E1334" s="5">
        <f>Table4[[#This Row],[qty]]*(VLOOKUP(Table4[[#This Row],[item_sold]],Table6[],4,FALSE))</f>
        <v>150</v>
      </c>
      <c r="F1334" s="5">
        <f>(VLOOKUP(Table4[[#This Row],[item_sold]],Table6[],3,FALSE))*Table4[[#This Row],[qty]]</f>
        <v>112.5</v>
      </c>
      <c r="G1334" s="5">
        <f t="shared" si="70"/>
        <v>37.5</v>
      </c>
      <c r="H1334" t="s">
        <v>247</v>
      </c>
    </row>
    <row r="1335" spans="1:12" x14ac:dyDescent="0.25">
      <c r="A1335" s="1">
        <f t="shared" si="71"/>
        <v>45509</v>
      </c>
      <c r="B1335" s="31">
        <f>TIME(13, 10,0)</f>
        <v>0.54861111111111105</v>
      </c>
      <c r="C1335" t="str">
        <f>Inventory!A132</f>
        <v>Festive Bread 400g</v>
      </c>
      <c r="D1335" s="27">
        <v>1</v>
      </c>
      <c r="E1335" s="5">
        <f>Table4[[#This Row],[qty]]*(VLOOKUP(Table4[[#This Row],[item_sold]],Table6[],4,FALSE))</f>
        <v>65</v>
      </c>
      <c r="F1335" s="5">
        <f>(VLOOKUP(Table4[[#This Row],[item_sold]],Table6[],3,FALSE))*Table4[[#This Row],[qty]]</f>
        <v>60</v>
      </c>
      <c r="G1335" s="5">
        <f t="shared" si="70"/>
        <v>5</v>
      </c>
      <c r="H1335" t="s">
        <v>359</v>
      </c>
      <c r="I1335" t="s">
        <v>390</v>
      </c>
    </row>
    <row r="1336" spans="1:12" x14ac:dyDescent="0.25">
      <c r="A1336" s="1">
        <f t="shared" si="71"/>
        <v>45509</v>
      </c>
      <c r="B1336" s="31">
        <f>TIME(13, 10,0)</f>
        <v>0.54861111111111105</v>
      </c>
      <c r="C1336" t="str">
        <f>Inventory!A105</f>
        <v>Toss 500g</v>
      </c>
      <c r="D1336" s="27">
        <v>1</v>
      </c>
      <c r="E1336" s="5">
        <f>Table4[[#This Row],[qty]]*(VLOOKUP(Table4[[#This Row],[item_sold]],Table6[],4,FALSE))</f>
        <v>250</v>
      </c>
      <c r="F1336" s="5">
        <f>(VLOOKUP(Table4[[#This Row],[item_sold]],Table6[],3,FALSE))*Table4[[#This Row],[qty]]</f>
        <v>175</v>
      </c>
      <c r="G1336" s="5">
        <f t="shared" si="70"/>
        <v>75</v>
      </c>
      <c r="H1336" t="s">
        <v>359</v>
      </c>
      <c r="I1336" t="s">
        <v>390</v>
      </c>
    </row>
    <row r="1337" spans="1:12" x14ac:dyDescent="0.25">
      <c r="A1337" s="1">
        <f t="shared" si="71"/>
        <v>45509</v>
      </c>
      <c r="B1337" s="31">
        <f>TIME(13, 10,0)</f>
        <v>0.54861111111111105</v>
      </c>
      <c r="C1337" t="str">
        <f>Inventory!A113</f>
        <v>Downy lavender</v>
      </c>
      <c r="D1337" s="27">
        <v>5</v>
      </c>
      <c r="E1337" s="5">
        <f>Table4[[#This Row],[qty]]*(VLOOKUP(Table4[[#This Row],[item_sold]],Table6[],4,FALSE))</f>
        <v>100</v>
      </c>
      <c r="F1337" s="5">
        <f>(VLOOKUP(Table4[[#This Row],[item_sold]],Table6[],3,FALSE))*Table4[[#This Row],[qty]]</f>
        <v>86.666666666666657</v>
      </c>
      <c r="G1337" s="5">
        <f t="shared" si="70"/>
        <v>13.333333333333343</v>
      </c>
      <c r="H1337" t="s">
        <v>359</v>
      </c>
      <c r="I1337" t="s">
        <v>390</v>
      </c>
    </row>
    <row r="1338" spans="1:12" x14ac:dyDescent="0.25">
      <c r="A1338" s="1">
        <f t="shared" si="71"/>
        <v>45509</v>
      </c>
      <c r="B1338" s="31">
        <f>TIME(13, 10,0)</f>
        <v>0.54861111111111105</v>
      </c>
      <c r="C1338" t="str">
        <f>Inventory!A107</f>
        <v>Jik</v>
      </c>
      <c r="D1338" s="27">
        <v>1</v>
      </c>
      <c r="E1338" s="5">
        <f>Table4[[#This Row],[qty]]*(VLOOKUP(Table4[[#This Row],[item_sold]],Table6[],4,FALSE))</f>
        <v>50</v>
      </c>
      <c r="F1338" s="5">
        <f>(VLOOKUP(Table4[[#This Row],[item_sold]],Table6[],3,FALSE))*Table4[[#This Row],[qty]]</f>
        <v>38.333333333333336</v>
      </c>
      <c r="G1338" s="5">
        <f t="shared" si="70"/>
        <v>11.666666666666664</v>
      </c>
      <c r="H1338" t="s">
        <v>359</v>
      </c>
      <c r="I1338" t="s">
        <v>390</v>
      </c>
    </row>
    <row r="1339" spans="1:12" x14ac:dyDescent="0.25">
      <c r="A1339" s="1">
        <f t="shared" si="71"/>
        <v>45509</v>
      </c>
      <c r="B1339" s="31">
        <f>TIME(13, 10,0)</f>
        <v>0.54861111111111105</v>
      </c>
      <c r="C1339" t="str">
        <f>Inventory!A197</f>
        <v>laundry brush</v>
      </c>
      <c r="D1339" s="27">
        <v>1</v>
      </c>
      <c r="E1339" s="5">
        <f>Table4[[#This Row],[qty]]*(VLOOKUP(Table4[[#This Row],[item_sold]],Table6[],4,FALSE))</f>
        <v>50</v>
      </c>
      <c r="F1339" s="5">
        <f>(VLOOKUP(Table4[[#This Row],[item_sold]],Table6[],3,FALSE))*Table4[[#This Row],[qty]]</f>
        <v>40</v>
      </c>
      <c r="G1339" s="5">
        <f t="shared" si="70"/>
        <v>10</v>
      </c>
      <c r="H1339" t="s">
        <v>359</v>
      </c>
      <c r="I1339" t="s">
        <v>390</v>
      </c>
    </row>
    <row r="1340" spans="1:12" x14ac:dyDescent="0.25">
      <c r="A1340" s="1">
        <f t="shared" si="71"/>
        <v>45509</v>
      </c>
      <c r="B1340" s="31">
        <f>TIME(14, 0, 0)</f>
        <v>0.58333333333333337</v>
      </c>
      <c r="C1340" t="str">
        <f>Inventory!A59</f>
        <v>coo</v>
      </c>
      <c r="D1340" s="27">
        <v>5</v>
      </c>
      <c r="E1340" s="5">
        <f>Table4[[#This Row],[qty]]*(VLOOKUP(Table4[[#This Row],[item_sold]],Table6[],4,FALSE))</f>
        <v>12.5</v>
      </c>
      <c r="F1340" s="5">
        <f>(VLOOKUP(Table4[[#This Row],[item_sold]],Table6[],3,FALSE))*Table4[[#This Row],[qty]]</f>
        <v>6</v>
      </c>
      <c r="G1340" s="5">
        <f t="shared" si="70"/>
        <v>6.5</v>
      </c>
      <c r="H1340" t="s">
        <v>359</v>
      </c>
      <c r="I1340" t="s">
        <v>405</v>
      </c>
      <c r="J1340" t="s">
        <v>405</v>
      </c>
      <c r="K1340">
        <v>40</v>
      </c>
      <c r="L1340" t="s">
        <v>247</v>
      </c>
    </row>
    <row r="1341" spans="1:12" x14ac:dyDescent="0.25">
      <c r="A1341" s="1">
        <f t="shared" si="71"/>
        <v>45509</v>
      </c>
      <c r="B1341" s="31">
        <f>TIME(14, 0, 0)</f>
        <v>0.58333333333333337</v>
      </c>
      <c r="C1341" t="str">
        <f>Inventory!A135</f>
        <v>Safaricom 20 Credit</v>
      </c>
      <c r="D1341" s="27">
        <v>3</v>
      </c>
      <c r="E1341" s="5">
        <f>Table4[[#This Row],[qty]]*(VLOOKUP(Table4[[#This Row],[item_sold]],Table6[],4,FALSE))</f>
        <v>60</v>
      </c>
      <c r="F1341" s="5">
        <f>(VLOOKUP(Table4[[#This Row],[item_sold]],Table6[],3,FALSE))*Table4[[#This Row],[qty]]</f>
        <v>54</v>
      </c>
      <c r="G1341" s="5">
        <f t="shared" si="70"/>
        <v>6</v>
      </c>
      <c r="H1341" t="s">
        <v>247</v>
      </c>
      <c r="J1341" t="s">
        <v>384</v>
      </c>
      <c r="K1341">
        <v>600</v>
      </c>
      <c r="L1341" t="s">
        <v>361</v>
      </c>
    </row>
    <row r="1342" spans="1:12" x14ac:dyDescent="0.25">
      <c r="A1342" s="1">
        <f t="shared" si="71"/>
        <v>45509</v>
      </c>
      <c r="B1342" s="31">
        <f>TIME(15, 8, 0)</f>
        <v>0.63055555555555554</v>
      </c>
      <c r="C1342" t="str">
        <f>Inventory!A71</f>
        <v>Indomie chicken</v>
      </c>
      <c r="D1342" s="27">
        <v>2</v>
      </c>
      <c r="E1342" s="5">
        <f>Table4[[#This Row],[qty]]*(VLOOKUP(Table4[[#This Row],[item_sold]],Table6[],4,FALSE))</f>
        <v>100</v>
      </c>
      <c r="F1342" s="5">
        <f>(VLOOKUP(Table4[[#This Row],[item_sold]],Table6[],3,FALSE))*Table4[[#This Row],[qty]]</f>
        <v>75</v>
      </c>
      <c r="G1342" s="5">
        <f t="shared" si="70"/>
        <v>25</v>
      </c>
      <c r="H1342" t="s">
        <v>247</v>
      </c>
    </row>
    <row r="1343" spans="1:12" x14ac:dyDescent="0.25">
      <c r="A1343" s="1">
        <f>DATE(2024,8,4)</f>
        <v>45508</v>
      </c>
      <c r="B1343" s="31">
        <f>TIME(13, 34, 0)</f>
        <v>0.56527777777777777</v>
      </c>
      <c r="D1343" s="27"/>
      <c r="E1343"/>
      <c r="G1343"/>
      <c r="J1343" t="s">
        <v>384</v>
      </c>
      <c r="K1343">
        <v>600</v>
      </c>
      <c r="L1343" t="s">
        <v>361</v>
      </c>
    </row>
    <row r="1344" spans="1:12" x14ac:dyDescent="0.25">
      <c r="A1344" s="1">
        <f t="shared" ref="A1344:A1368" si="72">DATE(2024,8,5)</f>
        <v>45509</v>
      </c>
      <c r="B1344" s="31">
        <f>TIME(20, 31, 0)</f>
        <v>0.85486111111111107</v>
      </c>
      <c r="C1344" t="str">
        <f>Inventory!A23</f>
        <v>Mt kenya milk 500ml</v>
      </c>
      <c r="D1344" s="27">
        <v>1</v>
      </c>
      <c r="E1344" s="5">
        <f>Table4[[#This Row],[qty]]*(VLOOKUP(Table4[[#This Row],[item_sold]],Table6[],4,FALSE))</f>
        <v>65</v>
      </c>
      <c r="F1344" s="5">
        <f>(VLOOKUP(Table4[[#This Row],[item_sold]],Table6[],3,FALSE))*Table4[[#This Row],[qty]]</f>
        <v>48.333333333333336</v>
      </c>
      <c r="G1344" s="5">
        <f t="shared" si="70"/>
        <v>16.666666666666664</v>
      </c>
      <c r="H1344" t="s">
        <v>361</v>
      </c>
    </row>
    <row r="1345" spans="1:9" x14ac:dyDescent="0.25">
      <c r="A1345" s="1">
        <f t="shared" si="72"/>
        <v>45509</v>
      </c>
      <c r="B1345" s="31">
        <f>TIME(20, 31, 0)</f>
        <v>0.85486111111111107</v>
      </c>
      <c r="C1345" t="str">
        <f>Inventory!A68</f>
        <v>scooter cans</v>
      </c>
      <c r="D1345" s="27">
        <v>2</v>
      </c>
      <c r="E1345" s="5">
        <f>Table4[[#This Row],[qty]]*(VLOOKUP(Table4[[#This Row],[item_sold]],Table6[],4,FALSE))</f>
        <v>40</v>
      </c>
      <c r="F1345" s="5">
        <f>(VLOOKUP(Table4[[#This Row],[item_sold]],Table6[],3,FALSE))*Table4[[#This Row],[qty]]</f>
        <v>30</v>
      </c>
      <c r="G1345" s="5">
        <f t="shared" si="70"/>
        <v>10</v>
      </c>
      <c r="H1345" t="s">
        <v>361</v>
      </c>
    </row>
    <row r="1346" spans="1:9" x14ac:dyDescent="0.25">
      <c r="A1346" s="1">
        <f t="shared" si="72"/>
        <v>45509</v>
      </c>
      <c r="B1346" s="31">
        <f>TIME(20, 31, 0)</f>
        <v>0.85486111111111107</v>
      </c>
      <c r="C1346" t="str">
        <f>Inventory!A185</f>
        <v>Milo</v>
      </c>
      <c r="D1346" s="27">
        <v>1</v>
      </c>
      <c r="E1346" s="5">
        <f>Table4[[#This Row],[qty]]*(VLOOKUP(Table4[[#This Row],[item_sold]],Table6[],4,FALSE))</f>
        <v>20</v>
      </c>
      <c r="F1346" s="5">
        <f>(VLOOKUP(Table4[[#This Row],[item_sold]],Table6[],3,FALSE))*Table4[[#This Row],[qty]]</f>
        <v>17.916666666666668</v>
      </c>
      <c r="G1346" s="5">
        <f t="shared" si="70"/>
        <v>2.0833333333333321</v>
      </c>
      <c r="H1346" t="s">
        <v>361</v>
      </c>
    </row>
    <row r="1347" spans="1:9" x14ac:dyDescent="0.25">
      <c r="A1347" s="1">
        <f t="shared" si="72"/>
        <v>45509</v>
      </c>
      <c r="B1347" s="31">
        <f>TIME(15, 12, 0)</f>
        <v>0.6333333333333333</v>
      </c>
      <c r="C1347" t="str">
        <f>Inventory!A14</f>
        <v>soda 500ml glass</v>
      </c>
      <c r="D1347" s="27">
        <v>1</v>
      </c>
      <c r="E1347" s="5">
        <f>Table4[[#This Row],[qty]]*(VLOOKUP(Table4[[#This Row],[item_sold]],Table6[],4,FALSE))</f>
        <v>55</v>
      </c>
      <c r="F1347" s="5">
        <f>(VLOOKUP(Table4[[#This Row],[item_sold]],Table6[],3,FALSE))*Table4[[#This Row],[qty]]</f>
        <v>50</v>
      </c>
      <c r="G1347" s="5">
        <f t="shared" si="70"/>
        <v>5</v>
      </c>
      <c r="H1347" t="s">
        <v>247</v>
      </c>
    </row>
    <row r="1348" spans="1:9" x14ac:dyDescent="0.25">
      <c r="A1348" s="1">
        <f t="shared" si="72"/>
        <v>45509</v>
      </c>
      <c r="B1348" s="31">
        <f>TIME(15, 16, 0)</f>
        <v>0.63611111111111118</v>
      </c>
      <c r="C1348" t="str">
        <f>Inventory!A135</f>
        <v>Safaricom 20 Credit</v>
      </c>
      <c r="D1348" s="27">
        <v>1</v>
      </c>
      <c r="E1348" s="5">
        <f>Table4[[#This Row],[qty]]*(VLOOKUP(Table4[[#This Row],[item_sold]],Table6[],4,FALSE))</f>
        <v>20</v>
      </c>
      <c r="F1348" s="5">
        <f>(VLOOKUP(Table4[[#This Row],[item_sold]],Table6[],3,FALSE))*Table4[[#This Row],[qty]]</f>
        <v>18</v>
      </c>
      <c r="G1348" s="5">
        <f t="shared" si="70"/>
        <v>2</v>
      </c>
      <c r="H1348" t="s">
        <v>247</v>
      </c>
    </row>
    <row r="1349" spans="1:9" x14ac:dyDescent="0.25">
      <c r="A1349" s="1">
        <f t="shared" si="72"/>
        <v>45509</v>
      </c>
      <c r="B1349" s="31">
        <f>TIME(16, 30, 0)</f>
        <v>0.6875</v>
      </c>
      <c r="C1349" t="str">
        <f>Inventory!A5</f>
        <v>soda 2lts</v>
      </c>
      <c r="D1349" s="27">
        <v>1</v>
      </c>
      <c r="E1349" s="5">
        <f>Table4[[#This Row],[qty]]*(VLOOKUP(Table4[[#This Row],[item_sold]],Table6[],4,FALSE))</f>
        <v>200</v>
      </c>
      <c r="F1349" s="5">
        <f>(VLOOKUP(Table4[[#This Row],[item_sold]],Table6[],3,FALSE))*Table4[[#This Row],[qty]]</f>
        <v>176.66666666666666</v>
      </c>
      <c r="G1349" s="5">
        <f t="shared" si="70"/>
        <v>23.333333333333343</v>
      </c>
      <c r="H1349" t="s">
        <v>361</v>
      </c>
    </row>
    <row r="1350" spans="1:9" x14ac:dyDescent="0.25">
      <c r="A1350" s="1">
        <f t="shared" si="72"/>
        <v>45509</v>
      </c>
      <c r="B1350" s="31">
        <f>TIME(16, 53, 0)</f>
        <v>0.70347222222222217</v>
      </c>
      <c r="C1350" t="str">
        <f>Inventory!A185</f>
        <v>Milo</v>
      </c>
      <c r="D1350" s="27">
        <v>2</v>
      </c>
      <c r="E1350" s="5">
        <f>Table4[[#This Row],[qty]]*(VLOOKUP(Table4[[#This Row],[item_sold]],Table6[],4,FALSE))</f>
        <v>40</v>
      </c>
      <c r="F1350" s="5">
        <f>(VLOOKUP(Table4[[#This Row],[item_sold]],Table6[],3,FALSE))*Table4[[#This Row],[qty]]</f>
        <v>35.833333333333336</v>
      </c>
      <c r="G1350" s="5">
        <f t="shared" si="70"/>
        <v>4.1666666666666643</v>
      </c>
      <c r="H1350" t="s">
        <v>359</v>
      </c>
      <c r="I1350" t="s">
        <v>414</v>
      </c>
    </row>
    <row r="1351" spans="1:9" x14ac:dyDescent="0.25">
      <c r="A1351" s="1">
        <f t="shared" si="72"/>
        <v>45509</v>
      </c>
      <c r="B1351" s="31">
        <f t="shared" ref="B1351:B1357" si="73">TIME(16, 53, 0)</f>
        <v>0.70347222222222217</v>
      </c>
      <c r="C1351" t="str">
        <f>Inventory!A35</f>
        <v>Bitez</v>
      </c>
      <c r="D1351" s="27">
        <v>1</v>
      </c>
      <c r="E1351" s="5">
        <f>Table4[[#This Row],[qty]]*(VLOOKUP(Table4[[#This Row],[item_sold]],Table6[],4,FALSE))</f>
        <v>15</v>
      </c>
      <c r="F1351" s="5">
        <f>(VLOOKUP(Table4[[#This Row],[item_sold]],Table6[],3,FALSE))*Table4[[#This Row],[qty]]</f>
        <v>8.8000000000000007</v>
      </c>
      <c r="G1351" s="5">
        <f t="shared" si="70"/>
        <v>6.1999999999999993</v>
      </c>
      <c r="H1351" t="s">
        <v>359</v>
      </c>
      <c r="I1351" t="s">
        <v>414</v>
      </c>
    </row>
    <row r="1352" spans="1:9" x14ac:dyDescent="0.25">
      <c r="A1352" s="1">
        <f t="shared" si="72"/>
        <v>45509</v>
      </c>
      <c r="B1352" s="31">
        <f t="shared" si="73"/>
        <v>0.70347222222222217</v>
      </c>
      <c r="C1352" t="str">
        <f>Inventory!A36</f>
        <v>Tamu  Tamu Green</v>
      </c>
      <c r="D1352" s="27">
        <v>3</v>
      </c>
      <c r="E1352" s="5">
        <f>Table4[[#This Row],[qty]]*(VLOOKUP(Table4[[#This Row],[item_sold]],Table6[],4,FALSE))</f>
        <v>45</v>
      </c>
      <c r="F1352" s="5">
        <f>(VLOOKUP(Table4[[#This Row],[item_sold]],Table6[],3,FALSE))*Table4[[#This Row],[qty]]</f>
        <v>25.799999999999997</v>
      </c>
      <c r="G1352" s="5">
        <f t="shared" si="70"/>
        <v>19.200000000000003</v>
      </c>
      <c r="H1352" t="s">
        <v>359</v>
      </c>
      <c r="I1352" t="s">
        <v>414</v>
      </c>
    </row>
    <row r="1353" spans="1:9" x14ac:dyDescent="0.25">
      <c r="A1353" s="1">
        <f t="shared" si="72"/>
        <v>45509</v>
      </c>
      <c r="B1353" s="31">
        <f t="shared" si="73"/>
        <v>0.70347222222222217</v>
      </c>
      <c r="C1353" t="str">
        <f>Inventory!A63</f>
        <v>Gomba</v>
      </c>
      <c r="D1353" s="27">
        <v>2</v>
      </c>
      <c r="E1353" s="5">
        <f>Table4[[#This Row],[qty]]*(VLOOKUP(Table4[[#This Row],[item_sold]],Table6[],4,FALSE))</f>
        <v>5</v>
      </c>
      <c r="F1353" s="5">
        <f>(VLOOKUP(Table4[[#This Row],[item_sold]],Table6[],3,FALSE))*Table4[[#This Row],[qty]]</f>
        <v>3.6</v>
      </c>
      <c r="G1353" s="5">
        <f t="shared" si="70"/>
        <v>1.4</v>
      </c>
      <c r="H1353" t="s">
        <v>359</v>
      </c>
      <c r="I1353" t="s">
        <v>414</v>
      </c>
    </row>
    <row r="1354" spans="1:9" x14ac:dyDescent="0.25">
      <c r="A1354" s="1">
        <f t="shared" si="72"/>
        <v>45509</v>
      </c>
      <c r="B1354" s="31">
        <f t="shared" si="73"/>
        <v>0.70347222222222217</v>
      </c>
      <c r="C1354" t="str">
        <f>Inventory!A34</f>
        <v>Ringoz Paprika</v>
      </c>
      <c r="D1354" s="27">
        <v>3</v>
      </c>
      <c r="E1354" s="5">
        <f>Table4[[#This Row],[qty]]*(VLOOKUP(Table4[[#This Row],[item_sold]],Table6[],4,FALSE))</f>
        <v>45</v>
      </c>
      <c r="F1354" s="5">
        <f>(VLOOKUP(Table4[[#This Row],[item_sold]],Table6[],3,FALSE))*Table4[[#This Row],[qty]]</f>
        <v>26.400000000000002</v>
      </c>
      <c r="G1354" s="5">
        <f t="shared" si="70"/>
        <v>18.599999999999998</v>
      </c>
      <c r="H1354" t="s">
        <v>359</v>
      </c>
      <c r="I1354" t="s">
        <v>414</v>
      </c>
    </row>
    <row r="1355" spans="1:9" x14ac:dyDescent="0.25">
      <c r="A1355" s="1">
        <f t="shared" si="72"/>
        <v>45509</v>
      </c>
      <c r="B1355" s="31">
        <f t="shared" si="73"/>
        <v>0.70347222222222217</v>
      </c>
      <c r="C1355" t="str">
        <f>Inventory!A46</f>
        <v>Nuvita Bisquit</v>
      </c>
      <c r="D1355" s="27">
        <v>2</v>
      </c>
      <c r="E1355" s="5">
        <f>Table4[[#This Row],[qty]]*(VLOOKUP(Table4[[#This Row],[item_sold]],Table6[],4,FALSE))</f>
        <v>10</v>
      </c>
      <c r="F1355" s="5">
        <f>(VLOOKUP(Table4[[#This Row],[item_sold]],Table6[],3,FALSE))*Table4[[#This Row],[qty]]</f>
        <v>8.3333333333333339</v>
      </c>
      <c r="G1355" s="5">
        <f t="shared" si="70"/>
        <v>1.6666666666666661</v>
      </c>
      <c r="H1355" t="s">
        <v>359</v>
      </c>
      <c r="I1355" t="s">
        <v>414</v>
      </c>
    </row>
    <row r="1356" spans="1:9" x14ac:dyDescent="0.25">
      <c r="A1356" s="1">
        <f t="shared" si="72"/>
        <v>45509</v>
      </c>
      <c r="B1356" s="31">
        <f t="shared" si="73"/>
        <v>0.70347222222222217</v>
      </c>
      <c r="C1356" t="str">
        <f>Inventory!A129</f>
        <v>Carrier bag small</v>
      </c>
      <c r="D1356" s="27">
        <v>1</v>
      </c>
      <c r="E1356" s="5">
        <f>Table4[[#This Row],[qty]]*(VLOOKUP(Table4[[#This Row],[item_sold]],Table6[],4,FALSE))</f>
        <v>10</v>
      </c>
      <c r="F1356" s="5">
        <f>(VLOOKUP(Table4[[#This Row],[item_sold]],Table6[],3,FALSE))*Table4[[#This Row],[qty]]</f>
        <v>3</v>
      </c>
      <c r="G1356" s="5">
        <f t="shared" si="70"/>
        <v>7</v>
      </c>
      <c r="H1356" t="s">
        <v>359</v>
      </c>
      <c r="I1356" t="s">
        <v>414</v>
      </c>
    </row>
    <row r="1357" spans="1:9" x14ac:dyDescent="0.25">
      <c r="A1357" s="1">
        <f t="shared" si="72"/>
        <v>45509</v>
      </c>
      <c r="B1357" s="31">
        <f t="shared" si="73"/>
        <v>0.70347222222222217</v>
      </c>
      <c r="C1357" t="str">
        <f>Inventory!A34</f>
        <v>Ringoz Paprika</v>
      </c>
      <c r="D1357" s="27">
        <v>2</v>
      </c>
      <c r="E1357" s="5">
        <f>Table4[[#This Row],[qty]]*(VLOOKUP(Table4[[#This Row],[item_sold]],Table6[],4,FALSE))</f>
        <v>30</v>
      </c>
      <c r="F1357" s="5">
        <f>(VLOOKUP(Table4[[#This Row],[item_sold]],Table6[],3,FALSE))*Table4[[#This Row],[qty]]</f>
        <v>17.600000000000001</v>
      </c>
      <c r="G1357" s="5">
        <f t="shared" si="70"/>
        <v>12.399999999999999</v>
      </c>
      <c r="H1357" t="s">
        <v>359</v>
      </c>
      <c r="I1357" t="s">
        <v>414</v>
      </c>
    </row>
    <row r="1358" spans="1:9" x14ac:dyDescent="0.25">
      <c r="A1358" s="1">
        <f t="shared" si="72"/>
        <v>45509</v>
      </c>
      <c r="B1358" s="31">
        <f>TIME(5, 42, 0)</f>
        <v>0.23750000000000002</v>
      </c>
      <c r="C1358" t="str">
        <f>Inventory!A140</f>
        <v>Airtel 50 Credit</v>
      </c>
      <c r="D1358" s="27">
        <v>1</v>
      </c>
      <c r="E1358" s="5">
        <f>Table4[[#This Row],[qty]]*(VLOOKUP(Table4[[#This Row],[item_sold]],Table6[],4,FALSE))</f>
        <v>50</v>
      </c>
      <c r="F1358" s="5">
        <f>(VLOOKUP(Table4[[#This Row],[item_sold]],Table6[],3,FALSE))*Table4[[#This Row],[qty]]</f>
        <v>47</v>
      </c>
      <c r="G1358" s="5">
        <f t="shared" si="70"/>
        <v>3</v>
      </c>
      <c r="H1358" t="s">
        <v>359</v>
      </c>
      <c r="I1358" t="s">
        <v>414</v>
      </c>
    </row>
    <row r="1359" spans="1:9" x14ac:dyDescent="0.25">
      <c r="A1359" s="1">
        <f t="shared" si="72"/>
        <v>45509</v>
      </c>
      <c r="B1359" s="31">
        <f>TIME(5, 42, 0)</f>
        <v>0.23750000000000002</v>
      </c>
      <c r="C1359" t="str">
        <f>Inventory!A46</f>
        <v>Nuvita Bisquit</v>
      </c>
      <c r="D1359" s="27">
        <v>1</v>
      </c>
      <c r="E1359" s="5">
        <f>Table4[[#This Row],[qty]]*(VLOOKUP(Table4[[#This Row],[item_sold]],Table6[],4,FALSE))</f>
        <v>5</v>
      </c>
      <c r="F1359" s="5">
        <f>(VLOOKUP(Table4[[#This Row],[item_sold]],Table6[],3,FALSE))*Table4[[#This Row],[qty]]</f>
        <v>4.166666666666667</v>
      </c>
      <c r="G1359" s="5">
        <f t="shared" si="70"/>
        <v>0.83333333333333304</v>
      </c>
      <c r="H1359" t="s">
        <v>359</v>
      </c>
      <c r="I1359" t="s">
        <v>414</v>
      </c>
    </row>
    <row r="1360" spans="1:9" x14ac:dyDescent="0.25">
      <c r="A1360" s="1">
        <f t="shared" si="72"/>
        <v>45509</v>
      </c>
      <c r="B1360" s="31">
        <f>TIME(20, 51, 0)</f>
        <v>0.86875000000000002</v>
      </c>
      <c r="C1360" t="str">
        <f>Inventory!A45</f>
        <v>Goodday Cookies</v>
      </c>
      <c r="D1360" s="27">
        <v>2</v>
      </c>
      <c r="E1360" s="5">
        <f>Table4[[#This Row],[qty]]*(VLOOKUP(Table4[[#This Row],[item_sold]],Table6[],4,FALSE))</f>
        <v>30</v>
      </c>
      <c r="F1360" s="5">
        <f>(VLOOKUP(Table4[[#This Row],[item_sold]],Table6[],3,FALSE))*Table4[[#This Row],[qty]]</f>
        <v>18.666666666666668</v>
      </c>
      <c r="G1360" s="5">
        <f t="shared" si="70"/>
        <v>11.333333333333332</v>
      </c>
      <c r="H1360" t="s">
        <v>359</v>
      </c>
      <c r="I1360" t="s">
        <v>384</v>
      </c>
    </row>
    <row r="1361" spans="1:12" x14ac:dyDescent="0.25">
      <c r="A1361" s="1">
        <f t="shared" si="72"/>
        <v>45509</v>
      </c>
      <c r="B1361" s="31">
        <f>TIME(17, 49, 0)</f>
        <v>0.74236111111111114</v>
      </c>
      <c r="C1361" t="str">
        <f>Inventory!A71</f>
        <v>Indomie chicken</v>
      </c>
      <c r="D1361" s="27">
        <v>4</v>
      </c>
      <c r="E1361" s="5">
        <f>Table4[[#This Row],[qty]]*(VLOOKUP(Table4[[#This Row],[item_sold]],Table6[],4,FALSE))</f>
        <v>200</v>
      </c>
      <c r="F1361" s="5">
        <f>(VLOOKUP(Table4[[#This Row],[item_sold]],Table6[],3,FALSE))*Table4[[#This Row],[qty]]</f>
        <v>150</v>
      </c>
      <c r="G1361" s="5">
        <f t="shared" si="70"/>
        <v>50</v>
      </c>
      <c r="H1361" t="s">
        <v>361</v>
      </c>
    </row>
    <row r="1362" spans="1:12" x14ac:dyDescent="0.25">
      <c r="A1362" s="1">
        <f t="shared" si="72"/>
        <v>45509</v>
      </c>
      <c r="B1362" s="31">
        <f>TIME(17, 49, 0)</f>
        <v>0.74236111111111114</v>
      </c>
      <c r="C1362" t="str">
        <f>Inventory!A132</f>
        <v>Festive Bread 400g</v>
      </c>
      <c r="D1362" s="27">
        <v>1</v>
      </c>
      <c r="E1362" s="5">
        <f>Table4[[#This Row],[qty]]*(VLOOKUP(Table4[[#This Row],[item_sold]],Table6[],4,FALSE))</f>
        <v>65</v>
      </c>
      <c r="F1362" s="5">
        <f>(VLOOKUP(Table4[[#This Row],[item_sold]],Table6[],3,FALSE))*Table4[[#This Row],[qty]]</f>
        <v>60</v>
      </c>
      <c r="G1362" s="5">
        <f t="shared" si="70"/>
        <v>5</v>
      </c>
      <c r="H1362" t="s">
        <v>361</v>
      </c>
    </row>
    <row r="1363" spans="1:12" x14ac:dyDescent="0.25">
      <c r="A1363" s="1">
        <f t="shared" si="72"/>
        <v>45509</v>
      </c>
      <c r="B1363" s="31">
        <f>TIME(17, 49, 0)</f>
        <v>0.74236111111111114</v>
      </c>
      <c r="C1363" t="str">
        <f>Inventory!A79</f>
        <v>Tomato sauce</v>
      </c>
      <c r="D1363" s="27">
        <v>1</v>
      </c>
      <c r="E1363" s="5">
        <f>Table4[[#This Row],[qty]]*(VLOOKUP(Table4[[#This Row],[item_sold]],Table6[],4,FALSE))</f>
        <v>70</v>
      </c>
      <c r="F1363" s="5">
        <f>(VLOOKUP(Table4[[#This Row],[item_sold]],Table6[],3,FALSE))*Table4[[#This Row],[qty]]</f>
        <v>50</v>
      </c>
      <c r="G1363" s="5">
        <f t="shared" si="70"/>
        <v>20</v>
      </c>
      <c r="H1363" t="s">
        <v>361</v>
      </c>
    </row>
    <row r="1364" spans="1:12" x14ac:dyDescent="0.25">
      <c r="A1364" s="1">
        <f t="shared" si="72"/>
        <v>45509</v>
      </c>
      <c r="B1364" s="31">
        <f>TIME(18, 2, 0)</f>
        <v>0.75138888888888899</v>
      </c>
      <c r="C1364" t="str">
        <f>Inventory!A70</f>
        <v>Indomie beef</v>
      </c>
      <c r="D1364" s="27">
        <v>1</v>
      </c>
      <c r="E1364" s="5">
        <f>Table4[[#This Row],[qty]]*(VLOOKUP(Table4[[#This Row],[item_sold]],Table6[],4,FALSE))</f>
        <v>50</v>
      </c>
      <c r="F1364" s="5">
        <f>(VLOOKUP(Table4[[#This Row],[item_sold]],Table6[],3,FALSE))*Table4[[#This Row],[qty]]</f>
        <v>38</v>
      </c>
      <c r="G1364" s="5">
        <f t="shared" si="70"/>
        <v>12</v>
      </c>
      <c r="H1364" t="s">
        <v>361</v>
      </c>
    </row>
    <row r="1365" spans="1:12" x14ac:dyDescent="0.25">
      <c r="A1365" s="1">
        <f t="shared" si="72"/>
        <v>45509</v>
      </c>
      <c r="B1365" s="31">
        <f>TIME(18, 2, 0)</f>
        <v>0.75138888888888899</v>
      </c>
      <c r="C1365" t="str">
        <f>Inventory!A62</f>
        <v>Cough drops</v>
      </c>
      <c r="D1365" s="27">
        <v>4</v>
      </c>
      <c r="E1365" s="5">
        <f>Table4[[#This Row],[qty]]*(VLOOKUP(Table4[[#This Row],[item_sold]],Table6[],4,FALSE))</f>
        <v>20</v>
      </c>
      <c r="F1365" s="5">
        <f>(VLOOKUP(Table4[[#This Row],[item_sold]],Table6[],3,FALSE))*Table4[[#This Row],[qty]]</f>
        <v>16</v>
      </c>
      <c r="G1365" s="5">
        <f t="shared" si="70"/>
        <v>4</v>
      </c>
      <c r="H1365" t="s">
        <v>361</v>
      </c>
    </row>
    <row r="1366" spans="1:12" x14ac:dyDescent="0.25">
      <c r="A1366" s="1">
        <f t="shared" si="72"/>
        <v>45509</v>
      </c>
      <c r="B1366" s="31">
        <f>TIME(18, 55, 0)</f>
        <v>0.78819444444444453</v>
      </c>
      <c r="C1366" t="str">
        <f>Inventory!A76</f>
        <v>kensalt 1kg</v>
      </c>
      <c r="D1366" s="27">
        <v>1</v>
      </c>
      <c r="E1366" s="5">
        <f>Table4[[#This Row],[qty]]*(VLOOKUP(Table4[[#This Row],[item_sold]],Table6[],4,FALSE))</f>
        <v>50</v>
      </c>
      <c r="F1366" s="5">
        <f>(VLOOKUP(Table4[[#This Row],[item_sold]],Table6[],3,FALSE))*Table4[[#This Row],[qty]]</f>
        <v>35</v>
      </c>
      <c r="G1366" s="5">
        <f t="shared" si="70"/>
        <v>15</v>
      </c>
      <c r="H1366" t="s">
        <v>361</v>
      </c>
    </row>
    <row r="1367" spans="1:12" x14ac:dyDescent="0.25">
      <c r="A1367" s="1">
        <f t="shared" si="72"/>
        <v>45509</v>
      </c>
      <c r="B1367" s="31">
        <f>TIME(18, 58, 0)</f>
        <v>0.79027777777777775</v>
      </c>
      <c r="C1367" t="str">
        <f>Inventory!A9</f>
        <v>minutemaid 400ml</v>
      </c>
      <c r="D1367" s="27">
        <v>1</v>
      </c>
      <c r="E1367" s="5">
        <f>Table4[[#This Row],[qty]]*(VLOOKUP(Table4[[#This Row],[item_sold]],Table6[],4,FALSE))</f>
        <v>85</v>
      </c>
      <c r="F1367" s="5">
        <f>(VLOOKUP(Table4[[#This Row],[item_sold]],Table6[],3,FALSE))*Table4[[#This Row],[qty]]</f>
        <v>62.5</v>
      </c>
      <c r="G1367" s="5">
        <f t="shared" si="70"/>
        <v>22.5</v>
      </c>
      <c r="H1367" t="s">
        <v>361</v>
      </c>
      <c r="J1367" t="s">
        <v>409</v>
      </c>
      <c r="K1367">
        <v>10</v>
      </c>
      <c r="L1367" t="s">
        <v>361</v>
      </c>
    </row>
    <row r="1368" spans="1:12" x14ac:dyDescent="0.25">
      <c r="A1368" s="1">
        <f t="shared" si="72"/>
        <v>45509</v>
      </c>
      <c r="B1368" s="31">
        <f>TIME(18, 58, 0)</f>
        <v>0.79027777777777775</v>
      </c>
      <c r="C1368" t="str">
        <f>Inventory!A61</f>
        <v>Bigdaddy</v>
      </c>
      <c r="D1368" s="27">
        <v>1</v>
      </c>
      <c r="E1368" s="5">
        <f>Table4[[#This Row],[qty]]*(VLOOKUP(Table4[[#This Row],[item_sold]],Table6[],4,FALSE))</f>
        <v>10</v>
      </c>
      <c r="F1368" s="5">
        <f>(VLOOKUP(Table4[[#This Row],[item_sold]],Table6[],3,FALSE))*Table4[[#This Row],[qty]]</f>
        <v>6</v>
      </c>
      <c r="G1368" s="5">
        <f t="shared" si="70"/>
        <v>4</v>
      </c>
      <c r="H1368" t="s">
        <v>361</v>
      </c>
    </row>
    <row r="1369" spans="1:12" x14ac:dyDescent="0.25">
      <c r="A1369" s="1">
        <f>DATE(2024,8,4)</f>
        <v>45508</v>
      </c>
      <c r="B1369" s="31">
        <f>TIME(18, 58, 0)</f>
        <v>0.79027777777777775</v>
      </c>
      <c r="D1369" s="27"/>
      <c r="E1369"/>
      <c r="G1369"/>
      <c r="J1369" t="s">
        <v>409</v>
      </c>
      <c r="K1369">
        <v>10</v>
      </c>
      <c r="L1369" t="s">
        <v>361</v>
      </c>
    </row>
    <row r="1370" spans="1:12" x14ac:dyDescent="0.25">
      <c r="A1370" s="1">
        <f>DATE(2024,8,4)</f>
        <v>45508</v>
      </c>
      <c r="B1370" s="31">
        <f>TIME(18, 58, 0)</f>
        <v>0.79027777777777775</v>
      </c>
      <c r="D1370" s="27"/>
      <c r="E1370"/>
      <c r="G1370"/>
      <c r="J1370" t="s">
        <v>415</v>
      </c>
      <c r="K1370">
        <v>45</v>
      </c>
      <c r="L1370" t="s">
        <v>247</v>
      </c>
    </row>
    <row r="1371" spans="1:12" x14ac:dyDescent="0.25">
      <c r="A1371" s="1">
        <f t="shared" ref="A1371:A1385" si="74">DATE(2024,8,5)</f>
        <v>45509</v>
      </c>
      <c r="B1371" s="31">
        <f>TIME(19, 18, 0)</f>
        <v>0.8041666666666667</v>
      </c>
      <c r="C1371" t="str">
        <f>Inventory!A147</f>
        <v>Sugar</v>
      </c>
      <c r="D1371" s="27">
        <v>0.5</v>
      </c>
      <c r="E1371" s="5">
        <f>Table4[[#This Row],[qty]]*(VLOOKUP(Table4[[#This Row],[item_sold]],Table6[],4,FALSE))</f>
        <v>90</v>
      </c>
      <c r="F1371" s="5">
        <f>(VLOOKUP(Table4[[#This Row],[item_sold]],Table6[],3,FALSE))*Table4[[#This Row],[qty]]</f>
        <v>65</v>
      </c>
      <c r="G1371" s="5">
        <f t="shared" si="70"/>
        <v>25</v>
      </c>
      <c r="H1371" t="s">
        <v>361</v>
      </c>
    </row>
    <row r="1372" spans="1:12" x14ac:dyDescent="0.25">
      <c r="A1372" s="1">
        <f t="shared" si="74"/>
        <v>45509</v>
      </c>
      <c r="B1372" s="31">
        <f>TIME(19, 18, 0)</f>
        <v>0.8041666666666667</v>
      </c>
      <c r="C1372" t="str">
        <f>Inventory!A162</f>
        <v>Match Box</v>
      </c>
      <c r="D1372" s="27">
        <v>4</v>
      </c>
      <c r="E1372" s="5">
        <f>Table4[[#This Row],[qty]]*(VLOOKUP(Table4[[#This Row],[item_sold]],Table6[],4,FALSE))</f>
        <v>20</v>
      </c>
      <c r="F1372" s="5">
        <f>(VLOOKUP(Table4[[#This Row],[item_sold]],Table6[],3,FALSE))*Table4[[#This Row],[qty]]</f>
        <v>9.4444444444444446</v>
      </c>
      <c r="G1372" s="5">
        <f t="shared" si="70"/>
        <v>10.555555555555555</v>
      </c>
      <c r="H1372" t="s">
        <v>361</v>
      </c>
    </row>
    <row r="1373" spans="1:12" x14ac:dyDescent="0.25">
      <c r="A1373" s="1">
        <f t="shared" si="74"/>
        <v>45509</v>
      </c>
      <c r="B1373" s="31">
        <f>TIME(19, 30, 0)</f>
        <v>0.8125</v>
      </c>
      <c r="C1373" t="str">
        <f>Inventory!A73</f>
        <v>kabras sugar 1kg</v>
      </c>
      <c r="D1373" s="27">
        <v>1</v>
      </c>
      <c r="E1373" s="5">
        <f>Table4[[#This Row],[qty]]*(VLOOKUP(Table4[[#This Row],[item_sold]],Table6[],4,FALSE))</f>
        <v>180</v>
      </c>
      <c r="F1373" s="5">
        <f>(VLOOKUP(Table4[[#This Row],[item_sold]],Table6[],3,FALSE))*Table4[[#This Row],[qty]]</f>
        <v>140</v>
      </c>
      <c r="G1373" s="5">
        <f t="shared" si="70"/>
        <v>40</v>
      </c>
      <c r="H1373" t="s">
        <v>359</v>
      </c>
      <c r="I1373" t="s">
        <v>389</v>
      </c>
    </row>
    <row r="1374" spans="1:12" x14ac:dyDescent="0.25">
      <c r="A1374" s="1">
        <f t="shared" si="74"/>
        <v>45509</v>
      </c>
      <c r="B1374" s="31">
        <f>TIME(19, 30, 0)</f>
        <v>0.8125</v>
      </c>
      <c r="C1374" t="str">
        <f>Inventory!A24</f>
        <v>Brookside milk 500ml</v>
      </c>
      <c r="D1374" s="27">
        <v>2</v>
      </c>
      <c r="E1374" s="5">
        <f>Table4[[#This Row],[qty]]*(VLOOKUP(Table4[[#This Row],[item_sold]],Table6[],4,FALSE))</f>
        <v>140</v>
      </c>
      <c r="F1374" s="5">
        <f>(VLOOKUP(Table4[[#This Row],[item_sold]],Table6[],3,FALSE))*Table4[[#This Row],[qty]]</f>
        <v>118</v>
      </c>
      <c r="G1374" s="5">
        <f t="shared" si="70"/>
        <v>22</v>
      </c>
      <c r="H1374" t="s">
        <v>359</v>
      </c>
      <c r="I1374" t="s">
        <v>389</v>
      </c>
    </row>
    <row r="1375" spans="1:12" x14ac:dyDescent="0.25">
      <c r="A1375" s="1">
        <f t="shared" si="74"/>
        <v>45509</v>
      </c>
      <c r="B1375" s="31">
        <f>TIME(19, 40, 0)</f>
        <v>0.81944444444444453</v>
      </c>
      <c r="C1375" t="str">
        <f>Inventory!A44</f>
        <v>Peanut Cookies</v>
      </c>
      <c r="D1375" s="27">
        <v>1</v>
      </c>
      <c r="E1375" s="5">
        <f>Table4[[#This Row],[qty]]*(VLOOKUP(Table4[[#This Row],[item_sold]],Table6[],4,FALSE))</f>
        <v>35</v>
      </c>
      <c r="F1375" s="5">
        <f>(VLOOKUP(Table4[[#This Row],[item_sold]],Table6[],3,FALSE))*Table4[[#This Row],[qty]]</f>
        <v>25</v>
      </c>
      <c r="G1375" s="5">
        <f t="shared" si="70"/>
        <v>10</v>
      </c>
      <c r="H1375" t="s">
        <v>361</v>
      </c>
    </row>
    <row r="1376" spans="1:12" x14ac:dyDescent="0.25">
      <c r="A1376" s="1">
        <f t="shared" si="74"/>
        <v>45509</v>
      </c>
      <c r="B1376" s="31">
        <f>TIME(19, 40, 0)</f>
        <v>0.81944444444444453</v>
      </c>
      <c r="C1376" t="str">
        <f>Inventory!A195</f>
        <v>Tropical heat crisps 50g</v>
      </c>
      <c r="D1376" s="27">
        <v>1</v>
      </c>
      <c r="E1376" s="5">
        <f>Table4[[#This Row],[qty]]*(VLOOKUP(Table4[[#This Row],[item_sold]],Table6[],4,FALSE))</f>
        <v>70</v>
      </c>
      <c r="F1376" s="5">
        <f>(VLOOKUP(Table4[[#This Row],[item_sold]],Table6[],3,FALSE))*Table4[[#This Row],[qty]]</f>
        <v>50</v>
      </c>
      <c r="G1376" s="5">
        <f t="shared" si="70"/>
        <v>20</v>
      </c>
      <c r="H1376" t="s">
        <v>361</v>
      </c>
    </row>
    <row r="1377" spans="1:12" x14ac:dyDescent="0.25">
      <c r="A1377" s="1">
        <f t="shared" si="74"/>
        <v>45509</v>
      </c>
      <c r="B1377" s="31">
        <f>TIME(19, 40, 0)</f>
        <v>0.81944444444444453</v>
      </c>
      <c r="C1377" t="str">
        <f>Inventory!A23</f>
        <v>Mt kenya milk 500ml</v>
      </c>
      <c r="D1377" s="27">
        <v>1</v>
      </c>
      <c r="E1377" s="5">
        <f>Table4[[#This Row],[qty]]*(VLOOKUP(Table4[[#This Row],[item_sold]],Table6[],4,FALSE))</f>
        <v>65</v>
      </c>
      <c r="F1377" s="5">
        <f>(VLOOKUP(Table4[[#This Row],[item_sold]],Table6[],3,FALSE))*Table4[[#This Row],[qty]]</f>
        <v>48.333333333333336</v>
      </c>
      <c r="G1377" s="5">
        <f t="shared" si="70"/>
        <v>16.666666666666664</v>
      </c>
      <c r="H1377" t="s">
        <v>361</v>
      </c>
    </row>
    <row r="1378" spans="1:12" x14ac:dyDescent="0.25">
      <c r="A1378" s="1">
        <f t="shared" si="74"/>
        <v>45509</v>
      </c>
      <c r="B1378" s="31">
        <f>TIME(19, 51, 0)</f>
        <v>0.82708333333333339</v>
      </c>
      <c r="C1378" t="str">
        <f>Inventory!A153</f>
        <v>Pishori rice</v>
      </c>
      <c r="D1378" s="27">
        <v>0.75</v>
      </c>
      <c r="E1378" s="5">
        <f>Table4[[#This Row],[qty]]*(VLOOKUP(Table4[[#This Row],[item_sold]],Table6[],4,FALSE))</f>
        <v>165</v>
      </c>
      <c r="F1378" s="5">
        <f>(VLOOKUP(Table4[[#This Row],[item_sold]],Table6[],3,FALSE))*Table4[[#This Row],[qty]]</f>
        <v>135</v>
      </c>
      <c r="G1378" s="5">
        <f t="shared" si="70"/>
        <v>30</v>
      </c>
      <c r="H1378" t="s">
        <v>359</v>
      </c>
      <c r="I1378" t="s">
        <v>384</v>
      </c>
    </row>
    <row r="1379" spans="1:12" x14ac:dyDescent="0.25">
      <c r="A1379" s="1">
        <f t="shared" si="74"/>
        <v>45509</v>
      </c>
      <c r="B1379" s="31">
        <f>TIME(20, 5, 0)</f>
        <v>0.83680555555555547</v>
      </c>
      <c r="C1379" t="str">
        <f>Inventory!A118</f>
        <v>Panadol Extra</v>
      </c>
      <c r="D1379" s="27">
        <v>1</v>
      </c>
      <c r="E1379" s="5">
        <f>Table4[[#This Row],[qty]]*(VLOOKUP(Table4[[#This Row],[item_sold]],Table6[],4,FALSE))</f>
        <v>20</v>
      </c>
      <c r="F1379" s="5">
        <f>(VLOOKUP(Table4[[#This Row],[item_sold]],Table6[],3,FALSE))*Table4[[#This Row],[qty]]</f>
        <v>13</v>
      </c>
      <c r="G1379" s="5">
        <f t="shared" si="70"/>
        <v>7</v>
      </c>
      <c r="H1379" t="s">
        <v>247</v>
      </c>
    </row>
    <row r="1380" spans="1:12" x14ac:dyDescent="0.25">
      <c r="A1380" s="1">
        <f t="shared" si="74"/>
        <v>45509</v>
      </c>
      <c r="B1380" s="31">
        <f>TIME(20, 5, 0)</f>
        <v>0.83680555555555547</v>
      </c>
      <c r="C1380" t="str">
        <f>Inventory!A114</f>
        <v>Maramoja</v>
      </c>
      <c r="D1380" s="27">
        <v>2</v>
      </c>
      <c r="E1380" s="5">
        <f>Table4[[#This Row],[qty]]*(VLOOKUP(Table4[[#This Row],[item_sold]],Table6[],4,FALSE))</f>
        <v>20</v>
      </c>
      <c r="F1380" s="5">
        <f>(VLOOKUP(Table4[[#This Row],[item_sold]],Table6[],3,FALSE))*Table4[[#This Row],[qty]]</f>
        <v>14</v>
      </c>
      <c r="G1380" s="5">
        <f t="shared" si="70"/>
        <v>6</v>
      </c>
      <c r="H1380" t="s">
        <v>247</v>
      </c>
    </row>
    <row r="1381" spans="1:12" x14ac:dyDescent="0.25">
      <c r="A1381" s="1">
        <f t="shared" si="74"/>
        <v>45509</v>
      </c>
      <c r="B1381" s="31">
        <f>TIME(20, 7, 0)</f>
        <v>0.83819444444444446</v>
      </c>
      <c r="C1381" t="str">
        <f>Inventory!A115</f>
        <v>Onion</v>
      </c>
      <c r="D1381" s="27">
        <v>1</v>
      </c>
      <c r="E1381" s="5">
        <f>Table4[[#This Row],[qty]]*(VLOOKUP(Table4[[#This Row],[item_sold]],Table6[],4,FALSE))</f>
        <v>10</v>
      </c>
      <c r="F1381" s="5">
        <f>(VLOOKUP(Table4[[#This Row],[item_sold]],Table6[],3,FALSE))*Table4[[#This Row],[qty]]</f>
        <v>8</v>
      </c>
      <c r="G1381" s="5">
        <f t="shared" si="70"/>
        <v>2</v>
      </c>
      <c r="H1381" t="s">
        <v>361</v>
      </c>
    </row>
    <row r="1382" spans="1:12" x14ac:dyDescent="0.25">
      <c r="A1382" s="1">
        <f t="shared" si="74"/>
        <v>45509</v>
      </c>
      <c r="B1382" s="31">
        <f>TIME(20, 7, 0)</f>
        <v>0.83819444444444446</v>
      </c>
      <c r="C1382" t="str">
        <f>Inventory!A116</f>
        <v>Tomatoes</v>
      </c>
      <c r="D1382" s="27">
        <v>1</v>
      </c>
      <c r="E1382" s="5">
        <f>Table4[[#This Row],[qty]]*(VLOOKUP(Table4[[#This Row],[item_sold]],Table6[],4,FALSE))</f>
        <v>10</v>
      </c>
      <c r="F1382" s="5">
        <f>(VLOOKUP(Table4[[#This Row],[item_sold]],Table6[],3,FALSE))*Table4[[#This Row],[qty]]</f>
        <v>5</v>
      </c>
      <c r="G1382" s="5">
        <f t="shared" ref="G1382:G1428" si="75">E1382-F1382</f>
        <v>5</v>
      </c>
      <c r="H1382" t="s">
        <v>361</v>
      </c>
    </row>
    <row r="1383" spans="1:12" x14ac:dyDescent="0.25">
      <c r="A1383" s="1">
        <f t="shared" si="74"/>
        <v>45509</v>
      </c>
      <c r="B1383" s="31">
        <f>TIME(20, 7, 0)</f>
        <v>0.83819444444444446</v>
      </c>
      <c r="C1383" t="str">
        <f>Inventory!A81</f>
        <v>eggs</v>
      </c>
      <c r="D1383" s="27">
        <v>3</v>
      </c>
      <c r="E1383" s="5">
        <f>Table4[[#This Row],[qty]]*(VLOOKUP(Table4[[#This Row],[item_sold]],Table6[],4,FALSE))</f>
        <v>60</v>
      </c>
      <c r="F1383" s="5">
        <f>(VLOOKUP(Table4[[#This Row],[item_sold]],Table6[],3,FALSE))*Table4[[#This Row],[qty]]</f>
        <v>43</v>
      </c>
      <c r="G1383" s="5">
        <f t="shared" si="75"/>
        <v>17</v>
      </c>
      <c r="H1383" t="s">
        <v>361</v>
      </c>
    </row>
    <row r="1384" spans="1:12" x14ac:dyDescent="0.25">
      <c r="A1384" s="1">
        <f t="shared" si="74"/>
        <v>45509</v>
      </c>
      <c r="B1384" s="31">
        <f>TIME(20, 7, 0)</f>
        <v>0.83819444444444446</v>
      </c>
      <c r="C1384" t="str">
        <f>Inventory!A117</f>
        <v>Cooking Oil Measured</v>
      </c>
      <c r="D1384" s="27">
        <v>0.5</v>
      </c>
      <c r="E1384" s="5">
        <f>Table4[[#This Row],[qty]]*(VLOOKUP(Table4[[#This Row],[item_sold]],Table6[],4,FALSE))</f>
        <v>140</v>
      </c>
      <c r="F1384" s="5">
        <f>(VLOOKUP(Table4[[#This Row],[item_sold]],Table6[],3,FALSE))*Table4[[#This Row],[qty]]</f>
        <v>100</v>
      </c>
      <c r="G1384" s="5">
        <f t="shared" si="75"/>
        <v>40</v>
      </c>
      <c r="H1384" t="s">
        <v>359</v>
      </c>
      <c r="I1384" t="s">
        <v>401</v>
      </c>
    </row>
    <row r="1385" spans="1:12" x14ac:dyDescent="0.25">
      <c r="A1385" s="1">
        <f t="shared" si="74"/>
        <v>45509</v>
      </c>
      <c r="B1385" s="31">
        <f>TIME(20, 7, 0)</f>
        <v>0.83819444444444446</v>
      </c>
      <c r="C1385" t="str">
        <f>Inventory!A169</f>
        <v>210 Maize Meal 2kg</v>
      </c>
      <c r="D1385" s="27">
        <v>1</v>
      </c>
      <c r="E1385" s="5">
        <f>Table4[[#This Row],[qty]]*(VLOOKUP(Table4[[#This Row],[item_sold]],Table6[],4,FALSE))</f>
        <v>160</v>
      </c>
      <c r="F1385" s="5">
        <f>(VLOOKUP(Table4[[#This Row],[item_sold]],Table6[],3,FALSE))*Table4[[#This Row],[qty]]</f>
        <v>117.08333333333333</v>
      </c>
      <c r="G1385" s="5">
        <f t="shared" si="75"/>
        <v>42.916666666666671</v>
      </c>
      <c r="H1385" t="s">
        <v>359</v>
      </c>
      <c r="I1385" t="s">
        <v>401</v>
      </c>
    </row>
    <row r="1386" spans="1:12" x14ac:dyDescent="0.25">
      <c r="A1386" s="1">
        <f>DATE(2024,8,6)</f>
        <v>45510</v>
      </c>
      <c r="B1386" s="31">
        <f>TIME(7, 34, 0)</f>
        <v>0.31527777777777777</v>
      </c>
      <c r="C1386" t="str">
        <f>Inventory!A23</f>
        <v>Mt kenya milk 500ml</v>
      </c>
      <c r="D1386" s="27">
        <v>1</v>
      </c>
      <c r="E1386" s="5">
        <f>Table4[[#This Row],[qty]]*(VLOOKUP(Table4[[#This Row],[item_sold]],Table6[],4,FALSE))</f>
        <v>65</v>
      </c>
      <c r="F1386" s="5">
        <f>(VLOOKUP(Table4[[#This Row],[item_sold]],Table6[],3,FALSE))*Table4[[#This Row],[qty]]</f>
        <v>48.333333333333336</v>
      </c>
      <c r="G1386" s="5">
        <f t="shared" si="75"/>
        <v>16.666666666666664</v>
      </c>
      <c r="H1386" t="s">
        <v>361</v>
      </c>
    </row>
    <row r="1387" spans="1:12" x14ac:dyDescent="0.25">
      <c r="A1387" s="1">
        <f>DATE(2024,8,6)</f>
        <v>45510</v>
      </c>
      <c r="B1387" s="31">
        <f>TIME(8, 49, 0)</f>
        <v>0.36736111111111108</v>
      </c>
      <c r="C1387" t="str">
        <f>Inventory!A23</f>
        <v>Mt kenya milk 500ml</v>
      </c>
      <c r="D1387" s="27">
        <v>1</v>
      </c>
      <c r="E1387" s="5">
        <f>Table4[[#This Row],[qty]]*(VLOOKUP(Table4[[#This Row],[item_sold]],Table6[],4,FALSE))</f>
        <v>65</v>
      </c>
      <c r="F1387" s="5">
        <f>(VLOOKUP(Table4[[#This Row],[item_sold]],Table6[],3,FALSE))*Table4[[#This Row],[qty]]</f>
        <v>48.333333333333336</v>
      </c>
      <c r="G1387" s="5">
        <f t="shared" si="75"/>
        <v>16.666666666666664</v>
      </c>
      <c r="H1387" t="s">
        <v>359</v>
      </c>
      <c r="I1387" t="s">
        <v>384</v>
      </c>
    </row>
    <row r="1388" spans="1:12" x14ac:dyDescent="0.25">
      <c r="A1388" s="1">
        <f>DATE(2024,8,6)</f>
        <v>45510</v>
      </c>
      <c r="B1388" s="31">
        <f>TIME(8, 49, 0)</f>
        <v>0.36736111111111108</v>
      </c>
      <c r="C1388" t="str">
        <f>Inventory!A30</f>
        <v>BB Bread 400g</v>
      </c>
      <c r="D1388" s="27">
        <v>1</v>
      </c>
      <c r="E1388" s="5">
        <f>Table4[[#This Row],[qty]]*(VLOOKUP(Table4[[#This Row],[item_sold]],Table6[],4,FALSE))</f>
        <v>65</v>
      </c>
      <c r="F1388" s="5">
        <f>(VLOOKUP(Table4[[#This Row],[item_sold]],Table6[],3,FALSE))*Table4[[#This Row],[qty]]</f>
        <v>60</v>
      </c>
      <c r="G1388" s="5">
        <f t="shared" si="75"/>
        <v>5</v>
      </c>
      <c r="H1388" t="s">
        <v>359</v>
      </c>
      <c r="I1388" t="s">
        <v>384</v>
      </c>
    </row>
    <row r="1389" spans="1:12" x14ac:dyDescent="0.25">
      <c r="A1389" s="1">
        <f>DATE(2024,8,5)</f>
        <v>45509</v>
      </c>
      <c r="B1389" s="31">
        <f>TIME(8, 49, 0)</f>
        <v>0.36736111111111108</v>
      </c>
      <c r="D1389" s="27"/>
      <c r="E1389"/>
      <c r="G1389"/>
      <c r="J1389" t="s">
        <v>384</v>
      </c>
      <c r="K1389">
        <v>100</v>
      </c>
      <c r="L1389" t="s">
        <v>247</v>
      </c>
    </row>
    <row r="1390" spans="1:12" x14ac:dyDescent="0.25">
      <c r="A1390" s="1">
        <f t="shared" ref="A1390:A1411" si="76">DATE(2024,8,6)</f>
        <v>45510</v>
      </c>
      <c r="B1390" s="31">
        <f>TIME(8, 51, 0)</f>
        <v>0.36874999999999997</v>
      </c>
      <c r="C1390" t="str">
        <f>Inventory!A84</f>
        <v>Safari</v>
      </c>
      <c r="D1390" s="27">
        <v>1</v>
      </c>
      <c r="E1390" s="5">
        <f>Table4[[#This Row],[qty]]*(VLOOKUP(Table4[[#This Row],[item_sold]],Table6[],4,FALSE))</f>
        <v>15</v>
      </c>
      <c r="F1390" s="5">
        <f>(VLOOKUP(Table4[[#This Row],[item_sold]],Table6[],3,FALSE))*Table4[[#This Row],[qty]]</f>
        <v>8.5</v>
      </c>
      <c r="G1390" s="5">
        <f t="shared" si="75"/>
        <v>6.5</v>
      </c>
      <c r="H1390" t="s">
        <v>247</v>
      </c>
    </row>
    <row r="1391" spans="1:12" x14ac:dyDescent="0.25">
      <c r="A1391" s="1">
        <f t="shared" si="76"/>
        <v>45510</v>
      </c>
      <c r="B1391" s="31">
        <f>TIME(9, 17, 0)</f>
        <v>0.38680555555555557</v>
      </c>
      <c r="C1391" t="str">
        <f>Inventory!A81</f>
        <v>eggs</v>
      </c>
      <c r="D1391" s="27">
        <v>2</v>
      </c>
      <c r="E1391" s="5">
        <f>Table4[[#This Row],[qty]]*(VLOOKUP(Table4[[#This Row],[item_sold]],Table6[],4,FALSE))</f>
        <v>40</v>
      </c>
      <c r="F1391" s="5">
        <f>(VLOOKUP(Table4[[#This Row],[item_sold]],Table6[],3,FALSE))*Table4[[#This Row],[qty]]</f>
        <v>28.666666666666668</v>
      </c>
      <c r="G1391" s="5">
        <f t="shared" si="75"/>
        <v>11.333333333333332</v>
      </c>
      <c r="H1391" t="s">
        <v>361</v>
      </c>
    </row>
    <row r="1392" spans="1:12" x14ac:dyDescent="0.25">
      <c r="A1392" s="1">
        <f t="shared" si="76"/>
        <v>45510</v>
      </c>
      <c r="B1392" s="31">
        <f>TIME(9, 40, 0)</f>
        <v>0.40277777777777773</v>
      </c>
      <c r="C1392" t="str">
        <f>Inventory!A108</f>
        <v>ariel 75g</v>
      </c>
      <c r="D1392" s="27">
        <v>1</v>
      </c>
      <c r="E1392" s="5">
        <f>Table4[[#This Row],[qty]]*(VLOOKUP(Table4[[#This Row],[item_sold]],Table6[],4,FALSE))</f>
        <v>35</v>
      </c>
      <c r="F1392" s="5">
        <f>(VLOOKUP(Table4[[#This Row],[item_sold]],Table6[],3,FALSE))*Table4[[#This Row],[qty]]</f>
        <v>27.5</v>
      </c>
      <c r="G1392" s="5">
        <f t="shared" si="75"/>
        <v>7.5</v>
      </c>
      <c r="H1392" t="s">
        <v>359</v>
      </c>
      <c r="I1392" t="s">
        <v>384</v>
      </c>
    </row>
    <row r="1393" spans="1:9" x14ac:dyDescent="0.25">
      <c r="A1393" s="1">
        <f t="shared" si="76"/>
        <v>45510</v>
      </c>
      <c r="B1393" s="31">
        <f>TIME(9, 40, 0)</f>
        <v>0.40277777777777773</v>
      </c>
      <c r="C1393" t="str">
        <f>Inventory!A145</f>
        <v>Steel Wire</v>
      </c>
      <c r="D1393" s="27">
        <v>1</v>
      </c>
      <c r="E1393" s="5">
        <f>Table4[[#This Row],[qty]]*(VLOOKUP(Table4[[#This Row],[item_sold]],Table6[],4,FALSE))</f>
        <v>10</v>
      </c>
      <c r="F1393" s="5">
        <f>(VLOOKUP(Table4[[#This Row],[item_sold]],Table6[],3,FALSE))*Table4[[#This Row],[qty]]</f>
        <v>6</v>
      </c>
      <c r="G1393" s="5">
        <f t="shared" si="75"/>
        <v>4</v>
      </c>
      <c r="H1393" t="s">
        <v>359</v>
      </c>
      <c r="I1393" t="s">
        <v>384</v>
      </c>
    </row>
    <row r="1394" spans="1:9" x14ac:dyDescent="0.25">
      <c r="A1394" s="1">
        <f t="shared" si="76"/>
        <v>45510</v>
      </c>
      <c r="B1394" s="31">
        <f>TIME(10, 21, 0)</f>
        <v>0.43124999999999997</v>
      </c>
      <c r="C1394" t="str">
        <f>Inventory!A50</f>
        <v>Ring Cake</v>
      </c>
      <c r="D1394" s="27">
        <v>1</v>
      </c>
      <c r="E1394" s="5">
        <f>Table4[[#This Row],[qty]]*(VLOOKUP(Table4[[#This Row],[item_sold]],Table6[],4,FALSE))</f>
        <v>50</v>
      </c>
      <c r="F1394" s="5">
        <f>(VLOOKUP(Table4[[#This Row],[item_sold]],Table6[],3,FALSE))*Table4[[#This Row],[qty]]</f>
        <v>45</v>
      </c>
      <c r="G1394" s="5">
        <f t="shared" si="75"/>
        <v>5</v>
      </c>
      <c r="H1394" t="s">
        <v>361</v>
      </c>
    </row>
    <row r="1395" spans="1:9" x14ac:dyDescent="0.25">
      <c r="A1395" s="1">
        <f t="shared" si="76"/>
        <v>45510</v>
      </c>
      <c r="B1395" s="31">
        <f>TIME(10, 21, 0)</f>
        <v>0.43124999999999997</v>
      </c>
      <c r="C1395" t="str">
        <f>Inventory!A32</f>
        <v>Festive 600g</v>
      </c>
      <c r="D1395" s="27">
        <v>1</v>
      </c>
      <c r="E1395" s="5">
        <f>Table4[[#This Row],[qty]]*(VLOOKUP(Table4[[#This Row],[item_sold]],Table6[],4,FALSE))</f>
        <v>100</v>
      </c>
      <c r="F1395" s="5">
        <f>(VLOOKUP(Table4[[#This Row],[item_sold]],Table6[],3,FALSE))*Table4[[#This Row],[qty]]</f>
        <v>90</v>
      </c>
      <c r="G1395" s="5">
        <f t="shared" si="75"/>
        <v>10</v>
      </c>
      <c r="H1395" t="s">
        <v>361</v>
      </c>
    </row>
    <row r="1396" spans="1:9" x14ac:dyDescent="0.25">
      <c r="A1396" s="1">
        <f t="shared" si="76"/>
        <v>45510</v>
      </c>
      <c r="B1396" s="31">
        <f>TIME(10, 40, 0)</f>
        <v>0.44444444444444442</v>
      </c>
      <c r="C1396" t="str">
        <f>Inventory!A114</f>
        <v>Maramoja</v>
      </c>
      <c r="D1396" s="27">
        <v>1</v>
      </c>
      <c r="E1396" s="5">
        <f>Table4[[#This Row],[qty]]*(VLOOKUP(Table4[[#This Row],[item_sold]],Table6[],4,FALSE))</f>
        <v>10</v>
      </c>
      <c r="F1396" s="5">
        <f>(VLOOKUP(Table4[[#This Row],[item_sold]],Table6[],3,FALSE))*Table4[[#This Row],[qty]]</f>
        <v>7</v>
      </c>
      <c r="G1396" s="5">
        <f t="shared" si="75"/>
        <v>3</v>
      </c>
      <c r="H1396" t="s">
        <v>247</v>
      </c>
    </row>
    <row r="1397" spans="1:9" x14ac:dyDescent="0.25">
      <c r="A1397" s="1">
        <f t="shared" si="76"/>
        <v>45510</v>
      </c>
      <c r="B1397" s="31">
        <f>TIME(13, 31, 0)</f>
        <v>0.56319444444444444</v>
      </c>
      <c r="C1397" t="str">
        <f>Inventory!A14</f>
        <v>soda 500ml glass</v>
      </c>
      <c r="D1397" s="27">
        <v>1</v>
      </c>
      <c r="E1397" s="5">
        <f>Table4[[#This Row],[qty]]*(VLOOKUP(Table4[[#This Row],[item_sold]],Table6[],4,FALSE))</f>
        <v>55</v>
      </c>
      <c r="F1397" s="5">
        <f>(VLOOKUP(Table4[[#This Row],[item_sold]],Table6[],3,FALSE))*Table4[[#This Row],[qty]]</f>
        <v>50</v>
      </c>
      <c r="G1397" s="5">
        <f t="shared" si="75"/>
        <v>5</v>
      </c>
      <c r="H1397" t="s">
        <v>359</v>
      </c>
      <c r="I1397" t="s">
        <v>401</v>
      </c>
    </row>
    <row r="1398" spans="1:9" x14ac:dyDescent="0.25">
      <c r="A1398" s="1">
        <f t="shared" si="76"/>
        <v>45510</v>
      </c>
      <c r="B1398" s="31">
        <f>TIME(13, 31, 0)</f>
        <v>0.56319444444444444</v>
      </c>
      <c r="C1398" t="str">
        <f>Inventory!A31</f>
        <v>BB Bread 200g</v>
      </c>
      <c r="D1398" s="27">
        <v>1</v>
      </c>
      <c r="E1398" s="5">
        <f>Table4[[#This Row],[qty]]*(VLOOKUP(Table4[[#This Row],[item_sold]],Table6[],4,FALSE))</f>
        <v>40</v>
      </c>
      <c r="F1398" s="5">
        <f>(VLOOKUP(Table4[[#This Row],[item_sold]],Table6[],3,FALSE))*Table4[[#This Row],[qty]]</f>
        <v>35</v>
      </c>
      <c r="G1398" s="5">
        <f t="shared" si="75"/>
        <v>5</v>
      </c>
      <c r="H1398" t="s">
        <v>359</v>
      </c>
      <c r="I1398" t="s">
        <v>401</v>
      </c>
    </row>
    <row r="1399" spans="1:9" x14ac:dyDescent="0.25">
      <c r="A1399" s="1">
        <f t="shared" si="76"/>
        <v>45510</v>
      </c>
      <c r="B1399" s="31">
        <f>TIME(14, 3, 0)</f>
        <v>0.5854166666666667</v>
      </c>
      <c r="C1399" t="str">
        <f>Inventory!A3</f>
        <v>1.5ltrs water</v>
      </c>
      <c r="D1399" s="27">
        <v>1</v>
      </c>
      <c r="E1399" s="5">
        <f>Table4[[#This Row],[qty]]*(VLOOKUP(Table4[[#This Row],[item_sold]],Table6[],4,FALSE))</f>
        <v>70</v>
      </c>
      <c r="F1399" s="5">
        <f>(VLOOKUP(Table4[[#This Row],[item_sold]],Table6[],3,FALSE))*Table4[[#This Row],[qty]]</f>
        <v>25</v>
      </c>
      <c r="G1399" s="5">
        <f t="shared" si="75"/>
        <v>45</v>
      </c>
      <c r="H1399" t="s">
        <v>247</v>
      </c>
    </row>
    <row r="1400" spans="1:9" x14ac:dyDescent="0.25">
      <c r="A1400" s="1">
        <f t="shared" si="76"/>
        <v>45510</v>
      </c>
      <c r="B1400" s="31">
        <f>TIME(14, 3, 0)</f>
        <v>0.5854166666666667</v>
      </c>
      <c r="C1400" t="str">
        <f>Inventory!A4</f>
        <v>300ml water</v>
      </c>
      <c r="D1400" s="27">
        <v>1</v>
      </c>
      <c r="E1400" s="5">
        <f>Table4[[#This Row],[qty]]*(VLOOKUP(Table4[[#This Row],[item_sold]],Table6[],4,FALSE))</f>
        <v>30</v>
      </c>
      <c r="F1400" s="5">
        <f>(VLOOKUP(Table4[[#This Row],[item_sold]],Table6[],3,FALSE))*Table4[[#This Row],[qty]]</f>
        <v>12.5</v>
      </c>
      <c r="G1400" s="5">
        <f t="shared" si="75"/>
        <v>17.5</v>
      </c>
      <c r="H1400" t="s">
        <v>247</v>
      </c>
    </row>
    <row r="1401" spans="1:9" x14ac:dyDescent="0.25">
      <c r="A1401" s="1">
        <f t="shared" si="76"/>
        <v>45510</v>
      </c>
      <c r="B1401" s="31">
        <f>TIME(14, 15, 0)</f>
        <v>0.59375</v>
      </c>
      <c r="C1401" t="str">
        <f>Inventory!A14</f>
        <v>soda 500ml glass</v>
      </c>
      <c r="D1401" s="27">
        <v>1</v>
      </c>
      <c r="E1401" s="5">
        <f>Table4[[#This Row],[qty]]*(VLOOKUP(Table4[[#This Row],[item_sold]],Table6[],4,FALSE))</f>
        <v>55</v>
      </c>
      <c r="F1401" s="5">
        <f>(VLOOKUP(Table4[[#This Row],[item_sold]],Table6[],3,FALSE))*Table4[[#This Row],[qty]]</f>
        <v>50</v>
      </c>
      <c r="G1401" s="5">
        <f t="shared" si="75"/>
        <v>5</v>
      </c>
      <c r="H1401" t="s">
        <v>361</v>
      </c>
    </row>
    <row r="1402" spans="1:9" x14ac:dyDescent="0.25">
      <c r="A1402" s="1">
        <f t="shared" si="76"/>
        <v>45510</v>
      </c>
      <c r="B1402" s="31">
        <f>TIME(14, 18, 0)</f>
        <v>0.59583333333333333</v>
      </c>
      <c r="C1402" t="str">
        <f>Inventory!A120</f>
        <v>Icepop</v>
      </c>
      <c r="D1402" s="27">
        <v>1</v>
      </c>
      <c r="E1402" s="5">
        <f>Table4[[#This Row],[qty]]*(VLOOKUP(Table4[[#This Row],[item_sold]],Table6[],4,FALSE))</f>
        <v>15</v>
      </c>
      <c r="F1402" s="5">
        <f>(VLOOKUP(Table4[[#This Row],[item_sold]],Table6[],3,FALSE))*Table4[[#This Row],[qty]]</f>
        <v>7.5</v>
      </c>
      <c r="G1402" s="5">
        <f t="shared" si="75"/>
        <v>7.5</v>
      </c>
      <c r="H1402" t="s">
        <v>247</v>
      </c>
    </row>
    <row r="1403" spans="1:9" x14ac:dyDescent="0.25">
      <c r="A1403" s="1">
        <f t="shared" si="76"/>
        <v>45510</v>
      </c>
      <c r="B1403" s="31">
        <f>TIME(14, 26, 0)</f>
        <v>0.60138888888888886</v>
      </c>
      <c r="C1403" t="str">
        <f>Inventory!A14</f>
        <v>soda 500ml glass</v>
      </c>
      <c r="D1403" s="27">
        <v>1</v>
      </c>
      <c r="E1403" s="5">
        <f>Table4[[#This Row],[qty]]*(VLOOKUP(Table4[[#This Row],[item_sold]],Table6[],4,FALSE))</f>
        <v>55</v>
      </c>
      <c r="F1403" s="5">
        <f>(VLOOKUP(Table4[[#This Row],[item_sold]],Table6[],3,FALSE))*Table4[[#This Row],[qty]]</f>
        <v>50</v>
      </c>
      <c r="G1403" s="5">
        <f t="shared" si="75"/>
        <v>5</v>
      </c>
      <c r="H1403" t="s">
        <v>359</v>
      </c>
      <c r="I1403" t="s">
        <v>386</v>
      </c>
    </row>
    <row r="1404" spans="1:9" x14ac:dyDescent="0.25">
      <c r="A1404" s="1">
        <f t="shared" si="76"/>
        <v>45510</v>
      </c>
      <c r="B1404" s="31">
        <f>TIME(14, 26, 0)</f>
        <v>0.60138888888888886</v>
      </c>
      <c r="C1404" t="str">
        <f>Inventory!A23</f>
        <v>Mt kenya milk 500ml</v>
      </c>
      <c r="D1404" s="27">
        <v>1</v>
      </c>
      <c r="E1404" s="5">
        <f>Table4[[#This Row],[qty]]*(VLOOKUP(Table4[[#This Row],[item_sold]],Table6[],4,FALSE))</f>
        <v>65</v>
      </c>
      <c r="F1404" s="5">
        <f>(VLOOKUP(Table4[[#This Row],[item_sold]],Table6[],3,FALSE))*Table4[[#This Row],[qty]]</f>
        <v>48.333333333333336</v>
      </c>
      <c r="G1404" s="5">
        <f t="shared" si="75"/>
        <v>16.666666666666664</v>
      </c>
      <c r="H1404" t="s">
        <v>359</v>
      </c>
      <c r="I1404" t="s">
        <v>386</v>
      </c>
    </row>
    <row r="1405" spans="1:9" x14ac:dyDescent="0.25">
      <c r="A1405" s="1">
        <f t="shared" si="76"/>
        <v>45510</v>
      </c>
      <c r="B1405" s="31">
        <f>TIME(14, 26, 0)</f>
        <v>0.60138888888888886</v>
      </c>
      <c r="C1405" t="str">
        <f>Inventory!A49</f>
        <v>Half pound cake</v>
      </c>
      <c r="D1405" s="27">
        <v>1</v>
      </c>
      <c r="E1405" s="5">
        <f>Table4[[#This Row],[qty]]*(VLOOKUP(Table4[[#This Row],[item_sold]],Table6[],4,FALSE))</f>
        <v>100</v>
      </c>
      <c r="F1405" s="5">
        <f>(VLOOKUP(Table4[[#This Row],[item_sold]],Table6[],3,FALSE))*Table4[[#This Row],[qty]]</f>
        <v>90</v>
      </c>
      <c r="G1405" s="5">
        <f t="shared" si="75"/>
        <v>10</v>
      </c>
      <c r="H1405" t="s">
        <v>359</v>
      </c>
      <c r="I1405" t="s">
        <v>386</v>
      </c>
    </row>
    <row r="1406" spans="1:9" x14ac:dyDescent="0.25">
      <c r="A1406" s="1">
        <f t="shared" si="76"/>
        <v>45510</v>
      </c>
      <c r="B1406" s="31">
        <f>TIME(14, 30, 0)</f>
        <v>0.60416666666666663</v>
      </c>
      <c r="C1406" t="str">
        <f>Inventory!A59</f>
        <v>coo</v>
      </c>
      <c r="D1406" s="27">
        <v>2</v>
      </c>
      <c r="E1406" s="5">
        <f>Table4[[#This Row],[qty]]*(VLOOKUP(Table4[[#This Row],[item_sold]],Table6[],4,FALSE))</f>
        <v>5</v>
      </c>
      <c r="F1406" s="5">
        <f>(VLOOKUP(Table4[[#This Row],[item_sold]],Table6[],3,FALSE))*Table4[[#This Row],[qty]]</f>
        <v>2.4</v>
      </c>
      <c r="G1406" s="5">
        <f t="shared" si="75"/>
        <v>2.6</v>
      </c>
      <c r="H1406" t="s">
        <v>247</v>
      </c>
    </row>
    <row r="1407" spans="1:9" x14ac:dyDescent="0.25">
      <c r="A1407" s="1">
        <f t="shared" si="76"/>
        <v>45510</v>
      </c>
      <c r="B1407" s="31">
        <f>TIME(15, 30, 0)</f>
        <v>0.64583333333333337</v>
      </c>
      <c r="C1407" t="str">
        <f>Inventory!A61</f>
        <v>Bigdaddy</v>
      </c>
      <c r="D1407" s="27">
        <v>2</v>
      </c>
      <c r="E1407" s="5">
        <f>Table4[[#This Row],[qty]]*(VLOOKUP(Table4[[#This Row],[item_sold]],Table6[],4,FALSE))</f>
        <v>20</v>
      </c>
      <c r="F1407" s="5">
        <f>(VLOOKUP(Table4[[#This Row],[item_sold]],Table6[],3,FALSE))*Table4[[#This Row],[qty]]</f>
        <v>12</v>
      </c>
      <c r="G1407" s="5">
        <f t="shared" si="75"/>
        <v>8</v>
      </c>
      <c r="H1407" t="s">
        <v>361</v>
      </c>
    </row>
    <row r="1408" spans="1:9" x14ac:dyDescent="0.25">
      <c r="A1408" s="1">
        <f t="shared" si="76"/>
        <v>45510</v>
      </c>
      <c r="B1408" s="31">
        <f>TIME(15, 50, 0)</f>
        <v>0.65972222222222221</v>
      </c>
      <c r="C1408" t="str">
        <f>Inventory!A22</f>
        <v>Brookside Lala Sweetened</v>
      </c>
      <c r="D1408" s="27">
        <v>1</v>
      </c>
      <c r="E1408" s="5">
        <f>Table4[[#This Row],[qty]]*(VLOOKUP(Table4[[#This Row],[item_sold]],Table6[],4,FALSE))</f>
        <v>110</v>
      </c>
      <c r="F1408" s="5">
        <f>(VLOOKUP(Table4[[#This Row],[item_sold]],Table6[],3,FALSE))*Table4[[#This Row],[qty]]</f>
        <v>93</v>
      </c>
      <c r="G1408" s="5">
        <f t="shared" si="75"/>
        <v>17</v>
      </c>
      <c r="H1408" t="s">
        <v>359</v>
      </c>
      <c r="I1408" t="s">
        <v>386</v>
      </c>
    </row>
    <row r="1409" spans="1:12" x14ac:dyDescent="0.25">
      <c r="A1409" s="1">
        <f t="shared" si="76"/>
        <v>45510</v>
      </c>
      <c r="B1409" s="31">
        <f>TIME(15, 50, 0)</f>
        <v>0.65972222222222221</v>
      </c>
      <c r="C1409" t="str">
        <f>Inventory!A48</f>
        <v>Ginger Bisquit</v>
      </c>
      <c r="D1409" s="27">
        <v>8</v>
      </c>
      <c r="E1409" s="5">
        <f>Table4[[#This Row],[qty]]*(VLOOKUP(Table4[[#This Row],[item_sold]],Table6[],4,FALSE))</f>
        <v>40</v>
      </c>
      <c r="F1409" s="5">
        <f>(VLOOKUP(Table4[[#This Row],[item_sold]],Table6[],3,FALSE))*Table4[[#This Row],[qty]]</f>
        <v>34.666666666666664</v>
      </c>
      <c r="G1409" s="5">
        <f t="shared" si="75"/>
        <v>5.3333333333333357</v>
      </c>
      <c r="H1409" t="s">
        <v>359</v>
      </c>
      <c r="I1409" t="s">
        <v>386</v>
      </c>
    </row>
    <row r="1410" spans="1:12" x14ac:dyDescent="0.25">
      <c r="A1410" s="1">
        <f t="shared" si="76"/>
        <v>45510</v>
      </c>
      <c r="B1410" s="31">
        <f>TIME(16, 34, 0)</f>
        <v>0.69027777777777777</v>
      </c>
      <c r="C1410" t="str">
        <f>Inventory!A123</f>
        <v>Mt Kenya milk 200ml</v>
      </c>
      <c r="D1410" s="27">
        <v>1</v>
      </c>
      <c r="E1410" s="5">
        <f>Table4[[#This Row],[qty]]*(VLOOKUP(Table4[[#This Row],[item_sold]],Table6[],4,FALSE))</f>
        <v>35</v>
      </c>
      <c r="F1410" s="5">
        <f>(VLOOKUP(Table4[[#This Row],[item_sold]],Table6[],3,FALSE))*Table4[[#This Row],[qty]]</f>
        <v>24.285714285714285</v>
      </c>
      <c r="G1410" s="5">
        <f t="shared" si="75"/>
        <v>10.714285714285715</v>
      </c>
      <c r="H1410" t="s">
        <v>361</v>
      </c>
    </row>
    <row r="1411" spans="1:12" x14ac:dyDescent="0.25">
      <c r="A1411" s="1">
        <f t="shared" si="76"/>
        <v>45510</v>
      </c>
      <c r="B1411" s="31">
        <f>TIME(16, 34, 0)</f>
        <v>0.69027777777777777</v>
      </c>
      <c r="C1411" t="str">
        <f>Inventory!A63</f>
        <v>Gomba</v>
      </c>
      <c r="D1411" s="27">
        <v>2</v>
      </c>
      <c r="E1411" s="5">
        <f>Table4[[#This Row],[qty]]*(VLOOKUP(Table4[[#This Row],[item_sold]],Table6[],4,FALSE))</f>
        <v>5</v>
      </c>
      <c r="F1411" s="5">
        <f>(VLOOKUP(Table4[[#This Row],[item_sold]],Table6[],3,FALSE))*Table4[[#This Row],[qty]]</f>
        <v>3.6</v>
      </c>
      <c r="G1411" s="5">
        <f t="shared" si="75"/>
        <v>1.4</v>
      </c>
      <c r="H1411" t="s">
        <v>361</v>
      </c>
    </row>
    <row r="1412" spans="1:12" x14ac:dyDescent="0.25">
      <c r="A1412" s="1">
        <f>DATE(2024,8,5)</f>
        <v>45509</v>
      </c>
      <c r="B1412" s="31">
        <f>TIME(16, 34, 0)</f>
        <v>0.69027777777777777</v>
      </c>
      <c r="D1412" s="27"/>
      <c r="E1412"/>
      <c r="G1412"/>
      <c r="J1412" t="s">
        <v>395</v>
      </c>
      <c r="K1412">
        <v>60</v>
      </c>
      <c r="L1412" t="s">
        <v>361</v>
      </c>
    </row>
    <row r="1413" spans="1:12" x14ac:dyDescent="0.25">
      <c r="A1413" s="1">
        <f t="shared" ref="A1413:A1438" si="77">DATE(2024,8,6)</f>
        <v>45510</v>
      </c>
      <c r="B1413" s="31">
        <f>TIME(16, 51, 0)</f>
        <v>0.70208333333333339</v>
      </c>
      <c r="C1413" t="str">
        <f>Inventory!A67</f>
        <v>Bigboss</v>
      </c>
      <c r="D1413" s="27">
        <v>1</v>
      </c>
      <c r="E1413" s="5">
        <f>Table4[[#This Row],[qty]]*(VLOOKUP(Table4[[#This Row],[item_sold]],Table6[],4,FALSE))</f>
        <v>5</v>
      </c>
      <c r="F1413" s="5">
        <f>(VLOOKUP(Table4[[#This Row],[item_sold]],Table6[],3,FALSE))*Table4[[#This Row],[qty]]</f>
        <v>3.5</v>
      </c>
      <c r="G1413" s="5">
        <f t="shared" si="75"/>
        <v>1.5</v>
      </c>
      <c r="H1413" t="s">
        <v>247</v>
      </c>
    </row>
    <row r="1414" spans="1:12" x14ac:dyDescent="0.25">
      <c r="A1414" s="1">
        <f t="shared" si="77"/>
        <v>45510</v>
      </c>
      <c r="B1414" s="31">
        <f>TIME(16, 51, 0)</f>
        <v>0.70208333333333339</v>
      </c>
      <c r="C1414" t="str">
        <f>Inventory!A176</f>
        <v>hoho</v>
      </c>
      <c r="D1414" s="27">
        <v>2</v>
      </c>
      <c r="E1414" s="5">
        <f>Table4[[#This Row],[qty]]*(VLOOKUP(Table4[[#This Row],[item_sold]],Table6[],4,FALSE))</f>
        <v>20</v>
      </c>
      <c r="F1414" s="5">
        <f>(VLOOKUP(Table4[[#This Row],[item_sold]],Table6[],3,FALSE))*Table4[[#This Row],[qty]]</f>
        <v>13.333333333333334</v>
      </c>
      <c r="G1414" s="5">
        <f t="shared" si="75"/>
        <v>6.6666666666666661</v>
      </c>
      <c r="H1414" t="s">
        <v>247</v>
      </c>
    </row>
    <row r="1415" spans="1:12" x14ac:dyDescent="0.25">
      <c r="A1415" s="1">
        <f t="shared" si="77"/>
        <v>45510</v>
      </c>
      <c r="B1415" s="31">
        <f>TIME(16, 51, 0)</f>
        <v>0.70208333333333339</v>
      </c>
      <c r="C1415" t="str">
        <f>Inventory!A168</f>
        <v>Garlic</v>
      </c>
      <c r="D1415" s="27">
        <v>1</v>
      </c>
      <c r="E1415" s="5">
        <f>Table4[[#This Row],[qty]]*(VLOOKUP(Table4[[#This Row],[item_sold]],Table6[],4,FALSE))</f>
        <v>30</v>
      </c>
      <c r="F1415" s="5">
        <f>(VLOOKUP(Table4[[#This Row],[item_sold]],Table6[],3,FALSE))*Table4[[#This Row],[qty]]</f>
        <v>20</v>
      </c>
      <c r="G1415" s="5">
        <f t="shared" si="75"/>
        <v>10</v>
      </c>
      <c r="H1415" t="s">
        <v>247</v>
      </c>
    </row>
    <row r="1416" spans="1:12" x14ac:dyDescent="0.25">
      <c r="A1416" s="1">
        <f t="shared" si="77"/>
        <v>45510</v>
      </c>
      <c r="B1416" s="31">
        <f>TIME(16, 51, 0)</f>
        <v>0.70208333333333339</v>
      </c>
      <c r="C1416" t="str">
        <f>Inventory!A126</f>
        <v>Royco cubes</v>
      </c>
      <c r="D1416" s="27">
        <v>4</v>
      </c>
      <c r="E1416" s="5">
        <f>Table4[[#This Row],[qty]]*(VLOOKUP(Table4[[#This Row],[item_sold]],Table6[],4,FALSE))</f>
        <v>20</v>
      </c>
      <c r="F1416" s="5">
        <f>(VLOOKUP(Table4[[#This Row],[item_sold]],Table6[],3,FALSE))*Table4[[#This Row],[qty]]</f>
        <v>12</v>
      </c>
      <c r="G1416" s="5">
        <f t="shared" si="75"/>
        <v>8</v>
      </c>
      <c r="H1416" t="s">
        <v>359</v>
      </c>
      <c r="I1416" t="s">
        <v>416</v>
      </c>
    </row>
    <row r="1417" spans="1:12" x14ac:dyDescent="0.25">
      <c r="A1417" s="1">
        <f t="shared" si="77"/>
        <v>45510</v>
      </c>
      <c r="B1417" s="31">
        <f>TIME(17, 10, 0)</f>
        <v>0.71527777777777779</v>
      </c>
      <c r="C1417" t="str">
        <f>Inventory!A47</f>
        <v>Lemon Bisquit</v>
      </c>
      <c r="D1417" s="27">
        <v>1</v>
      </c>
      <c r="E1417" s="5">
        <f>Table4[[#This Row],[qty]]*(VLOOKUP(Table4[[#This Row],[item_sold]],Table6[],4,FALSE))</f>
        <v>5</v>
      </c>
      <c r="F1417" s="5">
        <f>(VLOOKUP(Table4[[#This Row],[item_sold]],Table6[],3,FALSE))*Table4[[#This Row],[qty]]</f>
        <v>4.333333333333333</v>
      </c>
      <c r="G1417" s="5">
        <f t="shared" si="75"/>
        <v>0.66666666666666696</v>
      </c>
      <c r="H1417" t="s">
        <v>247</v>
      </c>
    </row>
    <row r="1418" spans="1:12" x14ac:dyDescent="0.25">
      <c r="A1418" s="1">
        <f t="shared" si="77"/>
        <v>45510</v>
      </c>
      <c r="B1418" s="31">
        <f>TIME(17, 10, 0)</f>
        <v>0.71527777777777779</v>
      </c>
      <c r="C1418" t="str">
        <f>Inventory!A46</f>
        <v>Nuvita Bisquit</v>
      </c>
      <c r="D1418" s="27">
        <v>1</v>
      </c>
      <c r="E1418" s="5">
        <f>Table4[[#This Row],[qty]]*(VLOOKUP(Table4[[#This Row],[item_sold]],Table6[],4,FALSE))</f>
        <v>5</v>
      </c>
      <c r="F1418" s="5">
        <f>(VLOOKUP(Table4[[#This Row],[item_sold]],Table6[],3,FALSE))*Table4[[#This Row],[qty]]</f>
        <v>4.166666666666667</v>
      </c>
      <c r="G1418" s="5">
        <f t="shared" si="75"/>
        <v>0.83333333333333304</v>
      </c>
      <c r="H1418" t="s">
        <v>247</v>
      </c>
    </row>
    <row r="1419" spans="1:12" x14ac:dyDescent="0.25">
      <c r="A1419" s="1">
        <f t="shared" si="77"/>
        <v>45510</v>
      </c>
      <c r="B1419" s="31">
        <f>TIME(17, 10, 0)</f>
        <v>0.71527777777777779</v>
      </c>
      <c r="C1419" t="str">
        <f>Inventory!A61</f>
        <v>Bigdaddy</v>
      </c>
      <c r="D1419" s="27">
        <v>1</v>
      </c>
      <c r="E1419" s="5">
        <f>Table4[[#This Row],[qty]]*(VLOOKUP(Table4[[#This Row],[item_sold]],Table6[],4,FALSE))</f>
        <v>10</v>
      </c>
      <c r="F1419" s="5">
        <f>(VLOOKUP(Table4[[#This Row],[item_sold]],Table6[],3,FALSE))*Table4[[#This Row],[qty]]</f>
        <v>6</v>
      </c>
      <c r="G1419" s="5">
        <f t="shared" si="75"/>
        <v>4</v>
      </c>
      <c r="H1419" t="s">
        <v>247</v>
      </c>
    </row>
    <row r="1420" spans="1:12" x14ac:dyDescent="0.25">
      <c r="A1420" s="1">
        <f t="shared" si="77"/>
        <v>45510</v>
      </c>
      <c r="B1420" s="31">
        <f>TIME(17, 21, 0)</f>
        <v>0.72291666666666676</v>
      </c>
      <c r="C1420" t="str">
        <f>Inventory!A38</f>
        <v>T.Heat Potato crisps salted 25g</v>
      </c>
      <c r="D1420" s="27">
        <v>1</v>
      </c>
      <c r="E1420" s="5">
        <f>Table4[[#This Row],[qty]]*(VLOOKUP(Table4[[#This Row],[item_sold]],Table6[],4,FALSE))</f>
        <v>30</v>
      </c>
      <c r="F1420" s="5">
        <f>(VLOOKUP(Table4[[#This Row],[item_sold]],Table6[],3,FALSE))*Table4[[#This Row],[qty]]</f>
        <v>22.916666666666668</v>
      </c>
      <c r="G1420" s="5">
        <f t="shared" si="75"/>
        <v>7.0833333333333321</v>
      </c>
      <c r="H1420" t="s">
        <v>361</v>
      </c>
    </row>
    <row r="1421" spans="1:12" x14ac:dyDescent="0.25">
      <c r="A1421" s="1">
        <f t="shared" si="77"/>
        <v>45510</v>
      </c>
      <c r="B1421" s="31">
        <f>TIME(17, 22, 0)</f>
        <v>0.72361111111111109</v>
      </c>
      <c r="C1421" t="str">
        <f>Inventory!A63</f>
        <v>Gomba</v>
      </c>
      <c r="D1421" s="27">
        <v>20</v>
      </c>
      <c r="E1421" s="5">
        <f>Table4[[#This Row],[qty]]*(VLOOKUP(Table4[[#This Row],[item_sold]],Table6[],4,FALSE))</f>
        <v>50</v>
      </c>
      <c r="F1421" s="5">
        <f>(VLOOKUP(Table4[[#This Row],[item_sold]],Table6[],3,FALSE))*Table4[[#This Row],[qty]]</f>
        <v>36</v>
      </c>
      <c r="G1421" s="5">
        <f t="shared" si="75"/>
        <v>14</v>
      </c>
      <c r="H1421" t="s">
        <v>247</v>
      </c>
    </row>
    <row r="1422" spans="1:12" x14ac:dyDescent="0.25">
      <c r="A1422" s="1">
        <f t="shared" si="77"/>
        <v>45510</v>
      </c>
      <c r="B1422" s="31">
        <f>TIME(17, 45, 0)</f>
        <v>0.73958333333333337</v>
      </c>
      <c r="C1422" t="str">
        <f>Inventory!A15</f>
        <v>smash juice</v>
      </c>
      <c r="D1422" s="27">
        <v>1</v>
      </c>
      <c r="E1422" s="5">
        <f>Table4[[#This Row],[qty]]*(VLOOKUP(Table4[[#This Row],[item_sold]],Table6[],4,FALSE))</f>
        <v>20</v>
      </c>
      <c r="F1422" s="5">
        <f>(VLOOKUP(Table4[[#This Row],[item_sold]],Table6[],3,FALSE))*Table4[[#This Row],[qty]]</f>
        <v>15</v>
      </c>
      <c r="G1422" s="5">
        <f t="shared" si="75"/>
        <v>5</v>
      </c>
      <c r="H1422" t="s">
        <v>247</v>
      </c>
    </row>
    <row r="1423" spans="1:12" x14ac:dyDescent="0.25">
      <c r="A1423" s="1">
        <f t="shared" si="77"/>
        <v>45510</v>
      </c>
      <c r="B1423" s="31">
        <f>TIME(17, 45, 0)</f>
        <v>0.73958333333333337</v>
      </c>
      <c r="C1423" t="str">
        <f>Inventory!A56</f>
        <v>Fresh green</v>
      </c>
      <c r="D1423" s="27">
        <v>3</v>
      </c>
      <c r="E1423" s="5">
        <f>Table4[[#This Row],[qty]]*(VLOOKUP(Table4[[#This Row],[item_sold]],Table6[],4,FALSE))</f>
        <v>30</v>
      </c>
      <c r="F1423" s="5">
        <f>(VLOOKUP(Table4[[#This Row],[item_sold]],Table6[],3,FALSE))*Table4[[#This Row],[qty]]</f>
        <v>15</v>
      </c>
      <c r="G1423" s="5">
        <f t="shared" si="75"/>
        <v>15</v>
      </c>
      <c r="H1423" t="s">
        <v>247</v>
      </c>
    </row>
    <row r="1424" spans="1:12" x14ac:dyDescent="0.25">
      <c r="A1424" s="1">
        <f t="shared" si="77"/>
        <v>45510</v>
      </c>
      <c r="B1424" s="31">
        <f>TIME(17, 46, 0)</f>
        <v>0.7402777777777777</v>
      </c>
      <c r="C1424" t="str">
        <f>Inventory!A120</f>
        <v>Icepop</v>
      </c>
      <c r="D1424" s="27">
        <v>5</v>
      </c>
      <c r="E1424" s="5">
        <f>Table4[[#This Row],[qty]]*(VLOOKUP(Table4[[#This Row],[item_sold]],Table6[],4,FALSE))</f>
        <v>75</v>
      </c>
      <c r="F1424" s="5">
        <f>(VLOOKUP(Table4[[#This Row],[item_sold]],Table6[],3,FALSE))*Table4[[#This Row],[qty]]</f>
        <v>37.5</v>
      </c>
      <c r="G1424" s="5">
        <f t="shared" si="75"/>
        <v>37.5</v>
      </c>
      <c r="H1424" t="s">
        <v>361</v>
      </c>
    </row>
    <row r="1425" spans="1:12" x14ac:dyDescent="0.25">
      <c r="A1425" s="1">
        <f t="shared" si="77"/>
        <v>45510</v>
      </c>
      <c r="B1425" s="31">
        <f>TIME(18, 37, 0)</f>
        <v>0.77569444444444446</v>
      </c>
      <c r="C1425" t="str">
        <f>Inventory!A89</f>
        <v>Tukuza 1kg</v>
      </c>
      <c r="D1425" s="27">
        <v>1</v>
      </c>
      <c r="E1425" s="5">
        <f>Table4[[#This Row],[qty]]*(VLOOKUP(Table4[[#This Row],[item_sold]],Table6[],4,FALSE))</f>
        <v>90</v>
      </c>
      <c r="F1425" s="5">
        <f>(VLOOKUP(Table4[[#This Row],[item_sold]],Table6[],3,FALSE))*Table4[[#This Row],[qty]]</f>
        <v>61.25</v>
      </c>
      <c r="G1425" s="5">
        <f t="shared" si="75"/>
        <v>28.75</v>
      </c>
      <c r="H1425" t="s">
        <v>247</v>
      </c>
    </row>
    <row r="1426" spans="1:12" x14ac:dyDescent="0.25">
      <c r="A1426" s="1">
        <f t="shared" si="77"/>
        <v>45510</v>
      </c>
      <c r="B1426" s="31">
        <f>TIME(19, 14, 0)</f>
        <v>0.80138888888888893</v>
      </c>
      <c r="C1426" t="str">
        <f>Inventory!A169</f>
        <v>210 Maize Meal 2kg</v>
      </c>
      <c r="D1426" s="27">
        <v>2</v>
      </c>
      <c r="E1426" s="5">
        <f>Table4[[#This Row],[qty]]*(VLOOKUP(Table4[[#This Row],[item_sold]],Table6[],4,FALSE))</f>
        <v>320</v>
      </c>
      <c r="F1426" s="5">
        <f>(VLOOKUP(Table4[[#This Row],[item_sold]],Table6[],3,FALSE))*Table4[[#This Row],[qty]]</f>
        <v>234.16666666666666</v>
      </c>
      <c r="G1426" s="5">
        <f t="shared" si="75"/>
        <v>85.833333333333343</v>
      </c>
      <c r="H1426" t="s">
        <v>359</v>
      </c>
      <c r="I1426" t="s">
        <v>384</v>
      </c>
    </row>
    <row r="1427" spans="1:12" x14ac:dyDescent="0.25">
      <c r="A1427" s="1">
        <f t="shared" si="77"/>
        <v>45510</v>
      </c>
      <c r="B1427" s="31">
        <f>TIME(19, 14, 0)</f>
        <v>0.80138888888888893</v>
      </c>
      <c r="C1427" t="str">
        <f>Inventory!A23</f>
        <v>Mt kenya milk 500ml</v>
      </c>
      <c r="D1427" s="27">
        <v>1</v>
      </c>
      <c r="E1427" s="5">
        <f>Table4[[#This Row],[qty]]*(VLOOKUP(Table4[[#This Row],[item_sold]],Table6[],4,FALSE))</f>
        <v>65</v>
      </c>
      <c r="F1427" s="5">
        <f>(VLOOKUP(Table4[[#This Row],[item_sold]],Table6[],3,FALSE))*Table4[[#This Row],[qty]]</f>
        <v>48.333333333333336</v>
      </c>
      <c r="G1427" s="5">
        <f t="shared" si="75"/>
        <v>16.666666666666664</v>
      </c>
      <c r="H1427" t="s">
        <v>359</v>
      </c>
      <c r="I1427" t="s">
        <v>384</v>
      </c>
    </row>
    <row r="1428" spans="1:12" x14ac:dyDescent="0.25">
      <c r="A1428" s="1">
        <f t="shared" si="77"/>
        <v>45510</v>
      </c>
      <c r="B1428" s="31">
        <f>TIME(19, 14, 0)</f>
        <v>0.80138888888888893</v>
      </c>
      <c r="C1428" t="str">
        <f>Inventory!A30</f>
        <v>BB Bread 400g</v>
      </c>
      <c r="D1428" s="27">
        <v>1</v>
      </c>
      <c r="E1428" s="5">
        <f>Table4[[#This Row],[qty]]*(VLOOKUP(Table4[[#This Row],[item_sold]],Table6[],4,FALSE))</f>
        <v>65</v>
      </c>
      <c r="F1428" s="5">
        <f>(VLOOKUP(Table4[[#This Row],[item_sold]],Table6[],3,FALSE))*Table4[[#This Row],[qty]]</f>
        <v>60</v>
      </c>
      <c r="G1428" s="5">
        <f t="shared" si="75"/>
        <v>5</v>
      </c>
      <c r="H1428" t="s">
        <v>359</v>
      </c>
      <c r="I1428" t="s">
        <v>384</v>
      </c>
    </row>
    <row r="1429" spans="1:12" x14ac:dyDescent="0.25">
      <c r="A1429" s="1">
        <f t="shared" si="77"/>
        <v>45510</v>
      </c>
      <c r="B1429" s="31">
        <f>TIME(19, 21, 0)</f>
        <v>0.80625000000000002</v>
      </c>
      <c r="C1429" t="str">
        <f>Inventory!A81</f>
        <v>eggs</v>
      </c>
      <c r="D1429" s="27">
        <v>1</v>
      </c>
      <c r="E1429" s="5">
        <f>Table4[[#This Row],[qty]]*(VLOOKUP(Table4[[#This Row],[item_sold]],Table6[],4,FALSE))</f>
        <v>20</v>
      </c>
      <c r="F1429" s="5">
        <f>(VLOOKUP(Table4[[#This Row],[item_sold]],Table6[],3,FALSE))*Table4[[#This Row],[qty]]</f>
        <v>14.333333333333334</v>
      </c>
      <c r="G1429" s="5">
        <f t="shared" ref="G1429:G1436" si="78">E1429-F1429</f>
        <v>5.6666666666666661</v>
      </c>
      <c r="H1429" t="s">
        <v>359</v>
      </c>
      <c r="I1429" t="s">
        <v>417</v>
      </c>
    </row>
    <row r="1430" spans="1:12" x14ac:dyDescent="0.25">
      <c r="A1430" s="1">
        <f t="shared" si="77"/>
        <v>45510</v>
      </c>
      <c r="B1430" s="31">
        <f>TIME(19, 31, 0)</f>
        <v>0.81319444444444444</v>
      </c>
      <c r="C1430" t="str">
        <f>Inventory!A13</f>
        <v>soda 300ml glass</v>
      </c>
      <c r="D1430" s="27">
        <v>1</v>
      </c>
      <c r="E1430" s="5">
        <f>Table4[[#This Row],[qty]]*(VLOOKUP(Table4[[#This Row],[item_sold]],Table6[],4,FALSE))</f>
        <v>40</v>
      </c>
      <c r="F1430" s="5">
        <f>(VLOOKUP(Table4[[#This Row],[item_sold]],Table6[],3,FALSE))*Table4[[#This Row],[qty]]</f>
        <v>32.5</v>
      </c>
      <c r="G1430" s="5">
        <f t="shared" si="78"/>
        <v>7.5</v>
      </c>
      <c r="H1430" t="s">
        <v>361</v>
      </c>
    </row>
    <row r="1431" spans="1:12" x14ac:dyDescent="0.25">
      <c r="A1431" s="1">
        <f t="shared" si="77"/>
        <v>45510</v>
      </c>
      <c r="B1431" s="31">
        <f>TIME(19, 31, 0)</f>
        <v>0.81319444444444444</v>
      </c>
      <c r="C1431" t="str">
        <f>Inventory!A46</f>
        <v>Nuvita Bisquit</v>
      </c>
      <c r="D1431" s="27">
        <v>3</v>
      </c>
      <c r="E1431" s="5">
        <f>Table4[[#This Row],[qty]]*(VLOOKUP(Table4[[#This Row],[item_sold]],Table6[],4,FALSE))</f>
        <v>15</v>
      </c>
      <c r="F1431" s="5">
        <f>(VLOOKUP(Table4[[#This Row],[item_sold]],Table6[],3,FALSE))*Table4[[#This Row],[qty]]</f>
        <v>12.5</v>
      </c>
      <c r="G1431" s="5">
        <f t="shared" si="78"/>
        <v>2.5</v>
      </c>
      <c r="H1431" t="s">
        <v>361</v>
      </c>
    </row>
    <row r="1432" spans="1:12" x14ac:dyDescent="0.25">
      <c r="A1432" s="1">
        <f t="shared" si="77"/>
        <v>45510</v>
      </c>
      <c r="B1432" s="31">
        <f>TIME(19, 40, 0)</f>
        <v>0.81944444444444453</v>
      </c>
      <c r="C1432" t="str">
        <f>Inventory!A81</f>
        <v>eggs</v>
      </c>
      <c r="D1432" s="27">
        <v>2</v>
      </c>
      <c r="E1432" s="5">
        <f>Table4[[#This Row],[qty]]*(VLOOKUP(Table4[[#This Row],[item_sold]],Table6[],4,FALSE))</f>
        <v>40</v>
      </c>
      <c r="F1432" s="5">
        <f>(VLOOKUP(Table4[[#This Row],[item_sold]],Table6[],3,FALSE))*Table4[[#This Row],[qty]]</f>
        <v>28.666666666666668</v>
      </c>
      <c r="G1432" s="5">
        <f t="shared" si="78"/>
        <v>11.333333333333332</v>
      </c>
      <c r="H1432" t="s">
        <v>361</v>
      </c>
    </row>
    <row r="1433" spans="1:12" x14ac:dyDescent="0.25">
      <c r="A1433" s="1">
        <f t="shared" si="77"/>
        <v>45510</v>
      </c>
      <c r="B1433" s="31">
        <f>TIME(19, 40, 0)</f>
        <v>0.81944444444444453</v>
      </c>
      <c r="C1433" t="str">
        <f>Inventory!A94</f>
        <v>Bella Tissue</v>
      </c>
      <c r="D1433" s="27">
        <v>1</v>
      </c>
      <c r="E1433" s="5">
        <f>Table4[[#This Row],[qty]]*(VLOOKUP(Table4[[#This Row],[item_sold]],Table6[],4,FALSE))</f>
        <v>45</v>
      </c>
      <c r="F1433" s="5">
        <f>(VLOOKUP(Table4[[#This Row],[item_sold]],Table6[],3,FALSE))*Table4[[#This Row],[qty]]</f>
        <v>35</v>
      </c>
      <c r="G1433" s="5">
        <f t="shared" si="78"/>
        <v>10</v>
      </c>
      <c r="H1433" t="s">
        <v>359</v>
      </c>
      <c r="I1433" t="s">
        <v>394</v>
      </c>
    </row>
    <row r="1434" spans="1:12" x14ac:dyDescent="0.25">
      <c r="A1434" s="1">
        <f t="shared" si="77"/>
        <v>45510</v>
      </c>
      <c r="B1434" s="31">
        <f>TIME(20, 0, 0)</f>
        <v>0.83333333333333337</v>
      </c>
      <c r="C1434" t="str">
        <f>Inventory!A84</f>
        <v>Safari</v>
      </c>
      <c r="D1434" s="27">
        <v>1</v>
      </c>
      <c r="E1434" s="5">
        <f>Table4[[#This Row],[qty]]*(VLOOKUP(Table4[[#This Row],[item_sold]],Table6[],4,FALSE))</f>
        <v>15</v>
      </c>
      <c r="F1434" s="5">
        <f>(VLOOKUP(Table4[[#This Row],[item_sold]],Table6[],3,FALSE))*Table4[[#This Row],[qty]]</f>
        <v>8.5</v>
      </c>
      <c r="G1434" s="5">
        <f t="shared" si="78"/>
        <v>6.5</v>
      </c>
      <c r="H1434" t="s">
        <v>361</v>
      </c>
    </row>
    <row r="1435" spans="1:12" x14ac:dyDescent="0.25">
      <c r="A1435" s="1">
        <f t="shared" si="77"/>
        <v>45510</v>
      </c>
      <c r="B1435" s="31">
        <f>TIME(20, 0, 0)</f>
        <v>0.83333333333333337</v>
      </c>
      <c r="C1435" t="str">
        <f>Inventory!A63</f>
        <v>Gomba</v>
      </c>
      <c r="D1435" s="27">
        <v>2</v>
      </c>
      <c r="E1435" s="5">
        <f>Table4[[#This Row],[qty]]*(VLOOKUP(Table4[[#This Row],[item_sold]],Table6[],4,FALSE))</f>
        <v>5</v>
      </c>
      <c r="F1435" s="5">
        <f>(VLOOKUP(Table4[[#This Row],[item_sold]],Table6[],3,FALSE))*Table4[[#This Row],[qty]]</f>
        <v>3.6</v>
      </c>
      <c r="G1435" s="5">
        <f t="shared" si="78"/>
        <v>1.4</v>
      </c>
      <c r="H1435" t="s">
        <v>361</v>
      </c>
    </row>
    <row r="1436" spans="1:12" x14ac:dyDescent="0.25">
      <c r="A1436" s="1">
        <f t="shared" si="77"/>
        <v>45510</v>
      </c>
      <c r="B1436" s="31">
        <f>TIME(20, 0, 0)</f>
        <v>0.83333333333333337</v>
      </c>
      <c r="C1436" t="str">
        <f>Inventory!A162</f>
        <v>Match Box</v>
      </c>
      <c r="D1436" s="27">
        <v>1</v>
      </c>
      <c r="E1436" s="5">
        <f>Table4[[#This Row],[qty]]*(VLOOKUP(Table4[[#This Row],[item_sold]],Table6[],4,FALSE))</f>
        <v>5</v>
      </c>
      <c r="F1436" s="5">
        <f>(VLOOKUP(Table4[[#This Row],[item_sold]],Table6[],3,FALSE))*Table4[[#This Row],[qty]]</f>
        <v>2.3611111111111112</v>
      </c>
      <c r="G1436" s="5">
        <f t="shared" si="78"/>
        <v>2.6388888888888888</v>
      </c>
      <c r="H1436" t="s">
        <v>247</v>
      </c>
    </row>
    <row r="1437" spans="1:12" x14ac:dyDescent="0.25">
      <c r="A1437" s="1">
        <f t="shared" si="77"/>
        <v>45510</v>
      </c>
      <c r="B1437" s="31">
        <f>TIME(20, 30, 0)</f>
        <v>0.85416666666666663</v>
      </c>
      <c r="C1437" t="str">
        <f>Inventory!A195</f>
        <v>Tropical heat crisps 50g</v>
      </c>
      <c r="D1437" s="27">
        <v>1</v>
      </c>
      <c r="E1437" s="5">
        <f>Table4[[#This Row],[qty]]*(VLOOKUP(Table4[[#This Row],[item_sold]],Table6[],4,FALSE))</f>
        <v>70</v>
      </c>
      <c r="F1437" s="5">
        <f>(VLOOKUP(Table4[[#This Row],[item_sold]],Table6[],3,FALSE))*Table4[[#This Row],[qty]]</f>
        <v>50</v>
      </c>
      <c r="G1437" s="5">
        <f>E1437-F1437</f>
        <v>20</v>
      </c>
      <c r="H1437" t="s">
        <v>359</v>
      </c>
      <c r="I1437" t="s">
        <v>385</v>
      </c>
      <c r="J1437">
        <f>SUM(IFERROR(E1318:E1385, 0))</f>
        <v>0</v>
      </c>
    </row>
    <row r="1438" spans="1:12" x14ac:dyDescent="0.25">
      <c r="A1438" s="1">
        <f t="shared" si="77"/>
        <v>45510</v>
      </c>
      <c r="B1438" s="31">
        <f>TIME(20, 30, 0)</f>
        <v>0.85416666666666663</v>
      </c>
      <c r="C1438" t="str">
        <f>Inventory!A66</f>
        <v>Gumballs</v>
      </c>
      <c r="D1438" s="27">
        <v>10</v>
      </c>
      <c r="E1438" s="5">
        <f>Table4[[#This Row],[qty]]*(VLOOKUP(Table4[[#This Row],[item_sold]],Table6[],4,FALSE))</f>
        <v>10</v>
      </c>
      <c r="F1438" s="5">
        <f>(VLOOKUP(Table4[[#This Row],[item_sold]],Table6[],3,FALSE))*Table4[[#This Row],[qty]]</f>
        <v>7</v>
      </c>
      <c r="G1438" s="5">
        <f>E1438-F1438</f>
        <v>3</v>
      </c>
      <c r="H1438" t="s">
        <v>359</v>
      </c>
      <c r="I1438" t="s">
        <v>385</v>
      </c>
    </row>
    <row r="1439" spans="1:12" x14ac:dyDescent="0.25">
      <c r="A1439" s="1">
        <f>DATE(2024,8,5)</f>
        <v>45509</v>
      </c>
      <c r="B1439" s="31"/>
      <c r="D1439" s="27"/>
      <c r="E1439"/>
      <c r="G1439"/>
      <c r="J1439" t="s">
        <v>414</v>
      </c>
      <c r="K1439">
        <v>130</v>
      </c>
      <c r="L1439" t="s">
        <v>361</v>
      </c>
    </row>
    <row r="1440" spans="1:12" x14ac:dyDescent="0.25">
      <c r="A1440" s="1">
        <f>DATE(2024,8,7)</f>
        <v>45511</v>
      </c>
      <c r="B1440" s="31">
        <f>TIME(7, 40, 0)</f>
        <v>0.31944444444444448</v>
      </c>
      <c r="C1440" t="str">
        <f>Inventory!A89</f>
        <v>Tukuza 1kg</v>
      </c>
      <c r="D1440" s="27">
        <v>1</v>
      </c>
      <c r="E1440" s="5">
        <f>Table4[[#This Row],[qty]]*(VLOOKUP(Table4[[#This Row],[item_sold]],Table6[],4,FALSE))</f>
        <v>90</v>
      </c>
      <c r="F1440" s="5">
        <f>(VLOOKUP(Table4[[#This Row],[item_sold]],Table6[],3,FALSE))*Table4[[#This Row],[qty]]</f>
        <v>61.25</v>
      </c>
      <c r="G1440" s="5">
        <f t="shared" ref="G1440:G1474" si="79">E1440-F1440</f>
        <v>28.75</v>
      </c>
      <c r="H1440" t="s">
        <v>359</v>
      </c>
      <c r="I1440" t="s">
        <v>418</v>
      </c>
    </row>
    <row r="1441" spans="1:9" x14ac:dyDescent="0.25">
      <c r="A1441" s="1">
        <f t="shared" ref="A1441:A1504" si="80">DATE(2024,8,7)</f>
        <v>45511</v>
      </c>
      <c r="B1441" s="31">
        <f>TIME(8, 0, 0)</f>
        <v>0.33333333333333331</v>
      </c>
      <c r="C1441" t="str">
        <f>Inventory!A123</f>
        <v>Mt Kenya milk 200ml</v>
      </c>
      <c r="D1441" s="27">
        <v>1</v>
      </c>
      <c r="E1441" s="5">
        <f>Table4[[#This Row],[qty]]*(VLOOKUP(Table4[[#This Row],[item_sold]],Table6[],4,FALSE))</f>
        <v>35</v>
      </c>
      <c r="F1441" s="5">
        <f>(VLOOKUP(Table4[[#This Row],[item_sold]],Table6[],3,FALSE))*Table4[[#This Row],[qty]]</f>
        <v>24.285714285714285</v>
      </c>
      <c r="G1441" s="5">
        <f t="shared" si="79"/>
        <v>10.714285714285715</v>
      </c>
      <c r="H1441" t="s">
        <v>247</v>
      </c>
    </row>
    <row r="1442" spans="1:9" x14ac:dyDescent="0.25">
      <c r="A1442" s="1">
        <f t="shared" si="80"/>
        <v>45511</v>
      </c>
      <c r="B1442" s="31">
        <f>TIME(8, 7, 0)</f>
        <v>0.33819444444444446</v>
      </c>
      <c r="C1442" t="str">
        <f>Inventory!A23</f>
        <v>Mt kenya milk 500ml</v>
      </c>
      <c r="D1442" s="27">
        <v>2</v>
      </c>
      <c r="E1442" s="5">
        <f>Table4[[#This Row],[qty]]*(VLOOKUP(Table4[[#This Row],[item_sold]],Table6[],4,FALSE))</f>
        <v>130</v>
      </c>
      <c r="F1442" s="5">
        <f>(VLOOKUP(Table4[[#This Row],[item_sold]],Table6[],3,FALSE))*Table4[[#This Row],[qty]]</f>
        <v>96.666666666666671</v>
      </c>
      <c r="G1442" s="5">
        <f t="shared" si="79"/>
        <v>33.333333333333329</v>
      </c>
      <c r="H1442" t="s">
        <v>361</v>
      </c>
    </row>
    <row r="1443" spans="1:9" x14ac:dyDescent="0.25">
      <c r="A1443" s="1">
        <f t="shared" si="80"/>
        <v>45511</v>
      </c>
      <c r="B1443" s="31">
        <f>TIME(9, 0, 0)</f>
        <v>0.375</v>
      </c>
      <c r="C1443" t="str">
        <f>Inventory!A73</f>
        <v>kabras sugar 1kg</v>
      </c>
      <c r="D1443" s="27">
        <v>1</v>
      </c>
      <c r="E1443" s="5">
        <f>Table4[[#This Row],[qty]]*(VLOOKUP(Table4[[#This Row],[item_sold]],Table6[],4,FALSE))</f>
        <v>180</v>
      </c>
      <c r="F1443" s="5">
        <f>(VLOOKUP(Table4[[#This Row],[item_sold]],Table6[],3,FALSE))*Table4[[#This Row],[qty]]</f>
        <v>140</v>
      </c>
      <c r="G1443" s="5">
        <f t="shared" si="79"/>
        <v>40</v>
      </c>
      <c r="H1443" t="s">
        <v>359</v>
      </c>
      <c r="I1443" t="s">
        <v>412</v>
      </c>
    </row>
    <row r="1444" spans="1:9" x14ac:dyDescent="0.25">
      <c r="A1444" s="1">
        <f t="shared" si="80"/>
        <v>45511</v>
      </c>
      <c r="B1444" s="31">
        <f>TIME(9, 0, 0)</f>
        <v>0.375</v>
      </c>
      <c r="C1444" t="str">
        <f>Inventory!A117</f>
        <v>Cooking Oil Measured</v>
      </c>
      <c r="D1444" s="27">
        <v>0.5</v>
      </c>
      <c r="E1444" s="5">
        <f>Table4[[#This Row],[qty]]*(VLOOKUP(Table4[[#This Row],[item_sold]],Table6[],4,FALSE))</f>
        <v>140</v>
      </c>
      <c r="F1444" s="5">
        <f>(VLOOKUP(Table4[[#This Row],[item_sold]],Table6[],3,FALSE))*Table4[[#This Row],[qty]]</f>
        <v>100</v>
      </c>
      <c r="G1444" s="5">
        <f t="shared" si="79"/>
        <v>40</v>
      </c>
      <c r="H1444" t="s">
        <v>359</v>
      </c>
      <c r="I1444" t="s">
        <v>412</v>
      </c>
    </row>
    <row r="1445" spans="1:9" x14ac:dyDescent="0.25">
      <c r="A1445" s="1">
        <f t="shared" si="80"/>
        <v>45511</v>
      </c>
      <c r="B1445" s="31">
        <f>TIME(10, 8, 0)</f>
        <v>0.42222222222222222</v>
      </c>
      <c r="C1445" t="str">
        <f>Inventory!A132</f>
        <v>Festive Bread 400g</v>
      </c>
      <c r="D1445" s="27">
        <v>1</v>
      </c>
      <c r="E1445" s="5">
        <f>Table4[[#This Row],[qty]]*(VLOOKUP(Table4[[#This Row],[item_sold]],Table6[],4,FALSE))</f>
        <v>65</v>
      </c>
      <c r="F1445" s="5">
        <f>(VLOOKUP(Table4[[#This Row],[item_sold]],Table6[],3,FALSE))*Table4[[#This Row],[qty]]</f>
        <v>60</v>
      </c>
      <c r="G1445" s="5">
        <f t="shared" si="79"/>
        <v>5</v>
      </c>
      <c r="H1445" t="s">
        <v>247</v>
      </c>
    </row>
    <row r="1446" spans="1:9" x14ac:dyDescent="0.25">
      <c r="A1446" s="1">
        <f t="shared" si="80"/>
        <v>45511</v>
      </c>
      <c r="B1446" s="31">
        <f>TIME(10, 29, 0)</f>
        <v>0.4368055555555555</v>
      </c>
      <c r="C1446" t="str">
        <f>Inventory!A198</f>
        <v>Kortex pads</v>
      </c>
      <c r="D1446" s="27">
        <v>1</v>
      </c>
      <c r="E1446" s="5">
        <f>Table4[[#This Row],[qty]]*(VLOOKUP(Table4[[#This Row],[item_sold]],Table6[],4,FALSE))</f>
        <v>130</v>
      </c>
      <c r="F1446" s="5">
        <f>(VLOOKUP(Table4[[#This Row],[item_sold]],Table6[],3,FALSE))*Table4[[#This Row],[qty]]</f>
        <v>106</v>
      </c>
      <c r="G1446" s="5">
        <f t="shared" si="79"/>
        <v>24</v>
      </c>
      <c r="H1446" t="s">
        <v>247</v>
      </c>
    </row>
    <row r="1447" spans="1:9" x14ac:dyDescent="0.25">
      <c r="A1447" s="1">
        <f t="shared" si="80"/>
        <v>45511</v>
      </c>
      <c r="B1447" s="31">
        <f>TIME(10, 29, 0)</f>
        <v>0.4368055555555555</v>
      </c>
      <c r="C1447" t="str">
        <f>Inventory!A19</f>
        <v>Delamere 450g yoghurt</v>
      </c>
      <c r="D1447" s="27">
        <v>1</v>
      </c>
      <c r="E1447" s="5">
        <f>Table4[[#This Row],[qty]]*(VLOOKUP(Table4[[#This Row],[item_sold]],Table6[],4,FALSE))</f>
        <v>160</v>
      </c>
      <c r="F1447" s="5">
        <f>(VLOOKUP(Table4[[#This Row],[item_sold]],Table6[],3,FALSE))*Table4[[#This Row],[qty]]</f>
        <v>137</v>
      </c>
      <c r="G1447" s="5">
        <f t="shared" si="79"/>
        <v>23</v>
      </c>
      <c r="H1447" t="s">
        <v>359</v>
      </c>
      <c r="I1447" t="s">
        <v>413</v>
      </c>
    </row>
    <row r="1448" spans="1:9" x14ac:dyDescent="0.25">
      <c r="A1448" s="1">
        <f t="shared" si="80"/>
        <v>45511</v>
      </c>
      <c r="B1448" s="31">
        <f>TIME(10, 29, 0)</f>
        <v>0.4368055555555555</v>
      </c>
      <c r="C1448" t="str">
        <f>Inventory!A95</f>
        <v>Poa Pekee Tissue</v>
      </c>
      <c r="D1448" s="27">
        <v>1</v>
      </c>
      <c r="E1448" s="5">
        <f>Table4[[#This Row],[qty]]*(VLOOKUP(Table4[[#This Row],[item_sold]],Table6[],4,FALSE))</f>
        <v>30</v>
      </c>
      <c r="F1448" s="5">
        <f>(VLOOKUP(Table4[[#This Row],[item_sold]],Table6[],3,FALSE))*Table4[[#This Row],[qty]]</f>
        <v>13.333333333333334</v>
      </c>
      <c r="G1448" s="5">
        <f t="shared" si="79"/>
        <v>16.666666666666664</v>
      </c>
      <c r="H1448" t="s">
        <v>247</v>
      </c>
    </row>
    <row r="1449" spans="1:9" x14ac:dyDescent="0.25">
      <c r="A1449" s="1">
        <f t="shared" si="80"/>
        <v>45511</v>
      </c>
      <c r="B1449" s="31">
        <f>TIME(11, 39, 0)</f>
        <v>0.48541666666666666</v>
      </c>
      <c r="C1449" t="str">
        <f>Inventory!A93</f>
        <v>Hanaan Tissue</v>
      </c>
      <c r="D1449" s="27">
        <v>2</v>
      </c>
      <c r="E1449" s="5">
        <f>Table4[[#This Row],[qty]]*(VLOOKUP(Table4[[#This Row],[item_sold]],Table6[],4,FALSE))</f>
        <v>100</v>
      </c>
      <c r="F1449" s="5">
        <f>(VLOOKUP(Table4[[#This Row],[item_sold]],Table6[],3,FALSE))*Table4[[#This Row],[qty]]</f>
        <v>86</v>
      </c>
      <c r="G1449" s="5">
        <f t="shared" si="79"/>
        <v>14</v>
      </c>
      <c r="H1449" t="s">
        <v>361</v>
      </c>
    </row>
    <row r="1450" spans="1:9" x14ac:dyDescent="0.25">
      <c r="A1450" s="1">
        <f t="shared" si="80"/>
        <v>45511</v>
      </c>
      <c r="B1450" s="31">
        <f>TIME(11, 39, 0)</f>
        <v>0.48541666666666666</v>
      </c>
      <c r="C1450" t="str">
        <f>Inventory!A153</f>
        <v>Pishori rice</v>
      </c>
      <c r="D1450" s="27">
        <v>1</v>
      </c>
      <c r="E1450" s="5">
        <f>Table4[[#This Row],[qty]]*(VLOOKUP(Table4[[#This Row],[item_sold]],Table6[],4,FALSE))</f>
        <v>220</v>
      </c>
      <c r="F1450" s="5">
        <f>(VLOOKUP(Table4[[#This Row],[item_sold]],Table6[],3,FALSE))*Table4[[#This Row],[qty]]</f>
        <v>180</v>
      </c>
      <c r="G1450" s="5">
        <f t="shared" si="79"/>
        <v>40</v>
      </c>
      <c r="H1450" t="s">
        <v>361</v>
      </c>
    </row>
    <row r="1451" spans="1:9" x14ac:dyDescent="0.25">
      <c r="A1451" s="1">
        <f t="shared" si="80"/>
        <v>45511</v>
      </c>
      <c r="B1451" s="31">
        <f>TIME(11, 39, 0)</f>
        <v>0.48541666666666666</v>
      </c>
      <c r="C1451" t="str">
        <f>Inventory!A81</f>
        <v>eggs</v>
      </c>
      <c r="D1451" s="27">
        <v>8</v>
      </c>
      <c r="E1451" s="5">
        <f>Table4[[#This Row],[qty]]*(VLOOKUP(Table4[[#This Row],[item_sold]],Table6[],4,FALSE))</f>
        <v>160</v>
      </c>
      <c r="F1451" s="5">
        <f>(VLOOKUP(Table4[[#This Row],[item_sold]],Table6[],3,FALSE))*Table4[[#This Row],[qty]]</f>
        <v>114.66666666666667</v>
      </c>
      <c r="G1451" s="5">
        <f t="shared" si="79"/>
        <v>45.333333333333329</v>
      </c>
      <c r="H1451" t="s">
        <v>359</v>
      </c>
      <c r="I1451" t="s">
        <v>392</v>
      </c>
    </row>
    <row r="1452" spans="1:9" x14ac:dyDescent="0.25">
      <c r="A1452" s="1">
        <f t="shared" si="80"/>
        <v>45511</v>
      </c>
      <c r="B1452" s="31">
        <f>TIME(12, 24, 0)</f>
        <v>0.51666666666666672</v>
      </c>
      <c r="C1452" t="str">
        <f>Inventory!A59</f>
        <v>coo</v>
      </c>
      <c r="D1452" s="27">
        <v>4</v>
      </c>
      <c r="E1452" s="5">
        <f>Table4[[#This Row],[qty]]*(VLOOKUP(Table4[[#This Row],[item_sold]],Table6[],4,FALSE))</f>
        <v>10</v>
      </c>
      <c r="F1452" s="5">
        <f>(VLOOKUP(Table4[[#This Row],[item_sold]],Table6[],3,FALSE))*Table4[[#This Row],[qty]]</f>
        <v>4.8</v>
      </c>
      <c r="G1452" s="5">
        <f t="shared" si="79"/>
        <v>5.2</v>
      </c>
      <c r="H1452" t="s">
        <v>361</v>
      </c>
    </row>
    <row r="1453" spans="1:9" x14ac:dyDescent="0.25">
      <c r="A1453" s="1">
        <f t="shared" si="80"/>
        <v>45511</v>
      </c>
      <c r="B1453" s="31">
        <f>TIME(12, 24, 0)</f>
        <v>0.51666666666666672</v>
      </c>
      <c r="C1453" t="str">
        <f>Inventory!A48</f>
        <v>Ginger Bisquit</v>
      </c>
      <c r="D1453" s="27">
        <v>4</v>
      </c>
      <c r="E1453" s="5">
        <f>Table4[[#This Row],[qty]]*(VLOOKUP(Table4[[#This Row],[item_sold]],Table6[],4,FALSE))</f>
        <v>20</v>
      </c>
      <c r="F1453" s="5">
        <f>(VLOOKUP(Table4[[#This Row],[item_sold]],Table6[],3,FALSE))*Table4[[#This Row],[qty]]</f>
        <v>17.333333333333332</v>
      </c>
      <c r="G1453" s="5">
        <f t="shared" si="79"/>
        <v>2.6666666666666679</v>
      </c>
      <c r="H1453" t="s">
        <v>247</v>
      </c>
    </row>
    <row r="1454" spans="1:9" x14ac:dyDescent="0.25">
      <c r="A1454" s="1">
        <f t="shared" si="80"/>
        <v>45511</v>
      </c>
      <c r="B1454" s="31">
        <f>TIME(12, 24, 0)</f>
        <v>0.51666666666666672</v>
      </c>
      <c r="C1454" t="str">
        <f>Inventory!A44</f>
        <v>Peanut Cookies</v>
      </c>
      <c r="D1454" s="27">
        <v>1</v>
      </c>
      <c r="E1454" s="5">
        <f>Table4[[#This Row],[qty]]*(VLOOKUP(Table4[[#This Row],[item_sold]],Table6[],4,FALSE))</f>
        <v>35</v>
      </c>
      <c r="F1454" s="5">
        <f>(VLOOKUP(Table4[[#This Row],[item_sold]],Table6[],3,FALSE))*Table4[[#This Row],[qty]]</f>
        <v>25</v>
      </c>
      <c r="G1454" s="5">
        <f t="shared" si="79"/>
        <v>10</v>
      </c>
      <c r="H1454" t="s">
        <v>247</v>
      </c>
    </row>
    <row r="1455" spans="1:9" x14ac:dyDescent="0.25">
      <c r="A1455" s="1">
        <f t="shared" si="80"/>
        <v>45511</v>
      </c>
      <c r="B1455" s="31">
        <f>TIME(12, 45, 0)</f>
        <v>0.53125</v>
      </c>
      <c r="C1455" t="str">
        <f>Inventory!A63</f>
        <v>Gomba</v>
      </c>
      <c r="D1455" s="27">
        <v>2</v>
      </c>
      <c r="E1455" s="5">
        <f>Table4[[#This Row],[qty]]*(VLOOKUP(Table4[[#This Row],[item_sold]],Table6[],4,FALSE))</f>
        <v>5</v>
      </c>
      <c r="F1455" s="5">
        <f>(VLOOKUP(Table4[[#This Row],[item_sold]],Table6[],3,FALSE))*Table4[[#This Row],[qty]]</f>
        <v>3.6</v>
      </c>
      <c r="G1455" s="5">
        <f t="shared" si="79"/>
        <v>1.4</v>
      </c>
      <c r="H1455" t="s">
        <v>247</v>
      </c>
    </row>
    <row r="1456" spans="1:9" x14ac:dyDescent="0.25">
      <c r="A1456" s="1">
        <f t="shared" si="80"/>
        <v>45511</v>
      </c>
      <c r="B1456" s="31">
        <f>TIME(12, 45, 0)</f>
        <v>0.53125</v>
      </c>
      <c r="C1456" t="str">
        <f>Inventory!A40</f>
        <v>Glucose 10g</v>
      </c>
      <c r="D1456" s="27">
        <v>1</v>
      </c>
      <c r="E1456" s="5">
        <f>Table4[[#This Row],[qty]]*(VLOOKUP(Table4[[#This Row],[item_sold]],Table6[],4,FALSE))</f>
        <v>5</v>
      </c>
      <c r="F1456" s="5">
        <f>(VLOOKUP(Table4[[#This Row],[item_sold]],Table6[],3,FALSE))*Table4[[#This Row],[qty]]</f>
        <v>3.75</v>
      </c>
      <c r="G1456" s="5">
        <f t="shared" si="79"/>
        <v>1.25</v>
      </c>
      <c r="H1456" t="s">
        <v>247</v>
      </c>
    </row>
    <row r="1457" spans="1:12" x14ac:dyDescent="0.25">
      <c r="A1457" s="1">
        <f t="shared" si="80"/>
        <v>45511</v>
      </c>
      <c r="B1457" s="31">
        <f>TIME(12, 45, 0)</f>
        <v>0.53125</v>
      </c>
      <c r="C1457" t="str">
        <f>Inventory!A31</f>
        <v>BB Bread 200g</v>
      </c>
      <c r="D1457" s="27">
        <v>1</v>
      </c>
      <c r="E1457" s="5">
        <f>Table4[[#This Row],[qty]]*(VLOOKUP(Table4[[#This Row],[item_sold]],Table6[],4,FALSE))</f>
        <v>40</v>
      </c>
      <c r="F1457" s="5">
        <f>(VLOOKUP(Table4[[#This Row],[item_sold]],Table6[],3,FALSE))*Table4[[#This Row],[qty]]</f>
        <v>35</v>
      </c>
      <c r="G1457" s="5">
        <f t="shared" si="79"/>
        <v>5</v>
      </c>
      <c r="H1457" t="s">
        <v>247</v>
      </c>
    </row>
    <row r="1458" spans="1:12" x14ac:dyDescent="0.25">
      <c r="A1458" s="1">
        <f t="shared" si="80"/>
        <v>45511</v>
      </c>
      <c r="B1458" s="31">
        <f>TIME(12, 52, 0)</f>
        <v>0.53611111111111109</v>
      </c>
      <c r="C1458" t="str">
        <f>Inventory!A132</f>
        <v>Festive Bread 400g</v>
      </c>
      <c r="D1458" s="27">
        <v>1</v>
      </c>
      <c r="E1458" s="5">
        <f>Table4[[#This Row],[qty]]*(VLOOKUP(Table4[[#This Row],[item_sold]],Table6[],4,FALSE))</f>
        <v>65</v>
      </c>
      <c r="F1458" s="5">
        <f>(VLOOKUP(Table4[[#This Row],[item_sold]],Table6[],3,FALSE))*Table4[[#This Row],[qty]]</f>
        <v>60</v>
      </c>
      <c r="G1458" s="5">
        <f t="shared" si="79"/>
        <v>5</v>
      </c>
      <c r="H1458" t="s">
        <v>361</v>
      </c>
    </row>
    <row r="1459" spans="1:12" x14ac:dyDescent="0.25">
      <c r="A1459" s="1">
        <f t="shared" si="80"/>
        <v>45511</v>
      </c>
      <c r="B1459" s="31">
        <f>TIME(12, 52, 0)</f>
        <v>0.53611111111111109</v>
      </c>
      <c r="C1459" t="str">
        <f>Inventory!A81</f>
        <v>eggs</v>
      </c>
      <c r="D1459" s="27">
        <v>3</v>
      </c>
      <c r="E1459" s="5">
        <f>Table4[[#This Row],[qty]]*(VLOOKUP(Table4[[#This Row],[item_sold]],Table6[],4,FALSE))</f>
        <v>60</v>
      </c>
      <c r="F1459" s="5">
        <f>(VLOOKUP(Table4[[#This Row],[item_sold]],Table6[],3,FALSE))*Table4[[#This Row],[qty]]</f>
        <v>43</v>
      </c>
      <c r="G1459" s="5">
        <f t="shared" si="79"/>
        <v>17</v>
      </c>
      <c r="H1459" t="s">
        <v>361</v>
      </c>
    </row>
    <row r="1460" spans="1:12" x14ac:dyDescent="0.25">
      <c r="A1460" s="1">
        <f t="shared" si="80"/>
        <v>45511</v>
      </c>
      <c r="B1460" s="31">
        <f>TIME(12, 54, 0)</f>
        <v>0.53749999999999998</v>
      </c>
      <c r="C1460" t="str">
        <f>Inventory!A12</f>
        <v>predator</v>
      </c>
      <c r="D1460" s="27">
        <v>1</v>
      </c>
      <c r="E1460" s="5">
        <f>Table4[[#This Row],[qty]]*(VLOOKUP(Table4[[#This Row],[item_sold]],Table6[],4,FALSE))</f>
        <v>70</v>
      </c>
      <c r="F1460" s="5">
        <f>(VLOOKUP(Table4[[#This Row],[item_sold]],Table6[],3,FALSE))*Table4[[#This Row],[qty]]</f>
        <v>54.166666666666664</v>
      </c>
      <c r="G1460" s="5">
        <f t="shared" si="79"/>
        <v>15.833333333333336</v>
      </c>
      <c r="H1460" t="s">
        <v>247</v>
      </c>
    </row>
    <row r="1461" spans="1:12" x14ac:dyDescent="0.25">
      <c r="A1461" s="1">
        <f t="shared" si="80"/>
        <v>45511</v>
      </c>
      <c r="B1461" s="31">
        <f>TIME(13, 1, 0)</f>
        <v>0.54236111111111118</v>
      </c>
      <c r="C1461" t="str">
        <f>Inventory!A23</f>
        <v>Mt kenya milk 500ml</v>
      </c>
      <c r="D1461" s="27">
        <v>4</v>
      </c>
      <c r="E1461" s="5">
        <f>Table4[[#This Row],[qty]]*(VLOOKUP(Table4[[#This Row],[item_sold]],Table6[],4,FALSE))</f>
        <v>260</v>
      </c>
      <c r="F1461" s="5">
        <f>(VLOOKUP(Table4[[#This Row],[item_sold]],Table6[],3,FALSE))*Table4[[#This Row],[qty]]</f>
        <v>193.33333333333334</v>
      </c>
      <c r="G1461" s="5">
        <f t="shared" si="79"/>
        <v>66.666666666666657</v>
      </c>
      <c r="H1461" t="s">
        <v>361</v>
      </c>
    </row>
    <row r="1462" spans="1:12" x14ac:dyDescent="0.25">
      <c r="A1462" s="1">
        <f t="shared" si="80"/>
        <v>45511</v>
      </c>
      <c r="B1462" s="31">
        <f>TIME(13, 1, 0)</f>
        <v>0.54236111111111118</v>
      </c>
      <c r="C1462" t="str">
        <f>Inventory!A33</f>
        <v>Festive 800g</v>
      </c>
      <c r="D1462" s="27">
        <v>1</v>
      </c>
      <c r="E1462" s="5">
        <f>Table4[[#This Row],[qty]]*(VLOOKUP(Table4[[#This Row],[item_sold]],Table6[],4,FALSE))</f>
        <v>130</v>
      </c>
      <c r="F1462" s="5">
        <f>(VLOOKUP(Table4[[#This Row],[item_sold]],Table6[],3,FALSE))*Table4[[#This Row],[qty]]</f>
        <v>120</v>
      </c>
      <c r="G1462" s="5">
        <f t="shared" si="79"/>
        <v>10</v>
      </c>
      <c r="H1462" t="s">
        <v>361</v>
      </c>
    </row>
    <row r="1463" spans="1:12" x14ac:dyDescent="0.25">
      <c r="A1463" s="1">
        <f t="shared" si="80"/>
        <v>45511</v>
      </c>
      <c r="B1463" s="31">
        <f>TIME(13, 1, 0)</f>
        <v>0.54236111111111118</v>
      </c>
      <c r="C1463" t="str">
        <f>Inventory!A49</f>
        <v>Half pound cake</v>
      </c>
      <c r="D1463" s="27">
        <v>1</v>
      </c>
      <c r="E1463" s="5">
        <f>Table4[[#This Row],[qty]]*(VLOOKUP(Table4[[#This Row],[item_sold]],Table6[],4,FALSE))</f>
        <v>100</v>
      </c>
      <c r="F1463" s="5">
        <f>(VLOOKUP(Table4[[#This Row],[item_sold]],Table6[],3,FALSE))*Table4[[#This Row],[qty]]</f>
        <v>90</v>
      </c>
      <c r="G1463" s="5">
        <f t="shared" si="79"/>
        <v>10</v>
      </c>
      <c r="H1463" t="s">
        <v>361</v>
      </c>
    </row>
    <row r="1464" spans="1:12" x14ac:dyDescent="0.25">
      <c r="A1464" s="1">
        <f t="shared" si="80"/>
        <v>45511</v>
      </c>
      <c r="B1464" s="31">
        <f>TIME(13, 1, 0)</f>
        <v>0.54236111111111118</v>
      </c>
      <c r="C1464" t="str">
        <f>Inventory!A14</f>
        <v>soda 500ml glass</v>
      </c>
      <c r="D1464" s="27">
        <v>1</v>
      </c>
      <c r="E1464" s="5">
        <f>Table4[[#This Row],[qty]]*(VLOOKUP(Table4[[#This Row],[item_sold]],Table6[],4,FALSE))</f>
        <v>55</v>
      </c>
      <c r="F1464" s="5">
        <f>(VLOOKUP(Table4[[#This Row],[item_sold]],Table6[],3,FALSE))*Table4[[#This Row],[qty]]</f>
        <v>50</v>
      </c>
      <c r="G1464" s="5">
        <f t="shared" si="79"/>
        <v>5</v>
      </c>
      <c r="H1464" t="s">
        <v>361</v>
      </c>
    </row>
    <row r="1465" spans="1:12" x14ac:dyDescent="0.25">
      <c r="A1465" s="1">
        <f t="shared" si="80"/>
        <v>45511</v>
      </c>
      <c r="B1465" s="31">
        <f>TIME(13, 1, 0)</f>
        <v>0.54236111111111118</v>
      </c>
      <c r="D1465" s="27"/>
      <c r="F1465" s="5"/>
      <c r="J1465" t="s">
        <v>386</v>
      </c>
      <c r="K1465">
        <v>220</v>
      </c>
      <c r="L1465" t="s">
        <v>361</v>
      </c>
    </row>
    <row r="1466" spans="1:12" x14ac:dyDescent="0.25">
      <c r="A1466" s="1">
        <f t="shared" si="80"/>
        <v>45511</v>
      </c>
      <c r="B1466" s="31">
        <f>TIME(13, 5, 0)</f>
        <v>0.54513888888888895</v>
      </c>
      <c r="C1466" t="str">
        <f>Inventory!A13</f>
        <v>soda 300ml glass</v>
      </c>
      <c r="D1466" s="27">
        <v>1</v>
      </c>
      <c r="E1466" s="5">
        <f>Table4[[#This Row],[qty]]*(VLOOKUP(Table4[[#This Row],[item_sold]],Table6[],4,FALSE))</f>
        <v>40</v>
      </c>
      <c r="F1466" s="5">
        <f>(VLOOKUP(Table4[[#This Row],[item_sold]],Table6[],3,FALSE))*Table4[[#This Row],[qty]]</f>
        <v>32.5</v>
      </c>
      <c r="G1466" s="5">
        <f t="shared" si="79"/>
        <v>7.5</v>
      </c>
      <c r="H1466" t="s">
        <v>359</v>
      </c>
      <c r="I1466" t="s">
        <v>419</v>
      </c>
    </row>
    <row r="1467" spans="1:12" x14ac:dyDescent="0.25">
      <c r="A1467" s="1">
        <f t="shared" si="80"/>
        <v>45511</v>
      </c>
      <c r="B1467" s="31">
        <f>TIME(13, 5, 0)</f>
        <v>0.54513888888888895</v>
      </c>
      <c r="C1467" t="str">
        <f>Inventory!A48</f>
        <v>Ginger Bisquit</v>
      </c>
      <c r="D1467" s="27">
        <v>6</v>
      </c>
      <c r="E1467" s="5">
        <f>Table4[[#This Row],[qty]]*(VLOOKUP(Table4[[#This Row],[item_sold]],Table6[],4,FALSE))</f>
        <v>30</v>
      </c>
      <c r="F1467" s="5">
        <f>(VLOOKUP(Table4[[#This Row],[item_sold]],Table6[],3,FALSE))*Table4[[#This Row],[qty]]</f>
        <v>26</v>
      </c>
      <c r="G1467" s="5">
        <f t="shared" si="79"/>
        <v>4</v>
      </c>
      <c r="H1467" t="s">
        <v>359</v>
      </c>
      <c r="I1467" t="s">
        <v>419</v>
      </c>
    </row>
    <row r="1468" spans="1:12" x14ac:dyDescent="0.25">
      <c r="A1468" s="1">
        <f t="shared" si="80"/>
        <v>45511</v>
      </c>
      <c r="B1468" s="31">
        <f>TIME(13, 5, 0)</f>
        <v>0.54513888888888895</v>
      </c>
      <c r="C1468" t="str">
        <f>Inventory!A46</f>
        <v>Nuvita Bisquit</v>
      </c>
      <c r="D1468" s="27">
        <v>2</v>
      </c>
      <c r="E1468" s="5">
        <f>Table4[[#This Row],[qty]]*(VLOOKUP(Table4[[#This Row],[item_sold]],Table6[],4,FALSE))</f>
        <v>10</v>
      </c>
      <c r="F1468" s="5">
        <f>(VLOOKUP(Table4[[#This Row],[item_sold]],Table6[],3,FALSE))*Table4[[#This Row],[qty]]</f>
        <v>8.3333333333333339</v>
      </c>
      <c r="G1468" s="5">
        <f t="shared" si="79"/>
        <v>1.6666666666666661</v>
      </c>
      <c r="H1468" t="s">
        <v>359</v>
      </c>
      <c r="I1468" t="s">
        <v>419</v>
      </c>
    </row>
    <row r="1469" spans="1:12" x14ac:dyDescent="0.25">
      <c r="A1469" s="1">
        <f t="shared" si="80"/>
        <v>45511</v>
      </c>
      <c r="B1469" s="31">
        <f>TIME(13, 15, 0)</f>
        <v>0.55208333333333337</v>
      </c>
      <c r="C1469" t="str">
        <f>Inventory!A61</f>
        <v>Bigdaddy</v>
      </c>
      <c r="D1469" s="27">
        <v>2</v>
      </c>
      <c r="E1469" s="5">
        <f>Table4[[#This Row],[qty]]*(VLOOKUP(Table4[[#This Row],[item_sold]],Table6[],4,FALSE))</f>
        <v>20</v>
      </c>
      <c r="F1469" s="5">
        <f>(VLOOKUP(Table4[[#This Row],[item_sold]],Table6[],3,FALSE))*Table4[[#This Row],[qty]]</f>
        <v>12</v>
      </c>
      <c r="G1469" s="5">
        <f t="shared" si="79"/>
        <v>8</v>
      </c>
      <c r="H1469" t="s">
        <v>247</v>
      </c>
    </row>
    <row r="1470" spans="1:12" x14ac:dyDescent="0.25">
      <c r="A1470" s="1">
        <f t="shared" si="80"/>
        <v>45511</v>
      </c>
      <c r="B1470" s="31">
        <f>TIME(13, 15, 0)</f>
        <v>0.55208333333333337</v>
      </c>
      <c r="C1470" t="str">
        <f>Inventory!A40</f>
        <v>Glucose 10g</v>
      </c>
      <c r="D1470" s="27">
        <v>2</v>
      </c>
      <c r="E1470" s="5">
        <f>Table4[[#This Row],[qty]]*(VLOOKUP(Table4[[#This Row],[item_sold]],Table6[],4,FALSE))</f>
        <v>10</v>
      </c>
      <c r="F1470" s="5">
        <f>(VLOOKUP(Table4[[#This Row],[item_sold]],Table6[],3,FALSE))*Table4[[#This Row],[qty]]</f>
        <v>7.5</v>
      </c>
      <c r="G1470" s="5">
        <f t="shared" si="79"/>
        <v>2.5</v>
      </c>
      <c r="H1470" t="s">
        <v>247</v>
      </c>
    </row>
    <row r="1471" spans="1:12" x14ac:dyDescent="0.25">
      <c r="A1471" s="1">
        <f t="shared" si="80"/>
        <v>45511</v>
      </c>
      <c r="B1471" s="31">
        <f>TIME(13, 15, 0)</f>
        <v>0.55208333333333337</v>
      </c>
      <c r="C1471" t="str">
        <f>Inventory!A60</f>
        <v>Lollipop</v>
      </c>
      <c r="D1471" s="27">
        <v>2</v>
      </c>
      <c r="E1471" s="5">
        <f>Table4[[#This Row],[qty]]*(VLOOKUP(Table4[[#This Row],[item_sold]],Table6[],4,FALSE))</f>
        <v>10</v>
      </c>
      <c r="F1471" s="5">
        <f>(VLOOKUP(Table4[[#This Row],[item_sold]],Table6[],3,FALSE))*Table4[[#This Row],[qty]]</f>
        <v>4.8</v>
      </c>
      <c r="G1471" s="5">
        <f t="shared" si="79"/>
        <v>5.2</v>
      </c>
      <c r="H1471" t="s">
        <v>247</v>
      </c>
    </row>
    <row r="1472" spans="1:12" x14ac:dyDescent="0.25">
      <c r="A1472" s="1">
        <f t="shared" si="80"/>
        <v>45511</v>
      </c>
      <c r="B1472" s="31">
        <f>TIME(13, 40, 0)</f>
        <v>0.56944444444444442</v>
      </c>
      <c r="C1472" t="str">
        <f>Inventory!A194</f>
        <v>funtime snacks</v>
      </c>
      <c r="D1472" s="27">
        <v>1</v>
      </c>
      <c r="E1472" s="5">
        <f>Table4[[#This Row],[qty]]*(VLOOKUP(Table4[[#This Row],[item_sold]],Table6[],4,FALSE))</f>
        <v>15</v>
      </c>
      <c r="F1472" s="5">
        <f>(VLOOKUP(Table4[[#This Row],[item_sold]],Table6[],3,FALSE))*Table4[[#This Row],[qty]]</f>
        <v>9</v>
      </c>
      <c r="G1472" s="5">
        <f t="shared" si="79"/>
        <v>6</v>
      </c>
      <c r="H1472" t="s">
        <v>247</v>
      </c>
    </row>
    <row r="1473" spans="1:12" x14ac:dyDescent="0.25">
      <c r="A1473" s="1">
        <f t="shared" si="80"/>
        <v>45511</v>
      </c>
      <c r="B1473" s="31">
        <f>TIME(13, 40, 0)</f>
        <v>0.56944444444444442</v>
      </c>
      <c r="C1473" t="str">
        <f>Inventory!A68</f>
        <v>scooter cans</v>
      </c>
      <c r="D1473" s="27">
        <v>1</v>
      </c>
      <c r="E1473" s="5">
        <f>Table4[[#This Row],[qty]]*(VLOOKUP(Table4[[#This Row],[item_sold]],Table6[],4,FALSE))</f>
        <v>20</v>
      </c>
      <c r="F1473" s="5">
        <f>(VLOOKUP(Table4[[#This Row],[item_sold]],Table6[],3,FALSE))*Table4[[#This Row],[qty]]</f>
        <v>15</v>
      </c>
      <c r="G1473" s="5">
        <f t="shared" si="79"/>
        <v>5</v>
      </c>
      <c r="H1473" t="s">
        <v>247</v>
      </c>
    </row>
    <row r="1474" spans="1:12" x14ac:dyDescent="0.25">
      <c r="A1474" s="1">
        <f t="shared" si="80"/>
        <v>45511</v>
      </c>
      <c r="B1474" s="31">
        <f>TIME(13, 40, 0)</f>
        <v>0.56944444444444442</v>
      </c>
      <c r="C1474" t="str">
        <f>Inventory!A61</f>
        <v>Bigdaddy</v>
      </c>
      <c r="D1474" s="27">
        <v>1</v>
      </c>
      <c r="E1474" s="5">
        <f>Table4[[#This Row],[qty]]*(VLOOKUP(Table4[[#This Row],[item_sold]],Table6[],4,FALSE))</f>
        <v>10</v>
      </c>
      <c r="F1474" s="5">
        <f>(VLOOKUP(Table4[[#This Row],[item_sold]],Table6[],3,FALSE))*Table4[[#This Row],[qty]]</f>
        <v>6</v>
      </c>
      <c r="G1474" s="5">
        <f t="shared" si="79"/>
        <v>4</v>
      </c>
      <c r="H1474" t="s">
        <v>247</v>
      </c>
    </row>
    <row r="1475" spans="1:12" x14ac:dyDescent="0.25">
      <c r="A1475" s="1">
        <f t="shared" si="80"/>
        <v>45511</v>
      </c>
      <c r="B1475" s="31">
        <f>TIME(13, 40, 0)</f>
        <v>0.56944444444444442</v>
      </c>
      <c r="C1475" t="str">
        <f>Inventory!A60</f>
        <v>Lollipop</v>
      </c>
      <c r="D1475" s="27">
        <v>1</v>
      </c>
      <c r="E1475" s="5">
        <f>Table4[[#This Row],[qty]]*(VLOOKUP(Table4[[#This Row],[item_sold]],Table6[],4,FALSE))</f>
        <v>5</v>
      </c>
      <c r="F1475" s="5">
        <f>(VLOOKUP(Table4[[#This Row],[item_sold]],Table6[],3,FALSE))*Table4[[#This Row],[qty]]</f>
        <v>2.4</v>
      </c>
      <c r="G1475" s="5">
        <f>E1475-F1475</f>
        <v>2.6</v>
      </c>
      <c r="H1475" t="s">
        <v>247</v>
      </c>
    </row>
    <row r="1476" spans="1:12" x14ac:dyDescent="0.25">
      <c r="A1476" s="1">
        <f t="shared" si="80"/>
        <v>45511</v>
      </c>
      <c r="B1476" s="31">
        <f>TIME(13, 50, 0)</f>
        <v>0.57638888888888895</v>
      </c>
      <c r="C1476" t="str">
        <f>Inventory!A38</f>
        <v>T.Heat Potato crisps salted 25g</v>
      </c>
      <c r="D1476" s="27">
        <v>1</v>
      </c>
      <c r="E1476" s="5">
        <f>Table4[[#This Row],[qty]]*(VLOOKUP(Table4[[#This Row],[item_sold]],Table6[],4,FALSE))</f>
        <v>30</v>
      </c>
      <c r="F1476" s="5">
        <f>(VLOOKUP(Table4[[#This Row],[item_sold]],Table6[],3,FALSE))*Table4[[#This Row],[qty]]</f>
        <v>22.916666666666668</v>
      </c>
      <c r="G1476" s="5">
        <f t="shared" ref="G1476:G1510" si="81">E1476-F1476</f>
        <v>7.0833333333333321</v>
      </c>
      <c r="H1476" t="s">
        <v>247</v>
      </c>
    </row>
    <row r="1477" spans="1:12" x14ac:dyDescent="0.25">
      <c r="A1477" s="1">
        <f t="shared" si="80"/>
        <v>45511</v>
      </c>
      <c r="B1477" s="31">
        <f>TIME(13, 55, 0)</f>
        <v>0.57986111111111105</v>
      </c>
      <c r="C1477" t="str">
        <f>Inventory!A38</f>
        <v>T.Heat Potato crisps salted 25g</v>
      </c>
      <c r="D1477" s="27">
        <v>1</v>
      </c>
      <c r="E1477" s="5">
        <f>Table4[[#This Row],[qty]]*(VLOOKUP(Table4[[#This Row],[item_sold]],Table6[],4,FALSE))</f>
        <v>30</v>
      </c>
      <c r="F1477" s="5">
        <f>(VLOOKUP(Table4[[#This Row],[item_sold]],Table6[],3,FALSE))*Table4[[#This Row],[qty]]</f>
        <v>22.916666666666668</v>
      </c>
      <c r="G1477" s="5">
        <f t="shared" si="81"/>
        <v>7.0833333333333321</v>
      </c>
      <c r="H1477" t="s">
        <v>247</v>
      </c>
    </row>
    <row r="1478" spans="1:12" x14ac:dyDescent="0.25">
      <c r="A1478" s="1">
        <f t="shared" si="80"/>
        <v>45511</v>
      </c>
      <c r="B1478" s="31">
        <f>TIME(13, 55, 0)</f>
        <v>0.57986111111111105</v>
      </c>
      <c r="C1478" t="str">
        <f>Inventory!A194</f>
        <v>funtime snacks</v>
      </c>
      <c r="D1478" s="27">
        <v>2</v>
      </c>
      <c r="E1478" s="5">
        <f>Table4[[#This Row],[qty]]*(VLOOKUP(Table4[[#This Row],[item_sold]],Table6[],4,FALSE))</f>
        <v>30</v>
      </c>
      <c r="F1478" s="5">
        <f>(VLOOKUP(Table4[[#This Row],[item_sold]],Table6[],3,FALSE))*Table4[[#This Row],[qty]]</f>
        <v>18</v>
      </c>
      <c r="G1478" s="5">
        <f t="shared" si="81"/>
        <v>12</v>
      </c>
      <c r="H1478" t="s">
        <v>247</v>
      </c>
    </row>
    <row r="1479" spans="1:12" x14ac:dyDescent="0.25">
      <c r="A1479" s="1">
        <f t="shared" si="80"/>
        <v>45511</v>
      </c>
      <c r="B1479" s="31">
        <f>TIME(14, 10, 0)</f>
        <v>0.59027777777777779</v>
      </c>
      <c r="C1479" t="str">
        <f>Inventory!A115</f>
        <v>Onion</v>
      </c>
      <c r="D1479" s="27">
        <v>5</v>
      </c>
      <c r="E1479" s="5">
        <f>Table4[[#This Row],[qty]]*(VLOOKUP(Table4[[#This Row],[item_sold]],Table6[],4,FALSE))</f>
        <v>50</v>
      </c>
      <c r="F1479" s="5">
        <f>(VLOOKUP(Table4[[#This Row],[item_sold]],Table6[],3,FALSE))*Table4[[#This Row],[qty]]</f>
        <v>40</v>
      </c>
      <c r="G1479" s="5">
        <f t="shared" si="81"/>
        <v>10</v>
      </c>
      <c r="H1479" t="s">
        <v>247</v>
      </c>
    </row>
    <row r="1480" spans="1:12" x14ac:dyDescent="0.25">
      <c r="A1480" s="1">
        <f t="shared" si="80"/>
        <v>45511</v>
      </c>
      <c r="B1480" s="31">
        <f>TIME(14, 10, 0)</f>
        <v>0.59027777777777779</v>
      </c>
      <c r="C1480" t="str">
        <f>Inventory!A61</f>
        <v>Bigdaddy</v>
      </c>
      <c r="D1480" s="27">
        <v>1</v>
      </c>
      <c r="E1480" s="5">
        <f>Table4[[#This Row],[qty]]*(VLOOKUP(Table4[[#This Row],[item_sold]],Table6[],4,FALSE))</f>
        <v>10</v>
      </c>
      <c r="F1480" s="5">
        <f>(VLOOKUP(Table4[[#This Row],[item_sold]],Table6[],3,FALSE))*Table4[[#This Row],[qty]]</f>
        <v>6</v>
      </c>
      <c r="G1480" s="5">
        <f t="shared" si="81"/>
        <v>4</v>
      </c>
      <c r="H1480" t="s">
        <v>247</v>
      </c>
    </row>
    <row r="1481" spans="1:12" x14ac:dyDescent="0.25">
      <c r="A1481" s="1">
        <f t="shared" si="80"/>
        <v>45511</v>
      </c>
      <c r="B1481" s="31">
        <f>TIME(14, 10, 0)</f>
        <v>0.59027777777777779</v>
      </c>
      <c r="C1481" t="str">
        <f>Inventory!A188</f>
        <v>pens</v>
      </c>
      <c r="D1481" s="27">
        <v>1</v>
      </c>
      <c r="E1481" s="5">
        <f>Table4[[#This Row],[qty]]*(VLOOKUP(Table4[[#This Row],[item_sold]],Table6[],4,FALSE))</f>
        <v>10</v>
      </c>
      <c r="F1481" s="5">
        <f>(VLOOKUP(Table4[[#This Row],[item_sold]],Table6[],3,FALSE))*Table4[[#This Row],[qty]]</f>
        <v>6</v>
      </c>
      <c r="G1481" s="5">
        <f t="shared" si="81"/>
        <v>4</v>
      </c>
      <c r="H1481" t="s">
        <v>247</v>
      </c>
    </row>
    <row r="1482" spans="1:12" x14ac:dyDescent="0.25">
      <c r="A1482" s="1">
        <f t="shared" si="80"/>
        <v>45511</v>
      </c>
      <c r="B1482" s="31">
        <f>TIME(14, 10, 0)</f>
        <v>0.59027777777777779</v>
      </c>
      <c r="C1482" t="str">
        <f>Inventory!A149</f>
        <v>Menengai Bar 1kg</v>
      </c>
      <c r="D1482" s="27">
        <v>0.2</v>
      </c>
      <c r="E1482" s="5">
        <f>Table4[[#This Row],[qty]]*(VLOOKUP(Table4[[#This Row],[item_sold]],Table6[],4,FALSE))</f>
        <v>50</v>
      </c>
      <c r="F1482" s="5">
        <f>(VLOOKUP(Table4[[#This Row],[item_sold]],Table6[],3,FALSE))*Table4[[#This Row],[qty]]</f>
        <v>38</v>
      </c>
      <c r="G1482" s="5">
        <f t="shared" si="81"/>
        <v>12</v>
      </c>
      <c r="H1482" t="s">
        <v>247</v>
      </c>
    </row>
    <row r="1483" spans="1:12" x14ac:dyDescent="0.25">
      <c r="A1483" s="1">
        <f t="shared" si="80"/>
        <v>45511</v>
      </c>
      <c r="B1483" s="31">
        <f>TIME(14, 12, 0)</f>
        <v>0.59166666666666667</v>
      </c>
      <c r="D1483" s="27"/>
      <c r="F1483" s="5"/>
      <c r="J1483" t="s">
        <v>419</v>
      </c>
      <c r="K1483">
        <v>120</v>
      </c>
      <c r="L1483" t="s">
        <v>247</v>
      </c>
    </row>
    <row r="1484" spans="1:12" x14ac:dyDescent="0.25">
      <c r="A1484" s="1">
        <f t="shared" si="80"/>
        <v>45511</v>
      </c>
      <c r="B1484" s="31">
        <f>TIME(14, 17, 0)</f>
        <v>0.59513888888888888</v>
      </c>
      <c r="C1484" t="str">
        <f>Inventory!A14</f>
        <v>soda 500ml glass</v>
      </c>
      <c r="D1484" s="27">
        <v>1</v>
      </c>
      <c r="E1484" s="5">
        <f>Table4[[#This Row],[qty]]*(VLOOKUP(Table4[[#This Row],[item_sold]],Table6[],4,FALSE))</f>
        <v>55</v>
      </c>
      <c r="F1484" s="5">
        <f>(VLOOKUP(Table4[[#This Row],[item_sold]],Table6[],3,FALSE))*Table4[[#This Row],[qty]]</f>
        <v>50</v>
      </c>
      <c r="G1484" s="5">
        <f t="shared" si="81"/>
        <v>5</v>
      </c>
      <c r="H1484" t="s">
        <v>359</v>
      </c>
      <c r="I1484" t="s">
        <v>401</v>
      </c>
    </row>
    <row r="1485" spans="1:12" x14ac:dyDescent="0.25">
      <c r="A1485" s="1">
        <f t="shared" si="80"/>
        <v>45511</v>
      </c>
      <c r="B1485" s="31">
        <f>TIME(14, 17, 0)</f>
        <v>0.59513888888888888</v>
      </c>
      <c r="C1485" t="str">
        <f>Inventory!A31</f>
        <v>BB Bread 200g</v>
      </c>
      <c r="D1485" s="27">
        <v>1</v>
      </c>
      <c r="E1485" s="5">
        <f>Table4[[#This Row],[qty]]*(VLOOKUP(Table4[[#This Row],[item_sold]],Table6[],4,FALSE))</f>
        <v>40</v>
      </c>
      <c r="F1485" s="5">
        <f>(VLOOKUP(Table4[[#This Row],[item_sold]],Table6[],3,FALSE))*Table4[[#This Row],[qty]]</f>
        <v>35</v>
      </c>
      <c r="G1485" s="5">
        <f t="shared" si="81"/>
        <v>5</v>
      </c>
      <c r="H1485" t="s">
        <v>359</v>
      </c>
      <c r="I1485" t="s">
        <v>401</v>
      </c>
    </row>
    <row r="1486" spans="1:12" x14ac:dyDescent="0.25">
      <c r="A1486" s="1">
        <f t="shared" si="80"/>
        <v>45511</v>
      </c>
      <c r="B1486" s="31">
        <f>TIME(14, 20, 0)</f>
        <v>0.59722222222222221</v>
      </c>
      <c r="C1486" t="str">
        <f>Inventory!A195</f>
        <v>Tropical heat crisps 50g</v>
      </c>
      <c r="D1486" s="27">
        <v>1</v>
      </c>
      <c r="E1486" s="5">
        <f>Table4[[#This Row],[qty]]*(VLOOKUP(Table4[[#This Row],[item_sold]],Table6[],4,FALSE))</f>
        <v>70</v>
      </c>
      <c r="F1486" s="5">
        <f>(VLOOKUP(Table4[[#This Row],[item_sold]],Table6[],3,FALSE))*Table4[[#This Row],[qty]]</f>
        <v>50</v>
      </c>
      <c r="G1486" s="5">
        <f t="shared" si="81"/>
        <v>20</v>
      </c>
      <c r="H1486" t="s">
        <v>247</v>
      </c>
    </row>
    <row r="1487" spans="1:12" x14ac:dyDescent="0.25">
      <c r="A1487" s="1">
        <f t="shared" si="80"/>
        <v>45511</v>
      </c>
      <c r="B1487" s="31">
        <f>TIME(14, 25, 0)</f>
        <v>0.60069444444444442</v>
      </c>
      <c r="C1487" t="str">
        <f>Inventory!A14</f>
        <v>soda 500ml glass</v>
      </c>
      <c r="D1487" s="27">
        <v>1</v>
      </c>
      <c r="E1487" s="5">
        <f>Table4[[#This Row],[qty]]*(VLOOKUP(Table4[[#This Row],[item_sold]],Table6[],4,FALSE))</f>
        <v>55</v>
      </c>
      <c r="F1487" s="5">
        <f>(VLOOKUP(Table4[[#This Row],[item_sold]],Table6[],3,FALSE))*Table4[[#This Row],[qty]]</f>
        <v>50</v>
      </c>
      <c r="G1487" s="5">
        <f t="shared" si="81"/>
        <v>5</v>
      </c>
      <c r="H1487" t="s">
        <v>247</v>
      </c>
    </row>
    <row r="1488" spans="1:12" x14ac:dyDescent="0.25">
      <c r="A1488" s="1">
        <f t="shared" si="80"/>
        <v>45511</v>
      </c>
      <c r="B1488" s="31">
        <f>TIME(14, 25, 0)</f>
        <v>0.60069444444444442</v>
      </c>
      <c r="C1488" t="str">
        <f>Inventory!A50</f>
        <v>Ring Cake</v>
      </c>
      <c r="D1488" s="27">
        <v>1</v>
      </c>
      <c r="E1488" s="5">
        <f>Table4[[#This Row],[qty]]*(VLOOKUP(Table4[[#This Row],[item_sold]],Table6[],4,FALSE))</f>
        <v>50</v>
      </c>
      <c r="F1488" s="5">
        <f>(VLOOKUP(Table4[[#This Row],[item_sold]],Table6[],3,FALSE))*Table4[[#This Row],[qty]]</f>
        <v>45</v>
      </c>
      <c r="G1488" s="5">
        <f t="shared" si="81"/>
        <v>5</v>
      </c>
      <c r="H1488" t="s">
        <v>247</v>
      </c>
    </row>
    <row r="1489" spans="1:9" x14ac:dyDescent="0.25">
      <c r="A1489" s="1">
        <f t="shared" si="80"/>
        <v>45511</v>
      </c>
      <c r="B1489" s="31">
        <f>TIME(14, 25, 0)</f>
        <v>0.60069444444444442</v>
      </c>
      <c r="C1489" t="str">
        <f>Inventory!A65</f>
        <v>Tropical</v>
      </c>
      <c r="D1489" s="27">
        <v>4</v>
      </c>
      <c r="E1489" s="5">
        <f>Table4[[#This Row],[qty]]*(VLOOKUP(Table4[[#This Row],[item_sold]],Table6[],4,FALSE))</f>
        <v>20</v>
      </c>
      <c r="F1489" s="5">
        <f>(VLOOKUP(Table4[[#This Row],[item_sold]],Table6[],3,FALSE))*Table4[[#This Row],[qty]]</f>
        <v>6</v>
      </c>
      <c r="G1489" s="5">
        <f t="shared" si="81"/>
        <v>14</v>
      </c>
      <c r="H1489" t="s">
        <v>247</v>
      </c>
    </row>
    <row r="1490" spans="1:9" x14ac:dyDescent="0.25">
      <c r="A1490" s="1">
        <f t="shared" si="80"/>
        <v>45511</v>
      </c>
      <c r="B1490" s="31">
        <f>TIME(14, 30, 0)</f>
        <v>0.60416666666666663</v>
      </c>
      <c r="C1490" t="str">
        <f>Inventory!A65</f>
        <v>Tropical</v>
      </c>
      <c r="D1490" s="27">
        <v>2</v>
      </c>
      <c r="E1490" s="5">
        <f>Table4[[#This Row],[qty]]*(VLOOKUP(Table4[[#This Row],[item_sold]],Table6[],4,FALSE))</f>
        <v>10</v>
      </c>
      <c r="F1490" s="5">
        <f>(VLOOKUP(Table4[[#This Row],[item_sold]],Table6[],3,FALSE))*Table4[[#This Row],[qty]]</f>
        <v>3</v>
      </c>
      <c r="G1490" s="5">
        <f t="shared" si="81"/>
        <v>7</v>
      </c>
      <c r="H1490" t="s">
        <v>247</v>
      </c>
    </row>
    <row r="1491" spans="1:9" x14ac:dyDescent="0.25">
      <c r="A1491" s="1">
        <f t="shared" si="80"/>
        <v>45511</v>
      </c>
      <c r="B1491" s="31">
        <f>TIME(14, 30, 0)</f>
        <v>0.60416666666666663</v>
      </c>
      <c r="C1491" t="str">
        <f>Inventory!A8</f>
        <v>soda 350ml plastic</v>
      </c>
      <c r="D1491" s="27">
        <v>1</v>
      </c>
      <c r="E1491" s="5">
        <f>Table4[[#This Row],[qty]]*(VLOOKUP(Table4[[#This Row],[item_sold]],Table6[],4,FALSE))</f>
        <v>50</v>
      </c>
      <c r="F1491" s="5">
        <f>(VLOOKUP(Table4[[#This Row],[item_sold]],Table6[],3,FALSE))*Table4[[#This Row],[qty]]</f>
        <v>41.666666666666664</v>
      </c>
      <c r="G1491" s="5">
        <f t="shared" si="81"/>
        <v>8.3333333333333357</v>
      </c>
      <c r="H1491" t="s">
        <v>247</v>
      </c>
    </row>
    <row r="1492" spans="1:9" x14ac:dyDescent="0.25">
      <c r="A1492" s="1">
        <f t="shared" si="80"/>
        <v>45511</v>
      </c>
      <c r="B1492" s="31">
        <f>TIME(14, 30, 0)</f>
        <v>0.60416666666666663</v>
      </c>
      <c r="C1492" t="str">
        <f>Inventory!A49</f>
        <v>Half pound cake</v>
      </c>
      <c r="D1492" s="27">
        <v>1</v>
      </c>
      <c r="E1492" s="5">
        <f>Table4[[#This Row],[qty]]*(VLOOKUP(Table4[[#This Row],[item_sold]],Table6[],4,FALSE))</f>
        <v>100</v>
      </c>
      <c r="F1492" s="5">
        <f>(VLOOKUP(Table4[[#This Row],[item_sold]],Table6[],3,FALSE))*Table4[[#This Row],[qty]]</f>
        <v>90</v>
      </c>
      <c r="G1492" s="5">
        <f t="shared" si="81"/>
        <v>10</v>
      </c>
      <c r="H1492" t="s">
        <v>247</v>
      </c>
    </row>
    <row r="1493" spans="1:9" x14ac:dyDescent="0.25">
      <c r="A1493" s="1">
        <f t="shared" si="80"/>
        <v>45511</v>
      </c>
      <c r="B1493" s="31">
        <f>TIME(14, 30, 0)</f>
        <v>0.60416666666666663</v>
      </c>
      <c r="C1493" t="str">
        <f>Inventory!A65</f>
        <v>Tropical</v>
      </c>
      <c r="D1493" s="27">
        <v>1</v>
      </c>
      <c r="E1493" s="5">
        <f>Table4[[#This Row],[qty]]*(VLOOKUP(Table4[[#This Row],[item_sold]],Table6[],4,FALSE))</f>
        <v>5</v>
      </c>
      <c r="F1493" s="5">
        <f>(VLOOKUP(Table4[[#This Row],[item_sold]],Table6[],3,FALSE))*Table4[[#This Row],[qty]]</f>
        <v>1.5</v>
      </c>
      <c r="G1493" s="5">
        <f t="shared" si="81"/>
        <v>3.5</v>
      </c>
      <c r="H1493" t="s">
        <v>247</v>
      </c>
    </row>
    <row r="1494" spans="1:9" hidden="1" x14ac:dyDescent="0.25">
      <c r="A1494" s="1">
        <f t="shared" si="80"/>
        <v>45511</v>
      </c>
      <c r="B1494" s="35">
        <f>TIME(15, 6, 0)</f>
        <v>0.62916666666666665</v>
      </c>
      <c r="C1494" t="str">
        <f>Inventory!A178</f>
        <v>Yellow Beans</v>
      </c>
      <c r="D1494">
        <v>0.75</v>
      </c>
      <c r="E1494" s="5">
        <f>Table4[[#This Row],[qty]]*(VLOOKUP(Table4[[#This Row],[item_sold]],Table6[],4,FALSE))</f>
        <v>135</v>
      </c>
      <c r="F1494" s="5">
        <f>(VLOOKUP(Table4[[#This Row],[item_sold]],Table6[],3,FALSE))*Table4[[#This Row],[qty]]</f>
        <v>93.75</v>
      </c>
      <c r="G1494" s="5">
        <f>E1494-F1494</f>
        <v>41.25</v>
      </c>
      <c r="H1494" t="s">
        <v>359</v>
      </c>
      <c r="I1494" t="s">
        <v>384</v>
      </c>
    </row>
    <row r="1495" spans="1:9" x14ac:dyDescent="0.25">
      <c r="A1495" s="1">
        <f t="shared" si="80"/>
        <v>45511</v>
      </c>
      <c r="B1495" s="31">
        <f>TIME(15, 20, 0)</f>
        <v>0.63888888888888895</v>
      </c>
      <c r="C1495" t="str">
        <f>Inventory!A61</f>
        <v>Bigdaddy</v>
      </c>
      <c r="D1495" s="27">
        <v>3</v>
      </c>
      <c r="E1495" s="5">
        <f>Table4[[#This Row],[qty]]*(VLOOKUP(Table4[[#This Row],[item_sold]],Table6[],4,FALSE))</f>
        <v>30</v>
      </c>
      <c r="F1495" s="5">
        <f>(VLOOKUP(Table4[[#This Row],[item_sold]],Table6[],3,FALSE))*Table4[[#This Row],[qty]]</f>
        <v>18</v>
      </c>
      <c r="G1495" s="5">
        <f t="shared" si="81"/>
        <v>12</v>
      </c>
      <c r="H1495" t="s">
        <v>247</v>
      </c>
    </row>
    <row r="1496" spans="1:9" x14ac:dyDescent="0.25">
      <c r="A1496" s="1">
        <f t="shared" si="80"/>
        <v>45511</v>
      </c>
      <c r="B1496" s="31">
        <f>TIME(15, 37, 0)</f>
        <v>0.65069444444444446</v>
      </c>
      <c r="C1496" t="str">
        <f>Inventory!A42</f>
        <v>Njugu</v>
      </c>
      <c r="D1496" s="27">
        <v>1</v>
      </c>
      <c r="E1496" s="5">
        <f>Table4[[#This Row],[qty]]*(VLOOKUP(Table4[[#This Row],[item_sold]],Table6[],4,FALSE))</f>
        <v>20</v>
      </c>
      <c r="F1496" s="5">
        <f>(VLOOKUP(Table4[[#This Row],[item_sold]],Table6[],3,FALSE))*Table4[[#This Row],[qty]]</f>
        <v>10.666666666666666</v>
      </c>
      <c r="G1496" s="5">
        <f t="shared" si="81"/>
        <v>9.3333333333333339</v>
      </c>
      <c r="H1496" t="s">
        <v>361</v>
      </c>
    </row>
    <row r="1497" spans="1:9" x14ac:dyDescent="0.25">
      <c r="A1497" s="1">
        <f t="shared" si="80"/>
        <v>45511</v>
      </c>
      <c r="B1497" s="31">
        <f>TIME(16, 3, 0)</f>
        <v>0.66875000000000007</v>
      </c>
      <c r="C1497" t="str">
        <f>Inventory!A23</f>
        <v>Mt kenya milk 500ml</v>
      </c>
      <c r="D1497" s="27">
        <v>2</v>
      </c>
      <c r="E1497" s="5">
        <f>Table4[[#This Row],[qty]]*(VLOOKUP(Table4[[#This Row],[item_sold]],Table6[],4,FALSE))</f>
        <v>130</v>
      </c>
      <c r="F1497" s="5">
        <f>(VLOOKUP(Table4[[#This Row],[item_sold]],Table6[],3,FALSE))*Table4[[#This Row],[qty]]</f>
        <v>96.666666666666671</v>
      </c>
      <c r="G1497" s="5">
        <f t="shared" si="81"/>
        <v>33.333333333333329</v>
      </c>
      <c r="H1497" t="s">
        <v>361</v>
      </c>
    </row>
    <row r="1498" spans="1:9" x14ac:dyDescent="0.25">
      <c r="A1498" s="1">
        <f t="shared" si="80"/>
        <v>45511</v>
      </c>
      <c r="B1498" s="31">
        <f>TIME(16, 3, 0)</f>
        <v>0.66875000000000007</v>
      </c>
      <c r="C1498" t="str">
        <f>Inventory!A142</f>
        <v>Ndengu</v>
      </c>
      <c r="D1498" s="27">
        <v>0.5</v>
      </c>
      <c r="E1498" s="5">
        <f>Table4[[#This Row],[qty]]*(VLOOKUP(Table4[[#This Row],[item_sold]],Table6[],4,FALSE))</f>
        <v>80</v>
      </c>
      <c r="F1498" s="5">
        <f>(VLOOKUP(Table4[[#This Row],[item_sold]],Table6[],3,FALSE))*Table4[[#This Row],[qty]]</f>
        <v>60</v>
      </c>
      <c r="G1498" s="5">
        <f t="shared" si="81"/>
        <v>20</v>
      </c>
      <c r="H1498" t="s">
        <v>361</v>
      </c>
    </row>
    <row r="1499" spans="1:9" x14ac:dyDescent="0.25">
      <c r="A1499" s="1">
        <f t="shared" si="80"/>
        <v>45511</v>
      </c>
      <c r="B1499" s="31">
        <f>TIME(16, 3, 0)</f>
        <v>0.66875000000000007</v>
      </c>
      <c r="C1499" t="str">
        <f>Inventory!A126</f>
        <v>Royco cubes</v>
      </c>
      <c r="D1499" s="27">
        <v>4</v>
      </c>
      <c r="E1499" s="5">
        <f>Table4[[#This Row],[qty]]*(VLOOKUP(Table4[[#This Row],[item_sold]],Table6[],4,FALSE))</f>
        <v>20</v>
      </c>
      <c r="F1499" s="5">
        <f>(VLOOKUP(Table4[[#This Row],[item_sold]],Table6[],3,FALSE))*Table4[[#This Row],[qty]]</f>
        <v>12</v>
      </c>
      <c r="G1499" s="5">
        <f t="shared" si="81"/>
        <v>8</v>
      </c>
      <c r="H1499" t="s">
        <v>359</v>
      </c>
      <c r="I1499" t="s">
        <v>397</v>
      </c>
    </row>
    <row r="1500" spans="1:9" x14ac:dyDescent="0.25">
      <c r="A1500" s="1">
        <f t="shared" si="80"/>
        <v>45511</v>
      </c>
      <c r="B1500" s="31">
        <f>TIME(16, 7, 0)</f>
        <v>0.67152777777777783</v>
      </c>
      <c r="C1500" t="str">
        <f>Inventory!A164</f>
        <v>Rasor Blade</v>
      </c>
      <c r="D1500" s="27">
        <v>1</v>
      </c>
      <c r="E1500" s="5">
        <f>Table4[[#This Row],[qty]]*(VLOOKUP(Table4[[#This Row],[item_sold]],Table6[],4,FALSE))</f>
        <v>5</v>
      </c>
      <c r="F1500" s="5">
        <f>(VLOOKUP(Table4[[#This Row],[item_sold]],Table6[],3,FALSE))*Table4[[#This Row],[qty]]</f>
        <v>2</v>
      </c>
      <c r="G1500" s="5">
        <f t="shared" si="81"/>
        <v>3</v>
      </c>
      <c r="H1500" t="s">
        <v>247</v>
      </c>
    </row>
    <row r="1501" spans="1:9" x14ac:dyDescent="0.25">
      <c r="A1501" s="1">
        <f t="shared" si="80"/>
        <v>45511</v>
      </c>
      <c r="B1501" s="31">
        <f>TIME(16, 42, 0)</f>
        <v>0.6958333333333333</v>
      </c>
      <c r="C1501" t="str">
        <f>Inventory!A46</f>
        <v>Nuvita Bisquit</v>
      </c>
      <c r="D1501" s="27">
        <v>3</v>
      </c>
      <c r="E1501" s="5">
        <f>Table4[[#This Row],[qty]]*(VLOOKUP(Table4[[#This Row],[item_sold]],Table6[],4,FALSE))</f>
        <v>15</v>
      </c>
      <c r="F1501" s="5">
        <f>(VLOOKUP(Table4[[#This Row],[item_sold]],Table6[],3,FALSE))*Table4[[#This Row],[qty]]</f>
        <v>12.5</v>
      </c>
      <c r="G1501" s="5">
        <f t="shared" si="81"/>
        <v>2.5</v>
      </c>
      <c r="H1501" t="s">
        <v>247</v>
      </c>
    </row>
    <row r="1502" spans="1:9" x14ac:dyDescent="0.25">
      <c r="A1502" s="1">
        <f t="shared" si="80"/>
        <v>45511</v>
      </c>
      <c r="B1502" s="31">
        <f>TIME(17, 29, 0)</f>
        <v>0.7284722222222223</v>
      </c>
      <c r="C1502" t="str">
        <f>Inventory!A61</f>
        <v>Bigdaddy</v>
      </c>
      <c r="D1502" s="27">
        <v>1</v>
      </c>
      <c r="E1502" s="5">
        <f>Table4[[#This Row],[qty]]*(VLOOKUP(Table4[[#This Row],[item_sold]],Table6[],4,FALSE))</f>
        <v>10</v>
      </c>
      <c r="F1502" s="5">
        <f>(VLOOKUP(Table4[[#This Row],[item_sold]],Table6[],3,FALSE))*Table4[[#This Row],[qty]]</f>
        <v>6</v>
      </c>
      <c r="G1502" s="5">
        <f t="shared" si="81"/>
        <v>4</v>
      </c>
      <c r="H1502" t="s">
        <v>247</v>
      </c>
    </row>
    <row r="1503" spans="1:9" x14ac:dyDescent="0.25">
      <c r="A1503" s="1">
        <f t="shared" si="80"/>
        <v>45511</v>
      </c>
      <c r="B1503" s="31">
        <f>TIME(17, 29, 0)</f>
        <v>0.7284722222222223</v>
      </c>
      <c r="C1503" t="str">
        <f>Inventory!A58</f>
        <v>Patco</v>
      </c>
      <c r="D1503" s="27">
        <v>2</v>
      </c>
      <c r="E1503" s="5">
        <f>Table4[[#This Row],[qty]]*(VLOOKUP(Table4[[#This Row],[item_sold]],Table6[],4,FALSE))</f>
        <v>5</v>
      </c>
      <c r="F1503" s="5">
        <f>(VLOOKUP(Table4[[#This Row],[item_sold]],Table6[],3,FALSE))*Table4[[#This Row],[qty]]</f>
        <v>2.4</v>
      </c>
      <c r="G1503" s="5">
        <f t="shared" si="81"/>
        <v>2.6</v>
      </c>
      <c r="H1503" t="s">
        <v>247</v>
      </c>
    </row>
    <row r="1504" spans="1:9" x14ac:dyDescent="0.25">
      <c r="A1504" s="1">
        <f t="shared" si="80"/>
        <v>45511</v>
      </c>
      <c r="B1504" s="31">
        <f>TIME(17, 29, 0)</f>
        <v>0.7284722222222223</v>
      </c>
      <c r="C1504" t="str">
        <f>Inventory!A59</f>
        <v>coo</v>
      </c>
      <c r="D1504" s="27">
        <v>2</v>
      </c>
      <c r="E1504" s="5">
        <f>Table4[[#This Row],[qty]]*(VLOOKUP(Table4[[#This Row],[item_sold]],Table6[],4,FALSE))</f>
        <v>5</v>
      </c>
      <c r="F1504" s="5">
        <f>(VLOOKUP(Table4[[#This Row],[item_sold]],Table6[],3,FALSE))*Table4[[#This Row],[qty]]</f>
        <v>2.4</v>
      </c>
      <c r="G1504" s="5">
        <f t="shared" si="81"/>
        <v>2.6</v>
      </c>
      <c r="H1504" t="s">
        <v>247</v>
      </c>
    </row>
    <row r="1505" spans="1:9" x14ac:dyDescent="0.25">
      <c r="A1505" s="1">
        <f t="shared" ref="A1505:A1537" si="82">DATE(2024,8,7)</f>
        <v>45511</v>
      </c>
      <c r="B1505" s="31">
        <f>TIME(17, 29, 0)</f>
        <v>0.7284722222222223</v>
      </c>
      <c r="C1505" t="str">
        <f>Inventory!A56</f>
        <v>Fresh green</v>
      </c>
      <c r="D1505" s="27">
        <v>3</v>
      </c>
      <c r="E1505" s="5">
        <f>Table4[[#This Row],[qty]]*(VLOOKUP(Table4[[#This Row],[item_sold]],Table6[],4,FALSE))</f>
        <v>30</v>
      </c>
      <c r="F1505" s="5">
        <f>(VLOOKUP(Table4[[#This Row],[item_sold]],Table6[],3,FALSE))*Table4[[#This Row],[qty]]</f>
        <v>15</v>
      </c>
      <c r="G1505" s="5">
        <f t="shared" si="81"/>
        <v>15</v>
      </c>
      <c r="H1505" t="s">
        <v>247</v>
      </c>
    </row>
    <row r="1506" spans="1:9" x14ac:dyDescent="0.25">
      <c r="A1506" s="1">
        <f t="shared" si="82"/>
        <v>45511</v>
      </c>
      <c r="B1506" s="31">
        <f>TIME(17, 46, 0)</f>
        <v>0.7402777777777777</v>
      </c>
      <c r="C1506" t="str">
        <f>Inventory!A38</f>
        <v>T.Heat Potato crisps salted 25g</v>
      </c>
      <c r="D1506" s="27">
        <v>1</v>
      </c>
      <c r="E1506" s="5">
        <f>Table4[[#This Row],[qty]]*(VLOOKUP(Table4[[#This Row],[item_sold]],Table6[],4,FALSE))</f>
        <v>30</v>
      </c>
      <c r="F1506" s="5">
        <f>(VLOOKUP(Table4[[#This Row],[item_sold]],Table6[],3,FALSE))*Table4[[#This Row],[qty]]</f>
        <v>22.916666666666668</v>
      </c>
      <c r="G1506" s="5">
        <f t="shared" si="81"/>
        <v>7.0833333333333321</v>
      </c>
      <c r="H1506" t="s">
        <v>247</v>
      </c>
    </row>
    <row r="1507" spans="1:9" x14ac:dyDescent="0.25">
      <c r="A1507" s="1">
        <f t="shared" si="82"/>
        <v>45511</v>
      </c>
      <c r="B1507" s="31">
        <f>TIME(17, 46, 0)</f>
        <v>0.7402777777777777</v>
      </c>
      <c r="C1507" t="str">
        <f>Inventory!A34</f>
        <v>Ringoz Paprika</v>
      </c>
      <c r="D1507" s="27">
        <v>1</v>
      </c>
      <c r="E1507" s="5">
        <f>Table4[[#This Row],[qty]]*(VLOOKUP(Table4[[#This Row],[item_sold]],Table6[],4,FALSE))</f>
        <v>15</v>
      </c>
      <c r="F1507" s="5">
        <f>(VLOOKUP(Table4[[#This Row],[item_sold]],Table6[],3,FALSE))*Table4[[#This Row],[qty]]</f>
        <v>8.8000000000000007</v>
      </c>
      <c r="G1507" s="5">
        <f t="shared" si="81"/>
        <v>6.1999999999999993</v>
      </c>
      <c r="H1507" t="s">
        <v>247</v>
      </c>
    </row>
    <row r="1508" spans="1:9" x14ac:dyDescent="0.25">
      <c r="A1508" s="1">
        <f t="shared" si="82"/>
        <v>45511</v>
      </c>
      <c r="B1508" s="31">
        <f>TIME(18, 10, 0)</f>
        <v>0.75694444444444453</v>
      </c>
      <c r="C1508" t="str">
        <f>Inventory!A13</f>
        <v>soda 300ml glass</v>
      </c>
      <c r="D1508" s="27">
        <v>1</v>
      </c>
      <c r="E1508" s="5">
        <f>Table4[[#This Row],[qty]]*(VLOOKUP(Table4[[#This Row],[item_sold]],Table6[],4,FALSE))</f>
        <v>40</v>
      </c>
      <c r="F1508" s="5">
        <f>(VLOOKUP(Table4[[#This Row],[item_sold]],Table6[],3,FALSE))*Table4[[#This Row],[qty]]</f>
        <v>32.5</v>
      </c>
      <c r="G1508" s="5">
        <f t="shared" si="81"/>
        <v>7.5</v>
      </c>
      <c r="H1508" t="s">
        <v>359</v>
      </c>
      <c r="I1508" t="s">
        <v>400</v>
      </c>
    </row>
    <row r="1509" spans="1:9" x14ac:dyDescent="0.25">
      <c r="A1509" s="1">
        <f t="shared" si="82"/>
        <v>45511</v>
      </c>
      <c r="B1509" s="31">
        <f>TIME(18, 10, 0)</f>
        <v>0.75694444444444453</v>
      </c>
      <c r="C1509" t="str">
        <f>Inventory!A49</f>
        <v>Half pound cake</v>
      </c>
      <c r="D1509" s="27">
        <v>1</v>
      </c>
      <c r="E1509" s="5">
        <f>Table4[[#This Row],[qty]]*(VLOOKUP(Table4[[#This Row],[item_sold]],Table6[],4,FALSE))</f>
        <v>100</v>
      </c>
      <c r="F1509" s="5">
        <f>(VLOOKUP(Table4[[#This Row],[item_sold]],Table6[],3,FALSE))*Table4[[#This Row],[qty]]</f>
        <v>90</v>
      </c>
      <c r="G1509" s="5">
        <f t="shared" si="81"/>
        <v>10</v>
      </c>
      <c r="H1509" t="s">
        <v>359</v>
      </c>
      <c r="I1509" t="s">
        <v>400</v>
      </c>
    </row>
    <row r="1510" spans="1:9" x14ac:dyDescent="0.25">
      <c r="A1510" s="1">
        <f t="shared" si="82"/>
        <v>45511</v>
      </c>
      <c r="B1510" s="31">
        <f>TIME(18, 10, 0)</f>
        <v>0.75694444444444453</v>
      </c>
      <c r="C1510" t="str">
        <f>Inventory!A21</f>
        <v>Brookside Lala Natural</v>
      </c>
      <c r="D1510" s="27">
        <v>1</v>
      </c>
      <c r="E1510" s="5">
        <f>Table4[[#This Row],[qty]]*(VLOOKUP(Table4[[#This Row],[item_sold]],Table6[],4,FALSE))</f>
        <v>100</v>
      </c>
      <c r="F1510" s="5">
        <f>(VLOOKUP(Table4[[#This Row],[item_sold]],Table6[],3,FALSE))*Table4[[#This Row],[qty]]</f>
        <v>87</v>
      </c>
      <c r="G1510" s="5">
        <f t="shared" si="81"/>
        <v>13</v>
      </c>
      <c r="H1510" t="s">
        <v>359</v>
      </c>
      <c r="I1510" t="s">
        <v>400</v>
      </c>
    </row>
    <row r="1511" spans="1:9" x14ac:dyDescent="0.25">
      <c r="A1511" s="1">
        <f t="shared" si="82"/>
        <v>45511</v>
      </c>
      <c r="B1511" s="31">
        <f>TIME(18, 10, 0)</f>
        <v>0.75694444444444453</v>
      </c>
      <c r="C1511" t="str">
        <f>Inventory!A50</f>
        <v>Ring Cake</v>
      </c>
      <c r="D1511" s="27">
        <v>1</v>
      </c>
      <c r="E1511" s="5">
        <f>Table4[[#This Row],[qty]]*(VLOOKUP(Table4[[#This Row],[item_sold]],Table6[],4,FALSE))</f>
        <v>50</v>
      </c>
      <c r="F1511" s="5">
        <f>(VLOOKUP(Table4[[#This Row],[item_sold]],Table6[],3,FALSE))*Table4[[#This Row],[qty]]</f>
        <v>45</v>
      </c>
      <c r="G1511" s="5">
        <f t="shared" ref="G1511:G1533" si="83">E1511-F1511</f>
        <v>5</v>
      </c>
      <c r="H1511" t="s">
        <v>359</v>
      </c>
      <c r="I1511" t="s">
        <v>400</v>
      </c>
    </row>
    <row r="1512" spans="1:9" x14ac:dyDescent="0.25">
      <c r="A1512" s="1">
        <f t="shared" si="82"/>
        <v>45511</v>
      </c>
      <c r="B1512" s="31">
        <f>TIME(18, 27, 0)</f>
        <v>0.76874999999999993</v>
      </c>
      <c r="C1512" t="str">
        <f>Inventory!A168</f>
        <v>Garlic</v>
      </c>
      <c r="D1512" s="27">
        <v>1</v>
      </c>
      <c r="E1512" s="5">
        <f>Table4[[#This Row],[qty]]*(VLOOKUP(Table4[[#This Row],[item_sold]],Table6[],4,FALSE))</f>
        <v>30</v>
      </c>
      <c r="F1512" s="5">
        <f>(VLOOKUP(Table4[[#This Row],[item_sold]],Table6[],3,FALSE))*Table4[[#This Row],[qty]]</f>
        <v>20</v>
      </c>
      <c r="G1512" s="5">
        <f t="shared" si="83"/>
        <v>10</v>
      </c>
      <c r="H1512" t="s">
        <v>247</v>
      </c>
    </row>
    <row r="1513" spans="1:9" x14ac:dyDescent="0.25">
      <c r="A1513" s="1">
        <f t="shared" si="82"/>
        <v>45511</v>
      </c>
      <c r="B1513" s="31">
        <f>TIME(18, 31, 0)</f>
        <v>0.7715277777777777</v>
      </c>
      <c r="C1513" t="str">
        <f>Inventory!A61</f>
        <v>Bigdaddy</v>
      </c>
      <c r="D1513" s="27">
        <v>1</v>
      </c>
      <c r="E1513" s="5">
        <f>Table4[[#This Row],[qty]]*(VLOOKUP(Table4[[#This Row],[item_sold]],Table6[],4,FALSE))</f>
        <v>10</v>
      </c>
      <c r="F1513" s="5">
        <f>(VLOOKUP(Table4[[#This Row],[item_sold]],Table6[],3,FALSE))*Table4[[#This Row],[qty]]</f>
        <v>6</v>
      </c>
      <c r="G1513" s="5">
        <f t="shared" si="83"/>
        <v>4</v>
      </c>
      <c r="H1513" t="s">
        <v>247</v>
      </c>
    </row>
    <row r="1514" spans="1:9" x14ac:dyDescent="0.25">
      <c r="A1514" s="1">
        <f t="shared" si="82"/>
        <v>45511</v>
      </c>
      <c r="B1514" s="31">
        <f>TIME(18, 31, 0)</f>
        <v>0.7715277777777777</v>
      </c>
      <c r="C1514" t="str">
        <f>Inventory!A116</f>
        <v>Tomatoes</v>
      </c>
      <c r="D1514" s="27">
        <v>1</v>
      </c>
      <c r="E1514" s="5">
        <f>Table4[[#This Row],[qty]]*(VLOOKUP(Table4[[#This Row],[item_sold]],Table6[],4,FALSE))</f>
        <v>10</v>
      </c>
      <c r="F1514" s="5">
        <f>(VLOOKUP(Table4[[#This Row],[item_sold]],Table6[],3,FALSE))*Table4[[#This Row],[qty]]</f>
        <v>5</v>
      </c>
      <c r="G1514" s="5">
        <f t="shared" si="83"/>
        <v>5</v>
      </c>
      <c r="H1514" t="s">
        <v>247</v>
      </c>
    </row>
    <row r="1515" spans="1:9" x14ac:dyDescent="0.25">
      <c r="A1515" s="1">
        <f t="shared" si="82"/>
        <v>45511</v>
      </c>
      <c r="B1515" s="31">
        <f>TIME(18, 31, 0)</f>
        <v>0.7715277777777777</v>
      </c>
      <c r="C1515" t="str">
        <f>Inventory!A126</f>
        <v>Royco cubes</v>
      </c>
      <c r="D1515" s="27">
        <v>1</v>
      </c>
      <c r="E1515" s="5">
        <f>Table4[[#This Row],[qty]]*(VLOOKUP(Table4[[#This Row],[item_sold]],Table6[],4,FALSE))</f>
        <v>5</v>
      </c>
      <c r="F1515" s="5">
        <f>(VLOOKUP(Table4[[#This Row],[item_sold]],Table6[],3,FALSE))*Table4[[#This Row],[qty]]</f>
        <v>3</v>
      </c>
      <c r="G1515" s="5">
        <f t="shared" si="83"/>
        <v>2</v>
      </c>
      <c r="H1515" t="s">
        <v>247</v>
      </c>
    </row>
    <row r="1516" spans="1:9" x14ac:dyDescent="0.25">
      <c r="A1516" s="1">
        <f t="shared" si="82"/>
        <v>45511</v>
      </c>
      <c r="B1516" s="31">
        <f>TIME(18, 31, 0)</f>
        <v>0.7715277777777777</v>
      </c>
      <c r="C1516" t="str">
        <f>Inventory!A122</f>
        <v>Kinangop Fresh Milk 500ml</v>
      </c>
      <c r="D1516" s="27">
        <v>1</v>
      </c>
      <c r="E1516" s="5">
        <f>Table4[[#This Row],[qty]]*(VLOOKUP(Table4[[#This Row],[item_sold]],Table6[],4,FALSE))</f>
        <v>60</v>
      </c>
      <c r="F1516" s="5">
        <f>(VLOOKUP(Table4[[#This Row],[item_sold]],Table6[],3,FALSE))*Table4[[#This Row],[qty]]</f>
        <v>55</v>
      </c>
      <c r="G1516" s="5">
        <f t="shared" si="83"/>
        <v>5</v>
      </c>
      <c r="H1516" t="s">
        <v>247</v>
      </c>
    </row>
    <row r="1517" spans="1:9" x14ac:dyDescent="0.25">
      <c r="A1517" s="1">
        <f t="shared" si="82"/>
        <v>45511</v>
      </c>
      <c r="B1517" s="31">
        <f>TIME(18, 45, 0)</f>
        <v>0.78125</v>
      </c>
      <c r="C1517" t="str">
        <f>Inventory!A9</f>
        <v>minutemaid 400ml</v>
      </c>
      <c r="D1517" s="27">
        <v>1</v>
      </c>
      <c r="E1517" s="5">
        <f>Table4[[#This Row],[qty]]*(VLOOKUP(Table4[[#This Row],[item_sold]],Table6[],4,FALSE))</f>
        <v>85</v>
      </c>
      <c r="F1517" s="5">
        <f>(VLOOKUP(Table4[[#This Row],[item_sold]],Table6[],3,FALSE))*Table4[[#This Row],[qty]]</f>
        <v>62.5</v>
      </c>
      <c r="G1517" s="5">
        <f t="shared" si="83"/>
        <v>22.5</v>
      </c>
      <c r="H1517" t="s">
        <v>361</v>
      </c>
    </row>
    <row r="1518" spans="1:9" x14ac:dyDescent="0.25">
      <c r="A1518" s="1">
        <f t="shared" si="82"/>
        <v>45511</v>
      </c>
      <c r="B1518" s="31">
        <f>TIME(18, 45, 0)</f>
        <v>0.78125</v>
      </c>
      <c r="C1518" t="str">
        <f>Inventory!A50</f>
        <v>Ring Cake</v>
      </c>
      <c r="D1518" s="27">
        <v>1</v>
      </c>
      <c r="E1518" s="5">
        <f>Table4[[#This Row],[qty]]*(VLOOKUP(Table4[[#This Row],[item_sold]],Table6[],4,FALSE))</f>
        <v>50</v>
      </c>
      <c r="F1518" s="5">
        <f>(VLOOKUP(Table4[[#This Row],[item_sold]],Table6[],3,FALSE))*Table4[[#This Row],[qty]]</f>
        <v>45</v>
      </c>
      <c r="G1518" s="5">
        <f t="shared" si="83"/>
        <v>5</v>
      </c>
      <c r="H1518" t="s">
        <v>361</v>
      </c>
    </row>
    <row r="1519" spans="1:9" x14ac:dyDescent="0.25">
      <c r="A1519" s="1">
        <f t="shared" si="82"/>
        <v>45511</v>
      </c>
      <c r="B1519" s="31">
        <f>TIME(18, 52, 0)</f>
        <v>0.78611111111111109</v>
      </c>
      <c r="C1519" t="str">
        <f>Inventory!A109</f>
        <v>ariel 10g</v>
      </c>
      <c r="D1519" s="27">
        <v>1</v>
      </c>
      <c r="E1519" s="5">
        <f>Table4[[#This Row],[qty]]*(VLOOKUP(Table4[[#This Row],[item_sold]],Table6[],4,FALSE))</f>
        <v>15</v>
      </c>
      <c r="F1519" s="5">
        <f>(VLOOKUP(Table4[[#This Row],[item_sold]],Table6[],3,FALSE))*Table4[[#This Row],[qty]]</f>
        <v>9.1666666666666661</v>
      </c>
      <c r="G1519" s="5">
        <f t="shared" si="83"/>
        <v>5.8333333333333339</v>
      </c>
      <c r="H1519" t="s">
        <v>361</v>
      </c>
    </row>
    <row r="1520" spans="1:9" x14ac:dyDescent="0.25">
      <c r="A1520" s="1">
        <f t="shared" si="82"/>
        <v>45511</v>
      </c>
      <c r="B1520" s="31">
        <f>TIME(18, 52, 0)</f>
        <v>0.78611111111111109</v>
      </c>
      <c r="C1520" t="str">
        <f>Inventory!A84</f>
        <v>Safari</v>
      </c>
      <c r="D1520" s="27">
        <v>1</v>
      </c>
      <c r="E1520" s="5">
        <f>Table4[[#This Row],[qty]]*(VLOOKUP(Table4[[#This Row],[item_sold]],Table6[],4,FALSE))</f>
        <v>15</v>
      </c>
      <c r="F1520" s="5">
        <f>(VLOOKUP(Table4[[#This Row],[item_sold]],Table6[],3,FALSE))*Table4[[#This Row],[qty]]</f>
        <v>8.5</v>
      </c>
      <c r="G1520" s="5">
        <f t="shared" si="83"/>
        <v>6.5</v>
      </c>
      <c r="H1520" t="s">
        <v>361</v>
      </c>
    </row>
    <row r="1521" spans="1:12" x14ac:dyDescent="0.25">
      <c r="A1521" s="1">
        <f t="shared" si="82"/>
        <v>45511</v>
      </c>
      <c r="B1521" s="31">
        <f>TIME(18, 56, 0)</f>
        <v>0.78888888888888886</v>
      </c>
      <c r="C1521" t="str">
        <f>Inventory!A162</f>
        <v>Match Box</v>
      </c>
      <c r="D1521" s="27">
        <v>1</v>
      </c>
      <c r="E1521" s="5">
        <f>Table4[[#This Row],[qty]]*(VLOOKUP(Table4[[#This Row],[item_sold]],Table6[],4,FALSE))</f>
        <v>5</v>
      </c>
      <c r="F1521" s="5">
        <f>(VLOOKUP(Table4[[#This Row],[item_sold]],Table6[],3,FALSE))*Table4[[#This Row],[qty]]</f>
        <v>2.3611111111111112</v>
      </c>
      <c r="G1521" s="5">
        <f t="shared" si="83"/>
        <v>2.6388888888888888</v>
      </c>
      <c r="H1521" t="s">
        <v>361</v>
      </c>
    </row>
    <row r="1522" spans="1:12" x14ac:dyDescent="0.25">
      <c r="A1522" s="1">
        <f t="shared" si="82"/>
        <v>45511</v>
      </c>
      <c r="B1522" s="31">
        <f>TIME(19, 7, 0)</f>
        <v>0.79652777777777783</v>
      </c>
      <c r="C1522" t="str">
        <f>Inventory!A13</f>
        <v>soda 300ml glass</v>
      </c>
      <c r="D1522" s="27">
        <v>1</v>
      </c>
      <c r="E1522" s="5">
        <f>Table4[[#This Row],[qty]]*(VLOOKUP(Table4[[#This Row],[item_sold]],Table6[],4,FALSE))</f>
        <v>40</v>
      </c>
      <c r="F1522" s="5">
        <f>(VLOOKUP(Table4[[#This Row],[item_sold]],Table6[],3,FALSE))*Table4[[#This Row],[qty]]</f>
        <v>32.5</v>
      </c>
      <c r="G1522" s="5">
        <f t="shared" si="83"/>
        <v>7.5</v>
      </c>
      <c r="H1522" t="s">
        <v>361</v>
      </c>
    </row>
    <row r="1523" spans="1:12" x14ac:dyDescent="0.25">
      <c r="A1523" s="1">
        <f t="shared" si="82"/>
        <v>45511</v>
      </c>
      <c r="B1523" s="31">
        <f>TIME(19, 19, 0)</f>
        <v>0.80486111111111114</v>
      </c>
      <c r="C1523" t="str">
        <f>Inventory!A71</f>
        <v>Indomie chicken</v>
      </c>
      <c r="D1523" s="27">
        <v>2</v>
      </c>
      <c r="E1523" s="5">
        <f>Table4[[#This Row],[qty]]*(VLOOKUP(Table4[[#This Row],[item_sold]],Table6[],4,FALSE))</f>
        <v>100</v>
      </c>
      <c r="F1523" s="5">
        <f>(VLOOKUP(Table4[[#This Row],[item_sold]],Table6[],3,FALSE))*Table4[[#This Row],[qty]]</f>
        <v>75</v>
      </c>
      <c r="G1523" s="5">
        <f t="shared" si="83"/>
        <v>25</v>
      </c>
      <c r="H1523" t="s">
        <v>361</v>
      </c>
    </row>
    <row r="1524" spans="1:12" x14ac:dyDescent="0.25">
      <c r="A1524" s="1">
        <f t="shared" si="82"/>
        <v>45511</v>
      </c>
      <c r="B1524" s="31">
        <f>TIME(19, 19, 0)</f>
        <v>0.80486111111111114</v>
      </c>
      <c r="C1524" t="str">
        <f>Inventory!A199</f>
        <v>Battery AA</v>
      </c>
      <c r="D1524" s="27">
        <v>2</v>
      </c>
      <c r="E1524" s="5">
        <f>Table4[[#This Row],[qty]]*(VLOOKUP(Table4[[#This Row],[item_sold]],Table6[],4,FALSE))</f>
        <v>30</v>
      </c>
      <c r="F1524" s="5">
        <f>(VLOOKUP(Table4[[#This Row],[item_sold]],Table6[],3,FALSE))*Table4[[#This Row],[qty]]</f>
        <v>20</v>
      </c>
      <c r="G1524" s="5">
        <f t="shared" si="83"/>
        <v>10</v>
      </c>
      <c r="H1524" t="s">
        <v>361</v>
      </c>
    </row>
    <row r="1525" spans="1:12" x14ac:dyDescent="0.25">
      <c r="A1525" s="1">
        <f t="shared" si="82"/>
        <v>45511</v>
      </c>
      <c r="B1525" s="31">
        <f>TIME(19, 30, 0)</f>
        <v>0.8125</v>
      </c>
      <c r="C1525" t="str">
        <f>Inventory!A23</f>
        <v>Mt kenya milk 500ml</v>
      </c>
      <c r="D1525" s="27">
        <v>1</v>
      </c>
      <c r="E1525" s="5">
        <f>Table4[[#This Row],[qty]]*(VLOOKUP(Table4[[#This Row],[item_sold]],Table6[],4,FALSE))</f>
        <v>65</v>
      </c>
      <c r="F1525" s="5">
        <f>(VLOOKUP(Table4[[#This Row],[item_sold]],Table6[],3,FALSE))*Table4[[#This Row],[qty]]</f>
        <v>48.333333333333336</v>
      </c>
      <c r="G1525" s="5">
        <f t="shared" si="83"/>
        <v>16.666666666666664</v>
      </c>
      <c r="H1525" t="s">
        <v>359</v>
      </c>
      <c r="I1525" t="s">
        <v>384</v>
      </c>
    </row>
    <row r="1526" spans="1:12" x14ac:dyDescent="0.25">
      <c r="A1526" s="1">
        <f t="shared" si="82"/>
        <v>45511</v>
      </c>
      <c r="B1526" s="31">
        <f>TIME(19, 30, 0)</f>
        <v>0.8125</v>
      </c>
      <c r="D1526" s="27"/>
      <c r="F1526" s="5"/>
      <c r="J1526" t="s">
        <v>384</v>
      </c>
      <c r="K1526">
        <v>150</v>
      </c>
      <c r="L1526" t="s">
        <v>247</v>
      </c>
    </row>
    <row r="1527" spans="1:12" x14ac:dyDescent="0.25">
      <c r="A1527" s="1">
        <f t="shared" si="82"/>
        <v>45511</v>
      </c>
      <c r="B1527" s="31">
        <f>TIME(19, 30, 0)</f>
        <v>0.8125</v>
      </c>
      <c r="D1527" s="27"/>
      <c r="F1527" s="5"/>
      <c r="J1527" t="s">
        <v>384</v>
      </c>
      <c r="K1527">
        <v>50</v>
      </c>
      <c r="L1527" t="s">
        <v>361</v>
      </c>
    </row>
    <row r="1528" spans="1:12" x14ac:dyDescent="0.25">
      <c r="A1528" s="1">
        <f t="shared" si="82"/>
        <v>45511</v>
      </c>
      <c r="B1528" s="31">
        <f>TIME(19, 36, 0)</f>
        <v>0.81666666666666676</v>
      </c>
      <c r="C1528" t="str">
        <f>Inventory!A179</f>
        <v>Kienyeji  Eggs</v>
      </c>
      <c r="D1528" s="27">
        <v>2</v>
      </c>
      <c r="E1528" s="5">
        <f>Table4[[#This Row],[qty]]*(VLOOKUP(Table4[[#This Row],[item_sold]],Table6[],4,FALSE))</f>
        <v>60</v>
      </c>
      <c r="F1528" s="5">
        <f>(VLOOKUP(Table4[[#This Row],[item_sold]],Table6[],3,FALSE))*Table4[[#This Row],[qty]]</f>
        <v>40</v>
      </c>
      <c r="G1528" s="5">
        <f t="shared" si="83"/>
        <v>20</v>
      </c>
      <c r="H1528" t="s">
        <v>247</v>
      </c>
    </row>
    <row r="1529" spans="1:12" x14ac:dyDescent="0.25">
      <c r="A1529" s="1">
        <f t="shared" si="82"/>
        <v>45511</v>
      </c>
      <c r="B1529" s="31">
        <f>TIME(19, 36, 0)</f>
        <v>0.81666666666666676</v>
      </c>
      <c r="D1529" s="27"/>
      <c r="F1529" s="5"/>
      <c r="J1529" t="s">
        <v>398</v>
      </c>
      <c r="K1529">
        <v>40</v>
      </c>
      <c r="L1529" t="s">
        <v>247</v>
      </c>
    </row>
    <row r="1530" spans="1:12" x14ac:dyDescent="0.25">
      <c r="A1530" s="1">
        <f t="shared" si="82"/>
        <v>45511</v>
      </c>
      <c r="B1530" s="31">
        <f>TIME(19, 38, 0)</f>
        <v>0.81805555555555554</v>
      </c>
      <c r="C1530" t="str">
        <f>Inventory!A81</f>
        <v>eggs</v>
      </c>
      <c r="D1530" s="27">
        <v>3</v>
      </c>
      <c r="E1530" s="5">
        <f>Table4[[#This Row],[qty]]*(VLOOKUP(Table4[[#This Row],[item_sold]],Table6[],4,FALSE))</f>
        <v>60</v>
      </c>
      <c r="F1530" s="5">
        <f>(VLOOKUP(Table4[[#This Row],[item_sold]],Table6[],3,FALSE))*Table4[[#This Row],[qty]]</f>
        <v>43</v>
      </c>
      <c r="G1530" s="5">
        <f t="shared" si="83"/>
        <v>17</v>
      </c>
      <c r="H1530" t="s">
        <v>361</v>
      </c>
    </row>
    <row r="1531" spans="1:12" x14ac:dyDescent="0.25">
      <c r="A1531" s="1">
        <f t="shared" si="82"/>
        <v>45511</v>
      </c>
      <c r="B1531" s="31">
        <f>TIME(19, 38, 0)</f>
        <v>0.81805555555555554</v>
      </c>
      <c r="C1531" t="str">
        <f>Inventory!A115</f>
        <v>Onion</v>
      </c>
      <c r="D1531" s="27">
        <v>1</v>
      </c>
      <c r="E1531" s="5">
        <f>Table4[[#This Row],[qty]]*(VLOOKUP(Table4[[#This Row],[item_sold]],Table6[],4,FALSE))</f>
        <v>10</v>
      </c>
      <c r="F1531" s="5">
        <f>(VLOOKUP(Table4[[#This Row],[item_sold]],Table6[],3,FALSE))*Table4[[#This Row],[qty]]</f>
        <v>8</v>
      </c>
      <c r="G1531" s="5">
        <f t="shared" si="83"/>
        <v>2</v>
      </c>
      <c r="H1531" t="s">
        <v>361</v>
      </c>
    </row>
    <row r="1532" spans="1:12" x14ac:dyDescent="0.25">
      <c r="A1532" s="1">
        <f t="shared" si="82"/>
        <v>45511</v>
      </c>
      <c r="B1532" s="31">
        <f>TIME(19, 43, 0)</f>
        <v>0.82152777777777775</v>
      </c>
      <c r="C1532" t="str">
        <f>Inventory!A169</f>
        <v>210 Maize Meal 2kg</v>
      </c>
      <c r="D1532" s="27">
        <v>1</v>
      </c>
      <c r="E1532" s="5">
        <f>Table4[[#This Row],[qty]]*(VLOOKUP(Table4[[#This Row],[item_sold]],Table6[],4,FALSE))</f>
        <v>160</v>
      </c>
      <c r="F1532" s="5">
        <f>(VLOOKUP(Table4[[#This Row],[item_sold]],Table6[],3,FALSE))*Table4[[#This Row],[qty]]</f>
        <v>117.08333333333333</v>
      </c>
      <c r="G1532" s="5">
        <f t="shared" si="83"/>
        <v>42.916666666666671</v>
      </c>
      <c r="H1532" t="s">
        <v>359</v>
      </c>
      <c r="I1532" t="s">
        <v>390</v>
      </c>
    </row>
    <row r="1533" spans="1:12" x14ac:dyDescent="0.25">
      <c r="A1533" s="1">
        <f t="shared" si="82"/>
        <v>45511</v>
      </c>
      <c r="B1533" s="31">
        <f>TIME(19, 43, 0)</f>
        <v>0.82152777777777775</v>
      </c>
      <c r="C1533" t="str">
        <f>Inventory!A122</f>
        <v>Kinangop Fresh Milk 500ml</v>
      </c>
      <c r="D1533" s="27">
        <v>1</v>
      </c>
      <c r="E1533" s="5">
        <f>Table4[[#This Row],[qty]]*(VLOOKUP(Table4[[#This Row],[item_sold]],Table6[],4,FALSE))</f>
        <v>60</v>
      </c>
      <c r="F1533" s="5">
        <f>(VLOOKUP(Table4[[#This Row],[item_sold]],Table6[],3,FALSE))*Table4[[#This Row],[qty]]</f>
        <v>55</v>
      </c>
      <c r="G1533" s="5">
        <f t="shared" si="83"/>
        <v>5</v>
      </c>
      <c r="H1533" t="s">
        <v>359</v>
      </c>
      <c r="I1533" t="s">
        <v>390</v>
      </c>
    </row>
    <row r="1534" spans="1:12" x14ac:dyDescent="0.25">
      <c r="A1534" s="1">
        <f t="shared" si="82"/>
        <v>45511</v>
      </c>
      <c r="B1534" s="31">
        <f>TIME(20, 50, 0)</f>
        <v>0.86805555555555547</v>
      </c>
      <c r="C1534" t="str">
        <f>Inventory!A132</f>
        <v>Festive Bread 400g</v>
      </c>
      <c r="D1534" s="27">
        <v>1</v>
      </c>
      <c r="E1534" s="5">
        <f>Table4[[#This Row],[qty]]*(VLOOKUP(Table4[[#This Row],[item_sold]],Table6[],4,FALSE))</f>
        <v>65</v>
      </c>
      <c r="F1534" s="5">
        <f>(VLOOKUP(Table4[[#This Row],[item_sold]],Table6[],3,FALSE))*Table4[[#This Row],[qty]]</f>
        <v>60</v>
      </c>
      <c r="G1534" s="5">
        <f>E1534-F1534</f>
        <v>5</v>
      </c>
      <c r="H1534" t="s">
        <v>359</v>
      </c>
      <c r="I1534" t="s">
        <v>390</v>
      </c>
    </row>
    <row r="1535" spans="1:12" x14ac:dyDescent="0.25">
      <c r="A1535" s="1">
        <f t="shared" si="82"/>
        <v>45511</v>
      </c>
      <c r="B1535" s="31">
        <f>TIME(20, 50, 0)</f>
        <v>0.86805555555555547</v>
      </c>
      <c r="C1535" t="str">
        <f>Inventory!A122</f>
        <v>Kinangop Fresh Milk 500ml</v>
      </c>
      <c r="D1535" s="27">
        <v>1</v>
      </c>
      <c r="E1535" s="5">
        <f>Table4[[#This Row],[qty]]*(VLOOKUP(Table4[[#This Row],[item_sold]],Table6[],4,FALSE))</f>
        <v>60</v>
      </c>
      <c r="F1535" s="5">
        <f>(VLOOKUP(Table4[[#This Row],[item_sold]],Table6[],3,FALSE))*Table4[[#This Row],[qty]]</f>
        <v>55</v>
      </c>
      <c r="G1535" s="5">
        <f>E1535-F1535</f>
        <v>5</v>
      </c>
      <c r="H1535" t="s">
        <v>359</v>
      </c>
      <c r="I1535" t="s">
        <v>385</v>
      </c>
    </row>
    <row r="1536" spans="1:12" x14ac:dyDescent="0.25">
      <c r="A1536" s="1">
        <f t="shared" si="82"/>
        <v>45511</v>
      </c>
      <c r="B1536" s="31">
        <f>TIME(20, 50, 0)</f>
        <v>0.86805555555555547</v>
      </c>
      <c r="C1536" t="str">
        <f>Inventory!A63</f>
        <v>Gomba</v>
      </c>
      <c r="D1536" s="27">
        <v>2</v>
      </c>
      <c r="E1536" s="5">
        <f>Table4[[#This Row],[qty]]*(VLOOKUP(Table4[[#This Row],[item_sold]],Table6[],4,FALSE))</f>
        <v>5</v>
      </c>
      <c r="F1536" s="5">
        <f>(VLOOKUP(Table4[[#This Row],[item_sold]],Table6[],3,FALSE))*Table4[[#This Row],[qty]]</f>
        <v>3.6</v>
      </c>
      <c r="G1536" s="5">
        <f>E1536-F1536</f>
        <v>1.4</v>
      </c>
      <c r="H1536" t="s">
        <v>359</v>
      </c>
      <c r="I1536" t="s">
        <v>385</v>
      </c>
    </row>
    <row r="1537" spans="1:12" x14ac:dyDescent="0.25">
      <c r="A1537" s="1">
        <f t="shared" si="82"/>
        <v>45511</v>
      </c>
      <c r="B1537" s="31">
        <f>TIME(20, 50, 0)</f>
        <v>0.86805555555555547</v>
      </c>
      <c r="C1537" t="str">
        <f>Inventory!A66</f>
        <v>Gumballs</v>
      </c>
      <c r="D1537" s="27">
        <v>5</v>
      </c>
      <c r="E1537" s="5">
        <f>Table4[[#This Row],[qty]]*(VLOOKUP(Table4[[#This Row],[item_sold]],Table6[],4,FALSE))</f>
        <v>5</v>
      </c>
      <c r="F1537" s="5">
        <f>(VLOOKUP(Table4[[#This Row],[item_sold]],Table6[],3,FALSE))*Table4[[#This Row],[qty]]</f>
        <v>3.5</v>
      </c>
      <c r="G1537" s="5">
        <f>E1537-F1537</f>
        <v>1.5</v>
      </c>
      <c r="H1537" t="s">
        <v>359</v>
      </c>
      <c r="I1537" t="s">
        <v>385</v>
      </c>
    </row>
    <row r="1538" spans="1:12" x14ac:dyDescent="0.25">
      <c r="A1538" s="1">
        <f t="shared" ref="A1538:A1599" si="84">DATE(2024,8,8)</f>
        <v>45512</v>
      </c>
      <c r="B1538" s="31">
        <f>TIME(7, 50, 0)</f>
        <v>0.3263888888888889</v>
      </c>
      <c r="C1538" t="str">
        <f>Inventory!A123</f>
        <v>Mt Kenya milk 200ml</v>
      </c>
      <c r="D1538" s="27">
        <v>1</v>
      </c>
      <c r="E1538" s="5">
        <f>Table4[[#This Row],[qty]]*(VLOOKUP(Table4[[#This Row],[item_sold]],Table6[],4,FALSE))</f>
        <v>35</v>
      </c>
      <c r="F1538" s="5">
        <f>(VLOOKUP(Table4[[#This Row],[item_sold]],Table6[],3,FALSE))*Table4[[#This Row],[qty]]</f>
        <v>24.285714285714285</v>
      </c>
      <c r="G1538" s="5">
        <f>E1538-F1538</f>
        <v>10.714285714285715</v>
      </c>
      <c r="H1538" t="s">
        <v>247</v>
      </c>
    </row>
    <row r="1539" spans="1:12" x14ac:dyDescent="0.25">
      <c r="A1539" s="1">
        <f t="shared" si="84"/>
        <v>45512</v>
      </c>
      <c r="B1539" s="31">
        <f>TIME(8, 5, 0)</f>
        <v>0.33680555555555558</v>
      </c>
      <c r="C1539" t="str">
        <f>Inventory!A81</f>
        <v>eggs</v>
      </c>
      <c r="D1539" s="27">
        <v>2</v>
      </c>
      <c r="E1539" s="5">
        <f>Table4[[#This Row],[qty]]*(VLOOKUP(Table4[[#This Row],[item_sold]],Table6[],4,FALSE))</f>
        <v>40</v>
      </c>
      <c r="F1539" s="5">
        <f>(VLOOKUP(Table4[[#This Row],[item_sold]],Table6[],3,FALSE))*Table4[[#This Row],[qty]]</f>
        <v>28.666666666666668</v>
      </c>
      <c r="G1539" s="5">
        <f t="shared" ref="G1539:G1564" si="85">E1539-F1539</f>
        <v>11.333333333333332</v>
      </c>
      <c r="H1539" t="s">
        <v>361</v>
      </c>
    </row>
    <row r="1540" spans="1:12" x14ac:dyDescent="0.25">
      <c r="A1540" s="1">
        <f t="shared" si="84"/>
        <v>45512</v>
      </c>
      <c r="B1540" s="31">
        <f>TIME(8, 5, 0)</f>
        <v>0.33680555555555558</v>
      </c>
      <c r="C1540" t="str">
        <f>Inventory!A115</f>
        <v>Onion</v>
      </c>
      <c r="D1540" s="27">
        <v>1</v>
      </c>
      <c r="E1540" s="5">
        <f>Table4[[#This Row],[qty]]*(VLOOKUP(Table4[[#This Row],[item_sold]],Table6[],4,FALSE))</f>
        <v>10</v>
      </c>
      <c r="F1540" s="5">
        <f>(VLOOKUP(Table4[[#This Row],[item_sold]],Table6[],3,FALSE))*Table4[[#This Row],[qty]]</f>
        <v>8</v>
      </c>
      <c r="G1540" s="5">
        <f t="shared" si="85"/>
        <v>2</v>
      </c>
      <c r="H1540" t="s">
        <v>361</v>
      </c>
    </row>
    <row r="1541" spans="1:12" x14ac:dyDescent="0.25">
      <c r="A1541" s="1">
        <f t="shared" si="84"/>
        <v>45512</v>
      </c>
      <c r="B1541" s="31">
        <f>TIME(8, 5, 0)</f>
        <v>0.33680555555555558</v>
      </c>
      <c r="C1541" t="str">
        <f>Inventory!A116</f>
        <v>Tomatoes</v>
      </c>
      <c r="D1541" s="27">
        <v>1</v>
      </c>
      <c r="E1541" s="5">
        <f>Table4[[#This Row],[qty]]*(VLOOKUP(Table4[[#This Row],[item_sold]],Table6[],4,FALSE))</f>
        <v>10</v>
      </c>
      <c r="F1541" s="5">
        <f>(VLOOKUP(Table4[[#This Row],[item_sold]],Table6[],3,FALSE))*Table4[[#This Row],[qty]]</f>
        <v>5</v>
      </c>
      <c r="G1541" s="5">
        <f t="shared" si="85"/>
        <v>5</v>
      </c>
      <c r="H1541" t="s">
        <v>361</v>
      </c>
    </row>
    <row r="1542" spans="1:12" x14ac:dyDescent="0.25">
      <c r="A1542" s="1">
        <f t="shared" si="84"/>
        <v>45512</v>
      </c>
      <c r="B1542" s="31">
        <f>TIME(8, 20, 0)</f>
        <v>0.34722222222222227</v>
      </c>
      <c r="C1542" t="str">
        <f>Inventory!A81</f>
        <v>eggs</v>
      </c>
      <c r="D1542" s="27">
        <v>8</v>
      </c>
      <c r="E1542" s="5">
        <f>Table4[[#This Row],[qty]]*(VLOOKUP(Table4[[#This Row],[item_sold]],Table6[],4,FALSE))</f>
        <v>160</v>
      </c>
      <c r="F1542" s="5">
        <f>(VLOOKUP(Table4[[#This Row],[item_sold]],Table6[],3,FALSE))*Table4[[#This Row],[qty]]</f>
        <v>114.66666666666667</v>
      </c>
      <c r="G1542" s="5">
        <f t="shared" si="85"/>
        <v>45.333333333333329</v>
      </c>
      <c r="H1542" t="s">
        <v>361</v>
      </c>
    </row>
    <row r="1543" spans="1:12" x14ac:dyDescent="0.25">
      <c r="A1543" s="1">
        <f t="shared" si="84"/>
        <v>45512</v>
      </c>
      <c r="B1543" s="31">
        <f>TIME(8, 50, 0)</f>
        <v>0.36805555555555558</v>
      </c>
      <c r="D1543" s="27"/>
      <c r="F1543" s="5"/>
      <c r="J1543" t="s">
        <v>392</v>
      </c>
      <c r="K1543">
        <v>40</v>
      </c>
      <c r="L1543" t="s">
        <v>361</v>
      </c>
    </row>
    <row r="1544" spans="1:12" x14ac:dyDescent="0.25">
      <c r="A1544" s="1">
        <f t="shared" si="84"/>
        <v>45512</v>
      </c>
      <c r="B1544" s="31">
        <f>TIME(8, 50, 0)</f>
        <v>0.36805555555555558</v>
      </c>
      <c r="D1544" s="27"/>
      <c r="F1544" s="5"/>
      <c r="J1544" t="s">
        <v>390</v>
      </c>
      <c r="K1544">
        <v>925</v>
      </c>
      <c r="L1544" t="s">
        <v>361</v>
      </c>
    </row>
    <row r="1545" spans="1:12" x14ac:dyDescent="0.25">
      <c r="A1545" s="1">
        <f t="shared" si="84"/>
        <v>45512</v>
      </c>
      <c r="B1545" s="31">
        <f>TIME(9, 7, 0)</f>
        <v>0.37986111111111115</v>
      </c>
      <c r="C1545" t="str">
        <f>Inventory!A84</f>
        <v>Safari</v>
      </c>
      <c r="D1545" s="27">
        <v>1</v>
      </c>
      <c r="E1545" s="5">
        <f>Table4[[#This Row],[qty]]*(VLOOKUP(Table4[[#This Row],[item_sold]],Table6[],4,FALSE))</f>
        <v>15</v>
      </c>
      <c r="F1545" s="5">
        <f>(VLOOKUP(Table4[[#This Row],[item_sold]],Table6[],3,FALSE))*Table4[[#This Row],[qty]]</f>
        <v>8.5</v>
      </c>
      <c r="G1545" s="5">
        <f t="shared" si="85"/>
        <v>6.5</v>
      </c>
      <c r="H1545" t="s">
        <v>247</v>
      </c>
    </row>
    <row r="1546" spans="1:12" x14ac:dyDescent="0.25">
      <c r="A1546" s="1">
        <f t="shared" si="84"/>
        <v>45512</v>
      </c>
      <c r="B1546" s="31">
        <f>TIME(9, 43, 0)</f>
        <v>0.40486111111111112</v>
      </c>
      <c r="C1546" t="str">
        <f>Inventory!A30</f>
        <v>BB Bread 400g</v>
      </c>
      <c r="D1546" s="27">
        <v>2</v>
      </c>
      <c r="E1546" s="5">
        <f>Table4[[#This Row],[qty]]*(VLOOKUP(Table4[[#This Row],[item_sold]],Table6[],4,FALSE))</f>
        <v>130</v>
      </c>
      <c r="F1546" s="5">
        <f>(VLOOKUP(Table4[[#This Row],[item_sold]],Table6[],3,FALSE))*Table4[[#This Row],[qty]]</f>
        <v>120</v>
      </c>
      <c r="G1546" s="5">
        <f t="shared" si="85"/>
        <v>10</v>
      </c>
      <c r="H1546" t="s">
        <v>361</v>
      </c>
    </row>
    <row r="1547" spans="1:12" x14ac:dyDescent="0.25">
      <c r="A1547" s="1">
        <f t="shared" si="84"/>
        <v>45512</v>
      </c>
      <c r="B1547" s="31">
        <f>TIME(10, 10, 0)</f>
        <v>0.4236111111111111</v>
      </c>
      <c r="C1547" t="str">
        <f>Inventory!A30</f>
        <v>BB Bread 400g</v>
      </c>
      <c r="D1547" s="27">
        <v>1</v>
      </c>
      <c r="E1547" s="5">
        <f>Table4[[#This Row],[qty]]*(VLOOKUP(Table4[[#This Row],[item_sold]],Table6[],4,FALSE))</f>
        <v>65</v>
      </c>
      <c r="F1547" s="5">
        <f>(VLOOKUP(Table4[[#This Row],[item_sold]],Table6[],3,FALSE))*Table4[[#This Row],[qty]]</f>
        <v>60</v>
      </c>
      <c r="G1547" s="5">
        <f t="shared" si="85"/>
        <v>5</v>
      </c>
      <c r="H1547" t="s">
        <v>359</v>
      </c>
      <c r="I1547" t="s">
        <v>386</v>
      </c>
    </row>
    <row r="1548" spans="1:12" x14ac:dyDescent="0.25">
      <c r="A1548" s="1">
        <f t="shared" si="84"/>
        <v>45512</v>
      </c>
      <c r="B1548" s="31">
        <f>TIME(10, 10, 0)</f>
        <v>0.4236111111111111</v>
      </c>
      <c r="C1548" t="str">
        <f>Inventory!A32</f>
        <v>Festive 600g</v>
      </c>
      <c r="D1548" s="27">
        <v>1</v>
      </c>
      <c r="E1548" s="5">
        <f>Table4[[#This Row],[qty]]*(VLOOKUP(Table4[[#This Row],[item_sold]],Table6[],4,FALSE))</f>
        <v>100</v>
      </c>
      <c r="F1548" s="5">
        <f>(VLOOKUP(Table4[[#This Row],[item_sold]],Table6[],3,FALSE))*Table4[[#This Row],[qty]]</f>
        <v>90</v>
      </c>
      <c r="G1548" s="5">
        <f t="shared" si="85"/>
        <v>10</v>
      </c>
      <c r="H1548" t="s">
        <v>359</v>
      </c>
      <c r="I1548" t="s">
        <v>386</v>
      </c>
    </row>
    <row r="1549" spans="1:12" x14ac:dyDescent="0.25">
      <c r="A1549" s="1">
        <f t="shared" si="84"/>
        <v>45512</v>
      </c>
      <c r="B1549" s="31">
        <f>TIME(10, 10, 0)</f>
        <v>0.4236111111111111</v>
      </c>
      <c r="C1549" t="str">
        <f>Inventory!A24</f>
        <v>Brookside milk 500ml</v>
      </c>
      <c r="D1549" s="27">
        <v>2</v>
      </c>
      <c r="E1549" s="5">
        <f>Table4[[#This Row],[qty]]*(VLOOKUP(Table4[[#This Row],[item_sold]],Table6[],4,FALSE))</f>
        <v>140</v>
      </c>
      <c r="F1549" s="5">
        <f>(VLOOKUP(Table4[[#This Row],[item_sold]],Table6[],3,FALSE))*Table4[[#This Row],[qty]]</f>
        <v>118</v>
      </c>
      <c r="G1549" s="5">
        <f t="shared" si="85"/>
        <v>22</v>
      </c>
      <c r="H1549" t="s">
        <v>359</v>
      </c>
      <c r="I1549" t="s">
        <v>386</v>
      </c>
    </row>
    <row r="1550" spans="1:12" x14ac:dyDescent="0.25">
      <c r="A1550" s="1">
        <f t="shared" si="84"/>
        <v>45512</v>
      </c>
      <c r="B1550" s="31">
        <f>TIME(10, 10, 0)</f>
        <v>0.4236111111111111</v>
      </c>
      <c r="C1550" t="str">
        <f>Inventory!A179</f>
        <v>Kienyeji  Eggs</v>
      </c>
      <c r="D1550" s="27">
        <v>4</v>
      </c>
      <c r="E1550" s="5">
        <f>Table4[[#This Row],[qty]]*(VLOOKUP(Table4[[#This Row],[item_sold]],Table6[],4,FALSE))</f>
        <v>120</v>
      </c>
      <c r="F1550" s="5">
        <f>(VLOOKUP(Table4[[#This Row],[item_sold]],Table6[],3,FALSE))*Table4[[#This Row],[qty]]</f>
        <v>80</v>
      </c>
      <c r="G1550" s="5">
        <f t="shared" si="85"/>
        <v>40</v>
      </c>
      <c r="H1550" t="s">
        <v>359</v>
      </c>
      <c r="I1550" t="s">
        <v>386</v>
      </c>
    </row>
    <row r="1551" spans="1:12" x14ac:dyDescent="0.25">
      <c r="A1551" s="1">
        <f t="shared" si="84"/>
        <v>45512</v>
      </c>
      <c r="B1551" s="31">
        <f>TIME(10, 12, 0)</f>
        <v>0.42499999999999999</v>
      </c>
      <c r="C1551" t="str">
        <f>Inventory!A30</f>
        <v>BB Bread 400g</v>
      </c>
      <c r="D1551" s="27">
        <v>1</v>
      </c>
      <c r="E1551" s="5">
        <f>Table4[[#This Row],[qty]]*(VLOOKUP(Table4[[#This Row],[item_sold]],Table6[],4,FALSE))</f>
        <v>65</v>
      </c>
      <c r="F1551" s="5">
        <f>(VLOOKUP(Table4[[#This Row],[item_sold]],Table6[],3,FALSE))*Table4[[#This Row],[qty]]</f>
        <v>60</v>
      </c>
      <c r="G1551" s="5">
        <f t="shared" si="85"/>
        <v>5</v>
      </c>
      <c r="H1551" t="s">
        <v>359</v>
      </c>
      <c r="I1551" t="s">
        <v>406</v>
      </c>
    </row>
    <row r="1552" spans="1:12" x14ac:dyDescent="0.25">
      <c r="A1552" s="1">
        <f t="shared" si="84"/>
        <v>45512</v>
      </c>
      <c r="B1552" s="31">
        <f>TIME(10, 32, 0)</f>
        <v>0.43888888888888888</v>
      </c>
      <c r="C1552" t="str">
        <f>Inventory!A132</f>
        <v>Festive Bread 400g</v>
      </c>
      <c r="D1552" s="27">
        <v>1</v>
      </c>
      <c r="E1552" s="5">
        <f>Table4[[#This Row],[qty]]*(VLOOKUP(Table4[[#This Row],[item_sold]],Table6[],4,FALSE))</f>
        <v>65</v>
      </c>
      <c r="F1552" s="5">
        <f>(VLOOKUP(Table4[[#This Row],[item_sold]],Table6[],3,FALSE))*Table4[[#This Row],[qty]]</f>
        <v>60</v>
      </c>
      <c r="G1552" s="5">
        <f t="shared" si="85"/>
        <v>5</v>
      </c>
      <c r="H1552" t="s">
        <v>359</v>
      </c>
      <c r="I1552" t="s">
        <v>420</v>
      </c>
    </row>
    <row r="1553" spans="1:12" x14ac:dyDescent="0.25">
      <c r="A1553" s="1">
        <f t="shared" si="84"/>
        <v>45512</v>
      </c>
      <c r="B1553" s="31">
        <f>TIME(10, 32, 0)</f>
        <v>0.43888888888888888</v>
      </c>
      <c r="C1553" t="str">
        <f>Inventory!A200</f>
        <v>Softcare diapers</v>
      </c>
      <c r="D1553" s="27">
        <v>1</v>
      </c>
      <c r="E1553" s="5">
        <f>Table4[[#This Row],[qty]]*(VLOOKUP(Table4[[#This Row],[item_sold]],Table6[],4,FALSE))</f>
        <v>20</v>
      </c>
      <c r="F1553" s="5">
        <f>(VLOOKUP(Table4[[#This Row],[item_sold]],Table6[],3,FALSE))*Table4[[#This Row],[qty]]</f>
        <v>15.5</v>
      </c>
      <c r="G1553" s="5">
        <f t="shared" si="85"/>
        <v>4.5</v>
      </c>
      <c r="H1553" t="s">
        <v>359</v>
      </c>
      <c r="I1553" t="s">
        <v>420</v>
      </c>
    </row>
    <row r="1554" spans="1:12" x14ac:dyDescent="0.25">
      <c r="A1554" s="1">
        <f t="shared" si="84"/>
        <v>45512</v>
      </c>
      <c r="B1554" s="31">
        <f>TIME(11, 32, 0)</f>
        <v>0.48055555555555557</v>
      </c>
      <c r="C1554" t="str">
        <f>Inventory!A81</f>
        <v>eggs</v>
      </c>
      <c r="D1554" s="27">
        <v>10</v>
      </c>
      <c r="E1554" s="5">
        <f>Table4[[#This Row],[qty]]*(VLOOKUP(Table4[[#This Row],[item_sold]],Table6[],4,FALSE))</f>
        <v>200</v>
      </c>
      <c r="F1554" s="5">
        <f>(VLOOKUP(Table4[[#This Row],[item_sold]],Table6[],3,FALSE))*Table4[[#This Row],[qty]]</f>
        <v>143.33333333333334</v>
      </c>
      <c r="G1554" s="5">
        <f t="shared" si="85"/>
        <v>56.666666666666657</v>
      </c>
      <c r="H1554" t="s">
        <v>361</v>
      </c>
    </row>
    <row r="1555" spans="1:12" x14ac:dyDescent="0.25">
      <c r="A1555" s="1">
        <f t="shared" si="84"/>
        <v>45512</v>
      </c>
      <c r="B1555" s="31">
        <f>TIME(11, 39, 0)</f>
        <v>0.48541666666666666</v>
      </c>
      <c r="C1555" t="str">
        <f>Inventory!A12</f>
        <v>predator</v>
      </c>
      <c r="D1555" s="27">
        <v>1</v>
      </c>
      <c r="E1555" s="5">
        <f>Table4[[#This Row],[qty]]*(VLOOKUP(Table4[[#This Row],[item_sold]],Table6[],4,FALSE))</f>
        <v>70</v>
      </c>
      <c r="F1555" s="5">
        <f>(VLOOKUP(Table4[[#This Row],[item_sold]],Table6[],3,FALSE))*Table4[[#This Row],[qty]]</f>
        <v>54.166666666666664</v>
      </c>
      <c r="G1555" s="5">
        <f t="shared" si="85"/>
        <v>15.833333333333336</v>
      </c>
      <c r="H1555" t="s">
        <v>361</v>
      </c>
    </row>
    <row r="1556" spans="1:12" x14ac:dyDescent="0.25">
      <c r="A1556" s="1">
        <f t="shared" si="84"/>
        <v>45512</v>
      </c>
      <c r="B1556" s="31">
        <f>TIME(11, 39, 0)</f>
        <v>0.48541666666666666</v>
      </c>
      <c r="C1556" t="str">
        <f>Inventory!A162</f>
        <v>Match Box</v>
      </c>
      <c r="D1556" s="27">
        <v>1</v>
      </c>
      <c r="E1556" s="5">
        <f>Table4[[#This Row],[qty]]*(VLOOKUP(Table4[[#This Row],[item_sold]],Table6[],4,FALSE))</f>
        <v>5</v>
      </c>
      <c r="F1556" s="5">
        <f>(VLOOKUP(Table4[[#This Row],[item_sold]],Table6[],3,FALSE))*Table4[[#This Row],[qty]]</f>
        <v>2.3611111111111112</v>
      </c>
      <c r="G1556" s="5">
        <f t="shared" si="85"/>
        <v>2.6388888888888888</v>
      </c>
      <c r="H1556" t="s">
        <v>361</v>
      </c>
    </row>
    <row r="1557" spans="1:12" x14ac:dyDescent="0.25">
      <c r="A1557" s="1">
        <f t="shared" si="84"/>
        <v>45512</v>
      </c>
      <c r="B1557" s="31">
        <f>TIME(11, 47, 0)</f>
        <v>0.4909722222222222</v>
      </c>
      <c r="C1557" t="str">
        <f>Inventory!A32</f>
        <v>Festive 600g</v>
      </c>
      <c r="D1557" s="27">
        <v>1</v>
      </c>
      <c r="E1557" s="5">
        <f>Table4[[#This Row],[qty]]*(VLOOKUP(Table4[[#This Row],[item_sold]],Table6[],4,FALSE))</f>
        <v>100</v>
      </c>
      <c r="F1557" s="5">
        <f>(VLOOKUP(Table4[[#This Row],[item_sold]],Table6[],3,FALSE))*Table4[[#This Row],[qty]]</f>
        <v>90</v>
      </c>
      <c r="G1557" s="5">
        <f t="shared" si="85"/>
        <v>10</v>
      </c>
      <c r="H1557" t="s">
        <v>361</v>
      </c>
    </row>
    <row r="1558" spans="1:12" x14ac:dyDescent="0.25">
      <c r="A1558" s="1">
        <f t="shared" si="84"/>
        <v>45512</v>
      </c>
      <c r="B1558" s="31">
        <f>TIME(12, 14, 0)</f>
        <v>0.50972222222222219</v>
      </c>
      <c r="C1558" t="str">
        <f>Inventory!A23</f>
        <v>Mt kenya milk 500ml</v>
      </c>
      <c r="D1558" s="27">
        <v>1</v>
      </c>
      <c r="E1558" s="5">
        <f>Table4[[#This Row],[qty]]*(VLOOKUP(Table4[[#This Row],[item_sold]],Table6[],4,FALSE))</f>
        <v>65</v>
      </c>
      <c r="F1558" s="5">
        <f>(VLOOKUP(Table4[[#This Row],[item_sold]],Table6[],3,FALSE))*Table4[[#This Row],[qty]]</f>
        <v>48.333333333333336</v>
      </c>
      <c r="G1558" s="5">
        <f t="shared" si="85"/>
        <v>16.666666666666664</v>
      </c>
      <c r="H1558" t="s">
        <v>359</v>
      </c>
      <c r="I1558" t="s">
        <v>398</v>
      </c>
    </row>
    <row r="1559" spans="1:12" x14ac:dyDescent="0.25">
      <c r="A1559" s="1">
        <f t="shared" si="84"/>
        <v>45512</v>
      </c>
      <c r="B1559" s="31">
        <f>TIME(12, 14, 0)</f>
        <v>0.50972222222222219</v>
      </c>
      <c r="C1559" t="str">
        <f>Inventory!A132</f>
        <v>Festive Bread 400g</v>
      </c>
      <c r="D1559" s="27">
        <v>1</v>
      </c>
      <c r="E1559" s="5">
        <f>Table4[[#This Row],[qty]]*(VLOOKUP(Table4[[#This Row],[item_sold]],Table6[],4,FALSE))</f>
        <v>65</v>
      </c>
      <c r="F1559" s="5">
        <f>(VLOOKUP(Table4[[#This Row],[item_sold]],Table6[],3,FALSE))*Table4[[#This Row],[qty]]</f>
        <v>60</v>
      </c>
      <c r="G1559" s="5">
        <f t="shared" si="85"/>
        <v>5</v>
      </c>
      <c r="H1559" t="s">
        <v>359</v>
      </c>
      <c r="I1559" t="s">
        <v>398</v>
      </c>
    </row>
    <row r="1560" spans="1:12" x14ac:dyDescent="0.25">
      <c r="A1560" s="1">
        <f t="shared" si="84"/>
        <v>45512</v>
      </c>
      <c r="B1560" s="31">
        <f>TIME(12, 14, 0)</f>
        <v>0.50972222222222219</v>
      </c>
      <c r="D1560" s="27"/>
      <c r="F1560" s="5"/>
      <c r="J1560" t="s">
        <v>398</v>
      </c>
      <c r="K1560">
        <v>120</v>
      </c>
      <c r="L1560" t="s">
        <v>247</v>
      </c>
    </row>
    <row r="1561" spans="1:12" x14ac:dyDescent="0.25">
      <c r="A1561" s="1">
        <f t="shared" si="84"/>
        <v>45512</v>
      </c>
      <c r="B1561" s="31">
        <f>TIME(12, 46, 0)</f>
        <v>0.53194444444444444</v>
      </c>
      <c r="C1561" t="str">
        <f>Inventory!A23</f>
        <v>Mt kenya milk 500ml</v>
      </c>
      <c r="D1561" s="27">
        <v>2</v>
      </c>
      <c r="E1561" s="5">
        <f>Table4[[#This Row],[qty]]*(VLOOKUP(Table4[[#This Row],[item_sold]],Table6[],4,FALSE))</f>
        <v>130</v>
      </c>
      <c r="F1561" s="5">
        <f>(VLOOKUP(Table4[[#This Row],[item_sold]],Table6[],3,FALSE))*Table4[[#This Row],[qty]]</f>
        <v>96.666666666666671</v>
      </c>
      <c r="G1561" s="5">
        <f t="shared" si="85"/>
        <v>33.333333333333329</v>
      </c>
      <c r="H1561" t="s">
        <v>247</v>
      </c>
    </row>
    <row r="1562" spans="1:12" x14ac:dyDescent="0.25">
      <c r="A1562" s="1">
        <f t="shared" si="84"/>
        <v>45512</v>
      </c>
      <c r="B1562" s="31">
        <f>TIME(12, 55, 0)</f>
        <v>0.53819444444444442</v>
      </c>
      <c r="C1562" t="str">
        <f>Inventory!A5</f>
        <v>soda 2lts</v>
      </c>
      <c r="D1562" s="27">
        <v>1</v>
      </c>
      <c r="E1562" s="5">
        <f>Table4[[#This Row],[qty]]*(VLOOKUP(Table4[[#This Row],[item_sold]],Table6[],4,FALSE))</f>
        <v>200</v>
      </c>
      <c r="F1562" s="5">
        <f>(VLOOKUP(Table4[[#This Row],[item_sold]],Table6[],3,FALSE))*Table4[[#This Row],[qty]]</f>
        <v>176.66666666666666</v>
      </c>
      <c r="G1562" s="5">
        <f t="shared" si="85"/>
        <v>23.333333333333343</v>
      </c>
      <c r="H1562" t="s">
        <v>361</v>
      </c>
    </row>
    <row r="1563" spans="1:12" x14ac:dyDescent="0.25">
      <c r="A1563" s="1">
        <f t="shared" si="84"/>
        <v>45512</v>
      </c>
      <c r="B1563" s="31">
        <f>TIME(13, 17, 0)</f>
        <v>0.55347222222222225</v>
      </c>
      <c r="C1563" t="str">
        <f>Inventory!A139</f>
        <v>Airtel 10 Credit</v>
      </c>
      <c r="D1563" s="27">
        <v>1</v>
      </c>
      <c r="E1563" s="5">
        <f>Table4[[#This Row],[qty]]*(VLOOKUP(Table4[[#This Row],[item_sold]],Table6[],4,FALSE))</f>
        <v>10</v>
      </c>
      <c r="F1563" s="5">
        <f>(VLOOKUP(Table4[[#This Row],[item_sold]],Table6[],3,FALSE))*Table4[[#This Row],[qty]]</f>
        <v>9</v>
      </c>
      <c r="G1563" s="5">
        <f t="shared" si="85"/>
        <v>1</v>
      </c>
      <c r="H1563" t="s">
        <v>247</v>
      </c>
    </row>
    <row r="1564" spans="1:12" x14ac:dyDescent="0.25">
      <c r="A1564" s="1">
        <f t="shared" si="84"/>
        <v>45512</v>
      </c>
      <c r="B1564" s="31">
        <f>TIME(13, 17, 0)</f>
        <v>0.55347222222222225</v>
      </c>
      <c r="C1564" t="str">
        <f>Inventory!A137</f>
        <v>Safaricom 50 Credit</v>
      </c>
      <c r="D1564" s="27">
        <v>1</v>
      </c>
      <c r="E1564" s="5">
        <f>Table4[[#This Row],[qty]]*(VLOOKUP(Table4[[#This Row],[item_sold]],Table6[],4,FALSE))</f>
        <v>50</v>
      </c>
      <c r="F1564" s="5">
        <f>(VLOOKUP(Table4[[#This Row],[item_sold]],Table6[],3,FALSE))*Table4[[#This Row],[qty]]</f>
        <v>47</v>
      </c>
      <c r="G1564" s="5">
        <f t="shared" si="85"/>
        <v>3</v>
      </c>
      <c r="H1564" t="s">
        <v>247</v>
      </c>
    </row>
    <row r="1565" spans="1:12" x14ac:dyDescent="0.25">
      <c r="A1565" s="1">
        <f t="shared" si="84"/>
        <v>45512</v>
      </c>
      <c r="B1565" s="31">
        <f>TIME(13, 17, 0)</f>
        <v>0.55347222222222225</v>
      </c>
      <c r="C1565" t="str">
        <f>Inventory!A135</f>
        <v>Safaricom 20 Credit</v>
      </c>
      <c r="D1565" s="27">
        <v>2</v>
      </c>
      <c r="E1565" s="5">
        <f>Table4[[#This Row],[qty]]*(VLOOKUP(Table4[[#This Row],[item_sold]],Table6[],4,FALSE))</f>
        <v>40</v>
      </c>
      <c r="F1565" s="5">
        <f>(VLOOKUP(Table4[[#This Row],[item_sold]],Table6[],3,FALSE))*Table4[[#This Row],[qty]]</f>
        <v>36</v>
      </c>
      <c r="G1565" s="5">
        <f t="shared" ref="G1565:G1598" si="86">E1565-F1565</f>
        <v>4</v>
      </c>
      <c r="H1565" t="s">
        <v>247</v>
      </c>
    </row>
    <row r="1566" spans="1:12" x14ac:dyDescent="0.25">
      <c r="A1566" s="1">
        <f t="shared" si="84"/>
        <v>45512</v>
      </c>
      <c r="B1566" s="31">
        <f>TIME(13, 21, 0)</f>
        <v>0.55625000000000002</v>
      </c>
      <c r="C1566" t="str">
        <f>Inventory!A83</f>
        <v>Sportsman</v>
      </c>
      <c r="D1566" s="27">
        <v>2</v>
      </c>
      <c r="E1566" s="5">
        <f>Table4[[#This Row],[qty]]*(VLOOKUP(Table4[[#This Row],[item_sold]],Table6[],4,FALSE))</f>
        <v>40</v>
      </c>
      <c r="F1566" s="5">
        <f>(VLOOKUP(Table4[[#This Row],[item_sold]],Table6[],3,FALSE))*Table4[[#This Row],[qty]]</f>
        <v>26</v>
      </c>
      <c r="G1566" s="5">
        <f t="shared" si="86"/>
        <v>14</v>
      </c>
      <c r="H1566" t="s">
        <v>247</v>
      </c>
    </row>
    <row r="1567" spans="1:12" x14ac:dyDescent="0.25">
      <c r="A1567" s="1">
        <f t="shared" si="84"/>
        <v>45512</v>
      </c>
      <c r="B1567" s="31">
        <f>TIME(13, 21, 0)</f>
        <v>0.55625000000000002</v>
      </c>
      <c r="C1567" t="str">
        <f>Inventory!A48</f>
        <v>Ginger Bisquit</v>
      </c>
      <c r="D1567" s="27">
        <v>2</v>
      </c>
      <c r="E1567" s="5">
        <f>Table4[[#This Row],[qty]]*(VLOOKUP(Table4[[#This Row],[item_sold]],Table6[],4,FALSE))</f>
        <v>10</v>
      </c>
      <c r="F1567" s="5">
        <f>(VLOOKUP(Table4[[#This Row],[item_sold]],Table6[],3,FALSE))*Table4[[#This Row],[qty]]</f>
        <v>8.6666666666666661</v>
      </c>
      <c r="G1567" s="5">
        <f t="shared" si="86"/>
        <v>1.3333333333333339</v>
      </c>
      <c r="H1567" t="s">
        <v>247</v>
      </c>
    </row>
    <row r="1568" spans="1:12" x14ac:dyDescent="0.25">
      <c r="A1568" s="1">
        <f t="shared" si="84"/>
        <v>45512</v>
      </c>
      <c r="B1568" s="31">
        <f>TIME(13, 21, 0)</f>
        <v>0.55625000000000002</v>
      </c>
      <c r="C1568" t="str">
        <f>Inventory!A13</f>
        <v>soda 300ml glass</v>
      </c>
      <c r="D1568" s="27">
        <v>1</v>
      </c>
      <c r="E1568" s="5">
        <f>Table4[[#This Row],[qty]]*(VLOOKUP(Table4[[#This Row],[item_sold]],Table6[],4,FALSE))</f>
        <v>40</v>
      </c>
      <c r="F1568" s="5">
        <f>(VLOOKUP(Table4[[#This Row],[item_sold]],Table6[],3,FALSE))*Table4[[#This Row],[qty]]</f>
        <v>32.5</v>
      </c>
      <c r="G1568" s="5">
        <f t="shared" si="86"/>
        <v>7.5</v>
      </c>
      <c r="H1568" t="s">
        <v>247</v>
      </c>
    </row>
    <row r="1569" spans="1:12" x14ac:dyDescent="0.25">
      <c r="A1569" s="1">
        <f t="shared" si="84"/>
        <v>45512</v>
      </c>
      <c r="B1569" s="31">
        <f>TIME(13, 30, 0)</f>
        <v>0.5625</v>
      </c>
      <c r="C1569" t="str">
        <f>Inventory!A12</f>
        <v>predator</v>
      </c>
      <c r="D1569" s="27">
        <v>1</v>
      </c>
      <c r="E1569" s="5">
        <f>Table4[[#This Row],[qty]]*(VLOOKUP(Table4[[#This Row],[item_sold]],Table6[],4,FALSE))</f>
        <v>70</v>
      </c>
      <c r="F1569" s="5">
        <f>(VLOOKUP(Table4[[#This Row],[item_sold]],Table6[],3,FALSE))*Table4[[#This Row],[qty]]</f>
        <v>54.166666666666664</v>
      </c>
      <c r="G1569" s="5">
        <f t="shared" si="86"/>
        <v>15.833333333333336</v>
      </c>
      <c r="H1569" t="s">
        <v>359</v>
      </c>
      <c r="I1569" t="s">
        <v>401</v>
      </c>
    </row>
    <row r="1570" spans="1:12" x14ac:dyDescent="0.25">
      <c r="A1570" s="1">
        <f t="shared" si="84"/>
        <v>45512</v>
      </c>
      <c r="B1570" s="31">
        <f>TIME(13, 30, 0)</f>
        <v>0.5625</v>
      </c>
      <c r="C1570" t="str">
        <f>Inventory!A44</f>
        <v>Peanut Cookies</v>
      </c>
      <c r="D1570" s="27">
        <v>1</v>
      </c>
      <c r="E1570" s="5">
        <f>Table4[[#This Row],[qty]]*(VLOOKUP(Table4[[#This Row],[item_sold]],Table6[],4,FALSE))</f>
        <v>35</v>
      </c>
      <c r="F1570" s="5">
        <f>(VLOOKUP(Table4[[#This Row],[item_sold]],Table6[],3,FALSE))*Table4[[#This Row],[qty]]</f>
        <v>25</v>
      </c>
      <c r="G1570" s="5">
        <f t="shared" si="86"/>
        <v>10</v>
      </c>
      <c r="H1570" t="s">
        <v>359</v>
      </c>
      <c r="I1570" t="s">
        <v>401</v>
      </c>
    </row>
    <row r="1571" spans="1:12" x14ac:dyDescent="0.25">
      <c r="A1571" s="1">
        <f t="shared" si="84"/>
        <v>45512</v>
      </c>
      <c r="B1571" s="31">
        <f>TIME(13, 33, 0)</f>
        <v>0.56458333333333333</v>
      </c>
      <c r="C1571" t="str">
        <f>Inventory!A123</f>
        <v>Mt Kenya milk 200ml</v>
      </c>
      <c r="D1571" s="27">
        <v>1</v>
      </c>
      <c r="E1571" s="5">
        <f>Table4[[#This Row],[qty]]*(VLOOKUP(Table4[[#This Row],[item_sold]],Table6[],4,FALSE))</f>
        <v>35</v>
      </c>
      <c r="F1571" s="5">
        <f>(VLOOKUP(Table4[[#This Row],[item_sold]],Table6[],3,FALSE))*Table4[[#This Row],[qty]]</f>
        <v>24.285714285714285</v>
      </c>
      <c r="G1571" s="5">
        <f t="shared" si="86"/>
        <v>10.714285714285715</v>
      </c>
      <c r="H1571" t="s">
        <v>247</v>
      </c>
    </row>
    <row r="1572" spans="1:12" x14ac:dyDescent="0.25">
      <c r="A1572" s="1">
        <f t="shared" si="84"/>
        <v>45512</v>
      </c>
      <c r="B1572" s="31">
        <f>TIME(13, 33, 0)</f>
        <v>0.56458333333333333</v>
      </c>
      <c r="C1572" t="str">
        <f>Inventory!A114</f>
        <v>Maramoja</v>
      </c>
      <c r="D1572" s="27">
        <v>2</v>
      </c>
      <c r="E1572" s="5">
        <f>Table4[[#This Row],[qty]]*(VLOOKUP(Table4[[#This Row],[item_sold]],Table6[],4,FALSE))</f>
        <v>20</v>
      </c>
      <c r="F1572" s="5">
        <f>(VLOOKUP(Table4[[#This Row],[item_sold]],Table6[],3,FALSE))*Table4[[#This Row],[qty]]</f>
        <v>14</v>
      </c>
      <c r="G1572" s="5">
        <f t="shared" si="86"/>
        <v>6</v>
      </c>
      <c r="H1572" t="s">
        <v>247</v>
      </c>
    </row>
    <row r="1573" spans="1:12" x14ac:dyDescent="0.25">
      <c r="A1573" s="1">
        <f t="shared" si="84"/>
        <v>45512</v>
      </c>
      <c r="B1573" s="31">
        <f>TIME(13, 37, 0)</f>
        <v>0.56736111111111109</v>
      </c>
      <c r="C1573" t="str">
        <f>Inventory!A114</f>
        <v>Maramoja</v>
      </c>
      <c r="D1573" s="27">
        <v>1</v>
      </c>
      <c r="E1573" s="5">
        <f>Table4[[#This Row],[qty]]*(VLOOKUP(Table4[[#This Row],[item_sold]],Table6[],4,FALSE))</f>
        <v>10</v>
      </c>
      <c r="F1573" s="5">
        <f>(VLOOKUP(Table4[[#This Row],[item_sold]],Table6[],3,FALSE))*Table4[[#This Row],[qty]]</f>
        <v>7</v>
      </c>
      <c r="G1573" s="5">
        <f t="shared" si="86"/>
        <v>3</v>
      </c>
    </row>
    <row r="1574" spans="1:12" x14ac:dyDescent="0.25">
      <c r="A1574" s="1">
        <f t="shared" si="84"/>
        <v>45512</v>
      </c>
      <c r="B1574" s="31">
        <f>TIME(13, 37, 0)</f>
        <v>0.56736111111111109</v>
      </c>
      <c r="C1574" t="str">
        <f>Inventory!A126</f>
        <v>Royco cubes</v>
      </c>
      <c r="D1574" s="27">
        <v>2</v>
      </c>
      <c r="E1574" s="5">
        <f>Table4[[#This Row],[qty]]*(VLOOKUP(Table4[[#This Row],[item_sold]],Table6[],4,FALSE))</f>
        <v>10</v>
      </c>
      <c r="F1574" s="5">
        <f>(VLOOKUP(Table4[[#This Row],[item_sold]],Table6[],3,FALSE))*Table4[[#This Row],[qty]]</f>
        <v>6</v>
      </c>
      <c r="G1574" s="5">
        <f t="shared" si="86"/>
        <v>4</v>
      </c>
    </row>
    <row r="1575" spans="1:12" x14ac:dyDescent="0.25">
      <c r="A1575" s="1">
        <f t="shared" si="84"/>
        <v>45512</v>
      </c>
      <c r="B1575" s="31">
        <f>TIME(13, 42, 0)</f>
        <v>0.5708333333333333</v>
      </c>
      <c r="D1575" s="27"/>
      <c r="F1575" s="5"/>
      <c r="J1575" t="s">
        <v>400</v>
      </c>
      <c r="K1575">
        <v>290</v>
      </c>
      <c r="L1575" t="s">
        <v>361</v>
      </c>
    </row>
    <row r="1576" spans="1:12" x14ac:dyDescent="0.25">
      <c r="A1576" s="1">
        <f t="shared" si="84"/>
        <v>45512</v>
      </c>
      <c r="B1576" s="31">
        <f>TIME(14, 2, 0)</f>
        <v>0.58472222222222225</v>
      </c>
      <c r="C1576" t="str">
        <f>Inventory!A70</f>
        <v>Indomie beef</v>
      </c>
      <c r="D1576" s="27">
        <v>1</v>
      </c>
      <c r="E1576" s="5">
        <f>Table4[[#This Row],[qty]]*(VLOOKUP(Table4[[#This Row],[item_sold]],Table6[],4,FALSE))</f>
        <v>50</v>
      </c>
      <c r="F1576" s="5">
        <f>(VLOOKUP(Table4[[#This Row],[item_sold]],Table6[],3,FALSE))*Table4[[#This Row],[qty]]</f>
        <v>38</v>
      </c>
      <c r="G1576" s="5">
        <f t="shared" si="86"/>
        <v>12</v>
      </c>
      <c r="H1576" t="s">
        <v>361</v>
      </c>
    </row>
    <row r="1577" spans="1:12" x14ac:dyDescent="0.25">
      <c r="A1577" s="1">
        <f t="shared" si="84"/>
        <v>45512</v>
      </c>
      <c r="B1577" s="31">
        <f>TIME(14, 2, 0)</f>
        <v>0.58472222222222225</v>
      </c>
      <c r="C1577" t="str">
        <f>Inventory!A71</f>
        <v>Indomie chicken</v>
      </c>
      <c r="D1577" s="27">
        <v>2</v>
      </c>
      <c r="E1577" s="5">
        <f>Table4[[#This Row],[qty]]*(VLOOKUP(Table4[[#This Row],[item_sold]],Table6[],4,FALSE))</f>
        <v>100</v>
      </c>
      <c r="F1577" s="5">
        <f>(VLOOKUP(Table4[[#This Row],[item_sold]],Table6[],3,FALSE))*Table4[[#This Row],[qty]]</f>
        <v>75</v>
      </c>
      <c r="G1577" s="5">
        <f t="shared" si="86"/>
        <v>25</v>
      </c>
      <c r="H1577" t="s">
        <v>361</v>
      </c>
    </row>
    <row r="1578" spans="1:12" x14ac:dyDescent="0.25">
      <c r="A1578" s="1">
        <f t="shared" si="84"/>
        <v>45512</v>
      </c>
      <c r="B1578" s="31">
        <f>TIME(14, 3, 0)</f>
        <v>0.5854166666666667</v>
      </c>
      <c r="C1578" t="str">
        <f>Inventory!A71</f>
        <v>Indomie chicken</v>
      </c>
      <c r="D1578" s="27">
        <v>1</v>
      </c>
      <c r="E1578" s="5">
        <f>Table4[[#This Row],[qty]]*(VLOOKUP(Table4[[#This Row],[item_sold]],Table6[],4,FALSE))</f>
        <v>50</v>
      </c>
      <c r="F1578" s="5">
        <f>(VLOOKUP(Table4[[#This Row],[item_sold]],Table6[],3,FALSE))*Table4[[#This Row],[qty]]</f>
        <v>37.5</v>
      </c>
      <c r="G1578" s="5">
        <f t="shared" si="86"/>
        <v>12.5</v>
      </c>
      <c r="H1578" t="s">
        <v>361</v>
      </c>
    </row>
    <row r="1579" spans="1:12" x14ac:dyDescent="0.25">
      <c r="A1579" s="1">
        <f t="shared" si="84"/>
        <v>45512</v>
      </c>
      <c r="B1579" s="31">
        <f>TIME(14, 29, 0)</f>
        <v>0.60347222222222219</v>
      </c>
      <c r="C1579" t="str">
        <f>Inventory!A32</f>
        <v>Festive 600g</v>
      </c>
      <c r="D1579" s="27">
        <v>1</v>
      </c>
      <c r="E1579" s="5">
        <f>Table4[[#This Row],[qty]]*(VLOOKUP(Table4[[#This Row],[item_sold]],Table6[],4,FALSE))</f>
        <v>100</v>
      </c>
      <c r="F1579" s="5">
        <f>(VLOOKUP(Table4[[#This Row],[item_sold]],Table6[],3,FALSE))*Table4[[#This Row],[qty]]</f>
        <v>90</v>
      </c>
      <c r="G1579" s="5">
        <f t="shared" si="86"/>
        <v>10</v>
      </c>
      <c r="H1579" t="s">
        <v>361</v>
      </c>
    </row>
    <row r="1580" spans="1:12" x14ac:dyDescent="0.25">
      <c r="A1580" s="1">
        <f t="shared" si="84"/>
        <v>45512</v>
      </c>
      <c r="B1580" s="31">
        <f>TIME(15, 16, 0)</f>
        <v>0.63611111111111118</v>
      </c>
      <c r="C1580" t="str">
        <f>Inventory!A71</f>
        <v>Indomie chicken</v>
      </c>
      <c r="D1580" s="27">
        <v>1</v>
      </c>
      <c r="E1580" s="5">
        <f>Table4[[#This Row],[qty]]*(VLOOKUP(Table4[[#This Row],[item_sold]],Table6[],4,FALSE))</f>
        <v>50</v>
      </c>
      <c r="F1580" s="5">
        <f>(VLOOKUP(Table4[[#This Row],[item_sold]],Table6[],3,FALSE))*Table4[[#This Row],[qty]]</f>
        <v>37.5</v>
      </c>
      <c r="G1580" s="5">
        <f t="shared" si="86"/>
        <v>12.5</v>
      </c>
      <c r="H1580" t="s">
        <v>247</v>
      </c>
    </row>
    <row r="1581" spans="1:12" x14ac:dyDescent="0.25">
      <c r="A1581" s="1">
        <f t="shared" si="84"/>
        <v>45512</v>
      </c>
      <c r="B1581" s="31">
        <f>TIME(15, 44, 0)</f>
        <v>0.65555555555555556</v>
      </c>
      <c r="D1581" s="27"/>
      <c r="F1581" s="5"/>
      <c r="J1581" t="s">
        <v>418</v>
      </c>
      <c r="K1581">
        <v>90</v>
      </c>
      <c r="L1581" t="s">
        <v>361</v>
      </c>
    </row>
    <row r="1582" spans="1:12" x14ac:dyDescent="0.25">
      <c r="A1582" s="1">
        <f t="shared" si="84"/>
        <v>45512</v>
      </c>
      <c r="B1582" s="31">
        <f>TIME(16, 2, 0)</f>
        <v>0.66805555555555562</v>
      </c>
      <c r="C1582" t="str">
        <f>Inventory!A93</f>
        <v>Hanaan Tissue</v>
      </c>
      <c r="D1582" s="27">
        <v>2</v>
      </c>
      <c r="E1582" s="5">
        <f>Table4[[#This Row],[qty]]*(VLOOKUP(Table4[[#This Row],[item_sold]],Table6[],4,FALSE))</f>
        <v>100</v>
      </c>
      <c r="F1582" s="5">
        <f>(VLOOKUP(Table4[[#This Row],[item_sold]],Table6[],3,FALSE))*Table4[[#This Row],[qty]]</f>
        <v>86</v>
      </c>
      <c r="G1582" s="5">
        <f t="shared" si="86"/>
        <v>14</v>
      </c>
      <c r="H1582" t="s">
        <v>361</v>
      </c>
    </row>
    <row r="1583" spans="1:12" x14ac:dyDescent="0.25">
      <c r="A1583" s="1">
        <f t="shared" si="84"/>
        <v>45512</v>
      </c>
      <c r="B1583" s="31">
        <f>TIME(16, 6, 0)</f>
        <v>0.67083333333333339</v>
      </c>
      <c r="C1583" t="str">
        <f>Inventory!A5</f>
        <v>soda 2lts</v>
      </c>
      <c r="D1583" s="27">
        <v>1</v>
      </c>
      <c r="E1583" s="5">
        <f>Table4[[#This Row],[qty]]*(VLOOKUP(Table4[[#This Row],[item_sold]],Table6[],4,FALSE))</f>
        <v>200</v>
      </c>
      <c r="F1583" s="5">
        <f>(VLOOKUP(Table4[[#This Row],[item_sold]],Table6[],3,FALSE))*Table4[[#This Row],[qty]]</f>
        <v>176.66666666666666</v>
      </c>
      <c r="G1583" s="5">
        <f t="shared" si="86"/>
        <v>23.333333333333343</v>
      </c>
      <c r="H1583" t="s">
        <v>247</v>
      </c>
    </row>
    <row r="1584" spans="1:12" x14ac:dyDescent="0.25">
      <c r="A1584" s="1">
        <f t="shared" si="84"/>
        <v>45512</v>
      </c>
      <c r="B1584" s="31">
        <f>TIME(16, 23, 0)</f>
        <v>0.68263888888888891</v>
      </c>
      <c r="C1584" t="str">
        <f>Inventory!A59</f>
        <v>coo</v>
      </c>
      <c r="D1584" s="27">
        <v>8</v>
      </c>
      <c r="E1584" s="5">
        <f>Table4[[#This Row],[qty]]*(VLOOKUP(Table4[[#This Row],[item_sold]],Table6[],4,FALSE))</f>
        <v>20</v>
      </c>
      <c r="F1584" s="5">
        <f>(VLOOKUP(Table4[[#This Row],[item_sold]],Table6[],3,FALSE))*Table4[[#This Row],[qty]]</f>
        <v>9.6</v>
      </c>
      <c r="G1584" s="5">
        <f t="shared" si="86"/>
        <v>10.4</v>
      </c>
      <c r="H1584" t="s">
        <v>247</v>
      </c>
    </row>
    <row r="1585" spans="1:12" x14ac:dyDescent="0.25">
      <c r="A1585" s="1">
        <f t="shared" si="84"/>
        <v>45512</v>
      </c>
      <c r="B1585" s="31">
        <f>TIME(16, 19, 0)</f>
        <v>0.67986111111111114</v>
      </c>
      <c r="D1585" s="27"/>
      <c r="F1585" s="5"/>
      <c r="J1585" t="s">
        <v>384</v>
      </c>
      <c r="K1585">
        <v>355</v>
      </c>
      <c r="L1585" t="s">
        <v>361</v>
      </c>
    </row>
    <row r="1586" spans="1:12" x14ac:dyDescent="0.25">
      <c r="A1586" s="1">
        <f t="shared" si="84"/>
        <v>45512</v>
      </c>
      <c r="B1586" s="31">
        <f>TIME(17, 37, 0)</f>
        <v>0.73402777777777783</v>
      </c>
      <c r="C1586" t="str">
        <f>Inventory!A201</f>
        <v>Nail cutter</v>
      </c>
      <c r="D1586" s="27">
        <v>1</v>
      </c>
      <c r="E1586" s="5">
        <f>Table4[[#This Row],[qty]]*(VLOOKUP(Table4[[#This Row],[item_sold]],Table6[],4,FALSE))</f>
        <v>40</v>
      </c>
      <c r="F1586" s="5">
        <f>(VLOOKUP(Table4[[#This Row],[item_sold]],Table6[],3,FALSE))*Table4[[#This Row],[qty]]</f>
        <v>30</v>
      </c>
      <c r="G1586" s="5">
        <f t="shared" si="86"/>
        <v>10</v>
      </c>
      <c r="H1586" t="s">
        <v>361</v>
      </c>
    </row>
    <row r="1587" spans="1:12" x14ac:dyDescent="0.25">
      <c r="A1587" s="1">
        <f t="shared" si="84"/>
        <v>45512</v>
      </c>
      <c r="B1587" s="31">
        <f>TIME(17, 37, 0)</f>
        <v>0.73402777777777783</v>
      </c>
      <c r="C1587" t="str">
        <f>Inventory!A65</f>
        <v>Tropical</v>
      </c>
      <c r="D1587" s="27">
        <v>2</v>
      </c>
      <c r="E1587" s="5">
        <f>Table4[[#This Row],[qty]]*(VLOOKUP(Table4[[#This Row],[item_sold]],Table6[],4,FALSE))</f>
        <v>10</v>
      </c>
      <c r="F1587" s="5">
        <f>(VLOOKUP(Table4[[#This Row],[item_sold]],Table6[],3,FALSE))*Table4[[#This Row],[qty]]</f>
        <v>3</v>
      </c>
      <c r="G1587" s="5">
        <f t="shared" si="86"/>
        <v>7</v>
      </c>
      <c r="H1587" t="s">
        <v>361</v>
      </c>
    </row>
    <row r="1588" spans="1:12" x14ac:dyDescent="0.25">
      <c r="A1588" s="1">
        <f t="shared" si="84"/>
        <v>45512</v>
      </c>
      <c r="B1588" s="31">
        <f>TIME(18, 14, 0)</f>
        <v>0.7597222222222223</v>
      </c>
      <c r="C1588" t="str">
        <f>Inventory!A119</f>
        <v>Magadi</v>
      </c>
      <c r="D1588" s="27">
        <v>1</v>
      </c>
      <c r="E1588" s="5">
        <f>Table4[[#This Row],[qty]]*(VLOOKUP(Table4[[#This Row],[item_sold]],Table6[],4,FALSE))</f>
        <v>5</v>
      </c>
      <c r="F1588" s="5">
        <f>(VLOOKUP(Table4[[#This Row],[item_sold]],Table6[],3,FALSE))*Table4[[#This Row],[qty]]</f>
        <v>3</v>
      </c>
      <c r="G1588" s="5">
        <f t="shared" si="86"/>
        <v>2</v>
      </c>
      <c r="H1588" t="s">
        <v>359</v>
      </c>
      <c r="I1588" t="s">
        <v>384</v>
      </c>
    </row>
    <row r="1589" spans="1:12" x14ac:dyDescent="0.25">
      <c r="A1589" s="1">
        <f t="shared" si="84"/>
        <v>45512</v>
      </c>
      <c r="B1589" s="31">
        <f>TIME(18, 15, 0)</f>
        <v>0.76041666666666663</v>
      </c>
      <c r="C1589" t="str">
        <f>Inventory!A14</f>
        <v>soda 500ml glass</v>
      </c>
      <c r="D1589" s="27">
        <v>1</v>
      </c>
      <c r="E1589" s="5">
        <f>Table4[[#This Row],[qty]]*(VLOOKUP(Table4[[#This Row],[item_sold]],Table6[],4,FALSE))</f>
        <v>55</v>
      </c>
      <c r="F1589" s="5">
        <f>(VLOOKUP(Table4[[#This Row],[item_sold]],Table6[],3,FALSE))*Table4[[#This Row],[qty]]</f>
        <v>50</v>
      </c>
      <c r="G1589" s="5">
        <f t="shared" si="86"/>
        <v>5</v>
      </c>
      <c r="H1589" t="s">
        <v>247</v>
      </c>
    </row>
    <row r="1590" spans="1:12" x14ac:dyDescent="0.25">
      <c r="A1590" s="1">
        <f t="shared" si="84"/>
        <v>45512</v>
      </c>
      <c r="B1590" s="31">
        <f>TIME(18, 42, 0)</f>
        <v>0.77916666666666667</v>
      </c>
      <c r="C1590" t="str">
        <f>Inventory!A61</f>
        <v>Bigdaddy</v>
      </c>
      <c r="D1590" s="27">
        <v>1</v>
      </c>
      <c r="E1590" s="5">
        <f>Table4[[#This Row],[qty]]*(VLOOKUP(Table4[[#This Row],[item_sold]],Table6[],4,FALSE))</f>
        <v>10</v>
      </c>
      <c r="F1590" s="5">
        <f>(VLOOKUP(Table4[[#This Row],[item_sold]],Table6[],3,FALSE))*Table4[[#This Row],[qty]]</f>
        <v>6</v>
      </c>
      <c r="G1590" s="5">
        <f t="shared" si="86"/>
        <v>4</v>
      </c>
      <c r="H1590" t="s">
        <v>247</v>
      </c>
    </row>
    <row r="1591" spans="1:12" x14ac:dyDescent="0.25">
      <c r="A1591" s="1">
        <f t="shared" si="84"/>
        <v>45512</v>
      </c>
      <c r="B1591" s="31">
        <f>TIME(18, 52, 0)</f>
        <v>0.78611111111111109</v>
      </c>
      <c r="C1591" t="str">
        <f>Inventory!A149</f>
        <v>Menengai Bar 1kg</v>
      </c>
      <c r="D1591" s="27">
        <v>0.2</v>
      </c>
      <c r="E1591" s="5">
        <f>Table4[[#This Row],[qty]]*(VLOOKUP(Table4[[#This Row],[item_sold]],Table6[],4,FALSE))</f>
        <v>50</v>
      </c>
      <c r="F1591" s="5">
        <f>(VLOOKUP(Table4[[#This Row],[item_sold]],Table6[],3,FALSE))*Table4[[#This Row],[qty]]</f>
        <v>38</v>
      </c>
      <c r="G1591" s="5">
        <f t="shared" si="86"/>
        <v>12</v>
      </c>
      <c r="H1591" t="s">
        <v>359</v>
      </c>
      <c r="I1591" t="s">
        <v>401</v>
      </c>
    </row>
    <row r="1592" spans="1:12" x14ac:dyDescent="0.25">
      <c r="A1592" s="1">
        <f t="shared" si="84"/>
        <v>45512</v>
      </c>
      <c r="B1592" s="31">
        <f>TIME(18, 52, 0)</f>
        <v>0.78611111111111109</v>
      </c>
      <c r="C1592" t="str">
        <f>Inventory!A115</f>
        <v>Onion</v>
      </c>
      <c r="D1592" s="27">
        <v>1</v>
      </c>
      <c r="E1592" s="5">
        <f>Table4[[#This Row],[qty]]*(VLOOKUP(Table4[[#This Row],[item_sold]],Table6[],4,FALSE))</f>
        <v>10</v>
      </c>
      <c r="F1592" s="5">
        <f>(VLOOKUP(Table4[[#This Row],[item_sold]],Table6[],3,FALSE))*Table4[[#This Row],[qty]]</f>
        <v>8</v>
      </c>
      <c r="G1592" s="5">
        <f t="shared" si="86"/>
        <v>2</v>
      </c>
      <c r="H1592" t="s">
        <v>359</v>
      </c>
      <c r="I1592" t="s">
        <v>401</v>
      </c>
    </row>
    <row r="1593" spans="1:12" x14ac:dyDescent="0.25">
      <c r="A1593" s="1">
        <f t="shared" si="84"/>
        <v>45512</v>
      </c>
      <c r="B1593" s="31">
        <f>TIME(18, 50, 0)</f>
        <v>0.78472222222222221</v>
      </c>
      <c r="C1593" t="str">
        <f>Inventory!A30</f>
        <v>BB Bread 400g</v>
      </c>
      <c r="D1593" s="27">
        <v>1</v>
      </c>
      <c r="E1593" s="5">
        <f>Table4[[#This Row],[qty]]*(VLOOKUP(Table4[[#This Row],[item_sold]],Table6[],4,FALSE))</f>
        <v>65</v>
      </c>
      <c r="F1593" s="5">
        <f>(VLOOKUP(Table4[[#This Row],[item_sold]],Table6[],3,FALSE))*Table4[[#This Row],[qty]]</f>
        <v>60</v>
      </c>
      <c r="G1593" s="5">
        <f t="shared" si="86"/>
        <v>5</v>
      </c>
      <c r="H1593" t="s">
        <v>361</v>
      </c>
    </row>
    <row r="1594" spans="1:12" x14ac:dyDescent="0.25">
      <c r="A1594" s="1">
        <f t="shared" si="84"/>
        <v>45512</v>
      </c>
      <c r="B1594" s="31">
        <f>TIME(18, 50, 0)</f>
        <v>0.78472222222222221</v>
      </c>
      <c r="C1594" t="str">
        <f>Inventory!A132</f>
        <v>Festive Bread 400g</v>
      </c>
      <c r="D1594" s="27">
        <v>1</v>
      </c>
      <c r="E1594" s="5">
        <f>Table4[[#This Row],[qty]]*(VLOOKUP(Table4[[#This Row],[item_sold]],Table6[],4,FALSE))</f>
        <v>65</v>
      </c>
      <c r="F1594" s="5">
        <f>(VLOOKUP(Table4[[#This Row],[item_sold]],Table6[],3,FALSE))*Table4[[#This Row],[qty]]</f>
        <v>60</v>
      </c>
      <c r="G1594" s="5">
        <f t="shared" si="86"/>
        <v>5</v>
      </c>
      <c r="H1594" t="s">
        <v>361</v>
      </c>
    </row>
    <row r="1595" spans="1:12" x14ac:dyDescent="0.25">
      <c r="A1595" s="1">
        <f t="shared" si="84"/>
        <v>45512</v>
      </c>
      <c r="B1595" s="31">
        <f>TIME(18, 50, 0)</f>
        <v>0.78472222222222221</v>
      </c>
      <c r="C1595" t="str">
        <f>Inventory!A94</f>
        <v>Bella Tissue</v>
      </c>
      <c r="D1595" s="27">
        <v>1</v>
      </c>
      <c r="E1595" s="5">
        <f>Table4[[#This Row],[qty]]*(VLOOKUP(Table4[[#This Row],[item_sold]],Table6[],4,FALSE))</f>
        <v>45</v>
      </c>
      <c r="F1595" s="5">
        <f>(VLOOKUP(Table4[[#This Row],[item_sold]],Table6[],3,FALSE))*Table4[[#This Row],[qty]]</f>
        <v>35</v>
      </c>
      <c r="G1595" s="5">
        <f t="shared" si="86"/>
        <v>10</v>
      </c>
      <c r="H1595" t="s">
        <v>361</v>
      </c>
    </row>
    <row r="1596" spans="1:12" x14ac:dyDescent="0.25">
      <c r="A1596" s="1">
        <f t="shared" si="84"/>
        <v>45512</v>
      </c>
      <c r="B1596" s="31">
        <f>TIME(18, 50, 0)</f>
        <v>0.78472222222222221</v>
      </c>
      <c r="D1596" s="27"/>
      <c r="F1596" s="5"/>
      <c r="J1596" t="s">
        <v>394</v>
      </c>
      <c r="K1596">
        <v>50</v>
      </c>
      <c r="L1596" t="s">
        <v>361</v>
      </c>
    </row>
    <row r="1597" spans="1:12" x14ac:dyDescent="0.25">
      <c r="A1597" s="1">
        <f t="shared" si="84"/>
        <v>45512</v>
      </c>
      <c r="B1597" s="31">
        <f>TIME(19, 24, 0)</f>
        <v>0.80833333333333324</v>
      </c>
      <c r="C1597" t="str">
        <f>Inventory!A50</f>
        <v>Ring Cake</v>
      </c>
      <c r="D1597" s="27">
        <v>2</v>
      </c>
      <c r="E1597" s="5">
        <f>Table4[[#This Row],[qty]]*(VLOOKUP(Table4[[#This Row],[item_sold]],Table6[],4,FALSE))</f>
        <v>100</v>
      </c>
      <c r="F1597" s="5">
        <f>(VLOOKUP(Table4[[#This Row],[item_sold]],Table6[],3,FALSE))*Table4[[#This Row],[qty]]</f>
        <v>90</v>
      </c>
      <c r="G1597" s="5">
        <f t="shared" si="86"/>
        <v>10</v>
      </c>
      <c r="H1597" t="s">
        <v>361</v>
      </c>
    </row>
    <row r="1598" spans="1:12" x14ac:dyDescent="0.25">
      <c r="A1598" s="1">
        <f t="shared" si="84"/>
        <v>45512</v>
      </c>
      <c r="B1598" s="31">
        <f>TIME(19, 24, 0)</f>
        <v>0.80833333333333324</v>
      </c>
      <c r="C1598" t="str">
        <f>Inventory!A179</f>
        <v>Kienyeji  Eggs</v>
      </c>
      <c r="D1598" s="27">
        <v>30</v>
      </c>
      <c r="E1598" s="5">
        <f>Table4[[#This Row],[qty]]*(VLOOKUP(Table4[[#This Row],[item_sold]],Table6[],4,FALSE))</f>
        <v>900</v>
      </c>
      <c r="F1598" s="5">
        <f>(VLOOKUP(Table4[[#This Row],[item_sold]],Table6[],3,FALSE))*Table4[[#This Row],[qty]]</f>
        <v>600</v>
      </c>
      <c r="G1598" s="5">
        <f t="shared" si="86"/>
        <v>300</v>
      </c>
      <c r="H1598" t="s">
        <v>361</v>
      </c>
    </row>
    <row r="1599" spans="1:12" x14ac:dyDescent="0.25">
      <c r="A1599" s="1">
        <f t="shared" si="84"/>
        <v>45512</v>
      </c>
      <c r="B1599" s="31">
        <f>TIME(19, 25, 0)</f>
        <v>0.80902777777777779</v>
      </c>
      <c r="C1599" t="str">
        <f>Inventory!A23</f>
        <v>Mt kenya milk 500ml</v>
      </c>
      <c r="D1599" s="27">
        <v>1</v>
      </c>
      <c r="E1599" s="5">
        <f>Table4[[#This Row],[qty]]*(VLOOKUP(Table4[[#This Row],[item_sold]],Table6[],4,FALSE))</f>
        <v>65</v>
      </c>
      <c r="F1599" s="5">
        <f>(VLOOKUP(Table4[[#This Row],[item_sold]],Table6[],3,FALSE))*Table4[[#This Row],[qty]]</f>
        <v>48.333333333333336</v>
      </c>
      <c r="G1599" s="5">
        <f t="shared" ref="G1599:G1613" si="87">E1599-F1599</f>
        <v>16.666666666666664</v>
      </c>
      <c r="H1599" t="s">
        <v>359</v>
      </c>
      <c r="I1599" t="s">
        <v>384</v>
      </c>
    </row>
    <row r="1600" spans="1:12" x14ac:dyDescent="0.25">
      <c r="A1600" s="1">
        <f t="shared" ref="A1600:A1607" si="88">DATE(2024,8,8)</f>
        <v>45512</v>
      </c>
      <c r="B1600" s="31">
        <f>TIME(19, 50, 0)</f>
        <v>0.82638888888888884</v>
      </c>
      <c r="C1600" t="str">
        <f>Inventory!A75</f>
        <v>kensalt 500g</v>
      </c>
      <c r="D1600" s="27">
        <v>1</v>
      </c>
      <c r="E1600" s="5">
        <f>Table4[[#This Row],[qty]]*(VLOOKUP(Table4[[#This Row],[item_sold]],Table6[],4,FALSE))</f>
        <v>25</v>
      </c>
      <c r="F1600" s="5">
        <f>(VLOOKUP(Table4[[#This Row],[item_sold]],Table6[],3,FALSE))*Table4[[#This Row],[qty]]</f>
        <v>14</v>
      </c>
      <c r="G1600" s="5">
        <f t="shared" si="87"/>
        <v>11</v>
      </c>
      <c r="H1600" t="s">
        <v>247</v>
      </c>
    </row>
    <row r="1601" spans="1:9" x14ac:dyDescent="0.25">
      <c r="A1601" s="1">
        <f t="shared" si="88"/>
        <v>45512</v>
      </c>
      <c r="B1601" s="31">
        <f>TIME(20, 30, 0)</f>
        <v>0.85416666666666663</v>
      </c>
      <c r="C1601" t="str">
        <f>Inventory!A91</f>
        <v>Chapa Mandashi</v>
      </c>
      <c r="D1601" s="27">
        <v>1</v>
      </c>
      <c r="E1601" s="5">
        <f>Table4[[#This Row],[qty]]*(VLOOKUP(Table4[[#This Row],[item_sold]],Table6[],4,FALSE))</f>
        <v>40</v>
      </c>
      <c r="F1601" s="5">
        <f>(VLOOKUP(Table4[[#This Row],[item_sold]],Table6[],3,FALSE))*Table4[[#This Row],[qty]]</f>
        <v>26.666666666666668</v>
      </c>
      <c r="G1601" s="5">
        <f t="shared" si="87"/>
        <v>13.333333333333332</v>
      </c>
      <c r="H1601" t="s">
        <v>359</v>
      </c>
      <c r="I1601" t="s">
        <v>398</v>
      </c>
    </row>
    <row r="1602" spans="1:9" x14ac:dyDescent="0.25">
      <c r="A1602" s="1">
        <f t="shared" si="88"/>
        <v>45512</v>
      </c>
      <c r="B1602" s="31">
        <f>TIME(20, 30, 0)</f>
        <v>0.85416666666666663</v>
      </c>
      <c r="C1602" t="str">
        <f>Inventory!A23</f>
        <v>Mt kenya milk 500ml</v>
      </c>
      <c r="D1602" s="27">
        <v>1</v>
      </c>
      <c r="E1602" s="5">
        <f>Table4[[#This Row],[qty]]*(VLOOKUP(Table4[[#This Row],[item_sold]],Table6[],4,FALSE))</f>
        <v>65</v>
      </c>
      <c r="F1602" s="5">
        <f>(VLOOKUP(Table4[[#This Row],[item_sold]],Table6[],3,FALSE))*Table4[[#This Row],[qty]]</f>
        <v>48.333333333333336</v>
      </c>
      <c r="G1602" s="5">
        <f t="shared" si="87"/>
        <v>16.666666666666664</v>
      </c>
      <c r="H1602" t="s">
        <v>359</v>
      </c>
      <c r="I1602" t="s">
        <v>398</v>
      </c>
    </row>
    <row r="1603" spans="1:9" x14ac:dyDescent="0.25">
      <c r="A1603" s="1">
        <f t="shared" si="88"/>
        <v>45512</v>
      </c>
      <c r="B1603" s="31">
        <f>TIME(20, 30, 0)</f>
        <v>0.85416666666666663</v>
      </c>
      <c r="C1603" t="str">
        <f>Inventory!A123</f>
        <v>Mt Kenya milk 200ml</v>
      </c>
      <c r="D1603" s="27">
        <v>1</v>
      </c>
      <c r="E1603" s="5">
        <f>Table4[[#This Row],[qty]]*(VLOOKUP(Table4[[#This Row],[item_sold]],Table6[],4,FALSE))</f>
        <v>35</v>
      </c>
      <c r="F1603" s="5">
        <f>(VLOOKUP(Table4[[#This Row],[item_sold]],Table6[],3,FALSE))*Table4[[#This Row],[qty]]</f>
        <v>24.285714285714285</v>
      </c>
      <c r="G1603" s="5">
        <f t="shared" si="87"/>
        <v>10.714285714285715</v>
      </c>
      <c r="H1603" t="s">
        <v>359</v>
      </c>
      <c r="I1603" t="s">
        <v>398</v>
      </c>
    </row>
    <row r="1604" spans="1:9" x14ac:dyDescent="0.25">
      <c r="A1604" s="1">
        <f t="shared" si="88"/>
        <v>45512</v>
      </c>
      <c r="B1604" s="31">
        <f>TIME(20, 40, 0)</f>
        <v>0.86111111111111116</v>
      </c>
      <c r="C1604" t="str">
        <f>Inventory!A116</f>
        <v>Tomatoes</v>
      </c>
      <c r="D1604" s="27">
        <v>3</v>
      </c>
      <c r="E1604" s="5">
        <f>Table4[[#This Row],[qty]]*(VLOOKUP(Table4[[#This Row],[item_sold]],Table6[],4,FALSE))</f>
        <v>30</v>
      </c>
      <c r="F1604" s="5">
        <f>(VLOOKUP(Table4[[#This Row],[item_sold]],Table6[],3,FALSE))*Table4[[#This Row],[qty]]</f>
        <v>15</v>
      </c>
      <c r="G1604" s="5">
        <f t="shared" si="87"/>
        <v>15</v>
      </c>
      <c r="H1604" t="s">
        <v>359</v>
      </c>
      <c r="I1604" t="s">
        <v>385</v>
      </c>
    </row>
    <row r="1605" spans="1:9" x14ac:dyDescent="0.25">
      <c r="A1605" s="1">
        <f t="shared" si="88"/>
        <v>45512</v>
      </c>
      <c r="B1605" s="31">
        <f>TIME(20, 40, 0)</f>
        <v>0.86111111111111116</v>
      </c>
      <c r="C1605" t="str">
        <f>Inventory!A122</f>
        <v>Kinangop Fresh Milk 500ml</v>
      </c>
      <c r="D1605" s="27">
        <v>2</v>
      </c>
      <c r="E1605" s="5">
        <f>Table4[[#This Row],[qty]]*(VLOOKUP(Table4[[#This Row],[item_sold]],Table6[],4,FALSE))</f>
        <v>120</v>
      </c>
      <c r="F1605" s="5">
        <f>(VLOOKUP(Table4[[#This Row],[item_sold]],Table6[],3,FALSE))*Table4[[#This Row],[qty]]</f>
        <v>110</v>
      </c>
      <c r="G1605" s="5">
        <f t="shared" si="87"/>
        <v>10</v>
      </c>
      <c r="H1605" t="s">
        <v>359</v>
      </c>
      <c r="I1605" t="s">
        <v>385</v>
      </c>
    </row>
    <row r="1606" spans="1:9" x14ac:dyDescent="0.25">
      <c r="A1606" s="1">
        <f t="shared" si="88"/>
        <v>45512</v>
      </c>
      <c r="B1606" s="31">
        <f>TIME(20, 40, 0)</f>
        <v>0.86111111111111116</v>
      </c>
      <c r="C1606" t="str">
        <f>Inventory!A30</f>
        <v>BB Bread 400g</v>
      </c>
      <c r="D1606" s="27">
        <v>1</v>
      </c>
      <c r="E1606" s="5">
        <f>Table4[[#This Row],[qty]]*(VLOOKUP(Table4[[#This Row],[item_sold]],Table6[],4,FALSE))</f>
        <v>65</v>
      </c>
      <c r="F1606" s="5">
        <f>(VLOOKUP(Table4[[#This Row],[item_sold]],Table6[],3,FALSE))*Table4[[#This Row],[qty]]</f>
        <v>60</v>
      </c>
      <c r="G1606" s="5">
        <f t="shared" si="87"/>
        <v>5</v>
      </c>
      <c r="H1606" t="s">
        <v>359</v>
      </c>
      <c r="I1606" t="s">
        <v>385</v>
      </c>
    </row>
    <row r="1607" spans="1:9" x14ac:dyDescent="0.25">
      <c r="A1607" s="1">
        <f t="shared" si="88"/>
        <v>45512</v>
      </c>
      <c r="B1607" s="31">
        <f>TIME(20, 40, 0)</f>
        <v>0.86111111111111116</v>
      </c>
      <c r="C1607" t="str">
        <f>Inventory!A66</f>
        <v>Gumballs</v>
      </c>
      <c r="D1607" s="27">
        <v>5</v>
      </c>
      <c r="E1607" s="5">
        <f>Table4[[#This Row],[qty]]*(VLOOKUP(Table4[[#This Row],[item_sold]],Table6[],4,FALSE))</f>
        <v>5</v>
      </c>
      <c r="F1607" s="5">
        <f>(VLOOKUP(Table4[[#This Row],[item_sold]],Table6[],3,FALSE))*Table4[[#This Row],[qty]]</f>
        <v>3.5</v>
      </c>
      <c r="G1607" s="5">
        <f t="shared" si="87"/>
        <v>1.5</v>
      </c>
      <c r="H1607" t="s">
        <v>359</v>
      </c>
      <c r="I1607" t="s">
        <v>385</v>
      </c>
    </row>
    <row r="1608" spans="1:9" x14ac:dyDescent="0.25">
      <c r="A1608" s="1">
        <f>DATE(2024,8,9)</f>
        <v>45513</v>
      </c>
      <c r="B1608" s="31">
        <f>TIME(8, 30, 0)</f>
        <v>0.35416666666666669</v>
      </c>
      <c r="C1608" t="str">
        <f>Inventory!A132</f>
        <v>Festive Bread 400g</v>
      </c>
      <c r="D1608" s="27">
        <v>1</v>
      </c>
      <c r="E1608" s="5">
        <f>Table4[[#This Row],[qty]]*(VLOOKUP(Table4[[#This Row],[item_sold]],Table6[],4,FALSE))</f>
        <v>65</v>
      </c>
      <c r="F1608" s="5">
        <f>(VLOOKUP(Table4[[#This Row],[item_sold]],Table6[],3,FALSE))*Table4[[#This Row],[qty]]</f>
        <v>60</v>
      </c>
      <c r="G1608" s="5">
        <f t="shared" si="87"/>
        <v>5</v>
      </c>
      <c r="H1608" t="s">
        <v>359</v>
      </c>
      <c r="I1608" t="s">
        <v>384</v>
      </c>
    </row>
    <row r="1609" spans="1:9" x14ac:dyDescent="0.25">
      <c r="A1609" s="1">
        <f t="shared" ref="A1609:A1672" si="89">DATE(2024,8,9)</f>
        <v>45513</v>
      </c>
      <c r="B1609" s="31">
        <f>TIME(8, 30, 0)</f>
        <v>0.35416666666666669</v>
      </c>
      <c r="C1609" t="str">
        <f>Inventory!A23</f>
        <v>Mt kenya milk 500ml</v>
      </c>
      <c r="D1609" s="27">
        <v>1</v>
      </c>
      <c r="E1609" s="5">
        <f>Table4[[#This Row],[qty]]*(VLOOKUP(Table4[[#This Row],[item_sold]],Table6[],4,FALSE))</f>
        <v>65</v>
      </c>
      <c r="F1609" s="5">
        <f>(VLOOKUP(Table4[[#This Row],[item_sold]],Table6[],3,FALSE))*Table4[[#This Row],[qty]]</f>
        <v>48.333333333333336</v>
      </c>
      <c r="G1609" s="5">
        <f t="shared" si="87"/>
        <v>16.666666666666664</v>
      </c>
      <c r="H1609" t="s">
        <v>359</v>
      </c>
      <c r="I1609" t="s">
        <v>384</v>
      </c>
    </row>
    <row r="1610" spans="1:9" x14ac:dyDescent="0.25">
      <c r="A1610" s="1">
        <f t="shared" si="89"/>
        <v>45513</v>
      </c>
      <c r="B1610" s="31">
        <f>TIME(8, 30, 0)</f>
        <v>0.35416666666666669</v>
      </c>
      <c r="C1610" t="str">
        <f>Inventory!A27</f>
        <v>Fahari Tea 15g</v>
      </c>
      <c r="D1610" s="27">
        <v>1</v>
      </c>
      <c r="E1610" s="5">
        <f>Table4[[#This Row],[qty]]*(VLOOKUP(Table4[[#This Row],[item_sold]],Table6[],4,FALSE))</f>
        <v>15</v>
      </c>
      <c r="F1610" s="5">
        <f>(VLOOKUP(Table4[[#This Row],[item_sold]],Table6[],3,FALSE))*Table4[[#This Row],[qty]]</f>
        <v>9.1666666666666661</v>
      </c>
      <c r="G1610" s="5">
        <f t="shared" si="87"/>
        <v>5.8333333333333339</v>
      </c>
      <c r="H1610" t="s">
        <v>359</v>
      </c>
      <c r="I1610" t="s">
        <v>384</v>
      </c>
    </row>
    <row r="1611" spans="1:9" x14ac:dyDescent="0.25">
      <c r="A1611" s="1">
        <f t="shared" si="89"/>
        <v>45513</v>
      </c>
      <c r="B1611" s="31">
        <f>TIME(8, 30, 0)</f>
        <v>0.35416666666666669</v>
      </c>
      <c r="C1611" t="str">
        <f>Inventory!A177</f>
        <v>Kamande</v>
      </c>
      <c r="D1611" s="27">
        <v>0.25</v>
      </c>
      <c r="E1611" s="5">
        <f>Table4[[#This Row],[qty]]*(VLOOKUP(Table4[[#This Row],[item_sold]],Table6[],4,FALSE))</f>
        <v>87.5</v>
      </c>
      <c r="F1611" s="5">
        <f>(VLOOKUP(Table4[[#This Row],[item_sold]],Table6[],3,FALSE))*Table4[[#This Row],[qty]]</f>
        <v>75</v>
      </c>
      <c r="G1611" s="5">
        <f t="shared" si="87"/>
        <v>12.5</v>
      </c>
      <c r="H1611" t="s">
        <v>359</v>
      </c>
      <c r="I1611" t="s">
        <v>384</v>
      </c>
    </row>
    <row r="1612" spans="1:9" x14ac:dyDescent="0.25">
      <c r="A1612" s="1">
        <f t="shared" si="89"/>
        <v>45513</v>
      </c>
      <c r="B1612" s="31">
        <f>TIME(8, 30, 0)</f>
        <v>0.35416666666666669</v>
      </c>
      <c r="C1612" t="str">
        <f>Inventory!A153</f>
        <v>Pishori rice</v>
      </c>
      <c r="D1612" s="27">
        <v>0.5</v>
      </c>
      <c r="E1612" s="5">
        <f>Table4[[#This Row],[qty]]*(VLOOKUP(Table4[[#This Row],[item_sold]],Table6[],4,FALSE))</f>
        <v>110</v>
      </c>
      <c r="F1612" s="5">
        <f>(VLOOKUP(Table4[[#This Row],[item_sold]],Table6[],3,FALSE))*Table4[[#This Row],[qty]]</f>
        <v>90</v>
      </c>
      <c r="G1612" s="5">
        <f t="shared" si="87"/>
        <v>20</v>
      </c>
      <c r="H1612" t="s">
        <v>359</v>
      </c>
      <c r="I1612" t="s">
        <v>384</v>
      </c>
    </row>
    <row r="1613" spans="1:9" x14ac:dyDescent="0.25">
      <c r="A1613" s="1">
        <f t="shared" si="89"/>
        <v>45513</v>
      </c>
      <c r="B1613" s="31">
        <f>TIME(8, 39, 0)</f>
        <v>0.36041666666666666</v>
      </c>
      <c r="C1613" t="str">
        <f>Inventory!A86</f>
        <v>Medium Colgate Toothbrush</v>
      </c>
      <c r="D1613" s="27">
        <v>1</v>
      </c>
      <c r="E1613" s="5">
        <f>Table4[[#This Row],[qty]]*(VLOOKUP(Table4[[#This Row],[item_sold]],Table6[],4,FALSE))</f>
        <v>40</v>
      </c>
      <c r="F1613" s="5">
        <f>(VLOOKUP(Table4[[#This Row],[item_sold]],Table6[],3,FALSE))*Table4[[#This Row],[qty]]</f>
        <v>25</v>
      </c>
      <c r="G1613" s="5">
        <f t="shared" si="87"/>
        <v>15</v>
      </c>
      <c r="H1613" t="s">
        <v>247</v>
      </c>
    </row>
    <row r="1614" spans="1:9" x14ac:dyDescent="0.25">
      <c r="A1614" s="1">
        <f t="shared" si="89"/>
        <v>45513</v>
      </c>
      <c r="B1614" s="31">
        <f>TIME(8, 39, 0)</f>
        <v>0.36041666666666666</v>
      </c>
      <c r="C1614" t="str">
        <f>Inventory!A68</f>
        <v>scooter cans</v>
      </c>
      <c r="D1614" s="27">
        <v>1</v>
      </c>
      <c r="E1614" s="5">
        <f>Table4[[#This Row],[qty]]*(VLOOKUP(Table4[[#This Row],[item_sold]],Table6[],4,FALSE))</f>
        <v>20</v>
      </c>
      <c r="F1614" s="5">
        <f>(VLOOKUP(Table4[[#This Row],[item_sold]],Table6[],3,FALSE))*Table4[[#This Row],[qty]]</f>
        <v>15</v>
      </c>
      <c r="G1614" s="5">
        <f t="shared" ref="G1614:G1655" si="90">E1614-F1614</f>
        <v>5</v>
      </c>
      <c r="H1614" t="s">
        <v>247</v>
      </c>
    </row>
    <row r="1615" spans="1:9" x14ac:dyDescent="0.25">
      <c r="A1615" s="1">
        <f t="shared" si="89"/>
        <v>45513</v>
      </c>
      <c r="B1615" s="31">
        <f>TIME(9, 18, 0)</f>
        <v>0.38750000000000001</v>
      </c>
      <c r="C1615" t="str">
        <f>Inventory!A123</f>
        <v>Mt Kenya milk 200ml</v>
      </c>
      <c r="D1615" s="27">
        <v>1</v>
      </c>
      <c r="E1615" s="5">
        <f>Table4[[#This Row],[qty]]*(VLOOKUP(Table4[[#This Row],[item_sold]],Table6[],4,FALSE))</f>
        <v>35</v>
      </c>
      <c r="F1615" s="5">
        <f>(VLOOKUP(Table4[[#This Row],[item_sold]],Table6[],3,FALSE))*Table4[[#This Row],[qty]]</f>
        <v>24.285714285714285</v>
      </c>
      <c r="G1615" s="5">
        <f t="shared" si="90"/>
        <v>10.714285714285715</v>
      </c>
      <c r="H1615" t="s">
        <v>247</v>
      </c>
    </row>
    <row r="1616" spans="1:9" x14ac:dyDescent="0.25">
      <c r="A1616" s="1">
        <f t="shared" si="89"/>
        <v>45513</v>
      </c>
      <c r="B1616" s="31">
        <f>TIME(9, 18, 0)</f>
        <v>0.38750000000000001</v>
      </c>
      <c r="C1616" t="str">
        <f>Inventory!A46</f>
        <v>Nuvita Bisquit</v>
      </c>
      <c r="D1616" s="27">
        <v>1</v>
      </c>
      <c r="E1616" s="5">
        <f>Table4[[#This Row],[qty]]*(VLOOKUP(Table4[[#This Row],[item_sold]],Table6[],4,FALSE))</f>
        <v>5</v>
      </c>
      <c r="F1616" s="5">
        <f>(VLOOKUP(Table4[[#This Row],[item_sold]],Table6[],3,FALSE))*Table4[[#This Row],[qty]]</f>
        <v>4.166666666666667</v>
      </c>
      <c r="G1616" s="5">
        <f t="shared" si="90"/>
        <v>0.83333333333333304</v>
      </c>
      <c r="H1616" t="s">
        <v>247</v>
      </c>
    </row>
    <row r="1617" spans="1:12" x14ac:dyDescent="0.25">
      <c r="A1617" s="1">
        <f t="shared" si="89"/>
        <v>45513</v>
      </c>
      <c r="B1617" s="31">
        <f>TIME(9, 19, 0)</f>
        <v>0.38819444444444445</v>
      </c>
      <c r="C1617" t="str">
        <f>Inventory!A18</f>
        <v>kinangop250g youghurt</v>
      </c>
      <c r="D1617" s="27">
        <v>1</v>
      </c>
      <c r="E1617" s="5">
        <f>Table4[[#This Row],[qty]]*(VLOOKUP(Table4[[#This Row],[item_sold]],Table6[],4,FALSE))</f>
        <v>60</v>
      </c>
      <c r="F1617" s="5">
        <f>(VLOOKUP(Table4[[#This Row],[item_sold]],Table6[],3,FALSE))*Table4[[#This Row],[qty]]</f>
        <v>48.333333333333336</v>
      </c>
      <c r="G1617" s="5">
        <f t="shared" si="90"/>
        <v>11.666666666666664</v>
      </c>
      <c r="H1617" t="s">
        <v>247</v>
      </c>
    </row>
    <row r="1618" spans="1:12" x14ac:dyDescent="0.25">
      <c r="A1618" s="1">
        <f t="shared" si="89"/>
        <v>45513</v>
      </c>
      <c r="B1618" s="31">
        <f>TIME(9, 30, 0)</f>
        <v>0.39583333333333331</v>
      </c>
      <c r="C1618" t="str">
        <f>Inventory!A31</f>
        <v>BB Bread 200g</v>
      </c>
      <c r="D1618" s="27">
        <v>1</v>
      </c>
      <c r="E1618" s="5">
        <f>Table4[[#This Row],[qty]]*(VLOOKUP(Table4[[#This Row],[item_sold]],Table6[],4,FALSE))</f>
        <v>40</v>
      </c>
      <c r="F1618" s="5">
        <f>(VLOOKUP(Table4[[#This Row],[item_sold]],Table6[],3,FALSE))*Table4[[#This Row],[qty]]</f>
        <v>35</v>
      </c>
      <c r="G1618" s="5">
        <f t="shared" si="90"/>
        <v>5</v>
      </c>
      <c r="H1618" t="s">
        <v>247</v>
      </c>
    </row>
    <row r="1619" spans="1:12" x14ac:dyDescent="0.25">
      <c r="A1619" s="1">
        <f t="shared" si="89"/>
        <v>45513</v>
      </c>
      <c r="B1619" s="31">
        <f>TIME(9, 36, 0)</f>
        <v>0.39999999999999997</v>
      </c>
      <c r="C1619" t="str">
        <f>Inventory!A91</f>
        <v>Chapa Mandashi</v>
      </c>
      <c r="D1619" s="27">
        <v>1</v>
      </c>
      <c r="E1619" s="5">
        <f>Table4[[#This Row],[qty]]*(VLOOKUP(Table4[[#This Row],[item_sold]],Table6[],4,FALSE))</f>
        <v>40</v>
      </c>
      <c r="F1619" s="5">
        <f>(VLOOKUP(Table4[[#This Row],[item_sold]],Table6[],3,FALSE))*Table4[[#This Row],[qty]]</f>
        <v>26.666666666666668</v>
      </c>
      <c r="G1619" s="5">
        <f t="shared" si="90"/>
        <v>13.333333333333332</v>
      </c>
      <c r="H1619" t="s">
        <v>359</v>
      </c>
      <c r="I1619" t="s">
        <v>392</v>
      </c>
    </row>
    <row r="1620" spans="1:12" x14ac:dyDescent="0.25">
      <c r="A1620" s="1">
        <f t="shared" si="89"/>
        <v>45513</v>
      </c>
      <c r="B1620" s="31">
        <f>TIME(10, 3, 0)</f>
        <v>0.41875000000000001</v>
      </c>
      <c r="C1620" t="str">
        <f>Inventory!A88</f>
        <v>Ajab 1kg</v>
      </c>
      <c r="D1620" s="27">
        <v>1</v>
      </c>
      <c r="E1620" s="5">
        <f>Table4[[#This Row],[qty]]*(VLOOKUP(Table4[[#This Row],[item_sold]],Table6[],4,FALSE))</f>
        <v>120</v>
      </c>
      <c r="F1620" s="5">
        <f>(VLOOKUP(Table4[[#This Row],[item_sold]],Table6[],3,FALSE))*Table4[[#This Row],[qty]]</f>
        <v>87.5</v>
      </c>
      <c r="G1620" s="5">
        <f t="shared" si="90"/>
        <v>32.5</v>
      </c>
      <c r="H1620" t="s">
        <v>361</v>
      </c>
    </row>
    <row r="1621" spans="1:12" x14ac:dyDescent="0.25">
      <c r="A1621" s="1">
        <f t="shared" si="89"/>
        <v>45513</v>
      </c>
      <c r="B1621" s="31">
        <f>TIME(10, 3, 0)</f>
        <v>0.41875000000000001</v>
      </c>
      <c r="C1621" t="str">
        <f>Inventory!A81</f>
        <v>eggs</v>
      </c>
      <c r="D1621" s="27">
        <v>2</v>
      </c>
      <c r="E1621" s="5">
        <f>Table4[[#This Row],[qty]]*(VLOOKUP(Table4[[#This Row],[item_sold]],Table6[],4,FALSE))</f>
        <v>40</v>
      </c>
      <c r="F1621" s="5">
        <f>(VLOOKUP(Table4[[#This Row],[item_sold]],Table6[],3,FALSE))*Table4[[#This Row],[qty]]</f>
        <v>28.666666666666668</v>
      </c>
      <c r="G1621" s="5">
        <f t="shared" si="90"/>
        <v>11.333333333333332</v>
      </c>
      <c r="H1621" t="s">
        <v>361</v>
      </c>
    </row>
    <row r="1622" spans="1:12" x14ac:dyDescent="0.25">
      <c r="A1622" s="1">
        <f t="shared" si="89"/>
        <v>45513</v>
      </c>
      <c r="B1622" s="31">
        <f>TIME(10, 11, 0)</f>
        <v>0.42430555555555555</v>
      </c>
      <c r="C1622" t="str">
        <f>Inventory!A200</f>
        <v>Softcare diapers</v>
      </c>
      <c r="D1622" s="27">
        <v>1</v>
      </c>
      <c r="E1622" s="5">
        <f>Table4[[#This Row],[qty]]*(VLOOKUP(Table4[[#This Row],[item_sold]],Table6[],4,FALSE))</f>
        <v>20</v>
      </c>
      <c r="F1622" s="5">
        <f>(VLOOKUP(Table4[[#This Row],[item_sold]],Table6[],3,FALSE))*Table4[[#This Row],[qty]]</f>
        <v>15.5</v>
      </c>
      <c r="G1622" s="5">
        <f t="shared" si="90"/>
        <v>4.5</v>
      </c>
      <c r="H1622" t="s">
        <v>359</v>
      </c>
      <c r="I1622" t="s">
        <v>421</v>
      </c>
      <c r="J1622" t="s">
        <v>421</v>
      </c>
      <c r="K1622">
        <v>100</v>
      </c>
      <c r="L1622" t="s">
        <v>247</v>
      </c>
    </row>
    <row r="1623" spans="1:12" x14ac:dyDescent="0.25">
      <c r="A1623" s="1">
        <f t="shared" si="89"/>
        <v>45513</v>
      </c>
      <c r="B1623" s="31">
        <f>TIME(10, 11, 0)</f>
        <v>0.42430555555555555</v>
      </c>
      <c r="C1623" t="str">
        <f>Inventory!A24</f>
        <v>Brookside milk 500ml</v>
      </c>
      <c r="D1623" s="27">
        <v>1</v>
      </c>
      <c r="E1623" s="5">
        <f>Table4[[#This Row],[qty]]*(VLOOKUP(Table4[[#This Row],[item_sold]],Table6[],4,FALSE))</f>
        <v>70</v>
      </c>
      <c r="F1623" s="5">
        <f>(VLOOKUP(Table4[[#This Row],[item_sold]],Table6[],3,FALSE))*Table4[[#This Row],[qty]]</f>
        <v>59</v>
      </c>
      <c r="G1623" s="5">
        <f t="shared" si="90"/>
        <v>11</v>
      </c>
      <c r="H1623" t="s">
        <v>359</v>
      </c>
      <c r="I1623" t="s">
        <v>421</v>
      </c>
      <c r="J1623" t="s">
        <v>421</v>
      </c>
      <c r="K1623">
        <v>75</v>
      </c>
      <c r="L1623" t="s">
        <v>361</v>
      </c>
    </row>
    <row r="1624" spans="1:12" x14ac:dyDescent="0.25">
      <c r="A1624" s="1">
        <f t="shared" si="89"/>
        <v>45513</v>
      </c>
      <c r="B1624" s="31">
        <f>TIME(10, 11, 0)</f>
        <v>0.42430555555555555</v>
      </c>
      <c r="C1624" t="str">
        <f>Inventory!A132</f>
        <v>Festive Bread 400g</v>
      </c>
      <c r="D1624" s="27">
        <v>1</v>
      </c>
      <c r="E1624" s="5">
        <f>Table4[[#This Row],[qty]]*(VLOOKUP(Table4[[#This Row],[item_sold]],Table6[],4,FALSE))</f>
        <v>65</v>
      </c>
      <c r="F1624" s="5">
        <f>(VLOOKUP(Table4[[#This Row],[item_sold]],Table6[],3,FALSE))*Table4[[#This Row],[qty]]</f>
        <v>60</v>
      </c>
      <c r="G1624" s="5">
        <f t="shared" si="90"/>
        <v>5</v>
      </c>
      <c r="H1624" t="s">
        <v>359</v>
      </c>
      <c r="I1624" t="s">
        <v>421</v>
      </c>
    </row>
    <row r="1625" spans="1:12" x14ac:dyDescent="0.25">
      <c r="A1625" s="1">
        <f t="shared" si="89"/>
        <v>45513</v>
      </c>
      <c r="B1625" s="31">
        <f>TIME(10, 16, 0)</f>
        <v>0.42777777777777781</v>
      </c>
      <c r="C1625" t="str">
        <f>Inventory!A97</f>
        <v>Softcare pads</v>
      </c>
      <c r="D1625" s="27">
        <v>1</v>
      </c>
      <c r="E1625" s="5">
        <f>Table4[[#This Row],[qty]]*(VLOOKUP(Table4[[#This Row],[item_sold]],Table6[],4,FALSE))</f>
        <v>85</v>
      </c>
      <c r="F1625" s="5">
        <f>(VLOOKUP(Table4[[#This Row],[item_sold]],Table6[],3,FALSE))*Table4[[#This Row],[qty]]</f>
        <v>66</v>
      </c>
      <c r="G1625" s="5">
        <f t="shared" si="90"/>
        <v>19</v>
      </c>
      <c r="H1625" t="s">
        <v>247</v>
      </c>
    </row>
    <row r="1626" spans="1:12" x14ac:dyDescent="0.25">
      <c r="A1626" s="1">
        <f t="shared" si="89"/>
        <v>45513</v>
      </c>
      <c r="B1626" s="31">
        <f>TIME(10, 16, 0)</f>
        <v>0.42777777777777781</v>
      </c>
      <c r="C1626" t="str">
        <f>Inventory!A63</f>
        <v>Gomba</v>
      </c>
      <c r="D1626" s="27">
        <v>1</v>
      </c>
      <c r="E1626" s="5">
        <f>Table4[[#This Row],[qty]]*(VLOOKUP(Table4[[#This Row],[item_sold]],Table6[],4,FALSE))</f>
        <v>2.5</v>
      </c>
      <c r="F1626" s="5">
        <f>(VLOOKUP(Table4[[#This Row],[item_sold]],Table6[],3,FALSE))*Table4[[#This Row],[qty]]</f>
        <v>1.8</v>
      </c>
      <c r="G1626" s="5">
        <f t="shared" si="90"/>
        <v>0.7</v>
      </c>
      <c r="H1626" t="s">
        <v>247</v>
      </c>
    </row>
    <row r="1627" spans="1:12" x14ac:dyDescent="0.25">
      <c r="A1627" s="1">
        <f t="shared" si="89"/>
        <v>45513</v>
      </c>
      <c r="B1627" s="31">
        <f>TIME(10, 16, 0)</f>
        <v>0.42777777777777781</v>
      </c>
      <c r="C1627" t="str">
        <f>Inventory!A139</f>
        <v>Airtel 10 Credit</v>
      </c>
      <c r="D1627" s="27">
        <v>1</v>
      </c>
      <c r="E1627" s="5">
        <f>Table4[[#This Row],[qty]]*(VLOOKUP(Table4[[#This Row],[item_sold]],Table6[],4,FALSE))</f>
        <v>10</v>
      </c>
      <c r="F1627" s="5">
        <f>(VLOOKUP(Table4[[#This Row],[item_sold]],Table6[],3,FALSE))*Table4[[#This Row],[qty]]</f>
        <v>9</v>
      </c>
      <c r="G1627" s="5">
        <f t="shared" si="90"/>
        <v>1</v>
      </c>
      <c r="H1627" t="s">
        <v>247</v>
      </c>
    </row>
    <row r="1628" spans="1:12" x14ac:dyDescent="0.25">
      <c r="A1628" s="1">
        <f t="shared" si="89"/>
        <v>45513</v>
      </c>
      <c r="B1628" s="31">
        <f>TIME(10, 45, 0)</f>
        <v>0.44791666666666669</v>
      </c>
      <c r="C1628" t="str">
        <f>Inventory!A46</f>
        <v>Nuvita Bisquit</v>
      </c>
      <c r="D1628" s="27">
        <v>4</v>
      </c>
      <c r="E1628" s="5">
        <f>Table4[[#This Row],[qty]]*(VLOOKUP(Table4[[#This Row],[item_sold]],Table6[],4,FALSE))</f>
        <v>20</v>
      </c>
      <c r="F1628" s="5">
        <f>(VLOOKUP(Table4[[#This Row],[item_sold]],Table6[],3,FALSE))*Table4[[#This Row],[qty]]</f>
        <v>16.666666666666668</v>
      </c>
      <c r="G1628" s="5">
        <f t="shared" si="90"/>
        <v>3.3333333333333321</v>
      </c>
      <c r="H1628" t="s">
        <v>247</v>
      </c>
    </row>
    <row r="1629" spans="1:12" x14ac:dyDescent="0.25">
      <c r="A1629" s="1">
        <f t="shared" si="89"/>
        <v>45513</v>
      </c>
      <c r="B1629" s="31">
        <f>TIME(10, 50, 0)</f>
        <v>0.4513888888888889</v>
      </c>
      <c r="C1629" t="str">
        <f>Inventory!A81</f>
        <v>eggs</v>
      </c>
      <c r="D1629" s="27">
        <v>10</v>
      </c>
      <c r="E1629" s="5">
        <f>Table4[[#This Row],[qty]]*(VLOOKUP(Table4[[#This Row],[item_sold]],Table6[],4,FALSE))</f>
        <v>200</v>
      </c>
      <c r="F1629" s="5">
        <f>(VLOOKUP(Table4[[#This Row],[item_sold]],Table6[],3,FALSE))*Table4[[#This Row],[qty]]</f>
        <v>143.33333333333334</v>
      </c>
      <c r="G1629" s="5">
        <f t="shared" si="90"/>
        <v>56.666666666666657</v>
      </c>
      <c r="H1629" t="s">
        <v>359</v>
      </c>
      <c r="I1629" t="s">
        <v>404</v>
      </c>
    </row>
    <row r="1630" spans="1:12" x14ac:dyDescent="0.25">
      <c r="A1630" s="1">
        <f t="shared" si="89"/>
        <v>45513</v>
      </c>
      <c r="B1630" s="31">
        <f t="shared" ref="B1630:B1648" si="91">TIME(10, 50, 0)</f>
        <v>0.4513888888888889</v>
      </c>
      <c r="C1630" t="str">
        <f>Inventory!A115</f>
        <v>Onion</v>
      </c>
      <c r="D1630" s="27">
        <v>5</v>
      </c>
      <c r="E1630" s="5">
        <f>Table4[[#This Row],[qty]]*(VLOOKUP(Table4[[#This Row],[item_sold]],Table6[],4,FALSE))</f>
        <v>50</v>
      </c>
      <c r="F1630" s="5">
        <f>(VLOOKUP(Table4[[#This Row],[item_sold]],Table6[],3,FALSE))*Table4[[#This Row],[qty]]</f>
        <v>40</v>
      </c>
      <c r="G1630" s="5">
        <f t="shared" si="90"/>
        <v>10</v>
      </c>
      <c r="H1630" t="s">
        <v>359</v>
      </c>
      <c r="I1630" t="s">
        <v>404</v>
      </c>
    </row>
    <row r="1631" spans="1:12" x14ac:dyDescent="0.25">
      <c r="A1631" s="1">
        <f t="shared" si="89"/>
        <v>45513</v>
      </c>
      <c r="B1631" s="31">
        <f t="shared" si="91"/>
        <v>0.4513888888888889</v>
      </c>
      <c r="C1631" t="str">
        <f>Inventory!A116</f>
        <v>Tomatoes</v>
      </c>
      <c r="D1631" s="27">
        <v>5</v>
      </c>
      <c r="E1631" s="5">
        <f>Table4[[#This Row],[qty]]*(VLOOKUP(Table4[[#This Row],[item_sold]],Table6[],4,FALSE))</f>
        <v>50</v>
      </c>
      <c r="F1631" s="5">
        <f>(VLOOKUP(Table4[[#This Row],[item_sold]],Table6[],3,FALSE))*Table4[[#This Row],[qty]]</f>
        <v>25</v>
      </c>
      <c r="G1631" s="5">
        <f t="shared" si="90"/>
        <v>25</v>
      </c>
      <c r="H1631" t="s">
        <v>359</v>
      </c>
      <c r="I1631" t="s">
        <v>404</v>
      </c>
    </row>
    <row r="1632" spans="1:12" x14ac:dyDescent="0.25">
      <c r="A1632" s="1">
        <f t="shared" si="89"/>
        <v>45513</v>
      </c>
      <c r="B1632" s="31">
        <f t="shared" si="91"/>
        <v>0.4513888888888889</v>
      </c>
      <c r="C1632" t="str">
        <f>Inventory!A92</f>
        <v>Freshfry</v>
      </c>
      <c r="D1632" s="27">
        <v>1</v>
      </c>
      <c r="E1632" s="5">
        <f>Table4[[#This Row],[qty]]*(VLOOKUP(Table4[[#This Row],[item_sold]],Table6[],4,FALSE))</f>
        <v>350</v>
      </c>
      <c r="F1632" s="5">
        <f>(VLOOKUP(Table4[[#This Row],[item_sold]],Table6[],3,FALSE))*Table4[[#This Row],[qty]]</f>
        <v>290</v>
      </c>
      <c r="G1632" s="5">
        <f t="shared" si="90"/>
        <v>60</v>
      </c>
      <c r="H1632" t="s">
        <v>359</v>
      </c>
      <c r="I1632" t="s">
        <v>404</v>
      </c>
    </row>
    <row r="1633" spans="1:9" x14ac:dyDescent="0.25">
      <c r="A1633" s="1">
        <f t="shared" si="89"/>
        <v>45513</v>
      </c>
      <c r="B1633" s="31">
        <f t="shared" si="91"/>
        <v>0.4513888888888889</v>
      </c>
      <c r="C1633" t="str">
        <f>Inventory!A80</f>
        <v>Blueband 250g</v>
      </c>
      <c r="D1633" s="27">
        <v>1</v>
      </c>
      <c r="E1633" s="5">
        <f>Table4[[#This Row],[qty]]*(VLOOKUP(Table4[[#This Row],[item_sold]],Table6[],4,FALSE))</f>
        <v>190</v>
      </c>
      <c r="F1633" s="5">
        <f>(VLOOKUP(Table4[[#This Row],[item_sold]],Table6[],3,FALSE))*Table4[[#This Row],[qty]]</f>
        <v>140</v>
      </c>
      <c r="G1633" s="5">
        <f t="shared" si="90"/>
        <v>50</v>
      </c>
      <c r="H1633" t="s">
        <v>359</v>
      </c>
      <c r="I1633" t="s">
        <v>404</v>
      </c>
    </row>
    <row r="1634" spans="1:9" x14ac:dyDescent="0.25">
      <c r="A1634" s="1">
        <f t="shared" si="89"/>
        <v>45513</v>
      </c>
      <c r="B1634" s="31">
        <f t="shared" si="91"/>
        <v>0.4513888888888889</v>
      </c>
      <c r="C1634" t="str">
        <f>Inventory!A32</f>
        <v>Festive 600g</v>
      </c>
      <c r="D1634" s="27">
        <v>1</v>
      </c>
      <c r="E1634" s="5">
        <f>Table4[[#This Row],[qty]]*(VLOOKUP(Table4[[#This Row],[item_sold]],Table6[],4,FALSE))</f>
        <v>100</v>
      </c>
      <c r="F1634" s="5">
        <f>(VLOOKUP(Table4[[#This Row],[item_sold]],Table6[],3,FALSE))*Table4[[#This Row],[qty]]</f>
        <v>90</v>
      </c>
      <c r="G1634" s="5">
        <f t="shared" si="90"/>
        <v>10</v>
      </c>
      <c r="H1634" t="s">
        <v>359</v>
      </c>
      <c r="I1634" t="s">
        <v>404</v>
      </c>
    </row>
    <row r="1635" spans="1:9" x14ac:dyDescent="0.25">
      <c r="A1635" s="1">
        <f t="shared" si="89"/>
        <v>45513</v>
      </c>
      <c r="B1635" s="31">
        <f t="shared" si="91"/>
        <v>0.4513888888888889</v>
      </c>
      <c r="C1635" t="str">
        <f>Inventory!A14</f>
        <v>soda 500ml glass</v>
      </c>
      <c r="D1635" s="27">
        <v>1</v>
      </c>
      <c r="E1635" s="5">
        <f>Table4[[#This Row],[qty]]*(VLOOKUP(Table4[[#This Row],[item_sold]],Table6[],4,FALSE))</f>
        <v>55</v>
      </c>
      <c r="F1635" s="5">
        <f>(VLOOKUP(Table4[[#This Row],[item_sold]],Table6[],3,FALSE))*Table4[[#This Row],[qty]]</f>
        <v>50</v>
      </c>
      <c r="G1635" s="5">
        <f t="shared" si="90"/>
        <v>5</v>
      </c>
      <c r="H1635" t="s">
        <v>359</v>
      </c>
      <c r="I1635" t="s">
        <v>404</v>
      </c>
    </row>
    <row r="1636" spans="1:9" x14ac:dyDescent="0.25">
      <c r="A1636" s="1">
        <f t="shared" si="89"/>
        <v>45513</v>
      </c>
      <c r="B1636" s="31">
        <f t="shared" si="91"/>
        <v>0.4513888888888889</v>
      </c>
      <c r="C1636" t="str">
        <f>Inventory!A185</f>
        <v>Milo</v>
      </c>
      <c r="D1636" s="27">
        <v>2</v>
      </c>
      <c r="E1636" s="5">
        <f>Table4[[#This Row],[qty]]*(VLOOKUP(Table4[[#This Row],[item_sold]],Table6[],4,FALSE))</f>
        <v>40</v>
      </c>
      <c r="F1636" s="5">
        <f>(VLOOKUP(Table4[[#This Row],[item_sold]],Table6[],3,FALSE))*Table4[[#This Row],[qty]]</f>
        <v>35.833333333333336</v>
      </c>
      <c r="G1636" s="5">
        <f t="shared" si="90"/>
        <v>4.1666666666666643</v>
      </c>
      <c r="H1636" t="s">
        <v>359</v>
      </c>
      <c r="I1636" t="s">
        <v>404</v>
      </c>
    </row>
    <row r="1637" spans="1:9" x14ac:dyDescent="0.25">
      <c r="A1637" s="1">
        <f t="shared" si="89"/>
        <v>45513</v>
      </c>
      <c r="B1637" s="31">
        <f t="shared" si="91"/>
        <v>0.4513888888888889</v>
      </c>
      <c r="C1637" t="str">
        <f>Inventory!A26</f>
        <v>Nescafe 1.5g</v>
      </c>
      <c r="D1637" s="27">
        <v>3</v>
      </c>
      <c r="E1637" s="5">
        <f>Table4[[#This Row],[qty]]*(VLOOKUP(Table4[[#This Row],[item_sold]],Table6[],4,FALSE))</f>
        <v>45</v>
      </c>
      <c r="F1637" s="5">
        <f>(VLOOKUP(Table4[[#This Row],[item_sold]],Table6[],3,FALSE))*Table4[[#This Row],[qty]]</f>
        <v>27.5</v>
      </c>
      <c r="G1637" s="5">
        <f t="shared" si="90"/>
        <v>17.5</v>
      </c>
      <c r="H1637" t="s">
        <v>359</v>
      </c>
      <c r="I1637" t="s">
        <v>404</v>
      </c>
    </row>
    <row r="1638" spans="1:9" x14ac:dyDescent="0.25">
      <c r="A1638" s="1">
        <f t="shared" si="89"/>
        <v>45513</v>
      </c>
      <c r="B1638" s="31">
        <f t="shared" si="91"/>
        <v>0.4513888888888889</v>
      </c>
      <c r="C1638" t="str">
        <f>Inventory!A104</f>
        <v>Toss 100g</v>
      </c>
      <c r="D1638" s="27">
        <v>1</v>
      </c>
      <c r="E1638" s="5">
        <f>Table4[[#This Row],[qty]]*(VLOOKUP(Table4[[#This Row],[item_sold]],Table6[],4,FALSE))</f>
        <v>60</v>
      </c>
      <c r="F1638" s="5">
        <f>(VLOOKUP(Table4[[#This Row],[item_sold]],Table6[],3,FALSE))*Table4[[#This Row],[qty]]</f>
        <v>36.666666666666664</v>
      </c>
      <c r="G1638" s="5">
        <f t="shared" si="90"/>
        <v>23.333333333333336</v>
      </c>
      <c r="H1638" t="s">
        <v>359</v>
      </c>
      <c r="I1638" t="s">
        <v>404</v>
      </c>
    </row>
    <row r="1639" spans="1:9" x14ac:dyDescent="0.25">
      <c r="A1639" s="1">
        <f t="shared" si="89"/>
        <v>45513</v>
      </c>
      <c r="B1639" s="31">
        <f t="shared" si="91"/>
        <v>0.4513888888888889</v>
      </c>
      <c r="C1639" t="str">
        <f>Inventory!A108</f>
        <v>ariel 75g</v>
      </c>
      <c r="D1639" s="27">
        <v>2</v>
      </c>
      <c r="E1639" s="5">
        <f>Table4[[#This Row],[qty]]*(VLOOKUP(Table4[[#This Row],[item_sold]],Table6[],4,FALSE))</f>
        <v>70</v>
      </c>
      <c r="F1639" s="5">
        <f>(VLOOKUP(Table4[[#This Row],[item_sold]],Table6[],3,FALSE))*Table4[[#This Row],[qty]]</f>
        <v>55</v>
      </c>
      <c r="G1639" s="5">
        <f t="shared" si="90"/>
        <v>15</v>
      </c>
      <c r="H1639" t="s">
        <v>359</v>
      </c>
      <c r="I1639" t="s">
        <v>404</v>
      </c>
    </row>
    <row r="1640" spans="1:9" x14ac:dyDescent="0.25">
      <c r="A1640" s="1">
        <f t="shared" si="89"/>
        <v>45513</v>
      </c>
      <c r="B1640" s="31">
        <f t="shared" si="91"/>
        <v>0.4513888888888889</v>
      </c>
      <c r="C1640" t="str">
        <f>Inventory!A89</f>
        <v>Tukuza 1kg</v>
      </c>
      <c r="D1640" s="27">
        <v>2</v>
      </c>
      <c r="E1640" s="5">
        <f>Table4[[#This Row],[qty]]*(VLOOKUP(Table4[[#This Row],[item_sold]],Table6[],4,FALSE))</f>
        <v>180</v>
      </c>
      <c r="F1640" s="5">
        <f>(VLOOKUP(Table4[[#This Row],[item_sold]],Table6[],3,FALSE))*Table4[[#This Row],[qty]]</f>
        <v>122.5</v>
      </c>
      <c r="G1640" s="5">
        <f t="shared" si="90"/>
        <v>57.5</v>
      </c>
      <c r="H1640" t="s">
        <v>359</v>
      </c>
      <c r="I1640" t="s">
        <v>404</v>
      </c>
    </row>
    <row r="1641" spans="1:9" x14ac:dyDescent="0.25">
      <c r="A1641" s="1">
        <f t="shared" si="89"/>
        <v>45513</v>
      </c>
      <c r="B1641" s="31">
        <f t="shared" si="91"/>
        <v>0.4513888888888889</v>
      </c>
      <c r="C1641" t="str">
        <f>Inventory!A71</f>
        <v>Indomie chicken</v>
      </c>
      <c r="D1641" s="27">
        <v>2</v>
      </c>
      <c r="E1641" s="5">
        <f>Table4[[#This Row],[qty]]*(VLOOKUP(Table4[[#This Row],[item_sold]],Table6[],4,FALSE))</f>
        <v>100</v>
      </c>
      <c r="F1641" s="5">
        <f>(VLOOKUP(Table4[[#This Row],[item_sold]],Table6[],3,FALSE))*Table4[[#This Row],[qty]]</f>
        <v>75</v>
      </c>
      <c r="G1641" s="5">
        <f t="shared" si="90"/>
        <v>25</v>
      </c>
      <c r="H1641" t="s">
        <v>359</v>
      </c>
      <c r="I1641" t="s">
        <v>404</v>
      </c>
    </row>
    <row r="1642" spans="1:9" x14ac:dyDescent="0.25">
      <c r="A1642" s="1">
        <f t="shared" si="89"/>
        <v>45513</v>
      </c>
      <c r="B1642" s="31">
        <f t="shared" si="91"/>
        <v>0.4513888888888889</v>
      </c>
      <c r="C1642" t="str">
        <f>Inventory!A73</f>
        <v>kabras sugar 1kg</v>
      </c>
      <c r="D1642" s="27">
        <v>1</v>
      </c>
      <c r="E1642" s="5">
        <f>Table4[[#This Row],[qty]]*(VLOOKUP(Table4[[#This Row],[item_sold]],Table6[],4,FALSE))</f>
        <v>180</v>
      </c>
      <c r="F1642" s="5">
        <f>(VLOOKUP(Table4[[#This Row],[item_sold]],Table6[],3,FALSE))*Table4[[#This Row],[qty]]</f>
        <v>140</v>
      </c>
      <c r="G1642" s="5">
        <f t="shared" si="90"/>
        <v>40</v>
      </c>
      <c r="H1642" t="s">
        <v>359</v>
      </c>
      <c r="I1642" t="s">
        <v>404</v>
      </c>
    </row>
    <row r="1643" spans="1:9" x14ac:dyDescent="0.25">
      <c r="A1643" s="1">
        <f t="shared" si="89"/>
        <v>45513</v>
      </c>
      <c r="B1643" s="31">
        <f t="shared" si="91"/>
        <v>0.4513888888888889</v>
      </c>
      <c r="C1643" t="str">
        <f>Inventory!A122</f>
        <v>Kinangop Fresh Milk 500ml</v>
      </c>
      <c r="D1643" s="27">
        <v>1</v>
      </c>
      <c r="E1643" s="5">
        <f>Table4[[#This Row],[qty]]*(VLOOKUP(Table4[[#This Row],[item_sold]],Table6[],4,FALSE))</f>
        <v>60</v>
      </c>
      <c r="F1643" s="5">
        <f>(VLOOKUP(Table4[[#This Row],[item_sold]],Table6[],3,FALSE))*Table4[[#This Row],[qty]]</f>
        <v>55</v>
      </c>
      <c r="G1643" s="5">
        <f t="shared" si="90"/>
        <v>5</v>
      </c>
      <c r="H1643" t="s">
        <v>359</v>
      </c>
      <c r="I1643" t="s">
        <v>404</v>
      </c>
    </row>
    <row r="1644" spans="1:9" x14ac:dyDescent="0.25">
      <c r="A1644" s="1">
        <f t="shared" si="89"/>
        <v>45513</v>
      </c>
      <c r="B1644" s="31">
        <f t="shared" si="91"/>
        <v>0.4513888888888889</v>
      </c>
      <c r="C1644" t="str">
        <f>Inventory!A100</f>
        <v>Colgate 35g</v>
      </c>
      <c r="D1644" s="27">
        <v>1</v>
      </c>
      <c r="E1644" s="5">
        <f>Table4[[#This Row],[qty]]*(VLOOKUP(Table4[[#This Row],[item_sold]],Table6[],4,FALSE))</f>
        <v>80</v>
      </c>
      <c r="F1644" s="5">
        <f>(VLOOKUP(Table4[[#This Row],[item_sold]],Table6[],3,FALSE))*Table4[[#This Row],[qty]]</f>
        <v>62.5</v>
      </c>
      <c r="G1644" s="5">
        <f t="shared" si="90"/>
        <v>17.5</v>
      </c>
      <c r="H1644" t="s">
        <v>359</v>
      </c>
      <c r="I1644" t="s">
        <v>404</v>
      </c>
    </row>
    <row r="1645" spans="1:9" x14ac:dyDescent="0.25">
      <c r="A1645" s="1">
        <f t="shared" si="89"/>
        <v>45513</v>
      </c>
      <c r="B1645" s="31">
        <f t="shared" si="91"/>
        <v>0.4513888888888889</v>
      </c>
      <c r="C1645" t="str">
        <f>Inventory!A93</f>
        <v>Hanaan Tissue</v>
      </c>
      <c r="D1645" s="27">
        <v>2</v>
      </c>
      <c r="E1645" s="5">
        <f>Table4[[#This Row],[qty]]*(VLOOKUP(Table4[[#This Row],[item_sold]],Table6[],4,FALSE))</f>
        <v>100</v>
      </c>
      <c r="F1645" s="5">
        <f>(VLOOKUP(Table4[[#This Row],[item_sold]],Table6[],3,FALSE))*Table4[[#This Row],[qty]]</f>
        <v>86</v>
      </c>
      <c r="G1645" s="5">
        <f t="shared" si="90"/>
        <v>14</v>
      </c>
      <c r="H1645" t="s">
        <v>359</v>
      </c>
      <c r="I1645" t="s">
        <v>404</v>
      </c>
    </row>
    <row r="1646" spans="1:9" x14ac:dyDescent="0.25">
      <c r="A1646" s="1">
        <f t="shared" si="89"/>
        <v>45513</v>
      </c>
      <c r="B1646" s="31">
        <f t="shared" si="91"/>
        <v>0.4513888888888889</v>
      </c>
      <c r="C1646" t="str">
        <f>Inventory!A44</f>
        <v>Peanut Cookies</v>
      </c>
      <c r="D1646" s="27">
        <v>1</v>
      </c>
      <c r="E1646" s="5">
        <f>Table4[[#This Row],[qty]]*(VLOOKUP(Table4[[#This Row],[item_sold]],Table6[],4,FALSE))</f>
        <v>35</v>
      </c>
      <c r="F1646" s="5">
        <f>(VLOOKUP(Table4[[#This Row],[item_sold]],Table6[],3,FALSE))*Table4[[#This Row],[qty]]</f>
        <v>25</v>
      </c>
      <c r="G1646" s="5">
        <f t="shared" si="90"/>
        <v>10</v>
      </c>
      <c r="H1646" t="s">
        <v>359</v>
      </c>
      <c r="I1646" t="s">
        <v>404</v>
      </c>
    </row>
    <row r="1647" spans="1:9" x14ac:dyDescent="0.25">
      <c r="A1647" s="1">
        <f t="shared" si="89"/>
        <v>45513</v>
      </c>
      <c r="B1647" s="31">
        <f t="shared" si="91"/>
        <v>0.4513888888888889</v>
      </c>
      <c r="C1647" t="str">
        <f>Inventory!A43</f>
        <v>Choc-chip Cookies</v>
      </c>
      <c r="D1647" s="27">
        <v>1</v>
      </c>
      <c r="E1647" s="5">
        <f>Table4[[#This Row],[qty]]*(VLOOKUP(Table4[[#This Row],[item_sold]],Table6[],4,FALSE))</f>
        <v>35</v>
      </c>
      <c r="F1647" s="5">
        <f>(VLOOKUP(Table4[[#This Row],[item_sold]],Table6[],3,FALSE))*Table4[[#This Row],[qty]]</f>
        <v>25</v>
      </c>
      <c r="G1647" s="5">
        <f t="shared" si="90"/>
        <v>10</v>
      </c>
      <c r="H1647" t="s">
        <v>359</v>
      </c>
      <c r="I1647" t="s">
        <v>404</v>
      </c>
    </row>
    <row r="1648" spans="1:9" x14ac:dyDescent="0.25">
      <c r="A1648" s="1">
        <f t="shared" si="89"/>
        <v>45513</v>
      </c>
      <c r="B1648" s="31">
        <f t="shared" si="91"/>
        <v>0.4513888888888889</v>
      </c>
      <c r="C1648" t="str">
        <f>Inventory!A154</f>
        <v>waru</v>
      </c>
      <c r="D1648" s="27">
        <v>1</v>
      </c>
      <c r="E1648" s="5">
        <f>Table4[[#This Row],[qty]]*(VLOOKUP(Table4[[#This Row],[item_sold]],Table6[],4,FALSE))</f>
        <v>50</v>
      </c>
      <c r="F1648" s="5">
        <f>(VLOOKUP(Table4[[#This Row],[item_sold]],Table6[],3,FALSE))*Table4[[#This Row],[qty]]</f>
        <v>29.999999999999996</v>
      </c>
      <c r="G1648" s="5">
        <f t="shared" si="90"/>
        <v>20.000000000000004</v>
      </c>
      <c r="H1648" t="s">
        <v>359</v>
      </c>
      <c r="I1648" t="s">
        <v>404</v>
      </c>
    </row>
    <row r="1649" spans="1:12" x14ac:dyDescent="0.25">
      <c r="A1649" s="1">
        <f t="shared" si="89"/>
        <v>45513</v>
      </c>
      <c r="B1649" s="31">
        <f>TIME(11,2, 0)</f>
        <v>0.4597222222222222</v>
      </c>
      <c r="C1649" t="str">
        <f>Inventory!A149</f>
        <v>Menengai Bar 1kg</v>
      </c>
      <c r="D1649" s="27">
        <v>0.2</v>
      </c>
      <c r="E1649" s="5">
        <f>Table4[[#This Row],[qty]]*(VLOOKUP(Table4[[#This Row],[item_sold]],Table6[],4,FALSE))</f>
        <v>50</v>
      </c>
      <c r="F1649" s="5">
        <f>(VLOOKUP(Table4[[#This Row],[item_sold]],Table6[],3,FALSE))*Table4[[#This Row],[qty]]</f>
        <v>38</v>
      </c>
      <c r="G1649" s="5">
        <f t="shared" si="90"/>
        <v>12</v>
      </c>
      <c r="H1649" t="s">
        <v>247</v>
      </c>
    </row>
    <row r="1650" spans="1:12" x14ac:dyDescent="0.25">
      <c r="A1650" s="1">
        <f t="shared" si="89"/>
        <v>45513</v>
      </c>
      <c r="B1650" s="31">
        <f>TIME(10,41, 0)</f>
        <v>0.44513888888888892</v>
      </c>
      <c r="C1650" t="str">
        <f>Inventory!A44</f>
        <v>Peanut Cookies</v>
      </c>
      <c r="D1650" s="27">
        <v>2</v>
      </c>
      <c r="E1650" s="5">
        <f>Table4[[#This Row],[qty]]*(VLOOKUP(Table4[[#This Row],[item_sold]],Table6[],4,FALSE))</f>
        <v>70</v>
      </c>
      <c r="F1650" s="5">
        <f>(VLOOKUP(Table4[[#This Row],[item_sold]],Table6[],3,FALSE))*Table4[[#This Row],[qty]]</f>
        <v>50</v>
      </c>
      <c r="G1650" s="5">
        <f t="shared" si="90"/>
        <v>20</v>
      </c>
      <c r="H1650" t="s">
        <v>359</v>
      </c>
      <c r="I1650" t="s">
        <v>401</v>
      </c>
      <c r="J1650" t="s">
        <v>401</v>
      </c>
      <c r="K1650">
        <v>60</v>
      </c>
      <c r="L1650" t="s">
        <v>361</v>
      </c>
    </row>
    <row r="1651" spans="1:12" x14ac:dyDescent="0.25">
      <c r="A1651" s="1">
        <f t="shared" si="89"/>
        <v>45513</v>
      </c>
      <c r="B1651" s="31">
        <f>TIME(11,17, 0)</f>
        <v>0.47013888888888888</v>
      </c>
      <c r="C1651" t="str">
        <f>Inventory!A9</f>
        <v>minutemaid 400ml</v>
      </c>
      <c r="D1651" s="27">
        <v>2</v>
      </c>
      <c r="E1651" s="5">
        <f>Table4[[#This Row],[qty]]*(VLOOKUP(Table4[[#This Row],[item_sold]],Table6[],4,FALSE))</f>
        <v>170</v>
      </c>
      <c r="F1651" s="5">
        <f>(VLOOKUP(Table4[[#This Row],[item_sold]],Table6[],3,FALSE))*Table4[[#This Row],[qty]]</f>
        <v>125</v>
      </c>
      <c r="G1651" s="5">
        <f t="shared" si="90"/>
        <v>45</v>
      </c>
      <c r="H1651" t="s">
        <v>361</v>
      </c>
    </row>
    <row r="1652" spans="1:12" x14ac:dyDescent="0.25">
      <c r="A1652" s="1">
        <f t="shared" si="89"/>
        <v>45513</v>
      </c>
      <c r="B1652" s="31">
        <f>TIME(11,20, 0)</f>
        <v>0.47222222222222227</v>
      </c>
      <c r="C1652" t="str">
        <f>Inventory!A202</f>
        <v>Vaseline</v>
      </c>
      <c r="D1652" s="27">
        <v>1</v>
      </c>
      <c r="E1652" s="5">
        <f>Table4[[#This Row],[qty]]*(VLOOKUP(Table4[[#This Row],[item_sold]],Table6[],4,FALSE))</f>
        <v>40</v>
      </c>
      <c r="F1652" s="5">
        <f>(VLOOKUP(Table4[[#This Row],[item_sold]],Table6[],3,FALSE))*Table4[[#This Row],[qty]]</f>
        <v>30</v>
      </c>
      <c r="G1652" s="5">
        <f t="shared" si="90"/>
        <v>10</v>
      </c>
      <c r="H1652" t="s">
        <v>359</v>
      </c>
      <c r="I1652" t="s">
        <v>386</v>
      </c>
    </row>
    <row r="1653" spans="1:12" x14ac:dyDescent="0.25">
      <c r="A1653" s="1">
        <f t="shared" si="89"/>
        <v>45513</v>
      </c>
      <c r="B1653" s="31">
        <f>TIME(11,20, 0)</f>
        <v>0.47222222222222227</v>
      </c>
      <c r="C1653" t="str">
        <f>Inventory!A203</f>
        <v>Kaluma Pain Balm Big</v>
      </c>
      <c r="D1653" s="27">
        <v>1</v>
      </c>
      <c r="E1653" s="5">
        <f>Table4[[#This Row],[qty]]*(VLOOKUP(Table4[[#This Row],[item_sold]],Table6[],4,FALSE))</f>
        <v>50</v>
      </c>
      <c r="F1653" s="5">
        <f>(VLOOKUP(Table4[[#This Row],[item_sold]],Table6[],3,FALSE))*Table4[[#This Row],[qty]]</f>
        <v>37.5</v>
      </c>
      <c r="G1653" s="5">
        <f t="shared" si="90"/>
        <v>12.5</v>
      </c>
      <c r="H1653" t="s">
        <v>359</v>
      </c>
      <c r="I1653" t="s">
        <v>386</v>
      </c>
    </row>
    <row r="1654" spans="1:12" x14ac:dyDescent="0.25">
      <c r="A1654" s="1">
        <f t="shared" si="89"/>
        <v>45513</v>
      </c>
      <c r="B1654" s="31">
        <f>TIME(11,25, 0)</f>
        <v>0.47569444444444442</v>
      </c>
      <c r="C1654" t="str">
        <f>Inventory!A83</f>
        <v>Sportsman</v>
      </c>
      <c r="D1654" s="27">
        <v>1</v>
      </c>
      <c r="E1654" s="5">
        <f>Table4[[#This Row],[qty]]*(VLOOKUP(Table4[[#This Row],[item_sold]],Table6[],4,FALSE))</f>
        <v>20</v>
      </c>
      <c r="F1654" s="5">
        <f>(VLOOKUP(Table4[[#This Row],[item_sold]],Table6[],3,FALSE))*Table4[[#This Row],[qty]]</f>
        <v>13</v>
      </c>
      <c r="G1654" s="5">
        <f t="shared" si="90"/>
        <v>7</v>
      </c>
      <c r="H1654" t="s">
        <v>247</v>
      </c>
    </row>
    <row r="1655" spans="1:12" x14ac:dyDescent="0.25">
      <c r="A1655" s="1">
        <f t="shared" si="89"/>
        <v>45513</v>
      </c>
      <c r="B1655" s="31">
        <f>TIME(12,21, 0)</f>
        <v>0.51458333333333328</v>
      </c>
      <c r="C1655" t="str">
        <f>Inventory!A81</f>
        <v>eggs</v>
      </c>
      <c r="D1655" s="27">
        <v>4</v>
      </c>
      <c r="E1655" s="5">
        <f>Table4[[#This Row],[qty]]*(VLOOKUP(Table4[[#This Row],[item_sold]],Table6[],4,FALSE))</f>
        <v>80</v>
      </c>
      <c r="F1655" s="5">
        <f>(VLOOKUP(Table4[[#This Row],[item_sold]],Table6[],3,FALSE))*Table4[[#This Row],[qty]]</f>
        <v>57.333333333333336</v>
      </c>
      <c r="G1655" s="5">
        <f t="shared" si="90"/>
        <v>22.666666666666664</v>
      </c>
      <c r="H1655" t="s">
        <v>359</v>
      </c>
      <c r="I1655" t="s">
        <v>400</v>
      </c>
    </row>
    <row r="1656" spans="1:12" x14ac:dyDescent="0.25">
      <c r="A1656" s="1">
        <f t="shared" si="89"/>
        <v>45513</v>
      </c>
      <c r="B1656" s="31">
        <f>TIME(12,21, 0)</f>
        <v>0.51458333333333328</v>
      </c>
      <c r="C1656" t="str">
        <f>Inventory!A45</f>
        <v>Goodday Cookies</v>
      </c>
      <c r="D1656" s="27">
        <v>1</v>
      </c>
      <c r="E1656" s="5">
        <f>Table4[[#This Row],[qty]]*(VLOOKUP(Table4[[#This Row],[item_sold]],Table6[],4,FALSE))</f>
        <v>15</v>
      </c>
      <c r="F1656" s="5">
        <f>(VLOOKUP(Table4[[#This Row],[item_sold]],Table6[],3,FALSE))*Table4[[#This Row],[qty]]</f>
        <v>9.3333333333333339</v>
      </c>
      <c r="G1656" s="5">
        <f t="shared" ref="G1656:G1677" si="92">E1656-F1656</f>
        <v>5.6666666666666661</v>
      </c>
      <c r="H1656" t="s">
        <v>247</v>
      </c>
    </row>
    <row r="1657" spans="1:12" x14ac:dyDescent="0.25">
      <c r="A1657" s="1">
        <f t="shared" si="89"/>
        <v>45513</v>
      </c>
      <c r="B1657" s="31">
        <f>TIME(12,21, 0)</f>
        <v>0.51458333333333328</v>
      </c>
      <c r="C1657" t="str">
        <f>Inventory!A47</f>
        <v>Lemon Bisquit</v>
      </c>
      <c r="D1657" s="27">
        <v>1</v>
      </c>
      <c r="E1657" s="5">
        <f>Table4[[#This Row],[qty]]*(VLOOKUP(Table4[[#This Row],[item_sold]],Table6[],4,FALSE))</f>
        <v>5</v>
      </c>
      <c r="F1657" s="5">
        <f>(VLOOKUP(Table4[[#This Row],[item_sold]],Table6[],3,FALSE))*Table4[[#This Row],[qty]]</f>
        <v>4.333333333333333</v>
      </c>
      <c r="G1657" s="5">
        <f t="shared" si="92"/>
        <v>0.66666666666666696</v>
      </c>
      <c r="H1657" t="s">
        <v>247</v>
      </c>
    </row>
    <row r="1658" spans="1:12" x14ac:dyDescent="0.25">
      <c r="A1658" s="1">
        <f t="shared" si="89"/>
        <v>45513</v>
      </c>
      <c r="B1658" s="31">
        <f>TIME(12,38, 0)</f>
        <v>0.52638888888888891</v>
      </c>
      <c r="C1658" t="str">
        <f>Inventory!A13</f>
        <v>soda 300ml glass</v>
      </c>
      <c r="D1658" s="27">
        <v>1</v>
      </c>
      <c r="E1658" s="5">
        <f>Table4[[#This Row],[qty]]*(VLOOKUP(Table4[[#This Row],[item_sold]],Table6[],4,FALSE))</f>
        <v>40</v>
      </c>
      <c r="F1658" s="5">
        <f>(VLOOKUP(Table4[[#This Row],[item_sold]],Table6[],3,FALSE))*Table4[[#This Row],[qty]]</f>
        <v>32.5</v>
      </c>
      <c r="G1658" s="5">
        <f t="shared" si="92"/>
        <v>7.5</v>
      </c>
      <c r="H1658" t="s">
        <v>247</v>
      </c>
    </row>
    <row r="1659" spans="1:12" x14ac:dyDescent="0.25">
      <c r="A1659" s="1">
        <f t="shared" si="89"/>
        <v>45513</v>
      </c>
      <c r="B1659" s="31">
        <f>TIME(12,38, 0)</f>
        <v>0.52638888888888891</v>
      </c>
      <c r="C1659" t="str">
        <f>Inventory!A65</f>
        <v>Tropical</v>
      </c>
      <c r="D1659" s="27">
        <v>2</v>
      </c>
      <c r="E1659" s="5">
        <f>Table4[[#This Row],[qty]]*(VLOOKUP(Table4[[#This Row],[item_sold]],Table6[],4,FALSE))</f>
        <v>10</v>
      </c>
      <c r="F1659" s="5">
        <f>(VLOOKUP(Table4[[#This Row],[item_sold]],Table6[],3,FALSE))*Table4[[#This Row],[qty]]</f>
        <v>3</v>
      </c>
      <c r="G1659" s="5">
        <f t="shared" si="92"/>
        <v>7</v>
      </c>
      <c r="H1659" t="s">
        <v>247</v>
      </c>
    </row>
    <row r="1660" spans="1:12" x14ac:dyDescent="0.25">
      <c r="A1660" s="1">
        <f t="shared" si="89"/>
        <v>45513</v>
      </c>
      <c r="B1660" s="31">
        <f>TIME(12,38, 0)</f>
        <v>0.52638888888888891</v>
      </c>
      <c r="C1660" t="str">
        <f>Inventory!A133</f>
        <v>Pencil</v>
      </c>
      <c r="D1660" s="27">
        <v>1</v>
      </c>
      <c r="E1660" s="5">
        <f>Table4[[#This Row],[qty]]*(VLOOKUP(Table4[[#This Row],[item_sold]],Table6[],4,FALSE))</f>
        <v>10</v>
      </c>
      <c r="F1660" s="5">
        <f>(VLOOKUP(Table4[[#This Row],[item_sold]],Table6[],3,FALSE))*Table4[[#This Row],[qty]]</f>
        <v>7.5</v>
      </c>
      <c r="G1660" s="5">
        <f t="shared" si="92"/>
        <v>2.5</v>
      </c>
      <c r="H1660" t="s">
        <v>247</v>
      </c>
    </row>
    <row r="1661" spans="1:12" x14ac:dyDescent="0.25">
      <c r="A1661" s="1">
        <f t="shared" si="89"/>
        <v>45513</v>
      </c>
      <c r="B1661" s="31">
        <f>TIME(12,38, 0)</f>
        <v>0.52638888888888891</v>
      </c>
      <c r="C1661" t="str">
        <f>Inventory!A204</f>
        <v>Sharpener</v>
      </c>
      <c r="D1661" s="27">
        <v>1</v>
      </c>
      <c r="E1661" s="5">
        <f>Table4[[#This Row],[qty]]*(VLOOKUP(Table4[[#This Row],[item_sold]],Table6[],4,FALSE))</f>
        <v>15</v>
      </c>
      <c r="F1661" s="5">
        <f>(VLOOKUP(Table4[[#This Row],[item_sold]],Table6[],3,FALSE))*Table4[[#This Row],[qty]]</f>
        <v>5</v>
      </c>
      <c r="G1661" s="5">
        <f t="shared" si="92"/>
        <v>10</v>
      </c>
      <c r="H1661" t="s">
        <v>247</v>
      </c>
    </row>
    <row r="1662" spans="1:12" x14ac:dyDescent="0.25">
      <c r="A1662" s="1">
        <f t="shared" si="89"/>
        <v>45513</v>
      </c>
      <c r="B1662" s="31">
        <f>TIME(12,50, 0)</f>
        <v>0.53472222222222221</v>
      </c>
      <c r="C1662" t="str">
        <f>Inventory!A46</f>
        <v>Nuvita Bisquit</v>
      </c>
      <c r="D1662" s="27">
        <v>1</v>
      </c>
      <c r="E1662" s="5">
        <f>Table4[[#This Row],[qty]]*(VLOOKUP(Table4[[#This Row],[item_sold]],Table6[],4,FALSE))</f>
        <v>5</v>
      </c>
      <c r="F1662" s="5">
        <f>(VLOOKUP(Table4[[#This Row],[item_sold]],Table6[],3,FALSE))*Table4[[#This Row],[qty]]</f>
        <v>4.166666666666667</v>
      </c>
      <c r="G1662" s="5">
        <f t="shared" si="92"/>
        <v>0.83333333333333304</v>
      </c>
      <c r="H1662" t="s">
        <v>247</v>
      </c>
    </row>
    <row r="1663" spans="1:12" x14ac:dyDescent="0.25">
      <c r="A1663" s="1">
        <f t="shared" si="89"/>
        <v>45513</v>
      </c>
      <c r="B1663" s="31">
        <f>TIME(13,0, 0)</f>
        <v>0.54166666666666663</v>
      </c>
      <c r="C1663" t="str">
        <f>Inventory!A115</f>
        <v>Onion</v>
      </c>
      <c r="D1663" s="27">
        <v>1</v>
      </c>
      <c r="E1663" s="5">
        <f>Table4[[#This Row],[qty]]*(VLOOKUP(Table4[[#This Row],[item_sold]],Table6[],4,FALSE))</f>
        <v>10</v>
      </c>
      <c r="F1663" s="5">
        <f>(VLOOKUP(Table4[[#This Row],[item_sold]],Table6[],3,FALSE))*Table4[[#This Row],[qty]]</f>
        <v>8</v>
      </c>
      <c r="G1663" s="5">
        <f t="shared" si="92"/>
        <v>2</v>
      </c>
      <c r="H1663" t="s">
        <v>359</v>
      </c>
      <c r="I1663" t="s">
        <v>384</v>
      </c>
    </row>
    <row r="1664" spans="1:12" x14ac:dyDescent="0.25">
      <c r="A1664" s="1">
        <f t="shared" si="89"/>
        <v>45513</v>
      </c>
      <c r="B1664" s="31">
        <f>TIME(13,0, 0)</f>
        <v>0.54166666666666663</v>
      </c>
      <c r="C1664" t="str">
        <f>Inventory!A116</f>
        <v>Tomatoes</v>
      </c>
      <c r="D1664" s="27">
        <v>1</v>
      </c>
      <c r="E1664" s="5">
        <f>Table4[[#This Row],[qty]]*(VLOOKUP(Table4[[#This Row],[item_sold]],Table6[],4,FALSE))</f>
        <v>10</v>
      </c>
      <c r="F1664" s="5">
        <f>(VLOOKUP(Table4[[#This Row],[item_sold]],Table6[],3,FALSE))*Table4[[#This Row],[qty]]</f>
        <v>5</v>
      </c>
      <c r="G1664" s="5">
        <f t="shared" si="92"/>
        <v>5</v>
      </c>
      <c r="H1664" t="s">
        <v>359</v>
      </c>
      <c r="I1664" t="s">
        <v>384</v>
      </c>
    </row>
    <row r="1665" spans="1:12" x14ac:dyDescent="0.25">
      <c r="A1665" s="1">
        <f t="shared" si="89"/>
        <v>45513</v>
      </c>
      <c r="B1665" s="31">
        <f>TIME(13,11, 0)</f>
        <v>0.5493055555555556</v>
      </c>
      <c r="C1665" t="str">
        <f>Inventory!A21</f>
        <v>Brookside Lala Natural</v>
      </c>
      <c r="D1665" s="27">
        <v>1</v>
      </c>
      <c r="E1665" s="5">
        <f>Table4[[#This Row],[qty]]*(VLOOKUP(Table4[[#This Row],[item_sold]],Table6[],4,FALSE))</f>
        <v>100</v>
      </c>
      <c r="F1665" s="5">
        <f>(VLOOKUP(Table4[[#This Row],[item_sold]],Table6[],3,FALSE))*Table4[[#This Row],[qty]]</f>
        <v>87</v>
      </c>
      <c r="G1665" s="5">
        <f t="shared" si="92"/>
        <v>13</v>
      </c>
      <c r="H1665" t="s">
        <v>361</v>
      </c>
    </row>
    <row r="1666" spans="1:12" x14ac:dyDescent="0.25">
      <c r="A1666" s="1">
        <f t="shared" si="89"/>
        <v>45513</v>
      </c>
      <c r="B1666" s="31">
        <f>TIME(13,15, 0)</f>
        <v>0.55208333333333337</v>
      </c>
      <c r="C1666" t="str">
        <f>Inventory!A21</f>
        <v>Brookside Lala Natural</v>
      </c>
      <c r="D1666" s="27">
        <v>1</v>
      </c>
      <c r="E1666" s="5">
        <f>Table4[[#This Row],[qty]]*(VLOOKUP(Table4[[#This Row],[item_sold]],Table6[],4,FALSE))</f>
        <v>100</v>
      </c>
      <c r="F1666" s="5">
        <f>(VLOOKUP(Table4[[#This Row],[item_sold]],Table6[],3,FALSE))*Table4[[#This Row],[qty]]</f>
        <v>87</v>
      </c>
      <c r="G1666" s="5">
        <f t="shared" si="92"/>
        <v>13</v>
      </c>
      <c r="H1666" t="s">
        <v>361</v>
      </c>
    </row>
    <row r="1667" spans="1:12" x14ac:dyDescent="0.25">
      <c r="A1667" s="1">
        <f t="shared" si="89"/>
        <v>45513</v>
      </c>
      <c r="B1667" s="31">
        <f>TIME(13,15, 0)</f>
        <v>0.55208333333333337</v>
      </c>
      <c r="C1667" t="str">
        <f>Inventory!A50</f>
        <v>Ring Cake</v>
      </c>
      <c r="D1667" s="27">
        <v>1</v>
      </c>
      <c r="E1667" s="5">
        <f>Table4[[#This Row],[qty]]*(VLOOKUP(Table4[[#This Row],[item_sold]],Table6[],4,FALSE))</f>
        <v>50</v>
      </c>
      <c r="F1667" s="5">
        <f>(VLOOKUP(Table4[[#This Row],[item_sold]],Table6[],3,FALSE))*Table4[[#This Row],[qty]]</f>
        <v>45</v>
      </c>
      <c r="G1667" s="5">
        <f t="shared" si="92"/>
        <v>5</v>
      </c>
      <c r="H1667" t="s">
        <v>361</v>
      </c>
    </row>
    <row r="1668" spans="1:12" x14ac:dyDescent="0.25">
      <c r="A1668" s="1">
        <f t="shared" si="89"/>
        <v>45513</v>
      </c>
      <c r="B1668" s="31">
        <f>TIME(13,18, 0)</f>
        <v>0.5541666666666667</v>
      </c>
      <c r="C1668" t="str">
        <f>Inventory!A9</f>
        <v>minutemaid 400ml</v>
      </c>
      <c r="D1668" s="27">
        <v>1</v>
      </c>
      <c r="E1668" s="5">
        <f>Table4[[#This Row],[qty]]*(VLOOKUP(Table4[[#This Row],[item_sold]],Table6[],4,FALSE))</f>
        <v>85</v>
      </c>
      <c r="F1668" s="5">
        <f>(VLOOKUP(Table4[[#This Row],[item_sold]],Table6[],3,FALSE))*Table4[[#This Row],[qty]]</f>
        <v>62.5</v>
      </c>
      <c r="G1668" s="5">
        <f t="shared" si="92"/>
        <v>22.5</v>
      </c>
      <c r="H1668" t="s">
        <v>361</v>
      </c>
    </row>
    <row r="1669" spans="1:12" x14ac:dyDescent="0.25">
      <c r="A1669" s="1">
        <f t="shared" si="89"/>
        <v>45513</v>
      </c>
      <c r="B1669" s="31">
        <f>TIME(13,18, 0)</f>
        <v>0.5541666666666667</v>
      </c>
      <c r="C1669" t="str">
        <f>Inventory!A50</f>
        <v>Ring Cake</v>
      </c>
      <c r="D1669" s="27">
        <v>1</v>
      </c>
      <c r="E1669" s="5">
        <f>Table4[[#This Row],[qty]]*(VLOOKUP(Table4[[#This Row],[item_sold]],Table6[],4,FALSE))</f>
        <v>50</v>
      </c>
      <c r="F1669" s="5">
        <f>(VLOOKUP(Table4[[#This Row],[item_sold]],Table6[],3,FALSE))*Table4[[#This Row],[qty]]</f>
        <v>45</v>
      </c>
      <c r="G1669" s="5">
        <f t="shared" si="92"/>
        <v>5</v>
      </c>
      <c r="H1669" t="s">
        <v>361</v>
      </c>
    </row>
    <row r="1670" spans="1:12" x14ac:dyDescent="0.25">
      <c r="A1670" s="1">
        <f t="shared" si="89"/>
        <v>45513</v>
      </c>
      <c r="B1670" s="31">
        <f>TIME(13,42, 0)</f>
        <v>0.5708333333333333</v>
      </c>
      <c r="C1670" t="str">
        <f>Inventory!A71</f>
        <v>Indomie chicken</v>
      </c>
      <c r="D1670" s="27">
        <v>2</v>
      </c>
      <c r="E1670" s="5">
        <f>Table4[[#This Row],[qty]]*(VLOOKUP(Table4[[#This Row],[item_sold]],Table6[],4,FALSE))</f>
        <v>100</v>
      </c>
      <c r="F1670" s="5">
        <f>(VLOOKUP(Table4[[#This Row],[item_sold]],Table6[],3,FALSE))*Table4[[#This Row],[qty]]</f>
        <v>75</v>
      </c>
      <c r="G1670" s="5">
        <f t="shared" si="92"/>
        <v>25</v>
      </c>
      <c r="H1670" t="s">
        <v>361</v>
      </c>
    </row>
    <row r="1671" spans="1:12" x14ac:dyDescent="0.25">
      <c r="A1671" s="1">
        <f t="shared" si="89"/>
        <v>45513</v>
      </c>
      <c r="B1671" s="31">
        <f>TIME(13,42, 0)</f>
        <v>0.5708333333333333</v>
      </c>
      <c r="C1671" t="str">
        <f>Inventory!A55</f>
        <v>Ngumu</v>
      </c>
      <c r="D1671" s="27">
        <v>5</v>
      </c>
      <c r="E1671" s="5">
        <f>Table4[[#This Row],[qty]]*(VLOOKUP(Table4[[#This Row],[item_sold]],Table6[],4,FALSE))</f>
        <v>50</v>
      </c>
      <c r="F1671" s="5">
        <f>(VLOOKUP(Table4[[#This Row],[item_sold]],Table6[],3,FALSE))*Table4[[#This Row],[qty]]</f>
        <v>41.666666666666671</v>
      </c>
      <c r="G1671" s="5">
        <f t="shared" si="92"/>
        <v>8.3333333333333286</v>
      </c>
      <c r="H1671" t="s">
        <v>361</v>
      </c>
    </row>
    <row r="1672" spans="1:12" x14ac:dyDescent="0.25">
      <c r="A1672" s="1">
        <f t="shared" si="89"/>
        <v>45513</v>
      </c>
      <c r="B1672" s="31">
        <f>TIME(13,47, 0)</f>
        <v>0.57430555555555551</v>
      </c>
      <c r="C1672" t="str">
        <f>Inventory!A122</f>
        <v>Kinangop Fresh Milk 500ml</v>
      </c>
      <c r="D1672" s="27">
        <v>3</v>
      </c>
      <c r="E1672" s="5">
        <f>Table4[[#This Row],[qty]]*(VLOOKUP(Table4[[#This Row],[item_sold]],Table6[],4,FALSE))</f>
        <v>180</v>
      </c>
      <c r="F1672" s="5">
        <f>(VLOOKUP(Table4[[#This Row],[item_sold]],Table6[],3,FALSE))*Table4[[#This Row],[qty]]</f>
        <v>165</v>
      </c>
      <c r="G1672" s="5">
        <f t="shared" si="92"/>
        <v>15</v>
      </c>
      <c r="H1672" t="s">
        <v>359</v>
      </c>
      <c r="I1672" t="s">
        <v>421</v>
      </c>
      <c r="J1672" t="s">
        <v>421</v>
      </c>
      <c r="K1672">
        <v>250</v>
      </c>
      <c r="L1672" t="s">
        <v>247</v>
      </c>
    </row>
    <row r="1673" spans="1:12" x14ac:dyDescent="0.25">
      <c r="A1673" s="1">
        <f t="shared" ref="A1673:A1715" si="93">DATE(2024,8,9)</f>
        <v>45513</v>
      </c>
      <c r="B1673" s="31">
        <f>TIME(13,47, 0)</f>
        <v>0.57430555555555551</v>
      </c>
      <c r="C1673" t="str">
        <f>Inventory!A14</f>
        <v>soda 500ml glass</v>
      </c>
      <c r="D1673" s="27">
        <v>1</v>
      </c>
      <c r="E1673" s="5">
        <f>Table4[[#This Row],[qty]]*(VLOOKUP(Table4[[#This Row],[item_sold]],Table6[],4,FALSE))</f>
        <v>55</v>
      </c>
      <c r="F1673" s="5">
        <f>(VLOOKUP(Table4[[#This Row],[item_sold]],Table6[],3,FALSE))*Table4[[#This Row],[qty]]</f>
        <v>50</v>
      </c>
      <c r="G1673" s="5">
        <f t="shared" si="92"/>
        <v>5</v>
      </c>
      <c r="H1673" t="s">
        <v>359</v>
      </c>
      <c r="I1673" t="s">
        <v>421</v>
      </c>
      <c r="J1673" t="s">
        <v>421</v>
      </c>
      <c r="K1673">
        <v>135</v>
      </c>
      <c r="L1673" t="s">
        <v>361</v>
      </c>
    </row>
    <row r="1674" spans="1:12" x14ac:dyDescent="0.25">
      <c r="A1674" s="1">
        <f t="shared" si="93"/>
        <v>45513</v>
      </c>
      <c r="B1674" s="31">
        <f>TIME(13,47, 0)</f>
        <v>0.57430555555555551</v>
      </c>
      <c r="C1674" t="str">
        <f>Inventory!A33</f>
        <v>Festive 800g</v>
      </c>
      <c r="D1674" s="27">
        <v>1</v>
      </c>
      <c r="E1674" s="5">
        <f>Table4[[#This Row],[qty]]*(VLOOKUP(Table4[[#This Row],[item_sold]],Table6[],4,FALSE))</f>
        <v>130</v>
      </c>
      <c r="F1674" s="5">
        <f>(VLOOKUP(Table4[[#This Row],[item_sold]],Table6[],3,FALSE))*Table4[[#This Row],[qty]]</f>
        <v>120</v>
      </c>
      <c r="G1674" s="5">
        <f t="shared" si="92"/>
        <v>10</v>
      </c>
      <c r="H1674" t="s">
        <v>359</v>
      </c>
      <c r="I1674" t="s">
        <v>421</v>
      </c>
    </row>
    <row r="1675" spans="1:12" x14ac:dyDescent="0.25">
      <c r="A1675" s="1">
        <f t="shared" si="93"/>
        <v>45513</v>
      </c>
      <c r="B1675" s="31">
        <f>TIME(13,47, 0)</f>
        <v>0.57430555555555551</v>
      </c>
      <c r="C1675" t="str">
        <f>Inventory!A55</f>
        <v>Ngumu</v>
      </c>
      <c r="D1675" s="27">
        <v>2</v>
      </c>
      <c r="E1675" s="5">
        <f>Table4[[#This Row],[qty]]*(VLOOKUP(Table4[[#This Row],[item_sold]],Table6[],4,FALSE))</f>
        <v>20</v>
      </c>
      <c r="F1675" s="5">
        <f>(VLOOKUP(Table4[[#This Row],[item_sold]],Table6[],3,FALSE))*Table4[[#This Row],[qty]]</f>
        <v>16.666666666666668</v>
      </c>
      <c r="G1675" s="5">
        <f t="shared" si="92"/>
        <v>3.3333333333333321</v>
      </c>
      <c r="H1675" t="s">
        <v>359</v>
      </c>
      <c r="I1675" t="s">
        <v>421</v>
      </c>
    </row>
    <row r="1676" spans="1:12" x14ac:dyDescent="0.25">
      <c r="A1676" s="1">
        <f t="shared" si="93"/>
        <v>45513</v>
      </c>
      <c r="B1676" s="31">
        <f>TIME(13,58, 0)</f>
        <v>0.58194444444444449</v>
      </c>
      <c r="C1676" t="str">
        <f>Inventory!A14</f>
        <v>soda 500ml glass</v>
      </c>
      <c r="D1676" s="27">
        <v>1</v>
      </c>
      <c r="E1676" s="5">
        <f>Table4[[#This Row],[qty]]*(VLOOKUP(Table4[[#This Row],[item_sold]],Table6[],4,FALSE))</f>
        <v>55</v>
      </c>
      <c r="F1676" s="5">
        <f>(VLOOKUP(Table4[[#This Row],[item_sold]],Table6[],3,FALSE))*Table4[[#This Row],[qty]]</f>
        <v>50</v>
      </c>
      <c r="G1676" s="5">
        <f t="shared" si="92"/>
        <v>5</v>
      </c>
      <c r="H1676" t="s">
        <v>361</v>
      </c>
    </row>
    <row r="1677" spans="1:12" x14ac:dyDescent="0.25">
      <c r="A1677" s="1">
        <f t="shared" si="93"/>
        <v>45513</v>
      </c>
      <c r="B1677" s="31">
        <f>TIME(13,58, 0)</f>
        <v>0.58194444444444449</v>
      </c>
      <c r="C1677" t="str">
        <f>Inventory!A55</f>
        <v>Ngumu</v>
      </c>
      <c r="D1677" s="27">
        <v>3</v>
      </c>
      <c r="E1677" s="5">
        <f>Table4[[#This Row],[qty]]*(VLOOKUP(Table4[[#This Row],[item_sold]],Table6[],4,FALSE))</f>
        <v>30</v>
      </c>
      <c r="F1677" s="5">
        <f>(VLOOKUP(Table4[[#This Row],[item_sold]],Table6[],3,FALSE))*Table4[[#This Row],[qty]]</f>
        <v>25</v>
      </c>
      <c r="G1677" s="5">
        <f t="shared" si="92"/>
        <v>5</v>
      </c>
      <c r="H1677" t="s">
        <v>361</v>
      </c>
    </row>
    <row r="1678" spans="1:12" x14ac:dyDescent="0.25">
      <c r="A1678" s="1">
        <f t="shared" si="93"/>
        <v>45513</v>
      </c>
      <c r="B1678" s="31">
        <f>TIME(13,59, 0)</f>
        <v>0.58263888888888882</v>
      </c>
      <c r="C1678" t="str">
        <f>Inventory!A55</f>
        <v>Ngumu</v>
      </c>
      <c r="D1678" s="27">
        <v>2</v>
      </c>
      <c r="E1678" s="5">
        <f>Table4[[#This Row],[qty]]*(VLOOKUP(Table4[[#This Row],[item_sold]],Table6[],4,FALSE))</f>
        <v>20</v>
      </c>
      <c r="F1678" s="5">
        <f>(VLOOKUP(Table4[[#This Row],[item_sold]],Table6[],3,FALSE))*Table4[[#This Row],[qty]]</f>
        <v>16.666666666666668</v>
      </c>
      <c r="G1678" s="5">
        <f t="shared" ref="G1678:G1698" si="94">E1678-F1678</f>
        <v>3.3333333333333321</v>
      </c>
      <c r="H1678" t="s">
        <v>247</v>
      </c>
    </row>
    <row r="1679" spans="1:12" x14ac:dyDescent="0.25">
      <c r="A1679" s="1">
        <f t="shared" si="93"/>
        <v>45513</v>
      </c>
      <c r="B1679" s="31">
        <f>TIME(14,2, 0)</f>
        <v>0.58472222222222225</v>
      </c>
      <c r="C1679" t="str">
        <f>Inventory!A124</f>
        <v>Scones</v>
      </c>
      <c r="D1679" s="27">
        <v>1</v>
      </c>
      <c r="E1679" s="5">
        <f>Table4[[#This Row],[qty]]*(VLOOKUP(Table4[[#This Row],[item_sold]],Table6[],4,FALSE))</f>
        <v>10</v>
      </c>
      <c r="F1679" s="5">
        <f>(VLOOKUP(Table4[[#This Row],[item_sold]],Table6[],3,FALSE))*Table4[[#This Row],[qty]]</f>
        <v>8.3333333333333339</v>
      </c>
      <c r="G1679" s="5">
        <f t="shared" si="94"/>
        <v>1.6666666666666661</v>
      </c>
      <c r="H1679" t="s">
        <v>359</v>
      </c>
      <c r="I1679" t="s">
        <v>386</v>
      </c>
    </row>
    <row r="1680" spans="1:12" x14ac:dyDescent="0.25">
      <c r="A1680" s="1">
        <f t="shared" si="93"/>
        <v>45513</v>
      </c>
      <c r="B1680" s="31">
        <f>TIME(14,2, 0)</f>
        <v>0.58472222222222225</v>
      </c>
      <c r="C1680" t="str">
        <f>Inventory!A44</f>
        <v>Peanut Cookies</v>
      </c>
      <c r="D1680" s="27">
        <v>1</v>
      </c>
      <c r="E1680" s="5">
        <f>Table4[[#This Row],[qty]]*(VLOOKUP(Table4[[#This Row],[item_sold]],Table6[],4,FALSE))</f>
        <v>35</v>
      </c>
      <c r="F1680" s="5">
        <f>(VLOOKUP(Table4[[#This Row],[item_sold]],Table6[],3,FALSE))*Table4[[#This Row],[qty]]</f>
        <v>25</v>
      </c>
      <c r="G1680" s="5">
        <f t="shared" si="94"/>
        <v>10</v>
      </c>
      <c r="H1680" t="s">
        <v>359</v>
      </c>
      <c r="I1680" t="s">
        <v>386</v>
      </c>
    </row>
    <row r="1681" spans="1:8" x14ac:dyDescent="0.25">
      <c r="A1681" s="1">
        <f t="shared" si="93"/>
        <v>45513</v>
      </c>
      <c r="B1681" s="31">
        <f>TIME(14,43, 0)</f>
        <v>0.61319444444444449</v>
      </c>
      <c r="C1681" t="str">
        <f>Inventory!A81</f>
        <v>eggs</v>
      </c>
      <c r="D1681" s="27">
        <v>6</v>
      </c>
      <c r="E1681" s="5">
        <f>Table4[[#This Row],[qty]]*(VLOOKUP(Table4[[#This Row],[item_sold]],Table6[],4,FALSE))</f>
        <v>120</v>
      </c>
      <c r="F1681" s="5">
        <f>(VLOOKUP(Table4[[#This Row],[item_sold]],Table6[],3,FALSE))*Table4[[#This Row],[qty]]</f>
        <v>86</v>
      </c>
      <c r="G1681" s="5">
        <f t="shared" si="94"/>
        <v>34</v>
      </c>
      <c r="H1681" t="s">
        <v>247</v>
      </c>
    </row>
    <row r="1682" spans="1:8" x14ac:dyDescent="0.25">
      <c r="A1682" s="1">
        <f t="shared" si="93"/>
        <v>45513</v>
      </c>
      <c r="B1682" s="31">
        <f>TIME(14,0, 0)</f>
        <v>0.58333333333333337</v>
      </c>
      <c r="C1682" t="str">
        <f>Inventory!A53</f>
        <v>Mandazi</v>
      </c>
      <c r="D1682" s="27">
        <v>2</v>
      </c>
      <c r="E1682" s="5">
        <f>Table4[[#This Row],[qty]]*(VLOOKUP(Table4[[#This Row],[item_sold]],Table6[],4,FALSE))</f>
        <v>10</v>
      </c>
      <c r="F1682" s="5">
        <f>(VLOOKUP(Table4[[#This Row],[item_sold]],Table6[],3,FALSE))*Table4[[#This Row],[qty]]</f>
        <v>8.3333333333333339</v>
      </c>
      <c r="G1682" s="5">
        <f t="shared" si="94"/>
        <v>1.6666666666666661</v>
      </c>
      <c r="H1682" t="s">
        <v>361</v>
      </c>
    </row>
    <row r="1683" spans="1:8" x14ac:dyDescent="0.25">
      <c r="A1683" s="1">
        <f t="shared" si="93"/>
        <v>45513</v>
      </c>
      <c r="B1683" s="31">
        <f>TIME(14,0, 0)</f>
        <v>0.58333333333333337</v>
      </c>
      <c r="C1683" t="str">
        <f>Inventory!A54</f>
        <v>Kdf</v>
      </c>
      <c r="D1683" s="27">
        <v>1</v>
      </c>
      <c r="E1683" s="5">
        <f>Table4[[#This Row],[qty]]*(VLOOKUP(Table4[[#This Row],[item_sold]],Table6[],4,FALSE))</f>
        <v>10</v>
      </c>
      <c r="F1683" s="5">
        <f>(VLOOKUP(Table4[[#This Row],[item_sold]],Table6[],3,FALSE))*Table4[[#This Row],[qty]]</f>
        <v>8.3333333333333339</v>
      </c>
      <c r="G1683" s="5">
        <f t="shared" si="94"/>
        <v>1.6666666666666661</v>
      </c>
      <c r="H1683" t="s">
        <v>361</v>
      </c>
    </row>
    <row r="1684" spans="1:8" x14ac:dyDescent="0.25">
      <c r="A1684" s="1">
        <f t="shared" si="93"/>
        <v>45513</v>
      </c>
      <c r="B1684" s="31">
        <f>TIME(14,4, 0)</f>
        <v>0.58611111111111114</v>
      </c>
      <c r="C1684" t="str">
        <f>Inventory!A23</f>
        <v>Mt kenya milk 500ml</v>
      </c>
      <c r="D1684" s="27">
        <v>1</v>
      </c>
      <c r="E1684" s="5">
        <f>Table4[[#This Row],[qty]]*(VLOOKUP(Table4[[#This Row],[item_sold]],Table6[],4,FALSE))</f>
        <v>65</v>
      </c>
      <c r="F1684" s="5">
        <f>(VLOOKUP(Table4[[#This Row],[item_sold]],Table6[],3,FALSE))*Table4[[#This Row],[qty]]</f>
        <v>48.333333333333336</v>
      </c>
      <c r="G1684" s="5">
        <f t="shared" si="94"/>
        <v>16.666666666666664</v>
      </c>
      <c r="H1684" t="s">
        <v>361</v>
      </c>
    </row>
    <row r="1685" spans="1:8" x14ac:dyDescent="0.25">
      <c r="A1685" s="1">
        <f t="shared" si="93"/>
        <v>45513</v>
      </c>
      <c r="B1685" s="31">
        <f>TIME(14,4, 0)</f>
        <v>0.58611111111111114</v>
      </c>
      <c r="C1685" t="str">
        <f>Inventory!A14</f>
        <v>soda 500ml glass</v>
      </c>
      <c r="D1685" s="27">
        <v>1</v>
      </c>
      <c r="E1685" s="5">
        <f>Table4[[#This Row],[qty]]*(VLOOKUP(Table4[[#This Row],[item_sold]],Table6[],4,FALSE))</f>
        <v>55</v>
      </c>
      <c r="F1685" s="5">
        <f>(VLOOKUP(Table4[[#This Row],[item_sold]],Table6[],3,FALSE))*Table4[[#This Row],[qty]]</f>
        <v>50</v>
      </c>
      <c r="G1685" s="5">
        <f t="shared" si="94"/>
        <v>5</v>
      </c>
      <c r="H1685" t="s">
        <v>361</v>
      </c>
    </row>
    <row r="1686" spans="1:8" x14ac:dyDescent="0.25">
      <c r="A1686" s="1">
        <f t="shared" si="93"/>
        <v>45513</v>
      </c>
      <c r="B1686" s="31">
        <f>TIME(14,4, 0)</f>
        <v>0.58611111111111114</v>
      </c>
      <c r="C1686" t="str">
        <f>Inventory!A53</f>
        <v>Mandazi</v>
      </c>
      <c r="D1686" s="27">
        <v>2</v>
      </c>
      <c r="E1686" s="5">
        <f>Table4[[#This Row],[qty]]*(VLOOKUP(Table4[[#This Row],[item_sold]],Table6[],4,FALSE))</f>
        <v>10</v>
      </c>
      <c r="F1686" s="5">
        <f>(VLOOKUP(Table4[[#This Row],[item_sold]],Table6[],3,FALSE))*Table4[[#This Row],[qty]]</f>
        <v>8.3333333333333339</v>
      </c>
      <c r="G1686" s="5">
        <f t="shared" si="94"/>
        <v>1.6666666666666661</v>
      </c>
      <c r="H1686" t="s">
        <v>361</v>
      </c>
    </row>
    <row r="1687" spans="1:8" x14ac:dyDescent="0.25">
      <c r="A1687" s="1">
        <f t="shared" si="93"/>
        <v>45513</v>
      </c>
      <c r="B1687" s="31">
        <f>TIME(14,5, 0)</f>
        <v>0.58680555555555558</v>
      </c>
      <c r="C1687" t="str">
        <f>Inventory!A55</f>
        <v>Ngumu</v>
      </c>
      <c r="D1687" s="27">
        <v>5</v>
      </c>
      <c r="E1687" s="5">
        <f>Table4[[#This Row],[qty]]*(VLOOKUP(Table4[[#This Row],[item_sold]],Table6[],4,FALSE))</f>
        <v>50</v>
      </c>
      <c r="F1687" s="5">
        <f>(VLOOKUP(Table4[[#This Row],[item_sold]],Table6[],3,FALSE))*Table4[[#This Row],[qty]]</f>
        <v>41.666666666666671</v>
      </c>
      <c r="G1687" s="5">
        <f t="shared" si="94"/>
        <v>8.3333333333333286</v>
      </c>
      <c r="H1687" t="s">
        <v>361</v>
      </c>
    </row>
    <row r="1688" spans="1:8" x14ac:dyDescent="0.25">
      <c r="A1688" s="1">
        <f t="shared" si="93"/>
        <v>45513</v>
      </c>
      <c r="B1688" s="31">
        <f>TIME(15,17, 0)</f>
        <v>0.63680555555555551</v>
      </c>
      <c r="C1688" t="str">
        <f>Inventory!A55</f>
        <v>Ngumu</v>
      </c>
      <c r="D1688" s="27">
        <v>1</v>
      </c>
      <c r="E1688" s="5">
        <f>Table4[[#This Row],[qty]]*(VLOOKUP(Table4[[#This Row],[item_sold]],Table6[],4,FALSE))</f>
        <v>10</v>
      </c>
      <c r="F1688" s="5">
        <f>(VLOOKUP(Table4[[#This Row],[item_sold]],Table6[],3,FALSE))*Table4[[#This Row],[qty]]</f>
        <v>8.3333333333333339</v>
      </c>
      <c r="G1688" s="5">
        <f t="shared" si="94"/>
        <v>1.6666666666666661</v>
      </c>
      <c r="H1688" t="s">
        <v>247</v>
      </c>
    </row>
    <row r="1689" spans="1:8" x14ac:dyDescent="0.25">
      <c r="A1689" s="1">
        <f t="shared" si="93"/>
        <v>45513</v>
      </c>
      <c r="B1689" s="31">
        <f>TIME(15,32, 0)</f>
        <v>0.64722222222222225</v>
      </c>
      <c r="C1689" t="str">
        <f>Inventory!A55</f>
        <v>Ngumu</v>
      </c>
      <c r="D1689" s="27">
        <v>4</v>
      </c>
      <c r="E1689" s="5">
        <f>Table4[[#This Row],[qty]]*(VLOOKUP(Table4[[#This Row],[item_sold]],Table6[],4,FALSE))</f>
        <v>40</v>
      </c>
      <c r="F1689" s="5">
        <f>(VLOOKUP(Table4[[#This Row],[item_sold]],Table6[],3,FALSE))*Table4[[#This Row],[qty]]</f>
        <v>33.333333333333336</v>
      </c>
      <c r="G1689" s="5">
        <f t="shared" si="94"/>
        <v>6.6666666666666643</v>
      </c>
      <c r="H1689" t="s">
        <v>247</v>
      </c>
    </row>
    <row r="1690" spans="1:8" x14ac:dyDescent="0.25">
      <c r="A1690" s="1">
        <f t="shared" si="93"/>
        <v>45513</v>
      </c>
      <c r="B1690" s="31">
        <f>TIME(15,32, 0)</f>
        <v>0.64722222222222225</v>
      </c>
      <c r="C1690" t="str">
        <f>Inventory!A70</f>
        <v>Indomie beef</v>
      </c>
      <c r="D1690" s="27">
        <v>1</v>
      </c>
      <c r="E1690" s="5">
        <f>Table4[[#This Row],[qty]]*(VLOOKUP(Table4[[#This Row],[item_sold]],Table6[],4,FALSE))</f>
        <v>50</v>
      </c>
      <c r="F1690" s="5">
        <f>(VLOOKUP(Table4[[#This Row],[item_sold]],Table6[],3,FALSE))*Table4[[#This Row],[qty]]</f>
        <v>38</v>
      </c>
      <c r="G1690" s="5">
        <f t="shared" si="94"/>
        <v>12</v>
      </c>
      <c r="H1690" t="s">
        <v>247</v>
      </c>
    </row>
    <row r="1691" spans="1:8" x14ac:dyDescent="0.25">
      <c r="A1691" s="1">
        <f t="shared" si="93"/>
        <v>45513</v>
      </c>
      <c r="B1691" s="31">
        <f>TIME(16,7, 0)</f>
        <v>0.67152777777777783</v>
      </c>
      <c r="C1691" t="str">
        <f>Inventory!A205</f>
        <v>Eno</v>
      </c>
      <c r="D1691" s="27">
        <v>2</v>
      </c>
      <c r="E1691" s="5">
        <f>Table4[[#This Row],[qty]]*(VLOOKUP(Table4[[#This Row],[item_sold]],Table6[],4,FALSE))</f>
        <v>40</v>
      </c>
      <c r="F1691" s="5">
        <f>(VLOOKUP(Table4[[#This Row],[item_sold]],Table6[],3,FALSE))*Table4[[#This Row],[qty]]</f>
        <v>22</v>
      </c>
      <c r="G1691" s="5">
        <f t="shared" si="94"/>
        <v>18</v>
      </c>
      <c r="H1691" t="s">
        <v>247</v>
      </c>
    </row>
    <row r="1692" spans="1:8" x14ac:dyDescent="0.25">
      <c r="A1692" s="1">
        <f t="shared" si="93"/>
        <v>45513</v>
      </c>
      <c r="B1692" s="31">
        <f>TIME(16,23, 0)</f>
        <v>0.68263888888888891</v>
      </c>
      <c r="C1692" t="str">
        <f>Inventory!A121</f>
        <v>Banana</v>
      </c>
      <c r="D1692" s="27">
        <v>2</v>
      </c>
      <c r="E1692" s="5">
        <f>Table4[[#This Row],[qty]]*(VLOOKUP(Table4[[#This Row],[item_sold]],Table6[],4,FALSE))</f>
        <v>20</v>
      </c>
      <c r="F1692" s="5">
        <f>(VLOOKUP(Table4[[#This Row],[item_sold]],Table6[],3,FALSE))*Table4[[#This Row],[qty]]</f>
        <v>16.666666666666668</v>
      </c>
      <c r="G1692" s="5">
        <f t="shared" si="94"/>
        <v>3.3333333333333321</v>
      </c>
      <c r="H1692" t="s">
        <v>247</v>
      </c>
    </row>
    <row r="1693" spans="1:8" x14ac:dyDescent="0.25">
      <c r="A1693" s="1">
        <f t="shared" si="93"/>
        <v>45513</v>
      </c>
      <c r="B1693" s="31">
        <f>TIME(17,44, 0)</f>
        <v>0.73888888888888893</v>
      </c>
      <c r="C1693" t="str">
        <f>Inventory!A194</f>
        <v>funtime snacks</v>
      </c>
      <c r="D1693" s="27">
        <v>1</v>
      </c>
      <c r="E1693" s="5">
        <f>Table4[[#This Row],[qty]]*(VLOOKUP(Table4[[#This Row],[item_sold]],Table6[],4,FALSE))</f>
        <v>15</v>
      </c>
      <c r="F1693" s="5">
        <f>(VLOOKUP(Table4[[#This Row],[item_sold]],Table6[],3,FALSE))*Table4[[#This Row],[qty]]</f>
        <v>9</v>
      </c>
      <c r="G1693" s="5">
        <f t="shared" si="94"/>
        <v>6</v>
      </c>
      <c r="H1693" t="s">
        <v>361</v>
      </c>
    </row>
    <row r="1694" spans="1:8" x14ac:dyDescent="0.25">
      <c r="A1694" s="1">
        <f t="shared" si="93"/>
        <v>45513</v>
      </c>
      <c r="B1694" s="31">
        <f>TIME(17,44, 0)</f>
        <v>0.73888888888888893</v>
      </c>
      <c r="C1694" t="str">
        <f>Inventory!A34</f>
        <v>Ringoz Paprika</v>
      </c>
      <c r="D1694" s="27">
        <v>1</v>
      </c>
      <c r="E1694" s="5">
        <f>Table4[[#This Row],[qty]]*(VLOOKUP(Table4[[#This Row],[item_sold]],Table6[],4,FALSE))</f>
        <v>15</v>
      </c>
      <c r="F1694" s="5">
        <f>(VLOOKUP(Table4[[#This Row],[item_sold]],Table6[],3,FALSE))*Table4[[#This Row],[qty]]</f>
        <v>8.8000000000000007</v>
      </c>
      <c r="G1694" s="5">
        <f t="shared" si="94"/>
        <v>6.1999999999999993</v>
      </c>
      <c r="H1694" t="s">
        <v>361</v>
      </c>
    </row>
    <row r="1695" spans="1:8" x14ac:dyDescent="0.25">
      <c r="A1695" s="1">
        <f t="shared" si="93"/>
        <v>45513</v>
      </c>
      <c r="B1695" s="31">
        <f>TIME(17,44, 0)</f>
        <v>0.73888888888888893</v>
      </c>
      <c r="C1695" t="str">
        <f>Inventory!A36</f>
        <v>Tamu  Tamu Green</v>
      </c>
      <c r="D1695" s="27">
        <v>1</v>
      </c>
      <c r="E1695" s="5">
        <f>Table4[[#This Row],[qty]]*(VLOOKUP(Table4[[#This Row],[item_sold]],Table6[],4,FALSE))</f>
        <v>15</v>
      </c>
      <c r="F1695" s="5">
        <f>(VLOOKUP(Table4[[#This Row],[item_sold]],Table6[],3,FALSE))*Table4[[#This Row],[qty]]</f>
        <v>8.6</v>
      </c>
      <c r="G1695" s="5">
        <f t="shared" si="94"/>
        <v>6.4</v>
      </c>
      <c r="H1695" t="s">
        <v>361</v>
      </c>
    </row>
    <row r="1696" spans="1:8" x14ac:dyDescent="0.25">
      <c r="A1696" s="1">
        <f t="shared" si="93"/>
        <v>45513</v>
      </c>
      <c r="B1696" s="31">
        <f>TIME(17,44, 0)</f>
        <v>0.73888888888888893</v>
      </c>
      <c r="C1696" t="str">
        <f>Inventory!A63</f>
        <v>Gomba</v>
      </c>
      <c r="D1696" s="27">
        <v>2</v>
      </c>
      <c r="E1696" s="5">
        <f>Table4[[#This Row],[qty]]*(VLOOKUP(Table4[[#This Row],[item_sold]],Table6[],4,FALSE))</f>
        <v>5</v>
      </c>
      <c r="F1696" s="5">
        <f>(VLOOKUP(Table4[[#This Row],[item_sold]],Table6[],3,FALSE))*Table4[[#This Row],[qty]]</f>
        <v>3.6</v>
      </c>
      <c r="G1696" s="5">
        <f t="shared" si="94"/>
        <v>1.4</v>
      </c>
      <c r="H1696" t="s">
        <v>361</v>
      </c>
    </row>
    <row r="1697" spans="1:12" x14ac:dyDescent="0.25">
      <c r="A1697" s="1">
        <f t="shared" si="93"/>
        <v>45513</v>
      </c>
      <c r="B1697" s="31">
        <f>TIME(18,6, 0)</f>
        <v>0.75416666666666676</v>
      </c>
      <c r="C1697" t="str">
        <f>Inventory!A23</f>
        <v>Mt kenya milk 500ml</v>
      </c>
      <c r="D1697" s="27">
        <v>1</v>
      </c>
      <c r="E1697" s="5">
        <f>Table4[[#This Row],[qty]]*(VLOOKUP(Table4[[#This Row],[item_sold]],Table6[],4,FALSE))</f>
        <v>65</v>
      </c>
      <c r="F1697" s="5">
        <f>(VLOOKUP(Table4[[#This Row],[item_sold]],Table6[],3,FALSE))*Table4[[#This Row],[qty]]</f>
        <v>48.333333333333336</v>
      </c>
      <c r="G1697" s="5">
        <f t="shared" si="94"/>
        <v>16.666666666666664</v>
      </c>
      <c r="H1697" t="s">
        <v>361</v>
      </c>
      <c r="J1697" t="s">
        <v>397</v>
      </c>
      <c r="K1697">
        <v>20</v>
      </c>
      <c r="L1697" t="s">
        <v>361</v>
      </c>
    </row>
    <row r="1698" spans="1:12" x14ac:dyDescent="0.25">
      <c r="A1698" s="1">
        <f t="shared" si="93"/>
        <v>45513</v>
      </c>
      <c r="B1698" s="31">
        <f>TIME(18,6, 0)</f>
        <v>0.75416666666666676</v>
      </c>
      <c r="C1698" t="str">
        <f>Inventory!A126</f>
        <v>Royco cubes</v>
      </c>
      <c r="D1698" s="27">
        <v>6</v>
      </c>
      <c r="E1698" s="5">
        <f>Table4[[#This Row],[qty]]*(VLOOKUP(Table4[[#This Row],[item_sold]],Table6[],4,FALSE))</f>
        <v>30</v>
      </c>
      <c r="F1698" s="5">
        <f>(VLOOKUP(Table4[[#This Row],[item_sold]],Table6[],3,FALSE))*Table4[[#This Row],[qty]]</f>
        <v>18</v>
      </c>
      <c r="G1698" s="5">
        <f t="shared" si="94"/>
        <v>12</v>
      </c>
      <c r="H1698" t="s">
        <v>361</v>
      </c>
    </row>
    <row r="1699" spans="1:12" x14ac:dyDescent="0.25">
      <c r="A1699" s="1">
        <f t="shared" si="93"/>
        <v>45513</v>
      </c>
      <c r="B1699" s="31">
        <f>TIME(18,38, 0)</f>
        <v>0.77638888888888891</v>
      </c>
      <c r="C1699" t="str">
        <f>Inventory!A18</f>
        <v>kinangop250g youghurt</v>
      </c>
      <c r="D1699" s="27">
        <v>1</v>
      </c>
      <c r="E1699" s="5">
        <f>Table4[[#This Row],[qty]]*(VLOOKUP(Table4[[#This Row],[item_sold]],Table6[],4,FALSE))</f>
        <v>60</v>
      </c>
      <c r="F1699" s="5">
        <f>(VLOOKUP(Table4[[#This Row],[item_sold]],Table6[],3,FALSE))*Table4[[#This Row],[qty]]</f>
        <v>48.333333333333336</v>
      </c>
      <c r="G1699" s="5">
        <f t="shared" ref="G1699:G1721" si="95">E1699-F1699</f>
        <v>11.666666666666664</v>
      </c>
      <c r="H1699" t="s">
        <v>361</v>
      </c>
    </row>
    <row r="1700" spans="1:12" x14ac:dyDescent="0.25">
      <c r="A1700" s="1">
        <f t="shared" si="93"/>
        <v>45513</v>
      </c>
      <c r="B1700" s="31">
        <f>TIME(18,43, 0)</f>
        <v>0.77986111111111101</v>
      </c>
      <c r="C1700" t="str">
        <f>Inventory!A59</f>
        <v>coo</v>
      </c>
      <c r="D1700" s="27">
        <v>8</v>
      </c>
      <c r="E1700" s="5">
        <f>Table4[[#This Row],[qty]]*(VLOOKUP(Table4[[#This Row],[item_sold]],Table6[],4,FALSE))</f>
        <v>20</v>
      </c>
      <c r="F1700" s="5">
        <f>(VLOOKUP(Table4[[#This Row],[item_sold]],Table6[],3,FALSE))*Table4[[#This Row],[qty]]</f>
        <v>9.6</v>
      </c>
      <c r="G1700" s="5">
        <f t="shared" si="95"/>
        <v>10.4</v>
      </c>
      <c r="H1700" t="s">
        <v>247</v>
      </c>
    </row>
    <row r="1701" spans="1:12" x14ac:dyDescent="0.25">
      <c r="A1701" s="1">
        <f t="shared" si="93"/>
        <v>45513</v>
      </c>
      <c r="B1701" s="31">
        <f>TIME(18,43, 0)</f>
        <v>0.77986111111111101</v>
      </c>
      <c r="C1701" t="str">
        <f>Inventory!A12</f>
        <v>predator</v>
      </c>
      <c r="D1701" s="27">
        <v>1</v>
      </c>
      <c r="E1701" s="5">
        <f>Table4[[#This Row],[qty]]*(VLOOKUP(Table4[[#This Row],[item_sold]],Table6[],4,FALSE))</f>
        <v>70</v>
      </c>
      <c r="F1701" s="5">
        <f>(VLOOKUP(Table4[[#This Row],[item_sold]],Table6[],3,FALSE))*Table4[[#This Row],[qty]]</f>
        <v>54.166666666666664</v>
      </c>
      <c r="G1701" s="5">
        <f t="shared" si="95"/>
        <v>15.833333333333336</v>
      </c>
      <c r="H1701" t="s">
        <v>247</v>
      </c>
    </row>
    <row r="1702" spans="1:12" x14ac:dyDescent="0.25">
      <c r="A1702" s="1">
        <f t="shared" si="93"/>
        <v>45513</v>
      </c>
      <c r="B1702" s="31">
        <f>TIME(19,7, 0)</f>
        <v>0.79652777777777783</v>
      </c>
      <c r="C1702" t="str">
        <f>Inventory!A23</f>
        <v>Mt kenya milk 500ml</v>
      </c>
      <c r="D1702" s="27">
        <v>1</v>
      </c>
      <c r="E1702" s="5">
        <f>Table4[[#This Row],[qty]]*(VLOOKUP(Table4[[#This Row],[item_sold]],Table6[],4,FALSE))</f>
        <v>65</v>
      </c>
      <c r="F1702" s="5">
        <f>(VLOOKUP(Table4[[#This Row],[item_sold]],Table6[],3,FALSE))*Table4[[#This Row],[qty]]</f>
        <v>48.333333333333336</v>
      </c>
      <c r="G1702" s="5">
        <f t="shared" si="95"/>
        <v>16.666666666666664</v>
      </c>
      <c r="H1702" t="s">
        <v>361</v>
      </c>
    </row>
    <row r="1703" spans="1:12" x14ac:dyDescent="0.25">
      <c r="A1703" s="1">
        <f t="shared" si="93"/>
        <v>45513</v>
      </c>
      <c r="B1703" s="31">
        <f>TIME(19,7, 0)</f>
        <v>0.79652777777777783</v>
      </c>
      <c r="C1703" t="str">
        <f>Inventory!A30</f>
        <v>BB Bread 400g</v>
      </c>
      <c r="D1703" s="27">
        <v>1</v>
      </c>
      <c r="E1703" s="5">
        <f>Table4[[#This Row],[qty]]*(VLOOKUP(Table4[[#This Row],[item_sold]],Table6[],4,FALSE))</f>
        <v>65</v>
      </c>
      <c r="F1703" s="5">
        <f>(VLOOKUP(Table4[[#This Row],[item_sold]],Table6[],3,FALSE))*Table4[[#This Row],[qty]]</f>
        <v>60</v>
      </c>
      <c r="G1703" s="5">
        <f t="shared" si="95"/>
        <v>5</v>
      </c>
      <c r="H1703" t="s">
        <v>361</v>
      </c>
    </row>
    <row r="1704" spans="1:12" x14ac:dyDescent="0.25">
      <c r="A1704" s="1">
        <f t="shared" si="93"/>
        <v>45513</v>
      </c>
      <c r="B1704" s="31">
        <f>TIME(19,7, 0)</f>
        <v>0.79652777777777783</v>
      </c>
      <c r="C1704" t="str">
        <f>Inventory!A173</f>
        <v>Blueband 100g</v>
      </c>
      <c r="D1704" s="27">
        <v>1</v>
      </c>
      <c r="E1704" s="5">
        <f>Table4[[#This Row],[qty]]*(VLOOKUP(Table4[[#This Row],[item_sold]],Table6[],4,FALSE))</f>
        <v>70</v>
      </c>
      <c r="F1704" s="5">
        <f>(VLOOKUP(Table4[[#This Row],[item_sold]],Table6[],3,FALSE))*Table4[[#This Row],[qty]]</f>
        <v>58.333333333333336</v>
      </c>
      <c r="G1704" s="5">
        <f t="shared" si="95"/>
        <v>11.666666666666664</v>
      </c>
      <c r="H1704" t="s">
        <v>361</v>
      </c>
    </row>
    <row r="1705" spans="1:12" x14ac:dyDescent="0.25">
      <c r="A1705" s="1">
        <f t="shared" si="93"/>
        <v>45513</v>
      </c>
      <c r="B1705" s="31">
        <f>TIME(19,8, 0)</f>
        <v>0.79722222222222217</v>
      </c>
      <c r="C1705" t="str">
        <f>Inventory!A33</f>
        <v>Festive 800g</v>
      </c>
      <c r="D1705" s="27">
        <v>1</v>
      </c>
      <c r="E1705" s="5">
        <f>Table4[[#This Row],[qty]]*(VLOOKUP(Table4[[#This Row],[item_sold]],Table6[],4,FALSE))</f>
        <v>130</v>
      </c>
      <c r="F1705" s="5">
        <f>(VLOOKUP(Table4[[#This Row],[item_sold]],Table6[],3,FALSE))*Table4[[#This Row],[qty]]</f>
        <v>120</v>
      </c>
      <c r="G1705" s="5">
        <f t="shared" si="95"/>
        <v>10</v>
      </c>
      <c r="H1705" t="s">
        <v>359</v>
      </c>
      <c r="I1705" t="s">
        <v>416</v>
      </c>
    </row>
    <row r="1706" spans="1:12" x14ac:dyDescent="0.25">
      <c r="A1706" s="1">
        <f t="shared" si="93"/>
        <v>45513</v>
      </c>
      <c r="B1706" s="31">
        <f>TIME(19,8, 0)</f>
        <v>0.79722222222222217</v>
      </c>
      <c r="C1706" t="str">
        <f>Inventory!A56</f>
        <v>Fresh green</v>
      </c>
      <c r="D1706" s="27">
        <v>1</v>
      </c>
      <c r="E1706" s="5">
        <f>Table4[[#This Row],[qty]]*(VLOOKUP(Table4[[#This Row],[item_sold]],Table6[],4,FALSE))</f>
        <v>10</v>
      </c>
      <c r="F1706" s="5">
        <f>(VLOOKUP(Table4[[#This Row],[item_sold]],Table6[],3,FALSE))*Table4[[#This Row],[qty]]</f>
        <v>5</v>
      </c>
      <c r="G1706" s="5">
        <f t="shared" si="95"/>
        <v>5</v>
      </c>
      <c r="H1706" t="s">
        <v>359</v>
      </c>
      <c r="I1706" t="s">
        <v>416</v>
      </c>
    </row>
    <row r="1707" spans="1:12" x14ac:dyDescent="0.25">
      <c r="A1707" s="1">
        <f t="shared" si="93"/>
        <v>45513</v>
      </c>
      <c r="B1707" s="31">
        <f>TIME(19,10, 0)</f>
        <v>0.79861111111111116</v>
      </c>
      <c r="C1707" t="str">
        <f>Inventory!A169</f>
        <v>210 Maize Meal 2kg</v>
      </c>
      <c r="D1707" s="27">
        <v>1</v>
      </c>
      <c r="E1707" s="5">
        <f>Table4[[#This Row],[qty]]*(VLOOKUP(Table4[[#This Row],[item_sold]],Table6[],4,FALSE))</f>
        <v>160</v>
      </c>
      <c r="F1707" s="5">
        <f>(VLOOKUP(Table4[[#This Row],[item_sold]],Table6[],3,FALSE))*Table4[[#This Row],[qty]]</f>
        <v>117.08333333333333</v>
      </c>
      <c r="G1707" s="5">
        <f t="shared" si="95"/>
        <v>42.916666666666671</v>
      </c>
      <c r="H1707" t="s">
        <v>359</v>
      </c>
      <c r="I1707" t="s">
        <v>389</v>
      </c>
    </row>
    <row r="1708" spans="1:12" x14ac:dyDescent="0.25">
      <c r="A1708" s="1">
        <f t="shared" si="93"/>
        <v>45513</v>
      </c>
      <c r="B1708" s="31">
        <f>TIME(19,20, 0)</f>
        <v>0.80555555555555547</v>
      </c>
      <c r="C1708" t="str">
        <f>Inventory!A76</f>
        <v>kensalt 1kg</v>
      </c>
      <c r="D1708" s="27">
        <v>1</v>
      </c>
      <c r="E1708" s="5">
        <f>Table4[[#This Row],[qty]]*(VLOOKUP(Table4[[#This Row],[item_sold]],Table6[],4,FALSE))</f>
        <v>50</v>
      </c>
      <c r="F1708" s="5">
        <f>(VLOOKUP(Table4[[#This Row],[item_sold]],Table6[],3,FALSE))*Table4[[#This Row],[qty]]</f>
        <v>35</v>
      </c>
      <c r="G1708" s="5">
        <f t="shared" si="95"/>
        <v>15</v>
      </c>
      <c r="H1708" t="s">
        <v>247</v>
      </c>
    </row>
    <row r="1709" spans="1:12" x14ac:dyDescent="0.25">
      <c r="A1709" s="1">
        <f t="shared" si="93"/>
        <v>45513</v>
      </c>
      <c r="B1709" s="31">
        <f>TIME(19,24, 0)</f>
        <v>0.80833333333333324</v>
      </c>
      <c r="C1709" t="str">
        <f>Inventory!A126</f>
        <v>Royco cubes</v>
      </c>
      <c r="D1709" s="27">
        <v>2</v>
      </c>
      <c r="E1709" s="5">
        <f>Table4[[#This Row],[qty]]*(VLOOKUP(Table4[[#This Row],[item_sold]],Table6[],4,FALSE))</f>
        <v>10</v>
      </c>
      <c r="F1709" s="5">
        <f>(VLOOKUP(Table4[[#This Row],[item_sold]],Table6[],3,FALSE))*Table4[[#This Row],[qty]]</f>
        <v>6</v>
      </c>
      <c r="G1709" s="5">
        <f t="shared" si="95"/>
        <v>4</v>
      </c>
      <c r="H1709" t="s">
        <v>361</v>
      </c>
    </row>
    <row r="1710" spans="1:12" x14ac:dyDescent="0.25">
      <c r="A1710" s="1">
        <f t="shared" si="93"/>
        <v>45513</v>
      </c>
      <c r="B1710" s="31">
        <f>TIME(20,3, 0)</f>
        <v>0.8354166666666667</v>
      </c>
      <c r="C1710" t="str">
        <f>Inventory!A24</f>
        <v>Brookside milk 500ml</v>
      </c>
      <c r="D1710" s="27">
        <v>2</v>
      </c>
      <c r="E1710" s="5">
        <f>Table4[[#This Row],[qty]]*(VLOOKUP(Table4[[#This Row],[item_sold]],Table6[],4,FALSE))</f>
        <v>140</v>
      </c>
      <c r="F1710" s="5">
        <f>(VLOOKUP(Table4[[#This Row],[item_sold]],Table6[],3,FALSE))*Table4[[#This Row],[qty]]</f>
        <v>118</v>
      </c>
      <c r="G1710" s="5">
        <f t="shared" si="95"/>
        <v>22</v>
      </c>
      <c r="H1710" t="s">
        <v>359</v>
      </c>
      <c r="I1710" t="s">
        <v>404</v>
      </c>
    </row>
    <row r="1711" spans="1:12" x14ac:dyDescent="0.25">
      <c r="A1711" s="1">
        <f t="shared" si="93"/>
        <v>45513</v>
      </c>
      <c r="B1711" s="31">
        <f>TIME(20,12, 0)</f>
        <v>0.84166666666666667</v>
      </c>
      <c r="C1711" t="str">
        <f>Inventory!A32</f>
        <v>Festive 600g</v>
      </c>
      <c r="D1711" s="27">
        <v>1</v>
      </c>
      <c r="E1711" s="5">
        <f>Table4[[#This Row],[qty]]*(VLOOKUP(Table4[[#This Row],[item_sold]],Table6[],4,FALSE))</f>
        <v>100</v>
      </c>
      <c r="F1711" s="5">
        <f>(VLOOKUP(Table4[[#This Row],[item_sold]],Table6[],3,FALSE))*Table4[[#This Row],[qty]]</f>
        <v>90</v>
      </c>
      <c r="G1711" s="5">
        <f t="shared" si="95"/>
        <v>10</v>
      </c>
      <c r="H1711" t="s">
        <v>361</v>
      </c>
    </row>
    <row r="1712" spans="1:12" x14ac:dyDescent="0.25">
      <c r="A1712" s="1">
        <f t="shared" si="93"/>
        <v>45513</v>
      </c>
      <c r="B1712" s="31">
        <f>TIME(20,51, 0)</f>
        <v>0.86875000000000002</v>
      </c>
      <c r="C1712" t="str">
        <f>Inventory!A182</f>
        <v>Lighter</v>
      </c>
      <c r="D1712" s="27">
        <v>1</v>
      </c>
      <c r="E1712" s="5">
        <f>Table4[[#This Row],[qty]]*(VLOOKUP(Table4[[#This Row],[item_sold]],Table6[],4,FALSE))</f>
        <v>30</v>
      </c>
      <c r="F1712" s="5">
        <f>(VLOOKUP(Table4[[#This Row],[item_sold]],Table6[],3,FALSE))*Table4[[#This Row],[qty]]</f>
        <v>15</v>
      </c>
      <c r="G1712" s="5">
        <f t="shared" si="95"/>
        <v>15</v>
      </c>
      <c r="H1712" t="s">
        <v>361</v>
      </c>
    </row>
    <row r="1713" spans="1:12" x14ac:dyDescent="0.25">
      <c r="A1713" s="1">
        <f t="shared" si="93"/>
        <v>45513</v>
      </c>
      <c r="B1713" s="31">
        <f>TIME(20,51, 0)</f>
        <v>0.86875000000000002</v>
      </c>
      <c r="C1713" t="str">
        <f>Inventory!A32</f>
        <v>Festive 600g</v>
      </c>
      <c r="D1713" s="27">
        <v>1</v>
      </c>
      <c r="E1713" s="5">
        <f>Table4[[#This Row],[qty]]*(VLOOKUP(Table4[[#This Row],[item_sold]],Table6[],4,FALSE))</f>
        <v>100</v>
      </c>
      <c r="F1713" s="5">
        <f>(VLOOKUP(Table4[[#This Row],[item_sold]],Table6[],3,FALSE))*Table4[[#This Row],[qty]]</f>
        <v>90</v>
      </c>
      <c r="G1713" s="5">
        <f t="shared" si="95"/>
        <v>10</v>
      </c>
      <c r="H1713" t="s">
        <v>359</v>
      </c>
      <c r="I1713" t="s">
        <v>390</v>
      </c>
    </row>
    <row r="1714" spans="1:12" x14ac:dyDescent="0.25">
      <c r="A1714" s="1">
        <f t="shared" si="93"/>
        <v>45513</v>
      </c>
      <c r="B1714" s="31">
        <f>TIME(20,51, 0)</f>
        <v>0.86875000000000002</v>
      </c>
      <c r="C1714" t="str">
        <f>Inventory!A24</f>
        <v>Brookside milk 500ml</v>
      </c>
      <c r="D1714" s="27">
        <v>1</v>
      </c>
      <c r="E1714" s="5">
        <f>Table4[[#This Row],[qty]]*(VLOOKUP(Table4[[#This Row],[item_sold]],Table6[],4,FALSE))</f>
        <v>70</v>
      </c>
      <c r="F1714" s="5">
        <f>(VLOOKUP(Table4[[#This Row],[item_sold]],Table6[],3,FALSE))*Table4[[#This Row],[qty]]</f>
        <v>59</v>
      </c>
      <c r="G1714" s="5">
        <f t="shared" si="95"/>
        <v>11</v>
      </c>
      <c r="H1714" t="s">
        <v>359</v>
      </c>
      <c r="I1714" t="s">
        <v>390</v>
      </c>
    </row>
    <row r="1715" spans="1:12" x14ac:dyDescent="0.25">
      <c r="A1715" s="1">
        <f t="shared" si="93"/>
        <v>45513</v>
      </c>
      <c r="B1715" s="31">
        <f>TIME(22,41, 0)</f>
        <v>0.94513888888888886</v>
      </c>
      <c r="D1715" s="27"/>
      <c r="F1715" s="5"/>
      <c r="J1715" t="s">
        <v>384</v>
      </c>
      <c r="K1715">
        <v>420</v>
      </c>
      <c r="L1715" t="s">
        <v>361</v>
      </c>
    </row>
    <row r="1716" spans="1:12" x14ac:dyDescent="0.25">
      <c r="A1716" s="1">
        <f>DATE(2024,8,10)</f>
        <v>45514</v>
      </c>
      <c r="B1716" s="31">
        <f>TIME(8,0, 0)</f>
        <v>0.33333333333333331</v>
      </c>
      <c r="C1716" t="str">
        <f>Inventory!A132</f>
        <v>Festive Bread 400g</v>
      </c>
      <c r="D1716" s="27">
        <v>2</v>
      </c>
      <c r="E1716" s="5">
        <f>Table4[[#This Row],[qty]]*(VLOOKUP(Table4[[#This Row],[item_sold]],Table6[],4,FALSE))</f>
        <v>130</v>
      </c>
      <c r="F1716" s="5">
        <f>(VLOOKUP(Table4[[#This Row],[item_sold]],Table6[],3,FALSE))*Table4[[#This Row],[qty]]</f>
        <v>120</v>
      </c>
      <c r="G1716" s="5">
        <f t="shared" si="95"/>
        <v>10</v>
      </c>
      <c r="H1716" t="s">
        <v>247</v>
      </c>
    </row>
    <row r="1717" spans="1:12" x14ac:dyDescent="0.25">
      <c r="A1717" s="1">
        <f t="shared" ref="A1717:A1780" si="96">DATE(2024,8,10)</f>
        <v>45514</v>
      </c>
      <c r="B1717" s="31">
        <f>TIME(8,15, 0)</f>
        <v>0.34375</v>
      </c>
      <c r="C1717" t="str">
        <f>Inventory!A54</f>
        <v>Kdf</v>
      </c>
      <c r="D1717" s="27">
        <v>3</v>
      </c>
      <c r="E1717" s="5">
        <f>Table4[[#This Row],[qty]]*(VLOOKUP(Table4[[#This Row],[item_sold]],Table6[],4,FALSE))</f>
        <v>30</v>
      </c>
      <c r="F1717" s="5">
        <f>(VLOOKUP(Table4[[#This Row],[item_sold]],Table6[],3,FALSE))*Table4[[#This Row],[qty]]</f>
        <v>25</v>
      </c>
      <c r="G1717" s="5">
        <f t="shared" si="95"/>
        <v>5</v>
      </c>
      <c r="H1717" t="s">
        <v>247</v>
      </c>
    </row>
    <row r="1718" spans="1:12" x14ac:dyDescent="0.25">
      <c r="A1718" s="1">
        <f t="shared" si="96"/>
        <v>45514</v>
      </c>
      <c r="B1718" s="31">
        <f>TIME(8,15, 0)</f>
        <v>0.34375</v>
      </c>
      <c r="C1718" t="str">
        <f>Inventory!A86</f>
        <v>Medium Colgate Toothbrush</v>
      </c>
      <c r="D1718" s="27">
        <v>1</v>
      </c>
      <c r="E1718" s="5">
        <f>Table4[[#This Row],[qty]]*(VLOOKUP(Table4[[#This Row],[item_sold]],Table6[],4,FALSE))</f>
        <v>40</v>
      </c>
      <c r="F1718" s="5">
        <f>(VLOOKUP(Table4[[#This Row],[item_sold]],Table6[],3,FALSE))*Table4[[#This Row],[qty]]</f>
        <v>25</v>
      </c>
      <c r="G1718" s="5">
        <f t="shared" si="95"/>
        <v>15</v>
      </c>
      <c r="H1718" t="s">
        <v>359</v>
      </c>
      <c r="I1718" t="s">
        <v>389</v>
      </c>
    </row>
    <row r="1719" spans="1:12" x14ac:dyDescent="0.25">
      <c r="A1719" s="1">
        <f t="shared" si="96"/>
        <v>45514</v>
      </c>
      <c r="B1719" s="31">
        <f>TIME(8,40, 0)</f>
        <v>0.3611111111111111</v>
      </c>
      <c r="C1719" t="str">
        <f>Inventory!A139</f>
        <v>Airtel 10 Credit</v>
      </c>
      <c r="D1719" s="27">
        <v>1</v>
      </c>
      <c r="E1719" s="5">
        <f>Table4[[#This Row],[qty]]*(VLOOKUP(Table4[[#This Row],[item_sold]],Table6[],4,FALSE))</f>
        <v>10</v>
      </c>
      <c r="F1719" s="5">
        <f>(VLOOKUP(Table4[[#This Row],[item_sold]],Table6[],3,FALSE))*Table4[[#This Row],[qty]]</f>
        <v>9</v>
      </c>
      <c r="G1719" s="5">
        <f t="shared" si="95"/>
        <v>1</v>
      </c>
      <c r="H1719" t="s">
        <v>247</v>
      </c>
    </row>
    <row r="1720" spans="1:12" x14ac:dyDescent="0.25">
      <c r="A1720" s="1">
        <f t="shared" si="96"/>
        <v>45514</v>
      </c>
      <c r="B1720" s="31">
        <f>TIME(8,40, 0)</f>
        <v>0.3611111111111111</v>
      </c>
      <c r="C1720" t="str">
        <f>Inventory!A138</f>
        <v>Airtel 20 Credit</v>
      </c>
      <c r="D1720" s="27">
        <v>1</v>
      </c>
      <c r="E1720" s="5">
        <f>Table4[[#This Row],[qty]]*(VLOOKUP(Table4[[#This Row],[item_sold]],Table6[],4,FALSE))</f>
        <v>20</v>
      </c>
      <c r="F1720" s="5">
        <f>(VLOOKUP(Table4[[#This Row],[item_sold]],Table6[],3,FALSE))*Table4[[#This Row],[qty]]</f>
        <v>18</v>
      </c>
      <c r="G1720" s="5">
        <f t="shared" si="95"/>
        <v>2</v>
      </c>
      <c r="H1720" t="s">
        <v>247</v>
      </c>
    </row>
    <row r="1721" spans="1:12" x14ac:dyDescent="0.25">
      <c r="A1721" s="1">
        <f t="shared" si="96"/>
        <v>45514</v>
      </c>
      <c r="B1721" s="31">
        <f>TIME(8,40, 0)</f>
        <v>0.3611111111111111</v>
      </c>
      <c r="C1721" t="str">
        <f>Inventory!A135</f>
        <v>Safaricom 20 Credit</v>
      </c>
      <c r="D1721" s="27">
        <v>2</v>
      </c>
      <c r="E1721" s="5">
        <f>Table4[[#This Row],[qty]]*(VLOOKUP(Table4[[#This Row],[item_sold]],Table6[],4,FALSE))</f>
        <v>40</v>
      </c>
      <c r="F1721" s="5">
        <f>(VLOOKUP(Table4[[#This Row],[item_sold]],Table6[],3,FALSE))*Table4[[#This Row],[qty]]</f>
        <v>36</v>
      </c>
      <c r="G1721" s="5">
        <f t="shared" si="95"/>
        <v>4</v>
      </c>
      <c r="H1721" t="s">
        <v>247</v>
      </c>
    </row>
    <row r="1722" spans="1:12" x14ac:dyDescent="0.25">
      <c r="A1722" s="1">
        <f t="shared" si="96"/>
        <v>45514</v>
      </c>
      <c r="B1722" s="31">
        <f>TIME(9,18, 0)</f>
        <v>0.38750000000000001</v>
      </c>
      <c r="C1722" t="str">
        <f>Inventory!A84</f>
        <v>Safari</v>
      </c>
      <c r="D1722" s="27">
        <v>1</v>
      </c>
      <c r="E1722" s="5">
        <f>Table4[[#This Row],[qty]]*(VLOOKUP(Table4[[#This Row],[item_sold]],Table6[],4,FALSE))</f>
        <v>15</v>
      </c>
      <c r="F1722" s="5">
        <f>(VLOOKUP(Table4[[#This Row],[item_sold]],Table6[],3,FALSE))*Table4[[#This Row],[qty]]</f>
        <v>8.5</v>
      </c>
      <c r="G1722" s="5">
        <f t="shared" ref="G1722:G1785" si="97">E1722-F1722</f>
        <v>6.5</v>
      </c>
      <c r="H1722" t="s">
        <v>247</v>
      </c>
    </row>
    <row r="1723" spans="1:12" x14ac:dyDescent="0.25">
      <c r="A1723" s="1">
        <f t="shared" si="96"/>
        <v>45514</v>
      </c>
      <c r="B1723" s="31">
        <f>TIME(9,27, 0)</f>
        <v>0.39374999999999999</v>
      </c>
      <c r="C1723" t="str">
        <f>Inventory!A132</f>
        <v>Festive Bread 400g</v>
      </c>
      <c r="D1723" s="27">
        <v>1</v>
      </c>
      <c r="E1723" s="5">
        <f>Table4[[#This Row],[qty]]*(VLOOKUP(Table4[[#This Row],[item_sold]],Table6[],4,FALSE))</f>
        <v>65</v>
      </c>
      <c r="F1723" s="5">
        <f>(VLOOKUP(Table4[[#This Row],[item_sold]],Table6[],3,FALSE))*Table4[[#This Row],[qty]]</f>
        <v>60</v>
      </c>
      <c r="G1723" s="5">
        <f t="shared" si="97"/>
        <v>5</v>
      </c>
      <c r="H1723" t="s">
        <v>247</v>
      </c>
    </row>
    <row r="1724" spans="1:12" x14ac:dyDescent="0.25">
      <c r="A1724" s="1">
        <f t="shared" si="96"/>
        <v>45514</v>
      </c>
      <c r="B1724" s="31">
        <f>TIME(9,27, 0)</f>
        <v>0.39374999999999999</v>
      </c>
      <c r="C1724" t="str">
        <f>Inventory!A54</f>
        <v>Kdf</v>
      </c>
      <c r="D1724" s="27">
        <v>3</v>
      </c>
      <c r="E1724" s="5">
        <f>Table4[[#This Row],[qty]]*(VLOOKUP(Table4[[#This Row],[item_sold]],Table6[],4,FALSE))</f>
        <v>30</v>
      </c>
      <c r="F1724" s="5">
        <f>(VLOOKUP(Table4[[#This Row],[item_sold]],Table6[],3,FALSE))*Table4[[#This Row],[qty]]</f>
        <v>25</v>
      </c>
      <c r="G1724" s="5">
        <f t="shared" si="97"/>
        <v>5</v>
      </c>
      <c r="H1724" t="s">
        <v>247</v>
      </c>
    </row>
    <row r="1725" spans="1:12" x14ac:dyDescent="0.25">
      <c r="A1725" s="1">
        <f t="shared" si="96"/>
        <v>45514</v>
      </c>
      <c r="B1725" s="31">
        <f>TIME(9,27, 0)</f>
        <v>0.39374999999999999</v>
      </c>
      <c r="C1725" t="str">
        <f>Inventory!A63</f>
        <v>Gomba</v>
      </c>
      <c r="D1725" s="27">
        <v>2</v>
      </c>
      <c r="E1725" s="5">
        <f>Table4[[#This Row],[qty]]*(VLOOKUP(Table4[[#This Row],[item_sold]],Table6[],4,FALSE))</f>
        <v>5</v>
      </c>
      <c r="F1725" s="5">
        <f>(VLOOKUP(Table4[[#This Row],[item_sold]],Table6[],3,FALSE))*Table4[[#This Row],[qty]]</f>
        <v>3.6</v>
      </c>
      <c r="G1725" s="5">
        <f t="shared" si="97"/>
        <v>1.4</v>
      </c>
      <c r="H1725" t="s">
        <v>247</v>
      </c>
    </row>
    <row r="1726" spans="1:12" x14ac:dyDescent="0.25">
      <c r="A1726" s="1">
        <f t="shared" si="96"/>
        <v>45514</v>
      </c>
      <c r="B1726" s="31">
        <f>TIME(10,22, 0)</f>
        <v>0.43194444444444446</v>
      </c>
      <c r="C1726" t="str">
        <f>Inventory!A30</f>
        <v>BB Bread 400g</v>
      </c>
      <c r="D1726" s="27">
        <v>1</v>
      </c>
      <c r="E1726" s="5">
        <f>Table4[[#This Row],[qty]]*(VLOOKUP(Table4[[#This Row],[item_sold]],Table6[],4,FALSE))</f>
        <v>65</v>
      </c>
      <c r="F1726" s="5">
        <f>(VLOOKUP(Table4[[#This Row],[item_sold]],Table6[],3,FALSE))*Table4[[#This Row],[qty]]</f>
        <v>60</v>
      </c>
      <c r="G1726" s="5">
        <f t="shared" si="97"/>
        <v>5</v>
      </c>
      <c r="H1726" t="s">
        <v>361</v>
      </c>
    </row>
    <row r="1727" spans="1:12" x14ac:dyDescent="0.25">
      <c r="A1727" s="1">
        <f t="shared" si="96"/>
        <v>45514</v>
      </c>
      <c r="B1727" s="31">
        <f>TIME(10,30, 0)</f>
        <v>0.4375</v>
      </c>
      <c r="C1727" t="str">
        <f>Inventory!A94</f>
        <v>Bella Tissue</v>
      </c>
      <c r="D1727" s="27">
        <v>1</v>
      </c>
      <c r="E1727" s="5">
        <f>Table4[[#This Row],[qty]]*(VLOOKUP(Table4[[#This Row],[item_sold]],Table6[],4,FALSE))</f>
        <v>45</v>
      </c>
      <c r="F1727" s="5">
        <f>(VLOOKUP(Table4[[#This Row],[item_sold]],Table6[],3,FALSE))*Table4[[#This Row],[qty]]</f>
        <v>35</v>
      </c>
      <c r="G1727" s="5">
        <f t="shared" si="97"/>
        <v>10</v>
      </c>
      <c r="H1727" t="s">
        <v>247</v>
      </c>
    </row>
    <row r="1728" spans="1:12" x14ac:dyDescent="0.25">
      <c r="A1728" s="1">
        <f t="shared" si="96"/>
        <v>45514</v>
      </c>
      <c r="B1728" s="31">
        <f>TIME(10,30, 0)</f>
        <v>0.4375</v>
      </c>
      <c r="C1728" t="str">
        <f>Inventory!A86</f>
        <v>Medium Colgate Toothbrush</v>
      </c>
      <c r="D1728" s="27">
        <v>1</v>
      </c>
      <c r="E1728" s="5">
        <f>Table4[[#This Row],[qty]]*(VLOOKUP(Table4[[#This Row],[item_sold]],Table6[],4,FALSE))</f>
        <v>40</v>
      </c>
      <c r="F1728" s="5">
        <f>(VLOOKUP(Table4[[#This Row],[item_sold]],Table6[],3,FALSE))*Table4[[#This Row],[qty]]</f>
        <v>25</v>
      </c>
      <c r="G1728" s="5">
        <f t="shared" si="97"/>
        <v>15</v>
      </c>
      <c r="H1728" t="s">
        <v>247</v>
      </c>
    </row>
    <row r="1729" spans="1:12" x14ac:dyDescent="0.25">
      <c r="A1729" s="1">
        <f t="shared" si="96"/>
        <v>45514</v>
      </c>
      <c r="B1729" s="31">
        <f>TIME(10,40, 0)</f>
        <v>0.44444444444444442</v>
      </c>
      <c r="C1729" t="str">
        <f>Inventory!A39</f>
        <v>T.Heat Potato crisps vinegar and salt 25g</v>
      </c>
      <c r="D1729" s="27">
        <v>1</v>
      </c>
      <c r="E1729" s="5">
        <f>Table4[[#This Row],[qty]]*(VLOOKUP(Table4[[#This Row],[item_sold]],Table6[],4,FALSE))</f>
        <v>30</v>
      </c>
      <c r="F1729" s="5">
        <f>(VLOOKUP(Table4[[#This Row],[item_sold]],Table6[],3,FALSE))*Table4[[#This Row],[qty]]</f>
        <v>22.916666666666668</v>
      </c>
      <c r="G1729" s="5">
        <f t="shared" si="97"/>
        <v>7.0833333333333321</v>
      </c>
      <c r="H1729" t="s">
        <v>361</v>
      </c>
    </row>
    <row r="1730" spans="1:12" x14ac:dyDescent="0.25">
      <c r="A1730" s="1">
        <f t="shared" si="96"/>
        <v>45514</v>
      </c>
      <c r="B1730" s="31">
        <f>TIME(11,0, 0)</f>
        <v>0.45833333333333331</v>
      </c>
      <c r="C1730" t="str">
        <f>Inventory!A30</f>
        <v>BB Bread 400g</v>
      </c>
      <c r="D1730" s="27">
        <v>1</v>
      </c>
      <c r="E1730" s="5">
        <f>Table4[[#This Row],[qty]]*(VLOOKUP(Table4[[#This Row],[item_sold]],Table6[],4,FALSE))</f>
        <v>65</v>
      </c>
      <c r="F1730" s="5">
        <f>(VLOOKUP(Table4[[#This Row],[item_sold]],Table6[],3,FALSE))*Table4[[#This Row],[qty]]</f>
        <v>60</v>
      </c>
      <c r="G1730" s="5">
        <f t="shared" si="97"/>
        <v>5</v>
      </c>
      <c r="H1730" t="s">
        <v>361</v>
      </c>
    </row>
    <row r="1731" spans="1:12" x14ac:dyDescent="0.25">
      <c r="A1731" s="1">
        <f t="shared" si="96"/>
        <v>45514</v>
      </c>
      <c r="B1731" s="31">
        <f>TIME(11,0, 0)</f>
        <v>0.45833333333333331</v>
      </c>
      <c r="C1731" t="str">
        <f>Inventory!A61</f>
        <v>Bigdaddy</v>
      </c>
      <c r="D1731" s="27">
        <v>3</v>
      </c>
      <c r="E1731" s="5">
        <f>Table4[[#This Row],[qty]]*(VLOOKUP(Table4[[#This Row],[item_sold]],Table6[],4,FALSE))</f>
        <v>30</v>
      </c>
      <c r="F1731" s="5">
        <f>(VLOOKUP(Table4[[#This Row],[item_sold]],Table6[],3,FALSE))*Table4[[#This Row],[qty]]</f>
        <v>18</v>
      </c>
      <c r="G1731" s="5">
        <f t="shared" si="97"/>
        <v>12</v>
      </c>
      <c r="H1731" t="s">
        <v>361</v>
      </c>
    </row>
    <row r="1732" spans="1:12" x14ac:dyDescent="0.25">
      <c r="A1732" s="1">
        <f t="shared" si="96"/>
        <v>45514</v>
      </c>
      <c r="B1732" s="31">
        <f>TIME(11,0, 0)</f>
        <v>0.45833333333333331</v>
      </c>
      <c r="C1732" t="str">
        <f>Inventory!A63</f>
        <v>Gomba</v>
      </c>
      <c r="D1732" s="27">
        <v>2</v>
      </c>
      <c r="E1732" s="5">
        <f>Table4[[#This Row],[qty]]*(VLOOKUP(Table4[[#This Row],[item_sold]],Table6[],4,FALSE))</f>
        <v>5</v>
      </c>
      <c r="F1732" s="5">
        <f>(VLOOKUP(Table4[[#This Row],[item_sold]],Table6[],3,FALSE))*Table4[[#This Row],[qty]]</f>
        <v>3.6</v>
      </c>
      <c r="G1732" s="5">
        <f t="shared" si="97"/>
        <v>1.4</v>
      </c>
      <c r="H1732" t="s">
        <v>361</v>
      </c>
    </row>
    <row r="1733" spans="1:12" x14ac:dyDescent="0.25">
      <c r="A1733" s="1">
        <f t="shared" si="96"/>
        <v>45514</v>
      </c>
      <c r="B1733" s="31">
        <f>TIME(11,30, 0)</f>
        <v>0.47916666666666669</v>
      </c>
      <c r="C1733" t="str">
        <f>Inventory!A23</f>
        <v>Mt kenya milk 500ml</v>
      </c>
      <c r="D1733" s="27">
        <v>1</v>
      </c>
      <c r="E1733" s="5">
        <f>Table4[[#This Row],[qty]]*(VLOOKUP(Table4[[#This Row],[item_sold]],Table6[],4,FALSE))</f>
        <v>65</v>
      </c>
      <c r="F1733" s="5">
        <f>(VLOOKUP(Table4[[#This Row],[item_sold]],Table6[],3,FALSE))*Table4[[#This Row],[qty]]</f>
        <v>48.333333333333336</v>
      </c>
      <c r="G1733" s="5">
        <f t="shared" si="97"/>
        <v>16.666666666666664</v>
      </c>
      <c r="H1733" t="s">
        <v>359</v>
      </c>
      <c r="I1733" t="s">
        <v>398</v>
      </c>
      <c r="J1733" t="s">
        <v>398</v>
      </c>
      <c r="K1733">
        <v>200</v>
      </c>
      <c r="L1733" t="s">
        <v>361</v>
      </c>
    </row>
    <row r="1734" spans="1:12" x14ac:dyDescent="0.25">
      <c r="A1734" s="1">
        <f t="shared" si="96"/>
        <v>45514</v>
      </c>
      <c r="B1734" s="31">
        <f>TIME(11,30, 0)</f>
        <v>0.47916666666666669</v>
      </c>
      <c r="C1734" t="str">
        <f>Inventory!A53</f>
        <v>Mandazi</v>
      </c>
      <c r="D1734" s="27">
        <v>4</v>
      </c>
      <c r="E1734" s="5">
        <f>Table4[[#This Row],[qty]]*(VLOOKUP(Table4[[#This Row],[item_sold]],Table6[],4,FALSE))</f>
        <v>20</v>
      </c>
      <c r="F1734" s="5">
        <f>(VLOOKUP(Table4[[#This Row],[item_sold]],Table6[],3,FALSE))*Table4[[#This Row],[qty]]</f>
        <v>16.666666666666668</v>
      </c>
      <c r="G1734" s="5">
        <f t="shared" si="97"/>
        <v>3.3333333333333321</v>
      </c>
      <c r="H1734" t="s">
        <v>359</v>
      </c>
      <c r="I1734" t="s">
        <v>398</v>
      </c>
      <c r="J1734" t="s">
        <v>398</v>
      </c>
      <c r="K1734">
        <v>5</v>
      </c>
      <c r="L1734" t="s">
        <v>247</v>
      </c>
    </row>
    <row r="1735" spans="1:12" x14ac:dyDescent="0.25">
      <c r="A1735" s="1">
        <f t="shared" si="96"/>
        <v>45514</v>
      </c>
      <c r="B1735" s="31">
        <f>TIME(11,30, 0)</f>
        <v>0.47916666666666669</v>
      </c>
      <c r="C1735" t="str">
        <f>Inventory!A55</f>
        <v>Ngumu</v>
      </c>
      <c r="D1735" s="27">
        <v>1</v>
      </c>
      <c r="E1735" s="5">
        <f>Table4[[#This Row],[qty]]*(VLOOKUP(Table4[[#This Row],[item_sold]],Table6[],4,FALSE))</f>
        <v>10</v>
      </c>
      <c r="F1735" s="5">
        <f>(VLOOKUP(Table4[[#This Row],[item_sold]],Table6[],3,FALSE))*Table4[[#This Row],[qty]]</f>
        <v>8.3333333333333339</v>
      </c>
      <c r="G1735" s="5">
        <f t="shared" si="97"/>
        <v>1.6666666666666661</v>
      </c>
      <c r="H1735" t="s">
        <v>359</v>
      </c>
      <c r="I1735" t="s">
        <v>398</v>
      </c>
    </row>
    <row r="1736" spans="1:12" x14ac:dyDescent="0.25">
      <c r="A1736" s="1">
        <f t="shared" si="96"/>
        <v>45514</v>
      </c>
      <c r="B1736" s="31">
        <f>TIME(12,58, 0)</f>
        <v>0.54027777777777775</v>
      </c>
      <c r="C1736" t="str">
        <f>Inventory!A14</f>
        <v>soda 500ml glass</v>
      </c>
      <c r="D1736" s="27">
        <v>1</v>
      </c>
      <c r="E1736" s="5">
        <f>Table4[[#This Row],[qty]]*(VLOOKUP(Table4[[#This Row],[item_sold]],Table6[],4,FALSE))</f>
        <v>55</v>
      </c>
      <c r="F1736" s="5">
        <f>(VLOOKUP(Table4[[#This Row],[item_sold]],Table6[],3,FALSE))*Table4[[#This Row],[qty]]</f>
        <v>50</v>
      </c>
      <c r="G1736" s="5">
        <f t="shared" si="97"/>
        <v>5</v>
      </c>
      <c r="H1736" t="s">
        <v>361</v>
      </c>
    </row>
    <row r="1737" spans="1:12" x14ac:dyDescent="0.25">
      <c r="A1737" s="1">
        <f t="shared" si="96"/>
        <v>45514</v>
      </c>
      <c r="B1737" s="31">
        <f>TIME(12,58, 0)</f>
        <v>0.54027777777777775</v>
      </c>
      <c r="C1737" t="str">
        <f>Inventory!A49</f>
        <v>Half pound cake</v>
      </c>
      <c r="D1737" s="27">
        <v>1</v>
      </c>
      <c r="E1737" s="5">
        <f>Table4[[#This Row],[qty]]*(VLOOKUP(Table4[[#This Row],[item_sold]],Table6[],4,FALSE))</f>
        <v>100</v>
      </c>
      <c r="F1737" s="5">
        <f>(VLOOKUP(Table4[[#This Row],[item_sold]],Table6[],3,FALSE))*Table4[[#This Row],[qty]]</f>
        <v>90</v>
      </c>
      <c r="G1737" s="5">
        <f t="shared" si="97"/>
        <v>10</v>
      </c>
      <c r="H1737" t="s">
        <v>361</v>
      </c>
    </row>
    <row r="1738" spans="1:12" x14ac:dyDescent="0.25">
      <c r="A1738" s="1">
        <f t="shared" si="96"/>
        <v>45514</v>
      </c>
      <c r="B1738" s="31">
        <f>TIME(13,20, 0)</f>
        <v>0.55555555555555558</v>
      </c>
      <c r="C1738" t="str">
        <f>Inventory!A124</f>
        <v>Scones</v>
      </c>
      <c r="D1738" s="27">
        <v>2</v>
      </c>
      <c r="E1738" s="5">
        <f>Table4[[#This Row],[qty]]*(VLOOKUP(Table4[[#This Row],[item_sold]],Table6[],4,FALSE))</f>
        <v>20</v>
      </c>
      <c r="F1738" s="5">
        <f>(VLOOKUP(Table4[[#This Row],[item_sold]],Table6[],3,FALSE))*Table4[[#This Row],[qty]]</f>
        <v>16.666666666666668</v>
      </c>
      <c r="G1738" s="5">
        <f t="shared" si="97"/>
        <v>3.3333333333333321</v>
      </c>
      <c r="H1738" t="s">
        <v>359</v>
      </c>
      <c r="I1738" t="s">
        <v>388</v>
      </c>
    </row>
    <row r="1739" spans="1:12" x14ac:dyDescent="0.25">
      <c r="A1739" s="1">
        <f t="shared" si="96"/>
        <v>45514</v>
      </c>
      <c r="B1739" s="31">
        <f>TIME(13,30, 0)</f>
        <v>0.5625</v>
      </c>
      <c r="C1739" t="str">
        <f>Inventory!A81</f>
        <v>eggs</v>
      </c>
      <c r="D1739" s="27">
        <v>2</v>
      </c>
      <c r="E1739" s="5">
        <f>Table4[[#This Row],[qty]]*(VLOOKUP(Table4[[#This Row],[item_sold]],Table6[],4,FALSE))</f>
        <v>40</v>
      </c>
      <c r="F1739" s="5">
        <f>(VLOOKUP(Table4[[#This Row],[item_sold]],Table6[],3,FALSE))*Table4[[#This Row],[qty]]</f>
        <v>28.666666666666668</v>
      </c>
      <c r="G1739" s="5">
        <f t="shared" si="97"/>
        <v>11.333333333333332</v>
      </c>
      <c r="H1739" t="s">
        <v>361</v>
      </c>
      <c r="J1739" t="s">
        <v>417</v>
      </c>
      <c r="K1739">
        <v>60</v>
      </c>
      <c r="L1739" t="s">
        <v>361</v>
      </c>
    </row>
    <row r="1740" spans="1:12" x14ac:dyDescent="0.25">
      <c r="A1740" s="1">
        <f t="shared" si="96"/>
        <v>45514</v>
      </c>
      <c r="B1740" s="31">
        <f>TIME(13,24, 0)</f>
        <v>0.55833333333333335</v>
      </c>
      <c r="C1740" t="str">
        <f>Inventory!A122</f>
        <v>Kinangop Fresh Milk 500ml</v>
      </c>
      <c r="D1740" s="27">
        <v>1</v>
      </c>
      <c r="E1740" s="5">
        <f>Table4[[#This Row],[qty]]*(VLOOKUP(Table4[[#This Row],[item_sold]],Table6[],4,FALSE))</f>
        <v>60</v>
      </c>
      <c r="F1740" s="5">
        <f>(VLOOKUP(Table4[[#This Row],[item_sold]],Table6[],3,FALSE))*Table4[[#This Row],[qty]]</f>
        <v>55</v>
      </c>
      <c r="G1740" s="5">
        <f t="shared" si="97"/>
        <v>5</v>
      </c>
      <c r="H1740" t="s">
        <v>361</v>
      </c>
    </row>
    <row r="1741" spans="1:12" x14ac:dyDescent="0.25">
      <c r="A1741" s="1">
        <f t="shared" si="96"/>
        <v>45514</v>
      </c>
      <c r="B1741" s="31">
        <f>TIME(13,24, 0)</f>
        <v>0.55833333333333335</v>
      </c>
      <c r="C1741" t="str">
        <f>Inventory!A54</f>
        <v>Kdf</v>
      </c>
      <c r="D1741" s="27">
        <v>4</v>
      </c>
      <c r="E1741" s="5">
        <f>Table4[[#This Row],[qty]]*(VLOOKUP(Table4[[#This Row],[item_sold]],Table6[],4,FALSE))</f>
        <v>40</v>
      </c>
      <c r="F1741" s="5">
        <f>(VLOOKUP(Table4[[#This Row],[item_sold]],Table6[],3,FALSE))*Table4[[#This Row],[qty]]</f>
        <v>33.333333333333336</v>
      </c>
      <c r="G1741" s="5">
        <f t="shared" si="97"/>
        <v>6.6666666666666643</v>
      </c>
      <c r="H1741" t="s">
        <v>361</v>
      </c>
    </row>
    <row r="1742" spans="1:12" x14ac:dyDescent="0.25">
      <c r="A1742" s="1">
        <f t="shared" si="96"/>
        <v>45514</v>
      </c>
      <c r="B1742" s="31">
        <f>TIME(13,42, 0)</f>
        <v>0.5708333333333333</v>
      </c>
      <c r="C1742" t="str">
        <f>Inventory!A154</f>
        <v>waru</v>
      </c>
      <c r="D1742" s="27">
        <v>2</v>
      </c>
      <c r="E1742" s="5">
        <f>Table4[[#This Row],[qty]]*(VLOOKUP(Table4[[#This Row],[item_sold]],Table6[],4,FALSE))</f>
        <v>100</v>
      </c>
      <c r="F1742" s="5">
        <f>(VLOOKUP(Table4[[#This Row],[item_sold]],Table6[],3,FALSE))*Table4[[#This Row],[qty]]</f>
        <v>59.999999999999993</v>
      </c>
      <c r="G1742" s="5">
        <f t="shared" si="97"/>
        <v>40.000000000000007</v>
      </c>
      <c r="H1742" t="s">
        <v>359</v>
      </c>
      <c r="I1742" t="s">
        <v>384</v>
      </c>
    </row>
    <row r="1743" spans="1:12" x14ac:dyDescent="0.25">
      <c r="A1743" s="1">
        <f t="shared" si="96"/>
        <v>45514</v>
      </c>
      <c r="B1743" s="31">
        <f>TIME(13,42, 0)</f>
        <v>0.5708333333333333</v>
      </c>
      <c r="C1743" t="str">
        <f>Inventory!A153</f>
        <v>Pishori rice</v>
      </c>
      <c r="D1743" s="27">
        <v>0.75</v>
      </c>
      <c r="E1743" s="5">
        <f>Table4[[#This Row],[qty]]*(VLOOKUP(Table4[[#This Row],[item_sold]],Table6[],4,FALSE))</f>
        <v>165</v>
      </c>
      <c r="F1743" s="5">
        <f>(VLOOKUP(Table4[[#This Row],[item_sold]],Table6[],3,FALSE))*Table4[[#This Row],[qty]]</f>
        <v>135</v>
      </c>
      <c r="G1743" s="5">
        <f t="shared" si="97"/>
        <v>30</v>
      </c>
      <c r="H1743" t="s">
        <v>359</v>
      </c>
      <c r="I1743" t="s">
        <v>384</v>
      </c>
    </row>
    <row r="1744" spans="1:12" x14ac:dyDescent="0.25">
      <c r="A1744" s="1">
        <f t="shared" si="96"/>
        <v>45514</v>
      </c>
      <c r="B1744" s="31">
        <f>TIME(13,53, 0)</f>
        <v>0.57847222222222217</v>
      </c>
      <c r="C1744" t="str">
        <f>Inventory!A145</f>
        <v>Steel Wire</v>
      </c>
      <c r="D1744" s="27">
        <v>3</v>
      </c>
      <c r="E1744" s="5">
        <f>Table4[[#This Row],[qty]]*(VLOOKUP(Table4[[#This Row],[item_sold]],Table6[],4,FALSE))</f>
        <v>30</v>
      </c>
      <c r="F1744" s="5">
        <f>(VLOOKUP(Table4[[#This Row],[item_sold]],Table6[],3,FALSE))*Table4[[#This Row],[qty]]</f>
        <v>18</v>
      </c>
      <c r="G1744" s="5">
        <f t="shared" si="97"/>
        <v>12</v>
      </c>
      <c r="H1744" t="s">
        <v>361</v>
      </c>
    </row>
    <row r="1745" spans="1:12" x14ac:dyDescent="0.25">
      <c r="A1745" s="1">
        <f t="shared" si="96"/>
        <v>45514</v>
      </c>
      <c r="B1745" s="31">
        <f>TIME(13,53, 0)</f>
        <v>0.57847222222222217</v>
      </c>
      <c r="C1745" t="str">
        <f>Inventory!A16</f>
        <v>Dairy Fresh v</v>
      </c>
      <c r="D1745" s="27">
        <v>1</v>
      </c>
      <c r="E1745" s="5">
        <f>Table4[[#This Row],[qty]]*(VLOOKUP(Table4[[#This Row],[item_sold]],Table6[],4,FALSE))</f>
        <v>85</v>
      </c>
      <c r="F1745" s="5">
        <f>(VLOOKUP(Table4[[#This Row],[item_sold]],Table6[],3,FALSE))*Table4[[#This Row],[qty]]</f>
        <v>75</v>
      </c>
      <c r="G1745" s="5">
        <f t="shared" si="97"/>
        <v>10</v>
      </c>
      <c r="H1745" t="s">
        <v>361</v>
      </c>
    </row>
    <row r="1746" spans="1:12" x14ac:dyDescent="0.25">
      <c r="A1746" s="1">
        <f t="shared" si="96"/>
        <v>45514</v>
      </c>
      <c r="B1746" s="31">
        <f>TIME(14,4, 0)</f>
        <v>0.58611111111111114</v>
      </c>
      <c r="C1746" t="str">
        <f>Inventory!A207</f>
        <v>Carrot</v>
      </c>
      <c r="D1746" s="27">
        <v>1</v>
      </c>
      <c r="E1746" s="5">
        <f>Table4[[#This Row],[qty]]*(VLOOKUP(Table4[[#This Row],[item_sold]],Table6[],4,FALSE))</f>
        <v>10</v>
      </c>
      <c r="F1746" s="5">
        <f>(VLOOKUP(Table4[[#This Row],[item_sold]],Table6[],3,FALSE))*Table4[[#This Row],[qty]]</f>
        <v>4</v>
      </c>
      <c r="G1746" s="5">
        <f t="shared" si="97"/>
        <v>6</v>
      </c>
      <c r="H1746" t="s">
        <v>359</v>
      </c>
      <c r="I1746" t="s">
        <v>384</v>
      </c>
    </row>
    <row r="1747" spans="1:12" x14ac:dyDescent="0.25">
      <c r="A1747" s="1">
        <f t="shared" si="96"/>
        <v>45514</v>
      </c>
      <c r="B1747" s="31">
        <f>TIME(14,4, 0)</f>
        <v>0.58611111111111114</v>
      </c>
      <c r="C1747" t="str">
        <f>Inventory!A52</f>
        <v>Canned cookies</v>
      </c>
      <c r="D1747" s="27">
        <v>1</v>
      </c>
      <c r="E1747" s="5">
        <f>Table4[[#This Row],[qty]]*(VLOOKUP(Table4[[#This Row],[item_sold]],Table6[],4,FALSE))</f>
        <v>60</v>
      </c>
      <c r="F1747" s="5">
        <f>(VLOOKUP(Table4[[#This Row],[item_sold]],Table6[],3,FALSE))*Table4[[#This Row],[qty]]</f>
        <v>50</v>
      </c>
      <c r="G1747" s="5">
        <f t="shared" si="97"/>
        <v>10</v>
      </c>
      <c r="H1747" t="s">
        <v>359</v>
      </c>
      <c r="I1747" t="s">
        <v>384</v>
      </c>
      <c r="J1747" t="s">
        <v>384</v>
      </c>
      <c r="K1747">
        <v>200</v>
      </c>
      <c r="L1747" t="s">
        <v>247</v>
      </c>
    </row>
    <row r="1748" spans="1:12" x14ac:dyDescent="0.25">
      <c r="A1748" s="1">
        <f t="shared" si="96"/>
        <v>45514</v>
      </c>
      <c r="B1748" s="31">
        <f>TIME(14,5, 0)</f>
        <v>0.58680555555555558</v>
      </c>
      <c r="C1748" t="str">
        <f>Inventory!A14</f>
        <v>soda 500ml glass</v>
      </c>
      <c r="D1748" s="27">
        <v>1</v>
      </c>
      <c r="E1748" s="5">
        <f>Table4[[#This Row],[qty]]*(VLOOKUP(Table4[[#This Row],[item_sold]],Table6[],4,FALSE))</f>
        <v>55</v>
      </c>
      <c r="F1748" s="5">
        <f>(VLOOKUP(Table4[[#This Row],[item_sold]],Table6[],3,FALSE))*Table4[[#This Row],[qty]]</f>
        <v>50</v>
      </c>
      <c r="G1748" s="5">
        <f t="shared" si="97"/>
        <v>5</v>
      </c>
      <c r="H1748" t="s">
        <v>247</v>
      </c>
    </row>
    <row r="1749" spans="1:12" x14ac:dyDescent="0.25">
      <c r="A1749" s="1">
        <f t="shared" si="96"/>
        <v>45514</v>
      </c>
      <c r="B1749" s="31">
        <f>TIME(14,5, 0)</f>
        <v>0.58680555555555558</v>
      </c>
      <c r="C1749" t="str">
        <f>Inventory!A54</f>
        <v>Kdf</v>
      </c>
      <c r="D1749" s="27">
        <v>2</v>
      </c>
      <c r="E1749" s="5">
        <f>Table4[[#This Row],[qty]]*(VLOOKUP(Table4[[#This Row],[item_sold]],Table6[],4,FALSE))</f>
        <v>20</v>
      </c>
      <c r="F1749" s="5">
        <f>(VLOOKUP(Table4[[#This Row],[item_sold]],Table6[],3,FALSE))*Table4[[#This Row],[qty]]</f>
        <v>16.666666666666668</v>
      </c>
      <c r="G1749" s="5">
        <f t="shared" si="97"/>
        <v>3.3333333333333321</v>
      </c>
      <c r="H1749" t="s">
        <v>247</v>
      </c>
    </row>
    <row r="1750" spans="1:12" x14ac:dyDescent="0.25">
      <c r="A1750" s="1">
        <f t="shared" si="96"/>
        <v>45514</v>
      </c>
      <c r="B1750" s="31">
        <f>TIME(14,10, 0)</f>
        <v>0.59027777777777779</v>
      </c>
      <c r="C1750" t="str">
        <f>Inventory!A14</f>
        <v>soda 500ml glass</v>
      </c>
      <c r="D1750" s="27">
        <v>1</v>
      </c>
      <c r="E1750" s="5">
        <f>Table4[[#This Row],[qty]]*(VLOOKUP(Table4[[#This Row],[item_sold]],Table6[],4,FALSE))</f>
        <v>55</v>
      </c>
      <c r="F1750" s="5">
        <f>(VLOOKUP(Table4[[#This Row],[item_sold]],Table6[],3,FALSE))*Table4[[#This Row],[qty]]</f>
        <v>50</v>
      </c>
      <c r="G1750" s="5">
        <f t="shared" si="97"/>
        <v>5</v>
      </c>
      <c r="H1750" t="s">
        <v>359</v>
      </c>
      <c r="I1750" t="s">
        <v>399</v>
      </c>
    </row>
    <row r="1751" spans="1:12" x14ac:dyDescent="0.25">
      <c r="A1751" s="1">
        <f t="shared" si="96"/>
        <v>45514</v>
      </c>
      <c r="B1751" s="31">
        <f>TIME(14,10, 0)</f>
        <v>0.59027777777777779</v>
      </c>
      <c r="C1751" t="str">
        <f>Inventory!A55</f>
        <v>Ngumu</v>
      </c>
      <c r="D1751" s="27">
        <v>4</v>
      </c>
      <c r="E1751" s="5">
        <f>Table4[[#This Row],[qty]]*(VLOOKUP(Table4[[#This Row],[item_sold]],Table6[],4,FALSE))</f>
        <v>40</v>
      </c>
      <c r="F1751" s="5">
        <f>(VLOOKUP(Table4[[#This Row],[item_sold]],Table6[],3,FALSE))*Table4[[#This Row],[qty]]</f>
        <v>33.333333333333336</v>
      </c>
      <c r="G1751" s="5">
        <f t="shared" si="97"/>
        <v>6.6666666666666643</v>
      </c>
      <c r="H1751" t="s">
        <v>359</v>
      </c>
      <c r="I1751" t="s">
        <v>399</v>
      </c>
    </row>
    <row r="1752" spans="1:12" x14ac:dyDescent="0.25">
      <c r="A1752" s="1">
        <f t="shared" si="96"/>
        <v>45514</v>
      </c>
      <c r="B1752" s="31">
        <f>TIME(14,30, 0)</f>
        <v>0.60416666666666663</v>
      </c>
      <c r="C1752" t="str">
        <f>Inventory!A126</f>
        <v>Royco cubes</v>
      </c>
      <c r="D1752" s="27">
        <v>2</v>
      </c>
      <c r="E1752" s="5">
        <f>Table4[[#This Row],[qty]]*(VLOOKUP(Table4[[#This Row],[item_sold]],Table6[],4,FALSE))</f>
        <v>10</v>
      </c>
      <c r="F1752" s="5">
        <f>(VLOOKUP(Table4[[#This Row],[item_sold]],Table6[],3,FALSE))*Table4[[#This Row],[qty]]</f>
        <v>6</v>
      </c>
      <c r="G1752" s="5">
        <f t="shared" si="97"/>
        <v>4</v>
      </c>
      <c r="H1752" t="s">
        <v>359</v>
      </c>
      <c r="I1752" t="s">
        <v>384</v>
      </c>
    </row>
    <row r="1753" spans="1:12" x14ac:dyDescent="0.25">
      <c r="A1753" s="1">
        <f t="shared" si="96"/>
        <v>45514</v>
      </c>
      <c r="B1753" s="31">
        <f>TIME(14,30, 0)</f>
        <v>0.60416666666666663</v>
      </c>
      <c r="C1753" t="str">
        <f>Inventory!A71</f>
        <v>Indomie chicken</v>
      </c>
      <c r="D1753" s="27">
        <v>2</v>
      </c>
      <c r="E1753" s="5">
        <f>Table4[[#This Row],[qty]]*(VLOOKUP(Table4[[#This Row],[item_sold]],Table6[],4,FALSE))</f>
        <v>100</v>
      </c>
      <c r="F1753" s="5">
        <f>(VLOOKUP(Table4[[#This Row],[item_sold]],Table6[],3,FALSE))*Table4[[#This Row],[qty]]</f>
        <v>75</v>
      </c>
      <c r="G1753" s="5">
        <f t="shared" si="97"/>
        <v>25</v>
      </c>
      <c r="H1753" t="s">
        <v>361</v>
      </c>
    </row>
    <row r="1754" spans="1:12" x14ac:dyDescent="0.25">
      <c r="A1754" s="1">
        <f t="shared" si="96"/>
        <v>45514</v>
      </c>
      <c r="B1754" s="31">
        <f>TIME(14,30, 0)</f>
        <v>0.60416666666666663</v>
      </c>
      <c r="C1754" t="str">
        <f>Inventory!A94</f>
        <v>Bella Tissue</v>
      </c>
      <c r="D1754" s="27">
        <v>1</v>
      </c>
      <c r="E1754" s="5">
        <f>Table4[[#This Row],[qty]]*(VLOOKUP(Table4[[#This Row],[item_sold]],Table6[],4,FALSE))</f>
        <v>45</v>
      </c>
      <c r="F1754" s="5">
        <f>(VLOOKUP(Table4[[#This Row],[item_sold]],Table6[],3,FALSE))*Table4[[#This Row],[qty]]</f>
        <v>35</v>
      </c>
      <c r="G1754" s="5">
        <f t="shared" si="97"/>
        <v>10</v>
      </c>
      <c r="H1754" t="s">
        <v>361</v>
      </c>
    </row>
    <row r="1755" spans="1:12" x14ac:dyDescent="0.25">
      <c r="A1755" s="1">
        <f t="shared" si="96"/>
        <v>45514</v>
      </c>
      <c r="B1755" s="31">
        <f>TIME(14,58, 0)</f>
        <v>0.62361111111111112</v>
      </c>
      <c r="C1755" t="str">
        <f>Inventory!A89</f>
        <v>Tukuza 1kg</v>
      </c>
      <c r="D1755" s="27">
        <v>1</v>
      </c>
      <c r="E1755" s="5">
        <f>Table4[[#This Row],[qty]]*(VLOOKUP(Table4[[#This Row],[item_sold]],Table6[],4,FALSE))</f>
        <v>90</v>
      </c>
      <c r="F1755" s="5">
        <f>(VLOOKUP(Table4[[#This Row],[item_sold]],Table6[],3,FALSE))*Table4[[#This Row],[qty]]</f>
        <v>61.25</v>
      </c>
      <c r="G1755" s="5">
        <f t="shared" si="97"/>
        <v>28.75</v>
      </c>
      <c r="H1755" t="s">
        <v>359</v>
      </c>
      <c r="I1755" t="s">
        <v>401</v>
      </c>
    </row>
    <row r="1756" spans="1:12" x14ac:dyDescent="0.25">
      <c r="A1756" s="1">
        <f t="shared" si="96"/>
        <v>45514</v>
      </c>
      <c r="B1756" s="31">
        <f>TIME(14,58, 0)</f>
        <v>0.62361111111111112</v>
      </c>
      <c r="C1756" t="str">
        <f>Inventory!A115</f>
        <v>Onion</v>
      </c>
      <c r="D1756" s="27">
        <v>1</v>
      </c>
      <c r="E1756" s="5">
        <f>Table4[[#This Row],[qty]]*(VLOOKUP(Table4[[#This Row],[item_sold]],Table6[],4,FALSE))</f>
        <v>10</v>
      </c>
      <c r="F1756" s="5">
        <f>(VLOOKUP(Table4[[#This Row],[item_sold]],Table6[],3,FALSE))*Table4[[#This Row],[qty]]</f>
        <v>8</v>
      </c>
      <c r="G1756" s="5">
        <f t="shared" si="97"/>
        <v>2</v>
      </c>
      <c r="H1756" t="s">
        <v>359</v>
      </c>
      <c r="I1756" t="s">
        <v>401</v>
      </c>
    </row>
    <row r="1757" spans="1:12" x14ac:dyDescent="0.25">
      <c r="A1757" s="1">
        <f t="shared" si="96"/>
        <v>45514</v>
      </c>
      <c r="B1757" s="31">
        <f>TIME(14,58, 0)</f>
        <v>0.62361111111111112</v>
      </c>
      <c r="C1757" t="str">
        <f>Inventory!A24</f>
        <v>Brookside milk 500ml</v>
      </c>
      <c r="D1757" s="27">
        <v>2</v>
      </c>
      <c r="E1757" s="5">
        <f>Table4[[#This Row],[qty]]*(VLOOKUP(Table4[[#This Row],[item_sold]],Table6[],4,FALSE))</f>
        <v>140</v>
      </c>
      <c r="F1757" s="5">
        <f>(VLOOKUP(Table4[[#This Row],[item_sold]],Table6[],3,FALSE))*Table4[[#This Row],[qty]]</f>
        <v>118</v>
      </c>
      <c r="G1757" s="5">
        <f t="shared" si="97"/>
        <v>22</v>
      </c>
      <c r="H1757" t="s">
        <v>359</v>
      </c>
      <c r="I1757" t="s">
        <v>403</v>
      </c>
    </row>
    <row r="1758" spans="1:12" x14ac:dyDescent="0.25">
      <c r="A1758" s="1">
        <f t="shared" si="96"/>
        <v>45514</v>
      </c>
      <c r="B1758" s="31">
        <f>TIME(15,20, 0)</f>
        <v>0.63888888888888895</v>
      </c>
      <c r="C1758" t="str">
        <f>Inventory!A63</f>
        <v>Gomba</v>
      </c>
      <c r="D1758" s="27">
        <v>4</v>
      </c>
      <c r="E1758" s="5">
        <f>Table4[[#This Row],[qty]]*(VLOOKUP(Table4[[#This Row],[item_sold]],Table6[],4,FALSE))</f>
        <v>10</v>
      </c>
      <c r="F1758" s="5">
        <f>(VLOOKUP(Table4[[#This Row],[item_sold]],Table6[],3,FALSE))*Table4[[#This Row],[qty]]</f>
        <v>7.2</v>
      </c>
      <c r="G1758" s="5">
        <f t="shared" si="97"/>
        <v>2.8</v>
      </c>
      <c r="H1758" t="s">
        <v>247</v>
      </c>
    </row>
    <row r="1759" spans="1:12" x14ac:dyDescent="0.25">
      <c r="A1759" s="1">
        <f t="shared" si="96"/>
        <v>45514</v>
      </c>
      <c r="B1759" s="31">
        <f>TIME(15,20, 0)</f>
        <v>0.63888888888888895</v>
      </c>
      <c r="C1759" t="str">
        <f>Inventory!A23</f>
        <v>Mt kenya milk 500ml</v>
      </c>
      <c r="D1759" s="27">
        <v>2</v>
      </c>
      <c r="E1759" s="5">
        <f>Table4[[#This Row],[qty]]*(VLOOKUP(Table4[[#This Row],[item_sold]],Table6[],4,FALSE))</f>
        <v>130</v>
      </c>
      <c r="F1759" s="5">
        <f>(VLOOKUP(Table4[[#This Row],[item_sold]],Table6[],3,FALSE))*Table4[[#This Row],[qty]]</f>
        <v>96.666666666666671</v>
      </c>
      <c r="G1759" s="5">
        <f t="shared" si="97"/>
        <v>33.333333333333329</v>
      </c>
      <c r="H1759" t="s">
        <v>361</v>
      </c>
    </row>
    <row r="1760" spans="1:12" x14ac:dyDescent="0.25">
      <c r="A1760" s="1">
        <f t="shared" si="96"/>
        <v>45514</v>
      </c>
      <c r="B1760" s="31">
        <f t="shared" ref="B1760:B1766" si="98">TIME(15,20, 0)</f>
        <v>0.63888888888888895</v>
      </c>
      <c r="C1760" t="str">
        <f>Inventory!A34</f>
        <v>Ringoz Paprika</v>
      </c>
      <c r="D1760" s="27">
        <v>2</v>
      </c>
      <c r="E1760" s="5">
        <f>Table4[[#This Row],[qty]]*(VLOOKUP(Table4[[#This Row],[item_sold]],Table6[],4,FALSE))</f>
        <v>30</v>
      </c>
      <c r="F1760" s="5">
        <f>(VLOOKUP(Table4[[#This Row],[item_sold]],Table6[],3,FALSE))*Table4[[#This Row],[qty]]</f>
        <v>17.600000000000001</v>
      </c>
      <c r="G1760" s="5">
        <f t="shared" si="97"/>
        <v>12.399999999999999</v>
      </c>
      <c r="H1760" t="s">
        <v>361</v>
      </c>
    </row>
    <row r="1761" spans="1:12" x14ac:dyDescent="0.25">
      <c r="A1761" s="1">
        <f t="shared" si="96"/>
        <v>45514</v>
      </c>
      <c r="B1761" s="31">
        <f t="shared" si="98"/>
        <v>0.63888888888888895</v>
      </c>
      <c r="C1761" t="str">
        <f>Inventory!A132</f>
        <v>Festive Bread 400g</v>
      </c>
      <c r="D1761" s="27">
        <v>1</v>
      </c>
      <c r="E1761" s="5">
        <f>Table4[[#This Row],[qty]]*(VLOOKUP(Table4[[#This Row],[item_sold]],Table6[],4,FALSE))</f>
        <v>65</v>
      </c>
      <c r="F1761" s="5">
        <f>(VLOOKUP(Table4[[#This Row],[item_sold]],Table6[],3,FALSE))*Table4[[#This Row],[qty]]</f>
        <v>60</v>
      </c>
      <c r="G1761" s="5">
        <f t="shared" si="97"/>
        <v>5</v>
      </c>
      <c r="H1761" t="s">
        <v>361</v>
      </c>
    </row>
    <row r="1762" spans="1:12" x14ac:dyDescent="0.25">
      <c r="A1762" s="1">
        <f t="shared" si="96"/>
        <v>45514</v>
      </c>
      <c r="B1762" s="31">
        <f t="shared" si="98"/>
        <v>0.63888888888888895</v>
      </c>
      <c r="C1762" t="str">
        <f>Inventory!A61</f>
        <v>Bigdaddy</v>
      </c>
      <c r="D1762" s="27">
        <v>2</v>
      </c>
      <c r="E1762" s="5">
        <f>Table4[[#This Row],[qty]]*(VLOOKUP(Table4[[#This Row],[item_sold]],Table6[],4,FALSE))</f>
        <v>20</v>
      </c>
      <c r="F1762" s="5">
        <f>(VLOOKUP(Table4[[#This Row],[item_sold]],Table6[],3,FALSE))*Table4[[#This Row],[qty]]</f>
        <v>12</v>
      </c>
      <c r="G1762" s="5">
        <f t="shared" si="97"/>
        <v>8</v>
      </c>
      <c r="H1762" t="s">
        <v>361</v>
      </c>
    </row>
    <row r="1763" spans="1:12" x14ac:dyDescent="0.25">
      <c r="A1763" s="1">
        <f t="shared" si="96"/>
        <v>45514</v>
      </c>
      <c r="B1763" s="31">
        <f t="shared" si="98"/>
        <v>0.63888888888888895</v>
      </c>
      <c r="C1763" t="str">
        <f>Inventory!A43</f>
        <v>Choc-chip Cookies</v>
      </c>
      <c r="D1763" s="27">
        <v>2</v>
      </c>
      <c r="E1763" s="5">
        <f>Table4[[#This Row],[qty]]*(VLOOKUP(Table4[[#This Row],[item_sold]],Table6[],4,FALSE))</f>
        <v>70</v>
      </c>
      <c r="F1763" s="5">
        <f>(VLOOKUP(Table4[[#This Row],[item_sold]],Table6[],3,FALSE))*Table4[[#This Row],[qty]]</f>
        <v>50</v>
      </c>
      <c r="G1763" s="5">
        <f t="shared" si="97"/>
        <v>20</v>
      </c>
      <c r="H1763" t="s">
        <v>361</v>
      </c>
    </row>
    <row r="1764" spans="1:12" x14ac:dyDescent="0.25">
      <c r="A1764" s="1">
        <f t="shared" si="96"/>
        <v>45514</v>
      </c>
      <c r="B1764" s="31">
        <f t="shared" si="98"/>
        <v>0.63888888888888895</v>
      </c>
      <c r="C1764" t="str">
        <f>Inventory!A130</f>
        <v>Carrier bag big</v>
      </c>
      <c r="D1764" s="27">
        <v>1</v>
      </c>
      <c r="E1764" s="5">
        <f>Table4[[#This Row],[qty]]*(VLOOKUP(Table4[[#This Row],[item_sold]],Table6[],4,FALSE))</f>
        <v>20</v>
      </c>
      <c r="F1764" s="5">
        <f>(VLOOKUP(Table4[[#This Row],[item_sold]],Table6[],3,FALSE))*Table4[[#This Row],[qty]]</f>
        <v>5</v>
      </c>
      <c r="G1764" s="5">
        <f t="shared" si="97"/>
        <v>15</v>
      </c>
      <c r="H1764" t="s">
        <v>361</v>
      </c>
    </row>
    <row r="1765" spans="1:12" x14ac:dyDescent="0.25">
      <c r="A1765" s="1">
        <f t="shared" si="96"/>
        <v>45514</v>
      </c>
      <c r="B1765" s="31">
        <f t="shared" si="98"/>
        <v>0.63888888888888895</v>
      </c>
      <c r="C1765" t="str">
        <f>Inventory!A200</f>
        <v>Softcare diapers</v>
      </c>
      <c r="D1765" s="27">
        <v>1</v>
      </c>
      <c r="E1765" s="5">
        <f>Table4[[#This Row],[qty]]*(VLOOKUP(Table4[[#This Row],[item_sold]],Table6[],4,FALSE))</f>
        <v>20</v>
      </c>
      <c r="F1765" s="5">
        <f>(VLOOKUP(Table4[[#This Row],[item_sold]],Table6[],3,FALSE))*Table4[[#This Row],[qty]]</f>
        <v>15.5</v>
      </c>
      <c r="G1765" s="5">
        <f t="shared" si="97"/>
        <v>4.5</v>
      </c>
      <c r="H1765" t="s">
        <v>361</v>
      </c>
    </row>
    <row r="1766" spans="1:12" x14ac:dyDescent="0.25">
      <c r="A1766" s="1">
        <f t="shared" si="96"/>
        <v>45514</v>
      </c>
      <c r="B1766" s="31">
        <f t="shared" si="98"/>
        <v>0.63888888888888895</v>
      </c>
      <c r="C1766" t="str">
        <f>Inventory!A73</f>
        <v>kabras sugar 1kg</v>
      </c>
      <c r="D1766" s="27">
        <v>1</v>
      </c>
      <c r="E1766" s="5">
        <f>Table4[[#This Row],[qty]]*(VLOOKUP(Table4[[#This Row],[item_sold]],Table6[],4,FALSE))</f>
        <v>180</v>
      </c>
      <c r="F1766" s="5">
        <f>(VLOOKUP(Table4[[#This Row],[item_sold]],Table6[],3,FALSE))*Table4[[#This Row],[qty]]</f>
        <v>140</v>
      </c>
      <c r="G1766" s="5">
        <f t="shared" si="97"/>
        <v>40</v>
      </c>
      <c r="H1766" t="s">
        <v>361</v>
      </c>
    </row>
    <row r="1767" spans="1:12" x14ac:dyDescent="0.25">
      <c r="A1767" s="1">
        <f t="shared" si="96"/>
        <v>45514</v>
      </c>
      <c r="B1767" s="31">
        <f>TIME(15,38, 0)</f>
        <v>0.65138888888888891</v>
      </c>
      <c r="C1767" t="str">
        <f>Inventory!A134</f>
        <v>Baloon</v>
      </c>
      <c r="D1767" s="27">
        <v>1</v>
      </c>
      <c r="E1767" s="5">
        <f>Table4[[#This Row],[qty]]*(VLOOKUP(Table4[[#This Row],[item_sold]],Table6[],4,FALSE))</f>
        <v>10</v>
      </c>
      <c r="F1767" s="5">
        <f>(VLOOKUP(Table4[[#This Row],[item_sold]],Table6[],3,FALSE))*Table4[[#This Row],[qty]]</f>
        <v>6</v>
      </c>
      <c r="G1767" s="5">
        <f t="shared" si="97"/>
        <v>4</v>
      </c>
      <c r="H1767" t="s">
        <v>247</v>
      </c>
    </row>
    <row r="1768" spans="1:12" x14ac:dyDescent="0.25">
      <c r="A1768" s="1">
        <f t="shared" si="96"/>
        <v>45514</v>
      </c>
      <c r="B1768" s="31">
        <f>TIME(20,23, 0)</f>
        <v>0.84930555555555554</v>
      </c>
      <c r="C1768" t="str">
        <f>Inventory!A14</f>
        <v>soda 500ml glass</v>
      </c>
      <c r="D1768" s="27">
        <v>1</v>
      </c>
      <c r="E1768" s="5">
        <f>Table4[[#This Row],[qty]]*(VLOOKUP(Table4[[#This Row],[item_sold]],Table6[],4,FALSE))</f>
        <v>55</v>
      </c>
      <c r="F1768" s="5">
        <f>(VLOOKUP(Table4[[#This Row],[item_sold]],Table6[],3,FALSE))*Table4[[#This Row],[qty]]</f>
        <v>50</v>
      </c>
      <c r="G1768" s="5">
        <f t="shared" si="97"/>
        <v>5</v>
      </c>
      <c r="H1768" t="s">
        <v>361</v>
      </c>
    </row>
    <row r="1769" spans="1:12" x14ac:dyDescent="0.25">
      <c r="A1769" s="1">
        <f t="shared" si="96"/>
        <v>45514</v>
      </c>
      <c r="B1769" s="31">
        <f>TIME(20,23, 0)</f>
        <v>0.84930555555555554</v>
      </c>
      <c r="C1769" t="str">
        <f>Inventory!A49</f>
        <v>Half pound cake</v>
      </c>
      <c r="D1769" s="27">
        <v>1</v>
      </c>
      <c r="E1769" s="5">
        <f>Table4[[#This Row],[qty]]*(VLOOKUP(Table4[[#This Row],[item_sold]],Table6[],4,FALSE))</f>
        <v>100</v>
      </c>
      <c r="F1769" s="5">
        <f>(VLOOKUP(Table4[[#This Row],[item_sold]],Table6[],3,FALSE))*Table4[[#This Row],[qty]]</f>
        <v>90</v>
      </c>
      <c r="G1769" s="5">
        <f t="shared" si="97"/>
        <v>10</v>
      </c>
      <c r="H1769" t="s">
        <v>361</v>
      </c>
    </row>
    <row r="1770" spans="1:12" x14ac:dyDescent="0.25">
      <c r="A1770" s="1">
        <f t="shared" si="96"/>
        <v>45514</v>
      </c>
      <c r="B1770" s="31">
        <f>TIME(16,30, 0)</f>
        <v>0.6875</v>
      </c>
      <c r="C1770" t="str">
        <f>Inventory!A55</f>
        <v>Ngumu</v>
      </c>
      <c r="D1770" s="27">
        <v>5</v>
      </c>
      <c r="E1770" s="5">
        <f>Table4[[#This Row],[qty]]*(VLOOKUP(Table4[[#This Row],[item_sold]],Table6[],4,FALSE))</f>
        <v>50</v>
      </c>
      <c r="F1770" s="5">
        <f>(VLOOKUP(Table4[[#This Row],[item_sold]],Table6[],3,FALSE))*Table4[[#This Row],[qty]]</f>
        <v>41.666666666666671</v>
      </c>
      <c r="G1770" s="5">
        <f t="shared" si="97"/>
        <v>8.3333333333333286</v>
      </c>
      <c r="H1770" t="s">
        <v>247</v>
      </c>
    </row>
    <row r="1771" spans="1:12" x14ac:dyDescent="0.25">
      <c r="A1771" s="1">
        <f t="shared" si="96"/>
        <v>45514</v>
      </c>
      <c r="B1771" s="31">
        <f>TIME(16,50, 0)</f>
        <v>0.70138888888888884</v>
      </c>
      <c r="C1771" t="str">
        <f>Inventory!A61</f>
        <v>Bigdaddy</v>
      </c>
      <c r="D1771" s="27">
        <v>3</v>
      </c>
      <c r="E1771" s="5">
        <f>Table4[[#This Row],[qty]]*(VLOOKUP(Table4[[#This Row],[item_sold]],Table6[],4,FALSE))</f>
        <v>30</v>
      </c>
      <c r="F1771" s="5">
        <f>(VLOOKUP(Table4[[#This Row],[item_sold]],Table6[],3,FALSE))*Table4[[#This Row],[qty]]</f>
        <v>18</v>
      </c>
      <c r="G1771" s="5">
        <f t="shared" si="97"/>
        <v>12</v>
      </c>
      <c r="H1771" t="s">
        <v>247</v>
      </c>
    </row>
    <row r="1772" spans="1:12" x14ac:dyDescent="0.25">
      <c r="A1772" s="1">
        <f t="shared" si="96"/>
        <v>45514</v>
      </c>
      <c r="B1772" s="31">
        <f>TIME(17,19, 0)</f>
        <v>0.72152777777777777</v>
      </c>
      <c r="C1772" t="str">
        <f>Inventory!A61</f>
        <v>Bigdaddy</v>
      </c>
      <c r="D1772" s="27">
        <v>1</v>
      </c>
      <c r="E1772" s="5">
        <f>Table4[[#This Row],[qty]]*(VLOOKUP(Table4[[#This Row],[item_sold]],Table6[],4,FALSE))</f>
        <v>10</v>
      </c>
      <c r="F1772" s="5">
        <f>(VLOOKUP(Table4[[#This Row],[item_sold]],Table6[],3,FALSE))*Table4[[#This Row],[qty]]</f>
        <v>6</v>
      </c>
      <c r="G1772" s="5">
        <f t="shared" si="97"/>
        <v>4</v>
      </c>
      <c r="H1772" t="s">
        <v>247</v>
      </c>
    </row>
    <row r="1773" spans="1:12" x14ac:dyDescent="0.25">
      <c r="A1773" s="1">
        <f t="shared" si="96"/>
        <v>45514</v>
      </c>
      <c r="B1773" s="31">
        <f>TIME(17,19, 0)</f>
        <v>0.72152777777777777</v>
      </c>
      <c r="C1773" t="str">
        <f>Inventory!A65</f>
        <v>Tropical</v>
      </c>
      <c r="D1773" s="27">
        <v>2</v>
      </c>
      <c r="E1773" s="5">
        <f>Table4[[#This Row],[qty]]*(VLOOKUP(Table4[[#This Row],[item_sold]],Table6[],4,FALSE))</f>
        <v>10</v>
      </c>
      <c r="F1773" s="5">
        <f>(VLOOKUP(Table4[[#This Row],[item_sold]],Table6[],3,FALSE))*Table4[[#This Row],[qty]]</f>
        <v>3</v>
      </c>
      <c r="G1773" s="5">
        <f t="shared" si="97"/>
        <v>7</v>
      </c>
      <c r="H1773" t="s">
        <v>247</v>
      </c>
    </row>
    <row r="1774" spans="1:12" x14ac:dyDescent="0.25">
      <c r="A1774" s="1">
        <f t="shared" si="96"/>
        <v>45514</v>
      </c>
      <c r="B1774" s="31">
        <f t="shared" ref="B1774:B1780" si="99">TIME(17,43, 0)</f>
        <v>0.73819444444444438</v>
      </c>
      <c r="C1774" t="str">
        <f>Inventory!A140</f>
        <v>Airtel 50 Credit</v>
      </c>
      <c r="D1774" s="27">
        <v>1</v>
      </c>
      <c r="E1774" s="5">
        <f>Table4[[#This Row],[qty]]*(VLOOKUP(Table4[[#This Row],[item_sold]],Table6[],4,FALSE))</f>
        <v>50</v>
      </c>
      <c r="F1774" s="5">
        <f>(VLOOKUP(Table4[[#This Row],[item_sold]],Table6[],3,FALSE))*Table4[[#This Row],[qty]]</f>
        <v>47</v>
      </c>
      <c r="G1774" s="5">
        <f t="shared" si="97"/>
        <v>3</v>
      </c>
      <c r="H1774" t="s">
        <v>361</v>
      </c>
    </row>
    <row r="1775" spans="1:12" x14ac:dyDescent="0.25">
      <c r="A1775" s="1">
        <f t="shared" si="96"/>
        <v>45514</v>
      </c>
      <c r="B1775" s="31">
        <f t="shared" si="99"/>
        <v>0.73819444444444438</v>
      </c>
      <c r="D1775" s="27"/>
      <c r="F1775" s="5"/>
      <c r="J1775" t="s">
        <v>399</v>
      </c>
      <c r="K1775">
        <v>95</v>
      </c>
      <c r="L1775" t="s">
        <v>361</v>
      </c>
    </row>
    <row r="1776" spans="1:12" x14ac:dyDescent="0.25">
      <c r="A1776" s="1">
        <f t="shared" si="96"/>
        <v>45514</v>
      </c>
      <c r="B1776" s="31">
        <f t="shared" si="99"/>
        <v>0.73819444444444438</v>
      </c>
      <c r="C1776" t="str">
        <f>Inventory!A138</f>
        <v>Airtel 20 Credit</v>
      </c>
      <c r="D1776" s="27">
        <v>1</v>
      </c>
      <c r="E1776" s="5">
        <f>Table4[[#This Row],[qty]]*(VLOOKUP(Table4[[#This Row],[item_sold]],Table6[],4,FALSE))</f>
        <v>20</v>
      </c>
      <c r="F1776" s="5">
        <f>(VLOOKUP(Table4[[#This Row],[item_sold]],Table6[],3,FALSE))*Table4[[#This Row],[qty]]</f>
        <v>18</v>
      </c>
      <c r="G1776" s="5">
        <f t="shared" si="97"/>
        <v>2</v>
      </c>
      <c r="H1776" t="s">
        <v>247</v>
      </c>
    </row>
    <row r="1777" spans="1:12" x14ac:dyDescent="0.25">
      <c r="A1777" s="1">
        <f t="shared" si="96"/>
        <v>45514</v>
      </c>
      <c r="B1777" s="31">
        <f t="shared" si="99"/>
        <v>0.73819444444444438</v>
      </c>
      <c r="C1777" t="str">
        <f>Inventory!A140</f>
        <v>Airtel 50 Credit</v>
      </c>
      <c r="D1777" s="27">
        <v>1</v>
      </c>
      <c r="E1777" s="5">
        <f>Table4[[#This Row],[qty]]*(VLOOKUP(Table4[[#This Row],[item_sold]],Table6[],4,FALSE))</f>
        <v>50</v>
      </c>
      <c r="F1777" s="5">
        <f>(VLOOKUP(Table4[[#This Row],[item_sold]],Table6[],3,FALSE))*Table4[[#This Row],[qty]]</f>
        <v>47</v>
      </c>
      <c r="G1777" s="5">
        <f t="shared" si="97"/>
        <v>3</v>
      </c>
      <c r="H1777" t="s">
        <v>247</v>
      </c>
    </row>
    <row r="1778" spans="1:12" x14ac:dyDescent="0.25">
      <c r="A1778" s="1">
        <f t="shared" si="96"/>
        <v>45514</v>
      </c>
      <c r="B1778" s="31">
        <f t="shared" si="99"/>
        <v>0.73819444444444438</v>
      </c>
      <c r="C1778" t="str">
        <f>Inventory!A23</f>
        <v>Mt kenya milk 500ml</v>
      </c>
      <c r="D1778" s="27">
        <v>4</v>
      </c>
      <c r="E1778" s="5">
        <f>Table4[[#This Row],[qty]]*(VLOOKUP(Table4[[#This Row],[item_sold]],Table6[],4,FALSE))</f>
        <v>260</v>
      </c>
      <c r="F1778" s="5">
        <f>(VLOOKUP(Table4[[#This Row],[item_sold]],Table6[],3,FALSE))*Table4[[#This Row],[qty]]</f>
        <v>193.33333333333334</v>
      </c>
      <c r="G1778" s="5">
        <f t="shared" si="97"/>
        <v>66.666666666666657</v>
      </c>
      <c r="H1778" t="s">
        <v>247</v>
      </c>
    </row>
    <row r="1779" spans="1:12" x14ac:dyDescent="0.25">
      <c r="A1779" s="1">
        <f t="shared" si="96"/>
        <v>45514</v>
      </c>
      <c r="B1779" s="31">
        <f t="shared" si="99"/>
        <v>0.73819444444444438</v>
      </c>
      <c r="C1779" t="str">
        <f>Inventory!A141</f>
        <v>Jumbo Tissue</v>
      </c>
      <c r="D1779" s="27">
        <v>1</v>
      </c>
      <c r="E1779" s="5">
        <f>Table4[[#This Row],[qty]]*(VLOOKUP(Table4[[#This Row],[item_sold]],Table6[],4,FALSE))</f>
        <v>120</v>
      </c>
      <c r="F1779" s="5">
        <f>(VLOOKUP(Table4[[#This Row],[item_sold]],Table6[],3,FALSE))*Table4[[#This Row],[qty]]</f>
        <v>90</v>
      </c>
      <c r="G1779" s="5">
        <f t="shared" si="97"/>
        <v>30</v>
      </c>
      <c r="H1779" t="s">
        <v>359</v>
      </c>
      <c r="I1779" t="s">
        <v>398</v>
      </c>
      <c r="J1779" t="s">
        <v>401</v>
      </c>
      <c r="K1779">
        <v>240</v>
      </c>
      <c r="L1779" t="s">
        <v>247</v>
      </c>
    </row>
    <row r="1780" spans="1:12" x14ac:dyDescent="0.25">
      <c r="A1780" s="1">
        <f t="shared" si="96"/>
        <v>45514</v>
      </c>
      <c r="B1780" s="31">
        <f t="shared" si="99"/>
        <v>0.73819444444444438</v>
      </c>
      <c r="C1780" t="str">
        <f>Inventory!A115</f>
        <v>Onion</v>
      </c>
      <c r="D1780" s="27">
        <v>2</v>
      </c>
      <c r="E1780" s="5">
        <f>Table4[[#This Row],[qty]]*(VLOOKUP(Table4[[#This Row],[item_sold]],Table6[],4,FALSE))</f>
        <v>20</v>
      </c>
      <c r="F1780" s="5">
        <f>(VLOOKUP(Table4[[#This Row],[item_sold]],Table6[],3,FALSE))*Table4[[#This Row],[qty]]</f>
        <v>16</v>
      </c>
      <c r="G1780" s="5">
        <f>E1780-F1780</f>
        <v>4</v>
      </c>
      <c r="H1780" t="s">
        <v>359</v>
      </c>
      <c r="I1780" t="s">
        <v>403</v>
      </c>
    </row>
    <row r="1781" spans="1:12" x14ac:dyDescent="0.25">
      <c r="A1781" s="1">
        <f t="shared" ref="A1781:A1786" si="100">DATE(2024,8,10)</f>
        <v>45514</v>
      </c>
      <c r="B1781" s="31">
        <f>TIME(19,27, 0)</f>
        <v>0.81041666666666667</v>
      </c>
      <c r="C1781" t="str">
        <f>Inventory!A30</f>
        <v>BB Bread 400g</v>
      </c>
      <c r="D1781" s="27">
        <v>2</v>
      </c>
      <c r="E1781" s="5">
        <f>Table4[[#This Row],[qty]]*(VLOOKUP(Table4[[#This Row],[item_sold]],Table6[],4,FALSE))</f>
        <v>130</v>
      </c>
      <c r="F1781" s="5">
        <f>(VLOOKUP(Table4[[#This Row],[item_sold]],Table6[],3,FALSE))*Table4[[#This Row],[qty]]</f>
        <v>120</v>
      </c>
      <c r="G1781" s="5">
        <f t="shared" si="97"/>
        <v>10</v>
      </c>
      <c r="H1781" t="s">
        <v>361</v>
      </c>
    </row>
    <row r="1782" spans="1:12" x14ac:dyDescent="0.25">
      <c r="A1782" s="1">
        <f t="shared" si="100"/>
        <v>45514</v>
      </c>
      <c r="B1782" s="31">
        <f>TIME(19,44, 0)</f>
        <v>0.8222222222222223</v>
      </c>
      <c r="C1782" t="str">
        <f>Inventory!A76</f>
        <v>kensalt 1kg</v>
      </c>
      <c r="D1782" s="27">
        <v>1</v>
      </c>
      <c r="E1782" s="5">
        <f>Table4[[#This Row],[qty]]*(VLOOKUP(Table4[[#This Row],[item_sold]],Table6[],4,FALSE))</f>
        <v>50</v>
      </c>
      <c r="F1782" s="5">
        <f>(VLOOKUP(Table4[[#This Row],[item_sold]],Table6[],3,FALSE))*Table4[[#This Row],[qty]]</f>
        <v>35</v>
      </c>
      <c r="G1782" s="5">
        <f t="shared" si="97"/>
        <v>15</v>
      </c>
      <c r="H1782" t="s">
        <v>359</v>
      </c>
      <c r="I1782" t="s">
        <v>389</v>
      </c>
    </row>
    <row r="1783" spans="1:12" x14ac:dyDescent="0.25">
      <c r="A1783" s="1">
        <f t="shared" si="100"/>
        <v>45514</v>
      </c>
      <c r="B1783" s="31">
        <f>TIME(19,48, 0)</f>
        <v>0.82500000000000007</v>
      </c>
      <c r="C1783" t="str">
        <f>Inventory!A150</f>
        <v>Sonaplast</v>
      </c>
      <c r="D1783" s="27">
        <v>10</v>
      </c>
      <c r="E1783" s="5">
        <f>Table4[[#This Row],[qty]]*(VLOOKUP(Table4[[#This Row],[item_sold]],Table6[],4,FALSE))</f>
        <v>100</v>
      </c>
      <c r="F1783" s="5">
        <f>(VLOOKUP(Table4[[#This Row],[item_sold]],Table6[],3,FALSE))*Table4[[#This Row],[qty]]</f>
        <v>70</v>
      </c>
      <c r="G1783" s="5">
        <f t="shared" si="97"/>
        <v>30</v>
      </c>
      <c r="H1783" t="s">
        <v>361</v>
      </c>
    </row>
    <row r="1784" spans="1:12" x14ac:dyDescent="0.25">
      <c r="A1784" s="1">
        <f t="shared" si="100"/>
        <v>45514</v>
      </c>
      <c r="B1784" s="31">
        <f>TIME(20,18, 0)</f>
        <v>0.84583333333333333</v>
      </c>
      <c r="C1784" t="str">
        <f>Inventory!A122</f>
        <v>Kinangop Fresh Milk 500ml</v>
      </c>
      <c r="D1784" s="27">
        <v>1</v>
      </c>
      <c r="E1784" s="5">
        <f>Table4[[#This Row],[qty]]*(VLOOKUP(Table4[[#This Row],[item_sold]],Table6[],4,FALSE))</f>
        <v>60</v>
      </c>
      <c r="F1784" s="5">
        <f>(VLOOKUP(Table4[[#This Row],[item_sold]],Table6[],3,FALSE))*Table4[[#This Row],[qty]]</f>
        <v>55</v>
      </c>
      <c r="G1784" s="5">
        <f t="shared" si="97"/>
        <v>5</v>
      </c>
      <c r="H1784" t="s">
        <v>359</v>
      </c>
      <c r="I1784" t="s">
        <v>390</v>
      </c>
    </row>
    <row r="1785" spans="1:12" x14ac:dyDescent="0.25">
      <c r="A1785" s="1">
        <f t="shared" si="100"/>
        <v>45514</v>
      </c>
      <c r="B1785" s="31">
        <f>TIME(20,18, 0)</f>
        <v>0.84583333333333333</v>
      </c>
      <c r="C1785" t="str">
        <f>Inventory!A93</f>
        <v>Hanaan Tissue</v>
      </c>
      <c r="D1785" s="27">
        <v>1</v>
      </c>
      <c r="E1785" s="5">
        <f>Table4[[#This Row],[qty]]*(VLOOKUP(Table4[[#This Row],[item_sold]],Table6[],4,FALSE))</f>
        <v>50</v>
      </c>
      <c r="F1785" s="5">
        <f>(VLOOKUP(Table4[[#This Row],[item_sold]],Table6[],3,FALSE))*Table4[[#This Row],[qty]]</f>
        <v>43</v>
      </c>
      <c r="G1785" s="5">
        <f t="shared" si="97"/>
        <v>7</v>
      </c>
      <c r="H1785" t="s">
        <v>359</v>
      </c>
      <c r="I1785" t="s">
        <v>390</v>
      </c>
    </row>
    <row r="1786" spans="1:12" x14ac:dyDescent="0.25">
      <c r="A1786" s="1">
        <f t="shared" si="100"/>
        <v>45514</v>
      </c>
      <c r="B1786" s="31">
        <f>TIME(20,23, 0)</f>
        <v>0.84930555555555554</v>
      </c>
      <c r="C1786" t="str">
        <f>Inventory!A86</f>
        <v>Medium Colgate Toothbrush</v>
      </c>
      <c r="D1786" s="27">
        <v>1</v>
      </c>
      <c r="E1786" s="5">
        <f>Table4[[#This Row],[qty]]*(VLOOKUP(Table4[[#This Row],[item_sold]],Table6[],4,FALSE))</f>
        <v>40</v>
      </c>
      <c r="F1786" s="5">
        <f>(VLOOKUP(Table4[[#This Row],[item_sold]],Table6[],3,FALSE))*Table4[[#This Row],[qty]]</f>
        <v>25</v>
      </c>
      <c r="G1786" s="5">
        <f t="shared" ref="G1786:G1818" si="101">E1786-F1786</f>
        <v>15</v>
      </c>
      <c r="H1786" t="s">
        <v>359</v>
      </c>
      <c r="I1786" t="s">
        <v>385</v>
      </c>
    </row>
    <row r="1787" spans="1:12" x14ac:dyDescent="0.25">
      <c r="A1787" s="1">
        <f>DATE(2024,8,11)</f>
        <v>45515</v>
      </c>
      <c r="B1787" s="31">
        <f>TIME(9,50, 0)</f>
        <v>0.40972222222222227</v>
      </c>
      <c r="C1787" t="str">
        <f>Inventory!A18</f>
        <v>kinangop250g youghurt</v>
      </c>
      <c r="D1787" s="27">
        <v>1</v>
      </c>
      <c r="E1787" s="5">
        <f>Table4[[#This Row],[qty]]*(VLOOKUP(Table4[[#This Row],[item_sold]],Table6[],4,FALSE))</f>
        <v>60</v>
      </c>
      <c r="F1787" s="5">
        <f>(VLOOKUP(Table4[[#This Row],[item_sold]],Table6[],3,FALSE))*Table4[[#This Row],[qty]]</f>
        <v>48.333333333333336</v>
      </c>
      <c r="G1787" s="5">
        <f t="shared" si="101"/>
        <v>11.666666666666664</v>
      </c>
      <c r="H1787" t="s">
        <v>359</v>
      </c>
      <c r="I1787" t="s">
        <v>400</v>
      </c>
    </row>
    <row r="1788" spans="1:12" x14ac:dyDescent="0.25">
      <c r="A1788" s="1">
        <f t="shared" ref="A1788:A1836" si="102">DATE(2024,8,11)</f>
        <v>45515</v>
      </c>
      <c r="B1788" s="31">
        <f>TIME(9,50, 0)</f>
        <v>0.40972222222222227</v>
      </c>
      <c r="C1788" t="str">
        <f>Inventory!A18</f>
        <v>kinangop250g youghurt</v>
      </c>
      <c r="D1788" s="27">
        <v>1</v>
      </c>
      <c r="E1788" s="5">
        <f>Table4[[#This Row],[qty]]*(VLOOKUP(Table4[[#This Row],[item_sold]],Table6[],4,FALSE))</f>
        <v>60</v>
      </c>
      <c r="F1788" s="5">
        <f>(VLOOKUP(Table4[[#This Row],[item_sold]],Table6[],3,FALSE))*Table4[[#This Row],[qty]]</f>
        <v>48.333333333333336</v>
      </c>
      <c r="G1788" s="5">
        <f t="shared" si="101"/>
        <v>11.666666666666664</v>
      </c>
      <c r="H1788" t="s">
        <v>359</v>
      </c>
      <c r="I1788" t="s">
        <v>400</v>
      </c>
    </row>
    <row r="1789" spans="1:12" x14ac:dyDescent="0.25">
      <c r="A1789" s="1">
        <f t="shared" si="102"/>
        <v>45515</v>
      </c>
      <c r="B1789" s="31">
        <f>TIME(9,50, 0)</f>
        <v>0.40972222222222227</v>
      </c>
      <c r="C1789" t="str">
        <f>Inventory!A49</f>
        <v>Half pound cake</v>
      </c>
      <c r="D1789" s="27">
        <v>1</v>
      </c>
      <c r="E1789" s="5">
        <f>Table4[[#This Row],[qty]]*(VLOOKUP(Table4[[#This Row],[item_sold]],Table6[],4,FALSE))</f>
        <v>100</v>
      </c>
      <c r="F1789" s="5">
        <f>(VLOOKUP(Table4[[#This Row],[item_sold]],Table6[],3,FALSE))*Table4[[#This Row],[qty]]</f>
        <v>90</v>
      </c>
      <c r="G1789" s="5">
        <f t="shared" si="101"/>
        <v>10</v>
      </c>
      <c r="H1789" t="s">
        <v>359</v>
      </c>
      <c r="I1789" t="s">
        <v>400</v>
      </c>
    </row>
    <row r="1790" spans="1:12" x14ac:dyDescent="0.25">
      <c r="A1790" s="1">
        <f t="shared" si="102"/>
        <v>45515</v>
      </c>
      <c r="B1790" s="31">
        <f>TIME(11,50, 0)</f>
        <v>0.49305555555555558</v>
      </c>
      <c r="C1790" t="str">
        <f>Inventory!A81</f>
        <v>eggs</v>
      </c>
      <c r="D1790" s="27">
        <v>10</v>
      </c>
      <c r="E1790" s="5">
        <f>Table4[[#This Row],[qty]]*(VLOOKUP(Table4[[#This Row],[item_sold]],Table6[],4,FALSE))</f>
        <v>200</v>
      </c>
      <c r="F1790" s="5">
        <f>(VLOOKUP(Table4[[#This Row],[item_sold]],Table6[],3,FALSE))*Table4[[#This Row],[qty]]</f>
        <v>143.33333333333334</v>
      </c>
      <c r="G1790" s="5">
        <f t="shared" si="101"/>
        <v>56.666666666666657</v>
      </c>
      <c r="H1790" t="s">
        <v>247</v>
      </c>
    </row>
    <row r="1791" spans="1:12" x14ac:dyDescent="0.25">
      <c r="A1791" s="1">
        <f t="shared" si="102"/>
        <v>45515</v>
      </c>
      <c r="B1791" s="31">
        <f>TIME(11,50, 0)</f>
        <v>0.49305555555555558</v>
      </c>
      <c r="C1791" t="str">
        <f>Inventory!A32</f>
        <v>Festive 600g</v>
      </c>
      <c r="D1791" s="27">
        <v>1</v>
      </c>
      <c r="E1791" s="5">
        <f>Table4[[#This Row],[qty]]*(VLOOKUP(Table4[[#This Row],[item_sold]],Table6[],4,FALSE))</f>
        <v>100</v>
      </c>
      <c r="F1791" s="5">
        <f>(VLOOKUP(Table4[[#This Row],[item_sold]],Table6[],3,FALSE))*Table4[[#This Row],[qty]]</f>
        <v>90</v>
      </c>
      <c r="G1791" s="5">
        <f t="shared" si="101"/>
        <v>10</v>
      </c>
      <c r="H1791" t="s">
        <v>247</v>
      </c>
    </row>
    <row r="1792" spans="1:12" x14ac:dyDescent="0.25">
      <c r="A1792" s="1">
        <f t="shared" si="102"/>
        <v>45515</v>
      </c>
      <c r="B1792" s="31">
        <f>TIME(13,42, 0)</f>
        <v>0.5708333333333333</v>
      </c>
      <c r="C1792" t="str">
        <f>Inventory!A61</f>
        <v>Bigdaddy</v>
      </c>
      <c r="D1792" s="27">
        <v>1</v>
      </c>
      <c r="E1792" s="5">
        <f>Table4[[#This Row],[qty]]*(VLOOKUP(Table4[[#This Row],[item_sold]],Table6[],4,FALSE))</f>
        <v>10</v>
      </c>
      <c r="F1792" s="5">
        <f>(VLOOKUP(Table4[[#This Row],[item_sold]],Table6[],3,FALSE))*Table4[[#This Row],[qty]]</f>
        <v>6</v>
      </c>
      <c r="G1792" s="5">
        <f t="shared" si="101"/>
        <v>4</v>
      </c>
      <c r="H1792" t="s">
        <v>247</v>
      </c>
    </row>
    <row r="1793" spans="1:12" x14ac:dyDescent="0.25">
      <c r="A1793" s="1">
        <f t="shared" si="102"/>
        <v>45515</v>
      </c>
      <c r="B1793" s="31">
        <f>TIME(13,42, 0)</f>
        <v>0.5708333333333333</v>
      </c>
      <c r="C1793" t="str">
        <f>Inventory!A194</f>
        <v>funtime snacks</v>
      </c>
      <c r="D1793" s="27">
        <v>1</v>
      </c>
      <c r="E1793" s="5">
        <f>Table4[[#This Row],[qty]]*(VLOOKUP(Table4[[#This Row],[item_sold]],Table6[],4,FALSE))</f>
        <v>15</v>
      </c>
      <c r="F1793" s="5">
        <f>(VLOOKUP(Table4[[#This Row],[item_sold]],Table6[],3,FALSE))*Table4[[#This Row],[qty]]</f>
        <v>9</v>
      </c>
      <c r="G1793" s="5">
        <f t="shared" si="101"/>
        <v>6</v>
      </c>
      <c r="H1793" t="s">
        <v>247</v>
      </c>
    </row>
    <row r="1794" spans="1:12" x14ac:dyDescent="0.25">
      <c r="A1794" s="1">
        <f t="shared" si="102"/>
        <v>45515</v>
      </c>
      <c r="B1794" s="31">
        <f>TIME(13,42, 0)</f>
        <v>0.5708333333333333</v>
      </c>
      <c r="C1794" t="str">
        <f>Inventory!A34</f>
        <v>Ringoz Paprika</v>
      </c>
      <c r="D1794" s="27">
        <v>3</v>
      </c>
      <c r="E1794" s="5">
        <f>Table4[[#This Row],[qty]]*(VLOOKUP(Table4[[#This Row],[item_sold]],Table6[],4,FALSE))</f>
        <v>45</v>
      </c>
      <c r="F1794" s="5">
        <f>(VLOOKUP(Table4[[#This Row],[item_sold]],Table6[],3,FALSE))*Table4[[#This Row],[qty]]</f>
        <v>26.400000000000002</v>
      </c>
      <c r="G1794" s="5">
        <f t="shared" si="101"/>
        <v>18.599999999999998</v>
      </c>
      <c r="H1794" t="s">
        <v>247</v>
      </c>
    </row>
    <row r="1795" spans="1:12" x14ac:dyDescent="0.25">
      <c r="A1795" s="1">
        <f t="shared" si="102"/>
        <v>45515</v>
      </c>
      <c r="B1795" s="31">
        <f>TIME(13,42, 0)</f>
        <v>0.5708333333333333</v>
      </c>
      <c r="C1795" t="str">
        <f>Inventory!A43</f>
        <v>Choc-chip Cookies</v>
      </c>
      <c r="D1795" s="27">
        <v>1</v>
      </c>
      <c r="E1795" s="5">
        <f>Table4[[#This Row],[qty]]*(VLOOKUP(Table4[[#This Row],[item_sold]],Table6[],4,FALSE))</f>
        <v>35</v>
      </c>
      <c r="F1795" s="5">
        <f>(VLOOKUP(Table4[[#This Row],[item_sold]],Table6[],3,FALSE))*Table4[[#This Row],[qty]]</f>
        <v>25</v>
      </c>
      <c r="G1795" s="5">
        <f t="shared" si="101"/>
        <v>10</v>
      </c>
      <c r="H1795" t="s">
        <v>247</v>
      </c>
    </row>
    <row r="1796" spans="1:12" x14ac:dyDescent="0.25">
      <c r="A1796" s="1">
        <f t="shared" si="102"/>
        <v>45515</v>
      </c>
      <c r="B1796" s="31">
        <f>TIME(14,8, 0)</f>
        <v>0.58888888888888891</v>
      </c>
      <c r="C1796" t="str">
        <f>Inventory!A118</f>
        <v>Panadol Extra</v>
      </c>
      <c r="D1796" s="27">
        <v>1</v>
      </c>
      <c r="E1796" s="5">
        <f>Table4[[#This Row],[qty]]*(VLOOKUP(Table4[[#This Row],[item_sold]],Table6[],4,FALSE))</f>
        <v>20</v>
      </c>
      <c r="F1796" s="5">
        <f>(VLOOKUP(Table4[[#This Row],[item_sold]],Table6[],3,FALSE))*Table4[[#This Row],[qty]]</f>
        <v>13</v>
      </c>
      <c r="G1796" s="5">
        <f t="shared" si="101"/>
        <v>7</v>
      </c>
      <c r="H1796" t="s">
        <v>359</v>
      </c>
      <c r="I1796" t="s">
        <v>403</v>
      </c>
    </row>
    <row r="1797" spans="1:12" x14ac:dyDescent="0.25">
      <c r="A1797" s="1">
        <f t="shared" si="102"/>
        <v>45515</v>
      </c>
      <c r="B1797" s="31">
        <f>TIME(14,9, 0)</f>
        <v>0.58958333333333335</v>
      </c>
      <c r="C1797" t="str">
        <f>Inventory!A133</f>
        <v>Pencil</v>
      </c>
      <c r="D1797" s="27">
        <v>2</v>
      </c>
      <c r="E1797" s="5">
        <f>Table4[[#This Row],[qty]]*(VLOOKUP(Table4[[#This Row],[item_sold]],Table6[],4,FALSE))+10</f>
        <v>30</v>
      </c>
      <c r="F1797" s="5">
        <f>(VLOOKUP(Table4[[#This Row],[item_sold]],Table6[],3,FALSE))*Table4[[#This Row],[qty]]</f>
        <v>15</v>
      </c>
      <c r="G1797" s="5">
        <f t="shared" si="101"/>
        <v>15</v>
      </c>
      <c r="H1797" t="s">
        <v>361</v>
      </c>
    </row>
    <row r="1798" spans="1:12" x14ac:dyDescent="0.25">
      <c r="A1798" s="1">
        <f t="shared" si="102"/>
        <v>45515</v>
      </c>
      <c r="B1798" s="31">
        <f>TIME(15,3, 0)</f>
        <v>0.62708333333333333</v>
      </c>
      <c r="C1798" t="str">
        <f>Inventory!A120</f>
        <v>Icepop</v>
      </c>
      <c r="D1798" s="27">
        <v>1</v>
      </c>
      <c r="E1798" s="5">
        <f>Table4[[#This Row],[qty]]*(VLOOKUP(Table4[[#This Row],[item_sold]],Table6[],4,FALSE))</f>
        <v>15</v>
      </c>
      <c r="F1798" s="5">
        <f>(VLOOKUP(Table4[[#This Row],[item_sold]],Table6[],3,FALSE))*Table4[[#This Row],[qty]]</f>
        <v>7.5</v>
      </c>
      <c r="G1798" s="5">
        <f t="shared" si="101"/>
        <v>7.5</v>
      </c>
      <c r="H1798" t="s">
        <v>247</v>
      </c>
    </row>
    <row r="1799" spans="1:12" x14ac:dyDescent="0.25">
      <c r="A1799" s="1">
        <f t="shared" si="102"/>
        <v>45515</v>
      </c>
      <c r="B1799" s="31">
        <f>TIME(15,3, 0)</f>
        <v>0.62708333333333333</v>
      </c>
      <c r="C1799" t="str">
        <f>Inventory!A134</f>
        <v>Baloon</v>
      </c>
      <c r="D1799" s="27">
        <v>1</v>
      </c>
      <c r="E1799" s="5">
        <f>Table4[[#This Row],[qty]]*(VLOOKUP(Table4[[#This Row],[item_sold]],Table6[],4,FALSE))</f>
        <v>10</v>
      </c>
      <c r="F1799" s="5">
        <f>(VLOOKUP(Table4[[#This Row],[item_sold]],Table6[],3,FALSE))*Table4[[#This Row],[qty]]</f>
        <v>6</v>
      </c>
      <c r="G1799" s="5">
        <f t="shared" si="101"/>
        <v>4</v>
      </c>
      <c r="H1799" t="s">
        <v>361</v>
      </c>
    </row>
    <row r="1800" spans="1:12" x14ac:dyDescent="0.25">
      <c r="A1800" s="1">
        <f t="shared" si="102"/>
        <v>45515</v>
      </c>
      <c r="B1800" s="31">
        <f>TIME(15,21, 0)</f>
        <v>0.63958333333333328</v>
      </c>
      <c r="C1800" t="str">
        <f>Inventory!A15</f>
        <v>smash juice</v>
      </c>
      <c r="D1800" s="27">
        <v>1</v>
      </c>
      <c r="E1800" s="5">
        <f>Table4[[#This Row],[qty]]*(VLOOKUP(Table4[[#This Row],[item_sold]],Table6[],4,FALSE))</f>
        <v>20</v>
      </c>
      <c r="F1800" s="5">
        <f>(VLOOKUP(Table4[[#This Row],[item_sold]],Table6[],3,FALSE))*Table4[[#This Row],[qty]]</f>
        <v>15</v>
      </c>
      <c r="G1800" s="5">
        <f t="shared" si="101"/>
        <v>5</v>
      </c>
      <c r="H1800" t="s">
        <v>247</v>
      </c>
    </row>
    <row r="1801" spans="1:12" x14ac:dyDescent="0.25">
      <c r="A1801" s="1">
        <f t="shared" si="102"/>
        <v>45515</v>
      </c>
      <c r="B1801" s="31">
        <f>TIME(15,21, 0)</f>
        <v>0.63958333333333328</v>
      </c>
      <c r="C1801" t="str">
        <f>Inventory!A162</f>
        <v>Match Box</v>
      </c>
      <c r="D1801" s="27">
        <v>3</v>
      </c>
      <c r="E1801" s="5">
        <f>Table4[[#This Row],[qty]]*(VLOOKUP(Table4[[#This Row],[item_sold]],Table6[],4,FALSE))</f>
        <v>15</v>
      </c>
      <c r="F1801" s="5">
        <f>(VLOOKUP(Table4[[#This Row],[item_sold]],Table6[],3,FALSE))*Table4[[#This Row],[qty]]</f>
        <v>7.0833333333333339</v>
      </c>
      <c r="G1801" s="5">
        <f t="shared" si="101"/>
        <v>7.9166666666666661</v>
      </c>
      <c r="H1801" t="s">
        <v>247</v>
      </c>
    </row>
    <row r="1802" spans="1:12" x14ac:dyDescent="0.25">
      <c r="A1802" s="1">
        <f t="shared" si="102"/>
        <v>45515</v>
      </c>
      <c r="B1802" s="31">
        <f>TIME(15,21, 0)</f>
        <v>0.63958333333333328</v>
      </c>
      <c r="C1802" t="str">
        <f>Inventory!A63</f>
        <v>Gomba</v>
      </c>
      <c r="D1802" s="27">
        <v>2</v>
      </c>
      <c r="E1802" s="5">
        <f>Table4[[#This Row],[qty]]*(VLOOKUP(Table4[[#This Row],[item_sold]],Table6[],4,FALSE))</f>
        <v>5</v>
      </c>
      <c r="F1802" s="5">
        <f>(VLOOKUP(Table4[[#This Row],[item_sold]],Table6[],3,FALSE))*Table4[[#This Row],[qty]]</f>
        <v>3.6</v>
      </c>
      <c r="G1802" s="5">
        <f t="shared" si="101"/>
        <v>1.4</v>
      </c>
      <c r="H1802" t="s">
        <v>247</v>
      </c>
    </row>
    <row r="1803" spans="1:12" x14ac:dyDescent="0.25">
      <c r="A1803" s="1">
        <f t="shared" si="102"/>
        <v>45515</v>
      </c>
      <c r="B1803" s="31">
        <f>TIME(15,58, 0)</f>
        <v>0.66527777777777775</v>
      </c>
      <c r="C1803" t="str">
        <f>Inventory!A100</f>
        <v>Colgate 35g</v>
      </c>
      <c r="D1803" s="27">
        <v>1</v>
      </c>
      <c r="E1803" s="5">
        <f>Table4[[#This Row],[qty]]*(VLOOKUP(Table4[[#This Row],[item_sold]],Table6[],4,FALSE))</f>
        <v>80</v>
      </c>
      <c r="F1803" s="5">
        <f>(VLOOKUP(Table4[[#This Row],[item_sold]],Table6[],3,FALSE))*Table4[[#This Row],[qty]]</f>
        <v>62.5</v>
      </c>
      <c r="G1803" s="5">
        <f t="shared" si="101"/>
        <v>17.5</v>
      </c>
      <c r="H1803" t="s">
        <v>359</v>
      </c>
      <c r="I1803" t="s">
        <v>395</v>
      </c>
      <c r="J1803" t="s">
        <v>395</v>
      </c>
      <c r="K1803">
        <v>50</v>
      </c>
      <c r="L1803" t="s">
        <v>361</v>
      </c>
    </row>
    <row r="1804" spans="1:12" x14ac:dyDescent="0.25">
      <c r="A1804" s="1">
        <f t="shared" si="102"/>
        <v>45515</v>
      </c>
      <c r="B1804" s="31">
        <f>TIME(15,58, 0)</f>
        <v>0.66527777777777775</v>
      </c>
      <c r="D1804" s="27"/>
      <c r="F1804" s="5"/>
      <c r="J1804" t="s">
        <v>395</v>
      </c>
      <c r="K1804">
        <v>30</v>
      </c>
      <c r="L1804" t="s">
        <v>247</v>
      </c>
    </row>
    <row r="1805" spans="1:12" x14ac:dyDescent="0.25">
      <c r="A1805" s="1">
        <f t="shared" si="102"/>
        <v>45515</v>
      </c>
      <c r="B1805" s="31">
        <f>TIME(15,46, 0)</f>
        <v>0.65694444444444444</v>
      </c>
      <c r="C1805" t="str">
        <f>Inventory!A21</f>
        <v>Brookside Lala Natural</v>
      </c>
      <c r="D1805" s="27">
        <v>1</v>
      </c>
      <c r="E1805" s="5">
        <f>Table4[[#This Row],[qty]]*(VLOOKUP(Table4[[#This Row],[item_sold]],Table6[],4,FALSE))</f>
        <v>100</v>
      </c>
      <c r="F1805" s="5">
        <f>(VLOOKUP(Table4[[#This Row],[item_sold]],Table6[],3,FALSE))*Table4[[#This Row],[qty]]</f>
        <v>87</v>
      </c>
      <c r="G1805" s="5">
        <f t="shared" si="101"/>
        <v>13</v>
      </c>
      <c r="H1805" t="s">
        <v>359</v>
      </c>
      <c r="I1805" t="s">
        <v>392</v>
      </c>
    </row>
    <row r="1806" spans="1:12" x14ac:dyDescent="0.25">
      <c r="A1806" s="1">
        <f t="shared" si="102"/>
        <v>45515</v>
      </c>
      <c r="B1806" s="31">
        <f>TIME(15,46, 0)</f>
        <v>0.65694444444444444</v>
      </c>
      <c r="C1806" t="str">
        <f>Inventory!A89</f>
        <v>Tukuza 1kg</v>
      </c>
      <c r="D1806" s="27">
        <v>1</v>
      </c>
      <c r="E1806" s="5">
        <f>Table4[[#This Row],[qty]]*(VLOOKUP(Table4[[#This Row],[item_sold]],Table6[],4,FALSE))</f>
        <v>90</v>
      </c>
      <c r="F1806" s="5">
        <f>(VLOOKUP(Table4[[#This Row],[item_sold]],Table6[],3,FALSE))*Table4[[#This Row],[qty]]</f>
        <v>61.25</v>
      </c>
      <c r="G1806" s="5">
        <f t="shared" si="101"/>
        <v>28.75</v>
      </c>
      <c r="H1806" t="s">
        <v>359</v>
      </c>
      <c r="I1806" t="s">
        <v>392</v>
      </c>
    </row>
    <row r="1807" spans="1:12" x14ac:dyDescent="0.25">
      <c r="A1807" s="1">
        <f t="shared" si="102"/>
        <v>45515</v>
      </c>
      <c r="B1807" s="31">
        <f>TIME(16,26, 0)</f>
        <v>0.68472222222222223</v>
      </c>
      <c r="C1807" t="str">
        <f>Inventory!A205</f>
        <v>Eno</v>
      </c>
      <c r="D1807" s="27">
        <v>1</v>
      </c>
      <c r="E1807" s="5">
        <f>Table4[[#This Row],[qty]]*(VLOOKUP(Table4[[#This Row],[item_sold]],Table6[],4,FALSE))</f>
        <v>20</v>
      </c>
      <c r="F1807" s="5">
        <f>(VLOOKUP(Table4[[#This Row],[item_sold]],Table6[],3,FALSE))*Table4[[#This Row],[qty]]</f>
        <v>11</v>
      </c>
      <c r="G1807" s="5">
        <f t="shared" si="101"/>
        <v>9</v>
      </c>
      <c r="H1807" t="s">
        <v>247</v>
      </c>
    </row>
    <row r="1808" spans="1:12" x14ac:dyDescent="0.25">
      <c r="A1808" s="1">
        <f t="shared" si="102"/>
        <v>45515</v>
      </c>
      <c r="B1808" s="31">
        <f>TIME(16,26, 0)</f>
        <v>0.68472222222222223</v>
      </c>
      <c r="C1808" t="str">
        <f>Inventory!A145</f>
        <v>Steel Wire</v>
      </c>
      <c r="D1808" s="27">
        <v>1</v>
      </c>
      <c r="E1808" s="5">
        <f>Table4[[#This Row],[qty]]*(VLOOKUP(Table4[[#This Row],[item_sold]],Table6[],4,FALSE))</f>
        <v>10</v>
      </c>
      <c r="F1808" s="5">
        <f>(VLOOKUP(Table4[[#This Row],[item_sold]],Table6[],3,FALSE))*Table4[[#This Row],[qty]]</f>
        <v>6</v>
      </c>
      <c r="G1808" s="5">
        <f t="shared" si="101"/>
        <v>4</v>
      </c>
      <c r="H1808" t="s">
        <v>247</v>
      </c>
    </row>
    <row r="1809" spans="1:9" x14ac:dyDescent="0.25">
      <c r="A1809" s="1">
        <f t="shared" si="102"/>
        <v>45515</v>
      </c>
      <c r="B1809" s="31">
        <f>TIME(16,59, 0)</f>
        <v>0.70763888888888893</v>
      </c>
      <c r="C1809" t="str">
        <f>Inventory!A71</f>
        <v>Indomie chicken</v>
      </c>
      <c r="D1809" s="27">
        <v>2</v>
      </c>
      <c r="E1809" s="5">
        <f>Table4[[#This Row],[qty]]*(VLOOKUP(Table4[[#This Row],[item_sold]],Table6[],4,FALSE))</f>
        <v>100</v>
      </c>
      <c r="F1809" s="5">
        <f>(VLOOKUP(Table4[[#This Row],[item_sold]],Table6[],3,FALSE))*Table4[[#This Row],[qty]]</f>
        <v>75</v>
      </c>
      <c r="G1809" s="5">
        <f t="shared" si="101"/>
        <v>25</v>
      </c>
      <c r="H1809" t="s">
        <v>247</v>
      </c>
    </row>
    <row r="1810" spans="1:9" x14ac:dyDescent="0.25">
      <c r="A1810" s="1">
        <f t="shared" si="102"/>
        <v>45515</v>
      </c>
      <c r="B1810" s="31">
        <f>TIME(17,15, 0)</f>
        <v>0.71875</v>
      </c>
      <c r="C1810" t="str">
        <f>Inventory!A54</f>
        <v>Kdf</v>
      </c>
      <c r="D1810" s="27">
        <v>12</v>
      </c>
      <c r="E1810" s="5">
        <f>Table4[[#This Row],[qty]]*(VLOOKUP(Table4[[#This Row],[item_sold]],Table6[],4,FALSE))</f>
        <v>120</v>
      </c>
      <c r="F1810" s="5">
        <f>(VLOOKUP(Table4[[#This Row],[item_sold]],Table6[],3,FALSE))*Table4[[#This Row],[qty]]</f>
        <v>100</v>
      </c>
      <c r="G1810" s="5">
        <f t="shared" si="101"/>
        <v>20</v>
      </c>
      <c r="H1810" t="s">
        <v>361</v>
      </c>
    </row>
    <row r="1811" spans="1:9" x14ac:dyDescent="0.25">
      <c r="A1811" s="1">
        <f t="shared" si="102"/>
        <v>45515</v>
      </c>
      <c r="B1811" s="31">
        <f>TIME(17,15, 0)</f>
        <v>0.71875</v>
      </c>
      <c r="C1811" t="str">
        <f>Inventory!A126</f>
        <v>Royco cubes</v>
      </c>
      <c r="D1811" s="27">
        <v>4</v>
      </c>
      <c r="E1811" s="5">
        <f>Table4[[#This Row],[qty]]*(VLOOKUP(Table4[[#This Row],[item_sold]],Table6[],4,FALSE))</f>
        <v>20</v>
      </c>
      <c r="F1811" s="5">
        <f>(VLOOKUP(Table4[[#This Row],[item_sold]],Table6[],3,FALSE))*Table4[[#This Row],[qty]]</f>
        <v>12</v>
      </c>
      <c r="G1811" s="5">
        <f t="shared" si="101"/>
        <v>8</v>
      </c>
      <c r="H1811" t="s">
        <v>361</v>
      </c>
    </row>
    <row r="1812" spans="1:9" x14ac:dyDescent="0.25">
      <c r="A1812" s="1">
        <f t="shared" si="102"/>
        <v>45515</v>
      </c>
      <c r="B1812" s="31">
        <f>TIME(17,18, 0)</f>
        <v>0.72083333333333333</v>
      </c>
      <c r="C1812" t="str">
        <f>Inventory!A188</f>
        <v>pens</v>
      </c>
      <c r="D1812" s="27">
        <v>1</v>
      </c>
      <c r="E1812" s="5">
        <f>Table4[[#This Row],[qty]]*(VLOOKUP(Table4[[#This Row],[item_sold]],Table6[],4,FALSE))</f>
        <v>10</v>
      </c>
      <c r="F1812" s="5">
        <f>(VLOOKUP(Table4[[#This Row],[item_sold]],Table6[],3,FALSE))*Table4[[#This Row],[qty]]</f>
        <v>6</v>
      </c>
      <c r="G1812" s="5">
        <f t="shared" si="101"/>
        <v>4</v>
      </c>
      <c r="H1812" t="s">
        <v>359</v>
      </c>
      <c r="I1812" t="s">
        <v>389</v>
      </c>
    </row>
    <row r="1813" spans="1:9" x14ac:dyDescent="0.25">
      <c r="A1813" s="1">
        <f t="shared" si="102"/>
        <v>45515</v>
      </c>
      <c r="B1813" s="31">
        <f>TIME(17,30, 0)</f>
        <v>0.72916666666666663</v>
      </c>
      <c r="C1813" t="str">
        <f>Inventory!A48</f>
        <v>Ginger Bisquit</v>
      </c>
      <c r="D1813" s="27">
        <v>1</v>
      </c>
      <c r="E1813" s="5">
        <f>Table4[[#This Row],[qty]]*(VLOOKUP(Table4[[#This Row],[item_sold]],Table6[],4,FALSE))</f>
        <v>5</v>
      </c>
      <c r="F1813" s="5">
        <f>(VLOOKUP(Table4[[#This Row],[item_sold]],Table6[],3,FALSE))*Table4[[#This Row],[qty]]</f>
        <v>4.333333333333333</v>
      </c>
      <c r="G1813" s="5">
        <f t="shared" si="101"/>
        <v>0.66666666666666696</v>
      </c>
      <c r="H1813" t="s">
        <v>247</v>
      </c>
    </row>
    <row r="1814" spans="1:9" x14ac:dyDescent="0.25">
      <c r="A1814" s="1">
        <f t="shared" si="102"/>
        <v>45515</v>
      </c>
      <c r="B1814" s="31">
        <f>TIME(17,30, 0)</f>
        <v>0.72916666666666663</v>
      </c>
      <c r="C1814" t="str">
        <f>Inventory!A46</f>
        <v>Nuvita Bisquit</v>
      </c>
      <c r="D1814" s="27">
        <v>1</v>
      </c>
      <c r="E1814" s="5">
        <f>Table4[[#This Row],[qty]]*(VLOOKUP(Table4[[#This Row],[item_sold]],Table6[],4,FALSE))</f>
        <v>5</v>
      </c>
      <c r="F1814" s="5">
        <f>(VLOOKUP(Table4[[#This Row],[item_sold]],Table6[],3,FALSE))*Table4[[#This Row],[qty]]</f>
        <v>4.166666666666667</v>
      </c>
      <c r="G1814" s="5">
        <f t="shared" si="101"/>
        <v>0.83333333333333304</v>
      </c>
      <c r="H1814" t="s">
        <v>247</v>
      </c>
    </row>
    <row r="1815" spans="1:9" x14ac:dyDescent="0.25">
      <c r="A1815" s="1">
        <f t="shared" si="102"/>
        <v>45515</v>
      </c>
      <c r="B1815" s="31">
        <f>TIME(17,48, 0)</f>
        <v>0.7416666666666667</v>
      </c>
      <c r="C1815" t="str">
        <f>Inventory!A33</f>
        <v>Festive 800g</v>
      </c>
      <c r="D1815" s="27">
        <v>1</v>
      </c>
      <c r="E1815" s="5">
        <f>Table4[[#This Row],[qty]]*(VLOOKUP(Table4[[#This Row],[item_sold]],Table6[],4,FALSE))</f>
        <v>130</v>
      </c>
      <c r="F1815" s="5">
        <f>(VLOOKUP(Table4[[#This Row],[item_sold]],Table6[],3,FALSE))*Table4[[#This Row],[qty]]</f>
        <v>120</v>
      </c>
      <c r="G1815" s="5">
        <f t="shared" si="101"/>
        <v>10</v>
      </c>
      <c r="H1815" t="s">
        <v>247</v>
      </c>
    </row>
    <row r="1816" spans="1:9" x14ac:dyDescent="0.25">
      <c r="A1816" s="1">
        <f t="shared" si="102"/>
        <v>45515</v>
      </c>
      <c r="B1816" s="31">
        <f>TIME(18,4, 0)</f>
        <v>0.75277777777777777</v>
      </c>
      <c r="C1816" t="str">
        <f>Inventory!A122</f>
        <v>Kinangop Fresh Milk 500ml</v>
      </c>
      <c r="D1816" s="27">
        <v>1</v>
      </c>
      <c r="E1816" s="5">
        <f>Table4[[#This Row],[qty]]*(VLOOKUP(Table4[[#This Row],[item_sold]],Table6[],4,FALSE))</f>
        <v>60</v>
      </c>
      <c r="F1816" s="5">
        <f>(VLOOKUP(Table4[[#This Row],[item_sold]],Table6[],3,FALSE))*Table4[[#This Row],[qty]]</f>
        <v>55</v>
      </c>
      <c r="G1816" s="5">
        <f t="shared" si="101"/>
        <v>5</v>
      </c>
      <c r="H1816" t="s">
        <v>361</v>
      </c>
    </row>
    <row r="1817" spans="1:9" x14ac:dyDescent="0.25">
      <c r="A1817" s="1">
        <f t="shared" si="102"/>
        <v>45515</v>
      </c>
      <c r="B1817" s="31">
        <f>TIME(18,5, 0)</f>
        <v>0.75347222222222221</v>
      </c>
      <c r="C1817" t="str">
        <f>Inventory!A6</f>
        <v xml:space="preserve"> soda 1.25lts</v>
      </c>
      <c r="D1817" s="27">
        <v>1</v>
      </c>
      <c r="E1817" s="5">
        <f>Table4[[#This Row],[qty]]*(VLOOKUP(Table4[[#This Row],[item_sold]],Table6[],4,FALSE))</f>
        <v>130</v>
      </c>
      <c r="F1817" s="5">
        <f>(VLOOKUP(Table4[[#This Row],[item_sold]],Table6[],3,FALSE))*Table4[[#This Row],[qty]]</f>
        <v>112.5</v>
      </c>
      <c r="G1817" s="5">
        <f t="shared" si="101"/>
        <v>17.5</v>
      </c>
      <c r="H1817" t="s">
        <v>359</v>
      </c>
      <c r="I1817" t="s">
        <v>403</v>
      </c>
    </row>
    <row r="1818" spans="1:9" x14ac:dyDescent="0.25">
      <c r="A1818" s="1">
        <f t="shared" si="102"/>
        <v>45515</v>
      </c>
      <c r="B1818" s="31">
        <f>TIME(18,30, 0)</f>
        <v>0.77083333333333337</v>
      </c>
      <c r="C1818" t="str">
        <f>Inventory!A55</f>
        <v>Ngumu</v>
      </c>
      <c r="D1818" s="27">
        <v>2</v>
      </c>
      <c r="E1818" s="5">
        <f>Table4[[#This Row],[qty]]*(VLOOKUP(Table4[[#This Row],[item_sold]],Table6[],4,FALSE))</f>
        <v>20</v>
      </c>
      <c r="F1818" s="5">
        <f>(VLOOKUP(Table4[[#This Row],[item_sold]],Table6[],3,FALSE))*Table4[[#This Row],[qty]]</f>
        <v>16.666666666666668</v>
      </c>
      <c r="G1818" s="5">
        <f t="shared" si="101"/>
        <v>3.3333333333333321</v>
      </c>
      <c r="H1818" t="s">
        <v>361</v>
      </c>
    </row>
    <row r="1819" spans="1:9" x14ac:dyDescent="0.25">
      <c r="A1819" s="1">
        <f t="shared" si="102"/>
        <v>45515</v>
      </c>
      <c r="B1819" s="31">
        <f>TIME(18,50, 0)</f>
        <v>0.78472222222222221</v>
      </c>
      <c r="C1819" t="str">
        <f>Inventory!A124</f>
        <v>Scones</v>
      </c>
      <c r="D1819" s="27">
        <v>1</v>
      </c>
      <c r="E1819" s="5">
        <f>Table4[[#This Row],[qty]]*(VLOOKUP(Table4[[#This Row],[item_sold]],Table6[],4,FALSE))</f>
        <v>10</v>
      </c>
      <c r="F1819" s="5">
        <f>(VLOOKUP(Table4[[#This Row],[item_sold]],Table6[],3,FALSE))*Table4[[#This Row],[qty]]</f>
        <v>8.3333333333333339</v>
      </c>
      <c r="G1819">
        <f t="shared" ref="G1819:G1824" si="103">E1819-F1819</f>
        <v>1.6666666666666661</v>
      </c>
      <c r="H1819" t="s">
        <v>359</v>
      </c>
      <c r="I1819" t="s">
        <v>388</v>
      </c>
    </row>
    <row r="1820" spans="1:9" x14ac:dyDescent="0.25">
      <c r="A1820" s="1">
        <f t="shared" si="102"/>
        <v>45515</v>
      </c>
      <c r="B1820" s="31">
        <f>TIME(18,52, 0)</f>
        <v>0.78611111111111109</v>
      </c>
      <c r="C1820" t="str">
        <f>Inventory!A89</f>
        <v>Tukuza 1kg</v>
      </c>
      <c r="D1820" s="27">
        <v>2</v>
      </c>
      <c r="E1820" s="5">
        <f>Table4[[#This Row],[qty]]*(VLOOKUP(Table4[[#This Row],[item_sold]],Table6[],4,FALSE))</f>
        <v>180</v>
      </c>
      <c r="F1820" s="5">
        <f>(VLOOKUP(Table4[[#This Row],[item_sold]],Table6[],3,FALSE))*Table4[[#This Row],[qty]]</f>
        <v>122.5</v>
      </c>
      <c r="G1820">
        <f t="shared" si="103"/>
        <v>57.5</v>
      </c>
      <c r="H1820" t="s">
        <v>359</v>
      </c>
      <c r="I1820" t="s">
        <v>389</v>
      </c>
    </row>
    <row r="1821" spans="1:9" x14ac:dyDescent="0.25">
      <c r="A1821" s="1">
        <f t="shared" si="102"/>
        <v>45515</v>
      </c>
      <c r="B1821" s="31">
        <f>TIME(18,58, 0)</f>
        <v>0.79027777777777775</v>
      </c>
      <c r="C1821" t="str">
        <f>Inventory!A76</f>
        <v>kensalt 1kg</v>
      </c>
      <c r="D1821" s="27">
        <v>1</v>
      </c>
      <c r="E1821" s="5">
        <f>Table4[[#This Row],[qty]]*(VLOOKUP(Table4[[#This Row],[item_sold]],Table6[],4,FALSE))</f>
        <v>50</v>
      </c>
      <c r="F1821" s="5">
        <f>(VLOOKUP(Table4[[#This Row],[item_sold]],Table6[],3,FALSE))*Table4[[#This Row],[qty]]</f>
        <v>35</v>
      </c>
      <c r="G1821">
        <f t="shared" si="103"/>
        <v>15</v>
      </c>
      <c r="H1821" t="s">
        <v>361</v>
      </c>
    </row>
    <row r="1822" spans="1:9" x14ac:dyDescent="0.25">
      <c r="A1822" s="1">
        <f t="shared" si="102"/>
        <v>45515</v>
      </c>
      <c r="B1822" s="31">
        <f>TIME(18,58, 0)</f>
        <v>0.79027777777777775</v>
      </c>
      <c r="C1822" t="str">
        <f>Inventory!A71</f>
        <v>Indomie chicken</v>
      </c>
      <c r="D1822" s="27">
        <v>1</v>
      </c>
      <c r="E1822" s="5">
        <f>Table4[[#This Row],[qty]]*(VLOOKUP(Table4[[#This Row],[item_sold]],Table6[],4,FALSE))</f>
        <v>50</v>
      </c>
      <c r="F1822" s="5">
        <f>(VLOOKUP(Table4[[#This Row],[item_sold]],Table6[],3,FALSE))*Table4[[#This Row],[qty]]</f>
        <v>37.5</v>
      </c>
      <c r="G1822">
        <f t="shared" si="103"/>
        <v>12.5</v>
      </c>
      <c r="H1822" t="s">
        <v>361</v>
      </c>
    </row>
    <row r="1823" spans="1:9" x14ac:dyDescent="0.25">
      <c r="A1823" s="1">
        <f t="shared" si="102"/>
        <v>45515</v>
      </c>
      <c r="B1823" s="31">
        <f>TIME(18,58, 0)</f>
        <v>0.79027777777777775</v>
      </c>
      <c r="C1823" t="str">
        <f>Inventory!A126</f>
        <v>Royco cubes</v>
      </c>
      <c r="D1823" s="27">
        <v>10</v>
      </c>
      <c r="E1823" s="5">
        <f>Table4[[#This Row],[qty]]*(VLOOKUP(Table4[[#This Row],[item_sold]],Table6[],4,FALSE))</f>
        <v>50</v>
      </c>
      <c r="F1823" s="5">
        <f>(VLOOKUP(Table4[[#This Row],[item_sold]],Table6[],3,FALSE))*Table4[[#This Row],[qty]]</f>
        <v>30</v>
      </c>
      <c r="G1823">
        <f t="shared" si="103"/>
        <v>20</v>
      </c>
      <c r="H1823" t="s">
        <v>361</v>
      </c>
    </row>
    <row r="1824" spans="1:9" x14ac:dyDescent="0.25">
      <c r="A1824" s="1">
        <f t="shared" si="102"/>
        <v>45515</v>
      </c>
      <c r="B1824" s="31">
        <f>TIME(18,58, 0)</f>
        <v>0.79027777777777775</v>
      </c>
      <c r="C1824" t="str">
        <f>Inventory!A50</f>
        <v>Ring Cake</v>
      </c>
      <c r="D1824" s="27">
        <v>1</v>
      </c>
      <c r="E1824" s="5">
        <f>Table4[[#This Row],[qty]]*(VLOOKUP(Table4[[#This Row],[item_sold]],Table6[],4,FALSE))</f>
        <v>50</v>
      </c>
      <c r="F1824" s="5">
        <f>(VLOOKUP(Table4[[#This Row],[item_sold]],Table6[],3,FALSE))*Table4[[#This Row],[qty]]</f>
        <v>45</v>
      </c>
      <c r="G1824">
        <f t="shared" si="103"/>
        <v>5</v>
      </c>
      <c r="H1824" t="s">
        <v>361</v>
      </c>
    </row>
    <row r="1825" spans="1:12" x14ac:dyDescent="0.25">
      <c r="A1825" s="1">
        <f t="shared" si="102"/>
        <v>45515</v>
      </c>
      <c r="B1825" s="31">
        <f>TIME(18,58, 0)</f>
        <v>0.79027777777777775</v>
      </c>
      <c r="D1825" s="27"/>
      <c r="F1825" s="5"/>
      <c r="G1825"/>
      <c r="J1825" t="s">
        <v>404</v>
      </c>
      <c r="K1825">
        <v>2160</v>
      </c>
      <c r="L1825" t="s">
        <v>361</v>
      </c>
    </row>
    <row r="1826" spans="1:12" x14ac:dyDescent="0.25">
      <c r="A1826" s="1">
        <f t="shared" si="102"/>
        <v>45515</v>
      </c>
      <c r="B1826" s="31">
        <f>TIME(19,7, 0)</f>
        <v>0.79652777777777783</v>
      </c>
      <c r="C1826" t="str">
        <f>Inventory!A88</f>
        <v>Ajab 1kg</v>
      </c>
      <c r="D1826" s="27">
        <v>1</v>
      </c>
      <c r="E1826" s="5">
        <f>Table4[[#This Row],[qty]]*(VLOOKUP(Table4[[#This Row],[item_sold]],Table6[],4,FALSE))</f>
        <v>120</v>
      </c>
      <c r="F1826" s="5">
        <f>(VLOOKUP(Table4[[#This Row],[item_sold]],Table6[],3,FALSE))*Table4[[#This Row],[qty]]</f>
        <v>87.5</v>
      </c>
      <c r="G1826">
        <f t="shared" ref="G1826:G1847" si="104">E1826-F1826</f>
        <v>32.5</v>
      </c>
      <c r="H1826" t="s">
        <v>359</v>
      </c>
      <c r="I1826" t="s">
        <v>384</v>
      </c>
    </row>
    <row r="1827" spans="1:12" x14ac:dyDescent="0.25">
      <c r="A1827" s="1">
        <f t="shared" si="102"/>
        <v>45515</v>
      </c>
      <c r="B1827" s="31">
        <f>TIME(19,24, 0)</f>
        <v>0.80833333333333324</v>
      </c>
      <c r="C1827" t="str">
        <f>Inventory!A56</f>
        <v>Fresh green</v>
      </c>
      <c r="D1827" s="27">
        <v>1</v>
      </c>
      <c r="E1827" s="5">
        <f>Table4[[#This Row],[qty]]*(VLOOKUP(Table4[[#This Row],[item_sold]],Table6[],4,FALSE))</f>
        <v>10</v>
      </c>
      <c r="F1827" s="5">
        <f>(VLOOKUP(Table4[[#This Row],[item_sold]],Table6[],3,FALSE))*Table4[[#This Row],[qty]]</f>
        <v>5</v>
      </c>
      <c r="G1827">
        <f t="shared" si="104"/>
        <v>5</v>
      </c>
      <c r="H1827" t="s">
        <v>247</v>
      </c>
    </row>
    <row r="1828" spans="1:12" x14ac:dyDescent="0.25">
      <c r="A1828" s="1">
        <f t="shared" si="102"/>
        <v>45515</v>
      </c>
      <c r="B1828" s="31">
        <f>TIME(19,24, 0)</f>
        <v>0.80833333333333324</v>
      </c>
      <c r="C1828" t="str">
        <f>Inventory!A30</f>
        <v>BB Bread 400g</v>
      </c>
      <c r="D1828" s="27">
        <v>1</v>
      </c>
      <c r="E1828" s="5">
        <f>Table4[[#This Row],[qty]]*(VLOOKUP(Table4[[#This Row],[item_sold]],Table6[],4,FALSE))</f>
        <v>65</v>
      </c>
      <c r="F1828" s="5">
        <f>(VLOOKUP(Table4[[#This Row],[item_sold]],Table6[],3,FALSE))*Table4[[#This Row],[qty]]</f>
        <v>60</v>
      </c>
      <c r="G1828">
        <f t="shared" si="104"/>
        <v>5</v>
      </c>
      <c r="H1828" t="s">
        <v>359</v>
      </c>
      <c r="I1828" t="s">
        <v>394</v>
      </c>
    </row>
    <row r="1829" spans="1:12" x14ac:dyDescent="0.25">
      <c r="A1829" s="1">
        <f t="shared" si="102"/>
        <v>45515</v>
      </c>
      <c r="B1829" s="31">
        <f>TIME(19,24, 0)</f>
        <v>0.80833333333333324</v>
      </c>
      <c r="C1829" t="str">
        <f>Inventory!A94</f>
        <v>Bella Tissue</v>
      </c>
      <c r="D1829" s="27">
        <v>1</v>
      </c>
      <c r="E1829" s="5">
        <f>Table4[[#This Row],[qty]]*(VLOOKUP(Table4[[#This Row],[item_sold]],Table6[],4,FALSE))</f>
        <v>45</v>
      </c>
      <c r="F1829" s="5">
        <f>(VLOOKUP(Table4[[#This Row],[item_sold]],Table6[],3,FALSE))*Table4[[#This Row],[qty]]</f>
        <v>35</v>
      </c>
      <c r="G1829">
        <f t="shared" si="104"/>
        <v>10</v>
      </c>
      <c r="H1829" t="s">
        <v>359</v>
      </c>
      <c r="I1829" t="s">
        <v>394</v>
      </c>
    </row>
    <row r="1830" spans="1:12" x14ac:dyDescent="0.25">
      <c r="A1830" s="1">
        <f t="shared" si="102"/>
        <v>45515</v>
      </c>
      <c r="B1830" s="31">
        <f>TIME(19,24, 0)</f>
        <v>0.80833333333333324</v>
      </c>
      <c r="C1830" t="str">
        <f>Inventory!A132</f>
        <v>Festive Bread 400g</v>
      </c>
      <c r="D1830" s="27">
        <v>1</v>
      </c>
      <c r="E1830" s="5">
        <f>Table4[[#This Row],[qty]]*(VLOOKUP(Table4[[#This Row],[item_sold]],Table6[],4,FALSE))</f>
        <v>65</v>
      </c>
      <c r="F1830" s="5">
        <f>(VLOOKUP(Table4[[#This Row],[item_sold]],Table6[],3,FALSE))*Table4[[#This Row],[qty]]</f>
        <v>60</v>
      </c>
      <c r="G1830">
        <f t="shared" si="104"/>
        <v>5</v>
      </c>
      <c r="H1830" t="s">
        <v>359</v>
      </c>
      <c r="I1830" t="s">
        <v>394</v>
      </c>
      <c r="J1830" t="s">
        <v>394</v>
      </c>
      <c r="K1830">
        <v>170</v>
      </c>
      <c r="L1830" t="s">
        <v>361</v>
      </c>
    </row>
    <row r="1831" spans="1:12" x14ac:dyDescent="0.25">
      <c r="A1831" s="1">
        <f t="shared" si="102"/>
        <v>45515</v>
      </c>
      <c r="B1831" s="31">
        <f>TIME(20,24, 0)</f>
        <v>0.85</v>
      </c>
      <c r="C1831" t="str">
        <f>Inventory!A122</f>
        <v>Kinangop Fresh Milk 500ml</v>
      </c>
      <c r="D1831" s="27">
        <v>1</v>
      </c>
      <c r="E1831" s="5">
        <f>Table4[[#This Row],[qty]]*(VLOOKUP(Table4[[#This Row],[item_sold]],Table6[],4,FALSE))</f>
        <v>60</v>
      </c>
      <c r="F1831" s="5">
        <f>(VLOOKUP(Table4[[#This Row],[item_sold]],Table6[],3,FALSE))*Table4[[#This Row],[qty]]</f>
        <v>55</v>
      </c>
      <c r="G1831">
        <f t="shared" si="104"/>
        <v>5</v>
      </c>
      <c r="H1831" t="s">
        <v>359</v>
      </c>
      <c r="I1831" t="s">
        <v>390</v>
      </c>
    </row>
    <row r="1832" spans="1:12" x14ac:dyDescent="0.25">
      <c r="A1832" s="1">
        <f t="shared" si="102"/>
        <v>45515</v>
      </c>
      <c r="B1832" s="31">
        <f>TIME(20,53, 0)</f>
        <v>0.87013888888888891</v>
      </c>
      <c r="C1832" t="str">
        <f>Inventory!A23</f>
        <v>Mt kenya milk 500ml</v>
      </c>
      <c r="D1832" s="27">
        <v>2</v>
      </c>
      <c r="E1832" s="5">
        <f>Table4[[#This Row],[qty]]*(VLOOKUP(Table4[[#This Row],[item_sold]],Table6[],4,FALSE))</f>
        <v>130</v>
      </c>
      <c r="F1832" s="5">
        <f>(VLOOKUP(Table4[[#This Row],[item_sold]],Table6[],3,FALSE))*Table4[[#This Row],[qty]]</f>
        <v>96.666666666666671</v>
      </c>
      <c r="G1832">
        <f t="shared" si="104"/>
        <v>33.333333333333329</v>
      </c>
      <c r="H1832" t="s">
        <v>361</v>
      </c>
    </row>
    <row r="1833" spans="1:12" x14ac:dyDescent="0.25">
      <c r="A1833" s="1">
        <f t="shared" si="102"/>
        <v>45515</v>
      </c>
      <c r="B1833" s="31">
        <f>TIME(20,53, 0)</f>
        <v>0.87013888888888891</v>
      </c>
      <c r="C1833" t="str">
        <f>Inventory!A33</f>
        <v>Festive 800g</v>
      </c>
      <c r="D1833" s="27">
        <v>1</v>
      </c>
      <c r="E1833" s="5">
        <f>Table4[[#This Row],[qty]]*(VLOOKUP(Table4[[#This Row],[item_sold]],Table6[],4,FALSE))</f>
        <v>130</v>
      </c>
      <c r="F1833" s="5">
        <f>(VLOOKUP(Table4[[#This Row],[item_sold]],Table6[],3,FALSE))*Table4[[#This Row],[qty]]</f>
        <v>120</v>
      </c>
      <c r="G1833">
        <f t="shared" si="104"/>
        <v>10</v>
      </c>
      <c r="H1833" t="s">
        <v>361</v>
      </c>
    </row>
    <row r="1834" spans="1:12" x14ac:dyDescent="0.25">
      <c r="A1834" s="1">
        <f t="shared" si="102"/>
        <v>45515</v>
      </c>
      <c r="B1834" s="31">
        <f>TIME(20,57, 0)</f>
        <v>0.87291666666666667</v>
      </c>
      <c r="C1834" t="str">
        <f>Inventory!A108</f>
        <v>ariel 75g</v>
      </c>
      <c r="D1834" s="27">
        <v>1</v>
      </c>
      <c r="E1834" s="5">
        <f>Table4[[#This Row],[qty]]*(VLOOKUP(Table4[[#This Row],[item_sold]],Table6[],4,FALSE))</f>
        <v>35</v>
      </c>
      <c r="F1834" s="5">
        <f>(VLOOKUP(Table4[[#This Row],[item_sold]],Table6[],3,FALSE))*Table4[[#This Row],[qty]]</f>
        <v>27.5</v>
      </c>
      <c r="G1834">
        <f t="shared" si="104"/>
        <v>7.5</v>
      </c>
      <c r="H1834" t="s">
        <v>359</v>
      </c>
      <c r="I1834" t="s">
        <v>387</v>
      </c>
    </row>
    <row r="1835" spans="1:12" x14ac:dyDescent="0.25">
      <c r="A1835" s="1">
        <f t="shared" si="102"/>
        <v>45515</v>
      </c>
      <c r="B1835" s="31">
        <f>TIME(20,57, 0)</f>
        <v>0.87291666666666667</v>
      </c>
      <c r="C1835" t="str">
        <f>Inventory!A78</f>
        <v>Tomato paste</v>
      </c>
      <c r="D1835" s="27">
        <v>1</v>
      </c>
      <c r="E1835" s="5">
        <f>Table4[[#This Row],[qty]]*(VLOOKUP(Table4[[#This Row],[item_sold]],Table6[],4,FALSE))</f>
        <v>30</v>
      </c>
      <c r="F1835" s="5">
        <f>(VLOOKUP(Table4[[#This Row],[item_sold]],Table6[],3,FALSE))*Table4[[#This Row],[qty]]</f>
        <v>12.5</v>
      </c>
      <c r="G1835">
        <f t="shared" si="104"/>
        <v>17.5</v>
      </c>
      <c r="H1835" t="s">
        <v>359</v>
      </c>
      <c r="I1835" t="s">
        <v>387</v>
      </c>
    </row>
    <row r="1836" spans="1:12" x14ac:dyDescent="0.25">
      <c r="A1836" s="1">
        <f t="shared" si="102"/>
        <v>45515</v>
      </c>
      <c r="B1836" s="31">
        <f>TIME(20,57, 0)</f>
        <v>0.87291666666666667</v>
      </c>
      <c r="C1836" t="str">
        <f>Inventory!A167</f>
        <v>Curry Powder</v>
      </c>
      <c r="D1836" s="27">
        <v>1</v>
      </c>
      <c r="E1836" s="5">
        <f>Table4[[#This Row],[qty]]*(VLOOKUP(Table4[[#This Row],[item_sold]],Table6[],4,FALSE))</f>
        <v>15</v>
      </c>
      <c r="F1836" s="5">
        <f>(VLOOKUP(Table4[[#This Row],[item_sold]],Table6[],3,FALSE))*Table4[[#This Row],[qty]]</f>
        <v>7.5</v>
      </c>
      <c r="G1836">
        <f t="shared" si="104"/>
        <v>7.5</v>
      </c>
      <c r="H1836" t="s">
        <v>359</v>
      </c>
      <c r="I1836" t="s">
        <v>387</v>
      </c>
      <c r="J1836" t="s">
        <v>387</v>
      </c>
      <c r="K1836">
        <v>70</v>
      </c>
      <c r="L1836" t="s">
        <v>247</v>
      </c>
    </row>
    <row r="1837" spans="1:12" x14ac:dyDescent="0.25">
      <c r="A1837" s="1">
        <f>DATE(2024,8,12)</f>
        <v>45516</v>
      </c>
      <c r="B1837" s="31">
        <f>TIME(7,42, 0)</f>
        <v>0.32083333333333336</v>
      </c>
      <c r="C1837" t="str">
        <f>Inventory!A123</f>
        <v>Mt Kenya milk 200ml</v>
      </c>
      <c r="D1837" s="27">
        <v>1</v>
      </c>
      <c r="E1837" s="5">
        <f>Table4[[#This Row],[qty]]*(VLOOKUP(Table4[[#This Row],[item_sold]],Table6[],4,FALSE))</f>
        <v>35</v>
      </c>
      <c r="F1837" s="5">
        <f>(VLOOKUP(Table4[[#This Row],[item_sold]],Table6[],3,FALSE))*Table4[[#This Row],[qty]]</f>
        <v>24.285714285714285</v>
      </c>
      <c r="G1837">
        <f t="shared" si="104"/>
        <v>10.714285714285715</v>
      </c>
      <c r="H1837" t="s">
        <v>361</v>
      </c>
    </row>
    <row r="1838" spans="1:12" x14ac:dyDescent="0.25">
      <c r="A1838" s="1">
        <f>DATE(2024,8,12)</f>
        <v>45516</v>
      </c>
      <c r="B1838" s="31">
        <f>TIME(7,42, 0)</f>
        <v>0.32083333333333336</v>
      </c>
      <c r="C1838" t="str">
        <f>Inventory!A121</f>
        <v>Banana</v>
      </c>
      <c r="D1838" s="27">
        <v>3</v>
      </c>
      <c r="E1838" s="5">
        <f>Table4[[#This Row],[qty]]*(VLOOKUP(Table4[[#This Row],[item_sold]],Table6[],4,FALSE))</f>
        <v>30</v>
      </c>
      <c r="F1838" s="5">
        <f>(VLOOKUP(Table4[[#This Row],[item_sold]],Table6[],3,FALSE))*Table4[[#This Row],[qty]]</f>
        <v>25</v>
      </c>
      <c r="G1838">
        <f t="shared" si="104"/>
        <v>5</v>
      </c>
      <c r="H1838" t="s">
        <v>361</v>
      </c>
    </row>
    <row r="1839" spans="1:12" x14ac:dyDescent="0.25">
      <c r="A1839" s="1">
        <f t="shared" ref="A1839:A1886" si="105">DATE(2024,8,12)</f>
        <v>45516</v>
      </c>
      <c r="B1839" s="31">
        <f>TIME(7,50, 0)</f>
        <v>0.3263888888888889</v>
      </c>
      <c r="C1839" t="str">
        <f>Inventory!A33</f>
        <v>Festive 800g</v>
      </c>
      <c r="D1839" s="27">
        <v>1</v>
      </c>
      <c r="E1839" s="5">
        <f>Table4[[#This Row],[qty]]*(VLOOKUP(Table4[[#This Row],[item_sold]],Table6[],4,FALSE))</f>
        <v>130</v>
      </c>
      <c r="F1839" s="5">
        <f>(VLOOKUP(Table4[[#This Row],[item_sold]],Table6[],3,FALSE))*Table4[[#This Row],[qty]]</f>
        <v>120</v>
      </c>
      <c r="G1839">
        <f t="shared" si="104"/>
        <v>10</v>
      </c>
      <c r="H1839" t="s">
        <v>247</v>
      </c>
    </row>
    <row r="1840" spans="1:12" x14ac:dyDescent="0.25">
      <c r="A1840" s="1">
        <f t="shared" si="105"/>
        <v>45516</v>
      </c>
      <c r="B1840" s="31">
        <f>TIME(7,52, 0)</f>
        <v>0.32777777777777778</v>
      </c>
      <c r="C1840" t="str">
        <f>Inventory!A132</f>
        <v>Festive Bread 400g</v>
      </c>
      <c r="D1840" s="27">
        <v>1</v>
      </c>
      <c r="E1840" s="5">
        <f>Table4[[#This Row],[qty]]*(VLOOKUP(Table4[[#This Row],[item_sold]],Table6[],4,FALSE))</f>
        <v>65</v>
      </c>
      <c r="F1840" s="5">
        <f>(VLOOKUP(Table4[[#This Row],[item_sold]],Table6[],3,FALSE))*Table4[[#This Row],[qty]]</f>
        <v>60</v>
      </c>
      <c r="G1840">
        <f t="shared" si="104"/>
        <v>5</v>
      </c>
      <c r="H1840" t="s">
        <v>359</v>
      </c>
      <c r="I1840" t="s">
        <v>390</v>
      </c>
    </row>
    <row r="1841" spans="1:12" x14ac:dyDescent="0.25">
      <c r="A1841" s="1">
        <f t="shared" si="105"/>
        <v>45516</v>
      </c>
      <c r="B1841" s="31">
        <f>TIME(8,50, 0)</f>
        <v>0.36805555555555558</v>
      </c>
      <c r="C1841" t="str">
        <f>Inventory!A84</f>
        <v>Safari</v>
      </c>
      <c r="D1841" s="27">
        <v>1</v>
      </c>
      <c r="E1841" s="5">
        <f>Table4[[#This Row],[qty]]*(VLOOKUP(Table4[[#This Row],[item_sold]],Table6[],4,FALSE))</f>
        <v>15</v>
      </c>
      <c r="F1841" s="5">
        <f>(VLOOKUP(Table4[[#This Row],[item_sold]],Table6[],3,FALSE))*Table4[[#This Row],[qty]]</f>
        <v>8.5</v>
      </c>
      <c r="G1841">
        <f t="shared" si="104"/>
        <v>6.5</v>
      </c>
      <c r="H1841" t="s">
        <v>247</v>
      </c>
    </row>
    <row r="1842" spans="1:12" x14ac:dyDescent="0.25">
      <c r="A1842" s="1">
        <f t="shared" si="105"/>
        <v>45516</v>
      </c>
      <c r="B1842" s="31">
        <f>TIME(8,45, 0)</f>
        <v>0.36458333333333331</v>
      </c>
      <c r="D1842" s="27"/>
      <c r="F1842" s="5"/>
      <c r="G1842"/>
      <c r="J1842" t="s">
        <v>384</v>
      </c>
      <c r="K1842">
        <v>275</v>
      </c>
      <c r="L1842" t="s">
        <v>361</v>
      </c>
    </row>
    <row r="1843" spans="1:12" x14ac:dyDescent="0.25">
      <c r="A1843" s="1">
        <f t="shared" si="105"/>
        <v>45516</v>
      </c>
      <c r="B1843" s="31">
        <f>TIME(9,18, 0)</f>
        <v>0.38750000000000001</v>
      </c>
      <c r="C1843" t="str">
        <f>Inventory!A89</f>
        <v>Tukuza 1kg</v>
      </c>
      <c r="D1843" s="27">
        <v>1</v>
      </c>
      <c r="E1843" s="5">
        <f>Table4[[#This Row],[qty]]*(VLOOKUP(Table4[[#This Row],[item_sold]],Table6[],4,FALSE))</f>
        <v>90</v>
      </c>
      <c r="F1843" s="5">
        <f>(VLOOKUP(Table4[[#This Row],[item_sold]],Table6[],3,FALSE))*Table4[[#This Row],[qty]]</f>
        <v>61.25</v>
      </c>
      <c r="G1843">
        <f t="shared" si="104"/>
        <v>28.75</v>
      </c>
      <c r="H1843" t="s">
        <v>361</v>
      </c>
    </row>
    <row r="1844" spans="1:12" x14ac:dyDescent="0.25">
      <c r="A1844" s="1">
        <f t="shared" si="105"/>
        <v>45516</v>
      </c>
      <c r="B1844" s="31">
        <f t="shared" ref="B1844:B1848" si="106">TIME(9,18, 0)</f>
        <v>0.38750000000000001</v>
      </c>
      <c r="C1844" t="str">
        <f>Inventory!A45</f>
        <v>Goodday Cookies</v>
      </c>
      <c r="D1844" s="27">
        <v>1</v>
      </c>
      <c r="E1844" s="5">
        <f>Table4[[#This Row],[qty]]*(VLOOKUP(Table4[[#This Row],[item_sold]],Table6[],4,FALSE))</f>
        <v>15</v>
      </c>
      <c r="F1844" s="5">
        <f>(VLOOKUP(Table4[[#This Row],[item_sold]],Table6[],3,FALSE))*Table4[[#This Row],[qty]]</f>
        <v>9.3333333333333339</v>
      </c>
      <c r="G1844">
        <f t="shared" si="104"/>
        <v>5.6666666666666661</v>
      </c>
      <c r="H1844" t="s">
        <v>247</v>
      </c>
    </row>
    <row r="1845" spans="1:12" x14ac:dyDescent="0.25">
      <c r="A1845" s="1">
        <f t="shared" si="105"/>
        <v>45516</v>
      </c>
      <c r="B1845" s="31">
        <f t="shared" si="106"/>
        <v>0.38750000000000001</v>
      </c>
      <c r="C1845" t="str">
        <f>Inventory!A147</f>
        <v>Sugar</v>
      </c>
      <c r="D1845" s="27">
        <v>0.5</v>
      </c>
      <c r="E1845" s="5">
        <f>Table4[[#This Row],[qty]]*(VLOOKUP(Table4[[#This Row],[item_sold]],Table6[],4,FALSE))</f>
        <v>90</v>
      </c>
      <c r="F1845" s="5">
        <f>(VLOOKUP(Table4[[#This Row],[item_sold]],Table6[],3,FALSE))*Table4[[#This Row],[qty]]</f>
        <v>65</v>
      </c>
      <c r="G1845">
        <f t="shared" si="104"/>
        <v>25</v>
      </c>
      <c r="H1845" t="s">
        <v>359</v>
      </c>
      <c r="I1845" t="s">
        <v>394</v>
      </c>
    </row>
    <row r="1846" spans="1:12" x14ac:dyDescent="0.25">
      <c r="A1846" s="1">
        <f t="shared" si="105"/>
        <v>45516</v>
      </c>
      <c r="B1846" s="31">
        <f t="shared" si="106"/>
        <v>0.38750000000000001</v>
      </c>
      <c r="C1846" t="str">
        <f>Inventory!A131</f>
        <v>Black Shampoo</v>
      </c>
      <c r="D1846" s="27">
        <v>1</v>
      </c>
      <c r="E1846" s="5">
        <f>Table4[[#This Row],[qty]]*(VLOOKUP(Table4[[#This Row],[item_sold]],Table6[],4,FALSE))</f>
        <v>50</v>
      </c>
      <c r="F1846" s="5">
        <f>(VLOOKUP(Table4[[#This Row],[item_sold]],Table6[],3,FALSE))*Table4[[#This Row],[qty]]</f>
        <v>28</v>
      </c>
      <c r="G1846">
        <f t="shared" si="104"/>
        <v>22</v>
      </c>
      <c r="H1846" t="s">
        <v>247</v>
      </c>
    </row>
    <row r="1847" spans="1:12" x14ac:dyDescent="0.25">
      <c r="A1847" s="1">
        <f t="shared" si="105"/>
        <v>45516</v>
      </c>
      <c r="B1847" s="31">
        <f t="shared" si="106"/>
        <v>0.38750000000000001</v>
      </c>
      <c r="C1847" t="str">
        <f>Inventory!A149</f>
        <v>Menengai Bar 1kg</v>
      </c>
      <c r="D1847" s="27">
        <v>3</v>
      </c>
      <c r="E1847" s="5">
        <f>Table4[[#This Row],[qty]]*(VLOOKUP(Table4[[#This Row],[item_sold]],Table6[],4,FALSE))</f>
        <v>750</v>
      </c>
      <c r="F1847" s="5">
        <f>(VLOOKUP(Table4[[#This Row],[item_sold]],Table6[],3,FALSE))*Table4[[#This Row],[qty]]</f>
        <v>570</v>
      </c>
      <c r="G1847">
        <f t="shared" si="104"/>
        <v>180</v>
      </c>
      <c r="H1847" t="s">
        <v>247</v>
      </c>
    </row>
    <row r="1848" spans="1:12" x14ac:dyDescent="0.25">
      <c r="A1848" s="1">
        <f t="shared" si="105"/>
        <v>45516</v>
      </c>
      <c r="B1848" s="31">
        <f t="shared" si="106"/>
        <v>0.38750000000000001</v>
      </c>
      <c r="C1848" t="str">
        <f>Inventory!A152</f>
        <v>Battery AAA</v>
      </c>
      <c r="D1848" s="27">
        <v>2</v>
      </c>
      <c r="E1848" s="5">
        <f>Table4[[#This Row],[qty]]*(VLOOKUP(Table4[[#This Row],[item_sold]],Table6[],4,FALSE))</f>
        <v>30</v>
      </c>
      <c r="F1848" s="5">
        <f>(VLOOKUP(Table4[[#This Row],[item_sold]],Table6[],3,FALSE))*Table4[[#This Row],[qty]]</f>
        <v>20</v>
      </c>
      <c r="G1848">
        <f t="shared" ref="G1848:G1874" si="107">E1848-F1848</f>
        <v>10</v>
      </c>
      <c r="H1848" t="s">
        <v>359</v>
      </c>
      <c r="I1848" t="s">
        <v>409</v>
      </c>
    </row>
    <row r="1849" spans="1:12" x14ac:dyDescent="0.25">
      <c r="A1849" s="1">
        <f t="shared" si="105"/>
        <v>45516</v>
      </c>
      <c r="B1849" s="31">
        <f>TIME(12,51, 0)</f>
        <v>0.53541666666666665</v>
      </c>
      <c r="C1849" t="str">
        <f>Inventory!A103</f>
        <v>Kiwi</v>
      </c>
      <c r="D1849" s="27">
        <v>1</v>
      </c>
      <c r="E1849" s="5">
        <f>Table4[[#This Row],[qty]]*(VLOOKUP(Table4[[#This Row],[item_sold]],Table6[],4,FALSE))</f>
        <v>50</v>
      </c>
      <c r="F1849" s="5">
        <f>(VLOOKUP(Table4[[#This Row],[item_sold]],Table6[],3,FALSE))*Table4[[#This Row],[qty]]</f>
        <v>37.5</v>
      </c>
      <c r="G1849">
        <f t="shared" si="107"/>
        <v>12.5</v>
      </c>
      <c r="H1849" t="s">
        <v>361</v>
      </c>
    </row>
    <row r="1850" spans="1:12" x14ac:dyDescent="0.25">
      <c r="A1850" s="1">
        <f t="shared" si="105"/>
        <v>45516</v>
      </c>
      <c r="B1850" s="31">
        <f>TIME(12,51, 0)</f>
        <v>0.53541666666666665</v>
      </c>
      <c r="C1850" t="str">
        <f>Inventory!A67</f>
        <v>Bigboss</v>
      </c>
      <c r="D1850" s="27">
        <v>2</v>
      </c>
      <c r="E1850" s="5">
        <f>Table4[[#This Row],[qty]]*(VLOOKUP(Table4[[#This Row],[item_sold]],Table6[],4,FALSE))</f>
        <v>10</v>
      </c>
      <c r="F1850" s="5">
        <f>(VLOOKUP(Table4[[#This Row],[item_sold]],Table6[],3,FALSE))*Table4[[#This Row],[qty]]</f>
        <v>7</v>
      </c>
      <c r="G1850">
        <f t="shared" si="107"/>
        <v>3</v>
      </c>
      <c r="H1850" t="s">
        <v>247</v>
      </c>
    </row>
    <row r="1851" spans="1:12" x14ac:dyDescent="0.25">
      <c r="A1851" s="1">
        <f t="shared" si="105"/>
        <v>45516</v>
      </c>
      <c r="B1851" s="31">
        <f>TIME(13,22, 0)</f>
        <v>0.55694444444444446</v>
      </c>
      <c r="C1851" t="str">
        <f>Inventory!A208</f>
        <v>Brookside Lala Natural 1ltr</v>
      </c>
      <c r="D1851" s="27">
        <v>1</v>
      </c>
      <c r="E1851" s="5">
        <f>Table4[[#This Row],[qty]]*(VLOOKUP(Table4[[#This Row],[item_sold]],Table6[],4,FALSE))</f>
        <v>180</v>
      </c>
      <c r="F1851" s="5">
        <f>(VLOOKUP(Table4[[#This Row],[item_sold]],Table6[],3,FALSE))*Table4[[#This Row],[qty]]</f>
        <v>164</v>
      </c>
      <c r="G1851">
        <f t="shared" si="107"/>
        <v>16</v>
      </c>
      <c r="H1851" t="s">
        <v>359</v>
      </c>
      <c r="I1851" t="s">
        <v>384</v>
      </c>
    </row>
    <row r="1852" spans="1:12" x14ac:dyDescent="0.25">
      <c r="A1852" s="1">
        <f t="shared" si="105"/>
        <v>45516</v>
      </c>
      <c r="B1852" s="31">
        <f>TIME(13,22, 0)</f>
        <v>0.55694444444444446</v>
      </c>
      <c r="C1852" t="str">
        <f>Inventory!A108</f>
        <v>ariel 75g</v>
      </c>
      <c r="D1852" s="27">
        <v>1</v>
      </c>
      <c r="E1852" s="5">
        <f>Table4[[#This Row],[qty]]*(VLOOKUP(Table4[[#This Row],[item_sold]],Table6[],4,FALSE))</f>
        <v>35</v>
      </c>
      <c r="F1852" s="5">
        <f>(VLOOKUP(Table4[[#This Row],[item_sold]],Table6[],3,FALSE))*Table4[[#This Row],[qty]]</f>
        <v>27.5</v>
      </c>
      <c r="G1852">
        <f t="shared" si="107"/>
        <v>7.5</v>
      </c>
      <c r="H1852" t="s">
        <v>359</v>
      </c>
      <c r="I1852" t="s">
        <v>384</v>
      </c>
    </row>
    <row r="1853" spans="1:12" x14ac:dyDescent="0.25">
      <c r="A1853" s="1">
        <f t="shared" si="105"/>
        <v>45516</v>
      </c>
      <c r="B1853" s="31">
        <f>TIME(13,40, 0)</f>
        <v>0.56944444444444442</v>
      </c>
      <c r="C1853" t="str">
        <f>Inventory!A71</f>
        <v>Indomie chicken</v>
      </c>
      <c r="D1853" s="27">
        <v>1</v>
      </c>
      <c r="E1853" s="5">
        <f>Table4[[#This Row],[qty]]*(VLOOKUP(Table4[[#This Row],[item_sold]],Table6[],4,FALSE))</f>
        <v>50</v>
      </c>
      <c r="F1853" s="5">
        <f>(VLOOKUP(Table4[[#This Row],[item_sold]],Table6[],3,FALSE))*Table4[[#This Row],[qty]]</f>
        <v>37.5</v>
      </c>
      <c r="G1853">
        <f t="shared" si="107"/>
        <v>12.5</v>
      </c>
      <c r="H1853" t="s">
        <v>247</v>
      </c>
    </row>
    <row r="1854" spans="1:12" x14ac:dyDescent="0.25">
      <c r="A1854" s="1">
        <f t="shared" si="105"/>
        <v>45516</v>
      </c>
      <c r="B1854" s="31">
        <f>TIME(14,9, 0)</f>
        <v>0.58958333333333335</v>
      </c>
      <c r="C1854" t="str">
        <f>Inventory!A71</f>
        <v>Indomie chicken</v>
      </c>
      <c r="D1854" s="27">
        <v>1</v>
      </c>
      <c r="E1854" s="5">
        <f>Table4[[#This Row],[qty]]*(VLOOKUP(Table4[[#This Row],[item_sold]],Table6[],4,FALSE))</f>
        <v>50</v>
      </c>
      <c r="F1854" s="5">
        <f>(VLOOKUP(Table4[[#This Row],[item_sold]],Table6[],3,FALSE))*Table4[[#This Row],[qty]]</f>
        <v>37.5</v>
      </c>
      <c r="G1854">
        <f t="shared" si="107"/>
        <v>12.5</v>
      </c>
      <c r="H1854" t="s">
        <v>361</v>
      </c>
    </row>
    <row r="1855" spans="1:12" x14ac:dyDescent="0.25">
      <c r="A1855" s="1">
        <f t="shared" si="105"/>
        <v>45516</v>
      </c>
      <c r="B1855" s="31">
        <f>TIME(14,55, 0)</f>
        <v>0.62152777777777779</v>
      </c>
      <c r="C1855" t="str">
        <f>Inventory!A71</f>
        <v>Indomie chicken</v>
      </c>
      <c r="D1855" s="27">
        <v>3</v>
      </c>
      <c r="E1855" s="5">
        <f>Table4[[#This Row],[qty]]*(VLOOKUP(Table4[[#This Row],[item_sold]],Table6[],4,FALSE))</f>
        <v>150</v>
      </c>
      <c r="F1855" s="5">
        <f>(VLOOKUP(Table4[[#This Row],[item_sold]],Table6[],3,FALSE))*Table4[[#This Row],[qty]]</f>
        <v>112.5</v>
      </c>
      <c r="G1855">
        <f t="shared" si="107"/>
        <v>37.5</v>
      </c>
      <c r="H1855" t="s">
        <v>361</v>
      </c>
    </row>
    <row r="1856" spans="1:12" x14ac:dyDescent="0.25">
      <c r="A1856" s="1">
        <f t="shared" si="105"/>
        <v>45516</v>
      </c>
      <c r="B1856" s="31">
        <f>TIME(14,55, 0)</f>
        <v>0.62152777777777779</v>
      </c>
      <c r="C1856" t="str">
        <f>Inventory!A53</f>
        <v>Mandazi</v>
      </c>
      <c r="D1856" s="27">
        <v>3</v>
      </c>
      <c r="E1856" s="5">
        <f>Table4[[#This Row],[qty]]*(VLOOKUP(Table4[[#This Row],[item_sold]],Table6[],4,FALSE))</f>
        <v>15</v>
      </c>
      <c r="F1856" s="5">
        <f>(VLOOKUP(Table4[[#This Row],[item_sold]],Table6[],3,FALSE))*Table4[[#This Row],[qty]]</f>
        <v>12.5</v>
      </c>
      <c r="G1856">
        <f t="shared" si="107"/>
        <v>2.5</v>
      </c>
      <c r="H1856" t="s">
        <v>361</v>
      </c>
    </row>
    <row r="1857" spans="1:9" x14ac:dyDescent="0.25">
      <c r="A1857" s="1">
        <f t="shared" si="105"/>
        <v>45516</v>
      </c>
      <c r="B1857" s="31">
        <f>TIME(16,47, 0)</f>
        <v>0.69930555555555562</v>
      </c>
      <c r="C1857" t="str">
        <f>Inventory!A14</f>
        <v>soda 500ml glass</v>
      </c>
      <c r="D1857" s="27">
        <v>2</v>
      </c>
      <c r="E1857" s="5">
        <f>Table4[[#This Row],[qty]]*(VLOOKUP(Table4[[#This Row],[item_sold]],Table6[],4,FALSE))</f>
        <v>110</v>
      </c>
      <c r="F1857" s="5">
        <f>(VLOOKUP(Table4[[#This Row],[item_sold]],Table6[],3,FALSE))*Table4[[#This Row],[qty]]</f>
        <v>100</v>
      </c>
      <c r="G1857">
        <f t="shared" si="107"/>
        <v>10</v>
      </c>
      <c r="H1857" t="s">
        <v>361</v>
      </c>
    </row>
    <row r="1858" spans="1:9" x14ac:dyDescent="0.25">
      <c r="A1858" s="1">
        <f t="shared" si="105"/>
        <v>45516</v>
      </c>
      <c r="B1858" s="31">
        <f t="shared" ref="B1858:B1867" si="108">TIME(16,47, 0)</f>
        <v>0.69930555555555562</v>
      </c>
      <c r="C1858" t="str">
        <f>Inventory!A74</f>
        <v>kensalt 200g</v>
      </c>
      <c r="D1858" s="27">
        <v>1</v>
      </c>
      <c r="E1858" s="5">
        <f>Table4[[#This Row],[qty]]*(VLOOKUP(Table4[[#This Row],[item_sold]],Table6[],4,FALSE))</f>
        <v>15</v>
      </c>
      <c r="F1858" s="5">
        <f>(VLOOKUP(Table4[[#This Row],[item_sold]],Table6[],3,FALSE))*Table4[[#This Row],[qty]]</f>
        <v>5.5</v>
      </c>
      <c r="G1858">
        <f t="shared" si="107"/>
        <v>9.5</v>
      </c>
      <c r="H1858" t="s">
        <v>359</v>
      </c>
      <c r="I1858" t="s">
        <v>384</v>
      </c>
    </row>
    <row r="1859" spans="1:9" x14ac:dyDescent="0.25">
      <c r="A1859" s="1">
        <f t="shared" si="105"/>
        <v>45516</v>
      </c>
      <c r="B1859" s="31">
        <f t="shared" si="108"/>
        <v>0.69930555555555562</v>
      </c>
      <c r="C1859" t="str">
        <f>Inventory!A162</f>
        <v>Match Box</v>
      </c>
      <c r="D1859" s="27">
        <v>1</v>
      </c>
      <c r="E1859" s="5">
        <f>Table4[[#This Row],[qty]]*(VLOOKUP(Table4[[#This Row],[item_sold]],Table6[],4,FALSE))</f>
        <v>5</v>
      </c>
      <c r="F1859" s="5">
        <f>(VLOOKUP(Table4[[#This Row],[item_sold]],Table6[],3,FALSE))*Table4[[#This Row],[qty]]</f>
        <v>2.3611111111111112</v>
      </c>
      <c r="G1859">
        <f t="shared" si="107"/>
        <v>2.6388888888888888</v>
      </c>
      <c r="H1859" t="s">
        <v>359</v>
      </c>
      <c r="I1859" t="s">
        <v>384</v>
      </c>
    </row>
    <row r="1860" spans="1:9" x14ac:dyDescent="0.25">
      <c r="A1860" s="1">
        <f t="shared" si="105"/>
        <v>45516</v>
      </c>
      <c r="B1860" s="31">
        <f t="shared" si="108"/>
        <v>0.69930555555555562</v>
      </c>
      <c r="C1860" t="str">
        <f>Inventory!A115</f>
        <v>Onion</v>
      </c>
      <c r="D1860" s="27">
        <v>1</v>
      </c>
      <c r="E1860" s="5">
        <f>Table4[[#This Row],[qty]]*(VLOOKUP(Table4[[#This Row],[item_sold]],Table6[],4,FALSE))</f>
        <v>10</v>
      </c>
      <c r="F1860" s="5">
        <f>(VLOOKUP(Table4[[#This Row],[item_sold]],Table6[],3,FALSE))*Table4[[#This Row],[qty]]</f>
        <v>8</v>
      </c>
      <c r="G1860">
        <f t="shared" si="107"/>
        <v>2</v>
      </c>
      <c r="H1860" t="s">
        <v>359</v>
      </c>
      <c r="I1860" t="s">
        <v>401</v>
      </c>
    </row>
    <row r="1861" spans="1:9" x14ac:dyDescent="0.25">
      <c r="A1861" s="1">
        <f t="shared" si="105"/>
        <v>45516</v>
      </c>
      <c r="B1861" s="31">
        <f t="shared" si="108"/>
        <v>0.69930555555555562</v>
      </c>
      <c r="C1861" t="str">
        <f>Inventory!A116</f>
        <v>Tomatoes</v>
      </c>
      <c r="D1861" s="27">
        <v>1</v>
      </c>
      <c r="E1861" s="5">
        <f>Table4[[#This Row],[qty]]*(VLOOKUP(Table4[[#This Row],[item_sold]],Table6[],4,FALSE))</f>
        <v>10</v>
      </c>
      <c r="F1861" s="5">
        <f>(VLOOKUP(Table4[[#This Row],[item_sold]],Table6[],3,FALSE))*Table4[[#This Row],[qty]]</f>
        <v>5</v>
      </c>
      <c r="G1861">
        <f t="shared" si="107"/>
        <v>5</v>
      </c>
      <c r="H1861" t="s">
        <v>359</v>
      </c>
      <c r="I1861" t="s">
        <v>401</v>
      </c>
    </row>
    <row r="1862" spans="1:9" x14ac:dyDescent="0.25">
      <c r="A1862" s="1">
        <f t="shared" si="105"/>
        <v>45516</v>
      </c>
      <c r="B1862" s="31">
        <f t="shared" si="108"/>
        <v>0.69930555555555562</v>
      </c>
      <c r="C1862" t="str">
        <f>Inventory!A81</f>
        <v>eggs</v>
      </c>
      <c r="D1862" s="27">
        <v>1</v>
      </c>
      <c r="E1862" s="5">
        <f>Table4[[#This Row],[qty]]*(VLOOKUP(Table4[[#This Row],[item_sold]],Table6[],4,FALSE))</f>
        <v>20</v>
      </c>
      <c r="F1862" s="5">
        <f>(VLOOKUP(Table4[[#This Row],[item_sold]],Table6[],3,FALSE))*Table4[[#This Row],[qty]]</f>
        <v>14.333333333333334</v>
      </c>
      <c r="G1862">
        <f t="shared" si="107"/>
        <v>5.6666666666666661</v>
      </c>
      <c r="H1862" t="s">
        <v>359</v>
      </c>
      <c r="I1862" t="s">
        <v>401</v>
      </c>
    </row>
    <row r="1863" spans="1:9" x14ac:dyDescent="0.25">
      <c r="A1863" s="1">
        <f t="shared" si="105"/>
        <v>45516</v>
      </c>
      <c r="B1863" s="31">
        <f t="shared" si="108"/>
        <v>0.69930555555555562</v>
      </c>
      <c r="C1863" t="str">
        <f>Inventory!A62</f>
        <v>Cough drops</v>
      </c>
      <c r="D1863" s="27">
        <v>1</v>
      </c>
      <c r="E1863" s="5">
        <f>Table4[[#This Row],[qty]]*(VLOOKUP(Table4[[#This Row],[item_sold]],Table6[],4,FALSE))</f>
        <v>5</v>
      </c>
      <c r="F1863" s="5">
        <f>(VLOOKUP(Table4[[#This Row],[item_sold]],Table6[],3,FALSE))*Table4[[#This Row],[qty]]</f>
        <v>4</v>
      </c>
      <c r="G1863">
        <f t="shared" si="107"/>
        <v>1</v>
      </c>
      <c r="H1863" t="s">
        <v>247</v>
      </c>
    </row>
    <row r="1864" spans="1:9" x14ac:dyDescent="0.25">
      <c r="A1864" s="1">
        <f t="shared" si="105"/>
        <v>45516</v>
      </c>
      <c r="B1864" s="31">
        <f t="shared" si="108"/>
        <v>0.69930555555555562</v>
      </c>
      <c r="C1864" t="str">
        <f>Inventory!A23</f>
        <v>Mt kenya milk 500ml</v>
      </c>
      <c r="D1864" s="27">
        <v>2</v>
      </c>
      <c r="E1864" s="5">
        <f>Table4[[#This Row],[qty]]*(VLOOKUP(Table4[[#This Row],[item_sold]],Table6[],4,FALSE))</f>
        <v>130</v>
      </c>
      <c r="F1864" s="5">
        <f>(VLOOKUP(Table4[[#This Row],[item_sold]],Table6[],3,FALSE))*Table4[[#This Row],[qty]]</f>
        <v>96.666666666666671</v>
      </c>
      <c r="G1864">
        <f t="shared" si="107"/>
        <v>33.333333333333329</v>
      </c>
      <c r="H1864" t="s">
        <v>247</v>
      </c>
    </row>
    <row r="1865" spans="1:9" x14ac:dyDescent="0.25">
      <c r="A1865" s="1">
        <f t="shared" si="105"/>
        <v>45516</v>
      </c>
      <c r="B1865" s="31">
        <f t="shared" si="108"/>
        <v>0.69930555555555562</v>
      </c>
      <c r="C1865" t="str">
        <f>Inventory!A71</f>
        <v>Indomie chicken</v>
      </c>
      <c r="D1865" s="27">
        <v>2</v>
      </c>
      <c r="E1865" s="5">
        <f>Table4[[#This Row],[qty]]*(VLOOKUP(Table4[[#This Row],[item_sold]],Table6[],4,FALSE))</f>
        <v>100</v>
      </c>
      <c r="F1865" s="5">
        <f>(VLOOKUP(Table4[[#This Row],[item_sold]],Table6[],3,FALSE))*Table4[[#This Row],[qty]]</f>
        <v>75</v>
      </c>
      <c r="G1865">
        <f t="shared" si="107"/>
        <v>25</v>
      </c>
      <c r="H1865" t="s">
        <v>247</v>
      </c>
    </row>
    <row r="1866" spans="1:9" x14ac:dyDescent="0.25">
      <c r="A1866" s="1">
        <f t="shared" si="105"/>
        <v>45516</v>
      </c>
      <c r="B1866" s="31">
        <f t="shared" si="108"/>
        <v>0.69930555555555562</v>
      </c>
      <c r="C1866" t="str">
        <f>Inventory!A46</f>
        <v>Nuvita Bisquit</v>
      </c>
      <c r="D1866" s="27">
        <v>2</v>
      </c>
      <c r="E1866" s="5">
        <f>Table4[[#This Row],[qty]]*(VLOOKUP(Table4[[#This Row],[item_sold]],Table6[],4,FALSE))</f>
        <v>10</v>
      </c>
      <c r="F1866" s="5">
        <f>(VLOOKUP(Table4[[#This Row],[item_sold]],Table6[],3,FALSE))*Table4[[#This Row],[qty]]</f>
        <v>8.3333333333333339</v>
      </c>
      <c r="G1866">
        <f t="shared" si="107"/>
        <v>1.6666666666666661</v>
      </c>
      <c r="H1866" t="s">
        <v>247</v>
      </c>
    </row>
    <row r="1867" spans="1:9" x14ac:dyDescent="0.25">
      <c r="A1867" s="1">
        <f t="shared" si="105"/>
        <v>45516</v>
      </c>
      <c r="B1867" s="31">
        <f t="shared" si="108"/>
        <v>0.69930555555555562</v>
      </c>
      <c r="C1867" t="str">
        <f>Inventory!A21</f>
        <v>Brookside Lala Natural</v>
      </c>
      <c r="D1867" s="27">
        <v>1</v>
      </c>
      <c r="E1867" s="5">
        <f>Table4[[#This Row],[qty]]*(VLOOKUP(Table4[[#This Row],[item_sold]],Table6[],4,FALSE))</f>
        <v>100</v>
      </c>
      <c r="F1867" s="5">
        <f>(VLOOKUP(Table4[[#This Row],[item_sold]],Table6[],3,FALSE))*Table4[[#This Row],[qty]]</f>
        <v>87</v>
      </c>
      <c r="G1867">
        <f t="shared" si="107"/>
        <v>13</v>
      </c>
      <c r="H1867" t="s">
        <v>359</v>
      </c>
      <c r="I1867" t="s">
        <v>392</v>
      </c>
    </row>
    <row r="1868" spans="1:9" x14ac:dyDescent="0.25">
      <c r="A1868" s="1">
        <f t="shared" si="105"/>
        <v>45516</v>
      </c>
      <c r="B1868" s="31">
        <f>TIME(19,1, 0)</f>
        <v>0.79236111111111107</v>
      </c>
      <c r="C1868" t="str">
        <f>Inventory!A30</f>
        <v>BB Bread 400g</v>
      </c>
      <c r="D1868" s="27">
        <v>2</v>
      </c>
      <c r="E1868" s="5">
        <f>Table4[[#This Row],[qty]]*(VLOOKUP(Table4[[#This Row],[item_sold]],Table6[],4,FALSE))</f>
        <v>130</v>
      </c>
      <c r="F1868" s="5">
        <f>(VLOOKUP(Table4[[#This Row],[item_sold]],Table6[],3,FALSE))*Table4[[#This Row],[qty]]</f>
        <v>120</v>
      </c>
      <c r="G1868">
        <f t="shared" si="107"/>
        <v>10</v>
      </c>
      <c r="H1868" t="s">
        <v>361</v>
      </c>
    </row>
    <row r="1869" spans="1:9" x14ac:dyDescent="0.25">
      <c r="A1869" s="1">
        <f t="shared" si="105"/>
        <v>45516</v>
      </c>
      <c r="B1869" s="31">
        <f>TIME(19,18, 0)</f>
        <v>0.8041666666666667</v>
      </c>
      <c r="C1869" t="str">
        <f>Inventory!A103</f>
        <v>Kiwi</v>
      </c>
      <c r="D1869" s="27">
        <v>1</v>
      </c>
      <c r="E1869" s="5">
        <f>Table4[[#This Row],[qty]]*(VLOOKUP(Table4[[#This Row],[item_sold]],Table6[],4,FALSE))</f>
        <v>50</v>
      </c>
      <c r="F1869" s="5">
        <f>(VLOOKUP(Table4[[#This Row],[item_sold]],Table6[],3,FALSE))*Table4[[#This Row],[qty]]</f>
        <v>37.5</v>
      </c>
      <c r="G1869">
        <f t="shared" si="107"/>
        <v>12.5</v>
      </c>
      <c r="H1869" t="s">
        <v>361</v>
      </c>
    </row>
    <row r="1870" spans="1:9" x14ac:dyDescent="0.25">
      <c r="A1870" s="1">
        <f t="shared" si="105"/>
        <v>45516</v>
      </c>
      <c r="B1870" s="31">
        <f t="shared" ref="B1870" si="109">TIME(19,18, 0)</f>
        <v>0.8041666666666667</v>
      </c>
      <c r="C1870" t="str">
        <f>Inventory!A67</f>
        <v>Bigboss</v>
      </c>
      <c r="D1870" s="27">
        <v>4</v>
      </c>
      <c r="E1870" s="5">
        <f>Table4[[#This Row],[qty]]*(VLOOKUP(Table4[[#This Row],[item_sold]],Table6[],4,FALSE))</f>
        <v>20</v>
      </c>
      <c r="F1870" s="5">
        <f>(VLOOKUP(Table4[[#This Row],[item_sold]],Table6[],3,FALSE))*Table4[[#This Row],[qty]]</f>
        <v>14</v>
      </c>
      <c r="G1870">
        <f t="shared" si="107"/>
        <v>6</v>
      </c>
      <c r="H1870" t="s">
        <v>361</v>
      </c>
    </row>
    <row r="1871" spans="1:9" x14ac:dyDescent="0.25">
      <c r="A1871" s="1">
        <f t="shared" si="105"/>
        <v>45516</v>
      </c>
      <c r="B1871" s="31">
        <f>TIME(19,32, 0)</f>
        <v>0.81388888888888899</v>
      </c>
      <c r="C1871" t="str">
        <f>Inventory!A84</f>
        <v>Safari</v>
      </c>
      <c r="D1871" s="27">
        <v>2</v>
      </c>
      <c r="E1871" s="5">
        <f>Table4[[#This Row],[qty]]*(VLOOKUP(Table4[[#This Row],[item_sold]],Table6[],4,FALSE))</f>
        <v>30</v>
      </c>
      <c r="F1871" s="5">
        <f>(VLOOKUP(Table4[[#This Row],[item_sold]],Table6[],3,FALSE))*Table4[[#This Row],[qty]]</f>
        <v>17</v>
      </c>
      <c r="G1871">
        <f t="shared" si="107"/>
        <v>13</v>
      </c>
      <c r="H1871" t="s">
        <v>361</v>
      </c>
    </row>
    <row r="1872" spans="1:9" x14ac:dyDescent="0.25">
      <c r="A1872" s="1">
        <f t="shared" si="105"/>
        <v>45516</v>
      </c>
      <c r="B1872" s="31">
        <f>TIME(19,54, 0)</f>
        <v>0.82916666666666661</v>
      </c>
      <c r="C1872" t="str">
        <f>Inventory!A122</f>
        <v>Kinangop Fresh Milk 500ml</v>
      </c>
      <c r="D1872" s="27">
        <v>1</v>
      </c>
      <c r="E1872" s="5">
        <f>Table4[[#This Row],[qty]]*(VLOOKUP(Table4[[#This Row],[item_sold]],Table6[],4,FALSE))</f>
        <v>60</v>
      </c>
      <c r="F1872" s="5">
        <f>(VLOOKUP(Table4[[#This Row],[item_sold]],Table6[],3,FALSE))*Table4[[#This Row],[qty]]</f>
        <v>55</v>
      </c>
      <c r="G1872">
        <f t="shared" si="107"/>
        <v>5</v>
      </c>
      <c r="H1872" t="s">
        <v>359</v>
      </c>
      <c r="I1872" t="s">
        <v>389</v>
      </c>
    </row>
    <row r="1873" spans="1:12" x14ac:dyDescent="0.25">
      <c r="A1873" s="1">
        <f t="shared" si="105"/>
        <v>45516</v>
      </c>
      <c r="B1873" s="31">
        <f>TIME(19,54, 0)</f>
        <v>0.82916666666666661</v>
      </c>
      <c r="C1873" t="str">
        <f>Inventory!A122</f>
        <v>Kinangop Fresh Milk 500ml</v>
      </c>
      <c r="D1873" s="27">
        <v>1</v>
      </c>
      <c r="E1873" s="5">
        <f>Table4[[#This Row],[qty]]*(VLOOKUP(Table4[[#This Row],[item_sold]],Table6[],4,FALSE))</f>
        <v>60</v>
      </c>
      <c r="F1873" s="5">
        <f>(VLOOKUP(Table4[[#This Row],[item_sold]],Table6[],3,FALSE))*Table4[[#This Row],[qty]]</f>
        <v>55</v>
      </c>
      <c r="G1873">
        <f t="shared" si="107"/>
        <v>5</v>
      </c>
      <c r="H1873" t="s">
        <v>361</v>
      </c>
    </row>
    <row r="1874" spans="1:12" x14ac:dyDescent="0.25">
      <c r="A1874" s="1">
        <f t="shared" si="105"/>
        <v>45516</v>
      </c>
      <c r="B1874" s="31">
        <f>TIME(19,54, 0)</f>
        <v>0.82916666666666661</v>
      </c>
      <c r="C1874" t="str">
        <f>Inventory!A122</f>
        <v>Kinangop Fresh Milk 500ml</v>
      </c>
      <c r="D1874" s="27">
        <v>1</v>
      </c>
      <c r="E1874" s="5">
        <f>Table4[[#This Row],[qty]]*(VLOOKUP(Table4[[#This Row],[item_sold]],Table6[],4,FALSE))</f>
        <v>60</v>
      </c>
      <c r="F1874" s="5">
        <f>(VLOOKUP(Table4[[#This Row],[item_sold]],Table6[],3,FALSE))*Table4[[#This Row],[qty]]</f>
        <v>55</v>
      </c>
      <c r="G1874">
        <f t="shared" si="107"/>
        <v>5</v>
      </c>
      <c r="H1874" t="s">
        <v>361</v>
      </c>
    </row>
    <row r="1875" spans="1:12" x14ac:dyDescent="0.25">
      <c r="A1875" s="1">
        <f t="shared" si="105"/>
        <v>45516</v>
      </c>
      <c r="B1875" s="31">
        <f>TIME(19,54, 0)</f>
        <v>0.82916666666666661</v>
      </c>
      <c r="D1875" s="27"/>
      <c r="F1875" s="5"/>
      <c r="G1875"/>
      <c r="J1875" t="s">
        <v>390</v>
      </c>
      <c r="K1875">
        <v>685</v>
      </c>
      <c r="L1875" t="s">
        <v>361</v>
      </c>
    </row>
    <row r="1876" spans="1:12" x14ac:dyDescent="0.25">
      <c r="A1876" s="1">
        <f t="shared" si="105"/>
        <v>45516</v>
      </c>
      <c r="B1876" s="31">
        <f>TIME(20,30, 0)</f>
        <v>0.85416666666666663</v>
      </c>
      <c r="C1876" t="str">
        <f>Inventory!A23</f>
        <v>Mt kenya milk 500ml</v>
      </c>
      <c r="D1876" s="27">
        <v>1</v>
      </c>
      <c r="E1876" s="5">
        <f>Table4[[#This Row],[qty]]*(VLOOKUP(Table4[[#This Row],[item_sold]],Table6[],4,FALSE))</f>
        <v>65</v>
      </c>
      <c r="F1876" s="5">
        <f>(VLOOKUP(Table4[[#This Row],[item_sold]],Table6[],3,FALSE))*Table4[[#This Row],[qty]]</f>
        <v>48.333333333333336</v>
      </c>
      <c r="G1876">
        <f t="shared" ref="G1876:G1899" si="110">E1876-F1876</f>
        <v>16.666666666666664</v>
      </c>
      <c r="H1876" t="s">
        <v>247</v>
      </c>
    </row>
    <row r="1877" spans="1:12" x14ac:dyDescent="0.25">
      <c r="A1877" s="1">
        <f t="shared" si="105"/>
        <v>45516</v>
      </c>
      <c r="B1877" s="31">
        <f t="shared" ref="B1877:B1879" si="111">TIME(20,30, 0)</f>
        <v>0.85416666666666663</v>
      </c>
      <c r="C1877" t="str">
        <f>Inventory!A134</f>
        <v>Baloon</v>
      </c>
      <c r="D1877" s="27">
        <v>2</v>
      </c>
      <c r="E1877" s="5">
        <f>Table4[[#This Row],[qty]]*(VLOOKUP(Table4[[#This Row],[item_sold]],Table6[],4,FALSE))</f>
        <v>20</v>
      </c>
      <c r="F1877" s="5">
        <f>(VLOOKUP(Table4[[#This Row],[item_sold]],Table6[],3,FALSE))*Table4[[#This Row],[qty]]</f>
        <v>12</v>
      </c>
      <c r="G1877">
        <f t="shared" si="110"/>
        <v>8</v>
      </c>
      <c r="H1877" t="s">
        <v>247</v>
      </c>
    </row>
    <row r="1878" spans="1:12" x14ac:dyDescent="0.25">
      <c r="A1878" s="1">
        <f t="shared" si="105"/>
        <v>45516</v>
      </c>
      <c r="B1878" s="31">
        <f t="shared" si="111"/>
        <v>0.85416666666666663</v>
      </c>
      <c r="C1878" t="str">
        <f>Inventory!A55</f>
        <v>Ngumu</v>
      </c>
      <c r="D1878" s="27">
        <v>9</v>
      </c>
      <c r="E1878" s="5">
        <f>Table4[[#This Row],[qty]]*(VLOOKUP(Table4[[#This Row],[item_sold]],Table6[],4,FALSE))</f>
        <v>90</v>
      </c>
      <c r="F1878" s="5">
        <f>(VLOOKUP(Table4[[#This Row],[item_sold]],Table6[],3,FALSE))*Table4[[#This Row],[qty]]</f>
        <v>75</v>
      </c>
      <c r="G1878">
        <f t="shared" si="110"/>
        <v>15</v>
      </c>
      <c r="H1878" t="s">
        <v>247</v>
      </c>
    </row>
    <row r="1879" spans="1:12" x14ac:dyDescent="0.25">
      <c r="A1879" s="1">
        <f t="shared" si="105"/>
        <v>45516</v>
      </c>
      <c r="B1879" s="31">
        <f t="shared" si="111"/>
        <v>0.85416666666666663</v>
      </c>
      <c r="C1879" t="str">
        <f>Inventory!A46</f>
        <v>Nuvita Bisquit</v>
      </c>
      <c r="D1879" s="27">
        <v>5</v>
      </c>
      <c r="E1879" s="5">
        <f>Table4[[#This Row],[qty]]*(VLOOKUP(Table4[[#This Row],[item_sold]],Table6[],4,FALSE))</f>
        <v>25</v>
      </c>
      <c r="F1879" s="5">
        <f>(VLOOKUP(Table4[[#This Row],[item_sold]],Table6[],3,FALSE))*Table4[[#This Row],[qty]]</f>
        <v>20.833333333333336</v>
      </c>
      <c r="G1879">
        <f t="shared" si="110"/>
        <v>4.1666666666666643</v>
      </c>
      <c r="H1879" t="s">
        <v>247</v>
      </c>
    </row>
    <row r="1880" spans="1:12" x14ac:dyDescent="0.25">
      <c r="A1880" s="1">
        <f t="shared" si="105"/>
        <v>45516</v>
      </c>
      <c r="B1880" s="31">
        <f>TIME(20,45, 0)</f>
        <v>0.86458333333333337</v>
      </c>
      <c r="C1880" t="str">
        <f>Inventory!A106</f>
        <v xml:space="preserve">Whitewash </v>
      </c>
      <c r="D1880" s="27">
        <v>1</v>
      </c>
      <c r="E1880" s="5">
        <f>Table4[[#This Row],[qty]]*(VLOOKUP(Table4[[#This Row],[item_sold]],Table6[],4,FALSE))</f>
        <v>50</v>
      </c>
      <c r="F1880" s="5">
        <f>(VLOOKUP(Table4[[#This Row],[item_sold]],Table6[],3,FALSE))*Table4[[#This Row],[qty]]</f>
        <v>33.75</v>
      </c>
      <c r="G1880">
        <f t="shared" si="110"/>
        <v>16.25</v>
      </c>
      <c r="H1880" t="s">
        <v>361</v>
      </c>
    </row>
    <row r="1881" spans="1:12" x14ac:dyDescent="0.25">
      <c r="A1881" s="1">
        <f t="shared" si="105"/>
        <v>45516</v>
      </c>
      <c r="B1881" s="31">
        <f t="shared" ref="B1881" si="112">TIME(20,45, 0)</f>
        <v>0.86458333333333337</v>
      </c>
      <c r="C1881" t="str">
        <f>Inventory!A117</f>
        <v>Cooking Oil Measured</v>
      </c>
      <c r="D1881" s="27">
        <v>0.5</v>
      </c>
      <c r="E1881" s="5">
        <f>Table4[[#This Row],[qty]]*(VLOOKUP(Table4[[#This Row],[item_sold]],Table6[],4,FALSE))</f>
        <v>140</v>
      </c>
      <c r="F1881" s="5">
        <f>(VLOOKUP(Table4[[#This Row],[item_sold]],Table6[],3,FALSE))*Table4[[#This Row],[qty]]</f>
        <v>100</v>
      </c>
      <c r="G1881">
        <f t="shared" si="110"/>
        <v>40</v>
      </c>
      <c r="H1881" t="s">
        <v>361</v>
      </c>
    </row>
    <row r="1882" spans="1:12" x14ac:dyDescent="0.25">
      <c r="A1882" s="1">
        <f t="shared" si="105"/>
        <v>45516</v>
      </c>
      <c r="B1882" s="31">
        <f>TIME(20,24, 0)</f>
        <v>0.85</v>
      </c>
      <c r="C1882" t="str">
        <f>Inventory!A9</f>
        <v>minutemaid 400ml</v>
      </c>
      <c r="D1882" s="27">
        <v>1</v>
      </c>
      <c r="E1882" s="5">
        <f>Table4[[#This Row],[qty]]*(VLOOKUP(Table4[[#This Row],[item_sold]],Table6[],4,FALSE))</f>
        <v>85</v>
      </c>
      <c r="F1882" s="5">
        <f>(VLOOKUP(Table4[[#This Row],[item_sold]],Table6[],3,FALSE))*Table4[[#This Row],[qty]]</f>
        <v>62.5</v>
      </c>
      <c r="G1882">
        <f t="shared" si="110"/>
        <v>22.5</v>
      </c>
      <c r="H1882" t="s">
        <v>361</v>
      </c>
    </row>
    <row r="1883" spans="1:12" x14ac:dyDescent="0.25">
      <c r="A1883" s="1">
        <f t="shared" si="105"/>
        <v>45516</v>
      </c>
      <c r="B1883" s="31">
        <f t="shared" ref="B1883" si="113">TIME(20,24, 0)</f>
        <v>0.85</v>
      </c>
      <c r="D1883" s="27"/>
      <c r="F1883" s="5"/>
      <c r="G1883"/>
      <c r="J1883" t="s">
        <v>409</v>
      </c>
      <c r="K1883">
        <v>30</v>
      </c>
      <c r="L1883" t="s">
        <v>361</v>
      </c>
    </row>
    <row r="1884" spans="1:12" x14ac:dyDescent="0.25">
      <c r="A1884" s="1">
        <f t="shared" si="105"/>
        <v>45516</v>
      </c>
      <c r="B1884" s="31">
        <f>TIME(20,50, 0)</f>
        <v>0.86805555555555547</v>
      </c>
      <c r="C1884" t="str">
        <f>Inventory!A54</f>
        <v>Kdf</v>
      </c>
      <c r="D1884" s="27">
        <v>3</v>
      </c>
      <c r="E1884" s="5">
        <f>Table4[[#This Row],[qty]]*(VLOOKUP(Table4[[#This Row],[item_sold]],Table6[],4,FALSE))</f>
        <v>30</v>
      </c>
      <c r="F1884" s="5">
        <f>(VLOOKUP(Table4[[#This Row],[item_sold]],Table6[],3,FALSE))*Table4[[#This Row],[qty]]</f>
        <v>25</v>
      </c>
      <c r="G1884">
        <f t="shared" si="110"/>
        <v>5</v>
      </c>
      <c r="H1884" t="s">
        <v>359</v>
      </c>
      <c r="I1884" t="s">
        <v>385</v>
      </c>
    </row>
    <row r="1885" spans="1:12" x14ac:dyDescent="0.25">
      <c r="A1885" s="1">
        <f t="shared" si="105"/>
        <v>45516</v>
      </c>
      <c r="B1885" s="31">
        <f t="shared" ref="B1885:B1886" si="114">TIME(20,50, 0)</f>
        <v>0.86805555555555547</v>
      </c>
      <c r="C1885" t="str">
        <f>Inventory!A81</f>
        <v>eggs</v>
      </c>
      <c r="D1885" s="27">
        <v>5</v>
      </c>
      <c r="E1885" s="5">
        <f>Table4[[#This Row],[qty]]*(VLOOKUP(Table4[[#This Row],[item_sold]],Table6[],4,FALSE))</f>
        <v>100</v>
      </c>
      <c r="F1885" s="5">
        <f>(VLOOKUP(Table4[[#This Row],[item_sold]],Table6[],3,FALSE))*Table4[[#This Row],[qty]]</f>
        <v>71.666666666666671</v>
      </c>
      <c r="G1885">
        <f t="shared" si="110"/>
        <v>28.333333333333329</v>
      </c>
      <c r="H1885" t="s">
        <v>359</v>
      </c>
      <c r="I1885" t="s">
        <v>390</v>
      </c>
    </row>
    <row r="1886" spans="1:12" x14ac:dyDescent="0.25">
      <c r="A1886" s="1">
        <f t="shared" si="105"/>
        <v>45516</v>
      </c>
      <c r="B1886" s="31">
        <f t="shared" si="114"/>
        <v>0.86805555555555547</v>
      </c>
      <c r="C1886" t="str">
        <f>Inventory!A209</f>
        <v>Face Towel</v>
      </c>
      <c r="D1886" s="27">
        <v>1</v>
      </c>
      <c r="E1886" s="5">
        <f>Table4[[#This Row],[qty]]*(VLOOKUP(Table4[[#This Row],[item_sold]],Table6[],4,FALSE))</f>
        <v>50</v>
      </c>
      <c r="F1886" s="5">
        <f>(VLOOKUP(Table4[[#This Row],[item_sold]],Table6[],3,FALSE))*Table4[[#This Row],[qty]]</f>
        <v>30</v>
      </c>
      <c r="G1886">
        <f t="shared" si="110"/>
        <v>20</v>
      </c>
      <c r="H1886" t="s">
        <v>359</v>
      </c>
      <c r="I1886" t="s">
        <v>389</v>
      </c>
      <c r="J1886" t="s">
        <v>416</v>
      </c>
      <c r="K1886">
        <v>130</v>
      </c>
      <c r="L1886" t="s">
        <v>247</v>
      </c>
    </row>
    <row r="1887" spans="1:12" x14ac:dyDescent="0.25">
      <c r="A1887" s="1">
        <f>DATE(2024,8,13)</f>
        <v>45517</v>
      </c>
      <c r="B1887" s="31">
        <f>TIME(7,56, 0)</f>
        <v>0.33055555555555555</v>
      </c>
      <c r="C1887" t="str">
        <f>'Inventory as of 12th Aug 2024'!A37</f>
        <v>Festive Bread 400g</v>
      </c>
      <c r="D1887" s="27">
        <v>1</v>
      </c>
      <c r="E1887" s="5">
        <f>Table4[[#This Row],[qty]]*(VLOOKUP(Table4[[#This Row],[item_sold]],Table1[],5,FALSE))</f>
        <v>65</v>
      </c>
      <c r="F1887" s="5">
        <f>(VLOOKUP(Table4[[#This Row],[item_sold]],Table1[],4,FALSE))*Table4[[#This Row],[qty]]</f>
        <v>60</v>
      </c>
      <c r="G1887">
        <f t="shared" si="110"/>
        <v>5</v>
      </c>
      <c r="H1887" t="s">
        <v>361</v>
      </c>
    </row>
    <row r="1888" spans="1:12" x14ac:dyDescent="0.25">
      <c r="A1888" s="1">
        <f t="shared" ref="A1888:A1951" si="115">DATE(2024,8,13)</f>
        <v>45517</v>
      </c>
      <c r="B1888" s="31">
        <f>TIME(7,59, 0)</f>
        <v>0.33263888888888887</v>
      </c>
      <c r="C1888" t="str">
        <f>'Inventory as of 12th Aug 2024'!A16</f>
        <v>Mt kenya milk 500ml</v>
      </c>
      <c r="D1888" s="27">
        <v>2</v>
      </c>
      <c r="E1888" s="5">
        <f>Table4[[#This Row],[qty]]*(VLOOKUP(Table4[[#This Row],[item_sold]],Table1[],5,FALSE))</f>
        <v>130</v>
      </c>
      <c r="F1888" s="5">
        <f>(VLOOKUP(Table4[[#This Row],[item_sold]],Table1[],4,FALSE))*Table4[[#This Row],[qty]]</f>
        <v>96.666666666666671</v>
      </c>
      <c r="G1888">
        <f t="shared" si="110"/>
        <v>33.333333333333329</v>
      </c>
      <c r="H1888" t="s">
        <v>361</v>
      </c>
    </row>
    <row r="1889" spans="1:9" x14ac:dyDescent="0.25">
      <c r="A1889" s="1">
        <f t="shared" si="115"/>
        <v>45517</v>
      </c>
      <c r="B1889" s="31">
        <f>TIME(8,56, 0)</f>
        <v>0.37222222222222223</v>
      </c>
      <c r="C1889" t="str">
        <f>'Inventory as of 12th Aug 2024'!A37</f>
        <v>Festive Bread 400g</v>
      </c>
      <c r="D1889" s="27">
        <v>2</v>
      </c>
      <c r="E1889" s="5">
        <f>Table4[[#This Row],[qty]]*(VLOOKUP(Table4[[#This Row],[item_sold]],Table1[],5,FALSE))</f>
        <v>130</v>
      </c>
      <c r="F1889" s="5">
        <f>(VLOOKUP(Table4[[#This Row],[item_sold]],Table1[],4,FALSE))*Table4[[#This Row],[qty]]</f>
        <v>120</v>
      </c>
      <c r="G1889">
        <f t="shared" si="110"/>
        <v>10</v>
      </c>
      <c r="H1889" t="s">
        <v>247</v>
      </c>
    </row>
    <row r="1890" spans="1:9" x14ac:dyDescent="0.25">
      <c r="A1890" s="1">
        <f t="shared" si="115"/>
        <v>45517</v>
      </c>
      <c r="B1890" s="31">
        <f>TIME(9,1, 0)</f>
        <v>0.3756944444444445</v>
      </c>
      <c r="C1890" t="str">
        <f>'Inventory as of 12th Aug 2024'!A58</f>
        <v>Safari</v>
      </c>
      <c r="D1890" s="27">
        <v>1</v>
      </c>
      <c r="E1890" s="5">
        <f>Table4[[#This Row],[qty]]*(VLOOKUP(Table4[[#This Row],[item_sold]],Table1[],5,FALSE))</f>
        <v>15</v>
      </c>
      <c r="F1890" s="5">
        <f>(VLOOKUP(Table4[[#This Row],[item_sold]],Table1[],4,FALSE))*Table4[[#This Row],[qty]]</f>
        <v>8.5</v>
      </c>
      <c r="G1890">
        <f t="shared" si="110"/>
        <v>6.5</v>
      </c>
      <c r="H1890" t="s">
        <v>247</v>
      </c>
    </row>
    <row r="1891" spans="1:9" x14ac:dyDescent="0.25">
      <c r="A1891" s="1">
        <f t="shared" si="115"/>
        <v>45517</v>
      </c>
      <c r="B1891" s="31">
        <f>TIME(9,2, 0)</f>
        <v>0.37638888888888888</v>
      </c>
      <c r="C1891" t="str">
        <f>'Inventory as of 12th Aug 2024'!A37</f>
        <v>Festive Bread 400g</v>
      </c>
      <c r="D1891" s="27">
        <v>1</v>
      </c>
      <c r="E1891" s="5">
        <f>Table4[[#This Row],[qty]]*(VLOOKUP(Table4[[#This Row],[item_sold]],Table1[],5,FALSE))</f>
        <v>65</v>
      </c>
      <c r="F1891" s="5">
        <f>(VLOOKUP(Table4[[#This Row],[item_sold]],Table1[],4,FALSE))*Table4[[#This Row],[qty]]</f>
        <v>60</v>
      </c>
      <c r="G1891">
        <f t="shared" si="110"/>
        <v>5</v>
      </c>
      <c r="H1891" t="s">
        <v>247</v>
      </c>
    </row>
    <row r="1892" spans="1:9" x14ac:dyDescent="0.25">
      <c r="A1892" s="1">
        <f t="shared" si="115"/>
        <v>45517</v>
      </c>
      <c r="B1892" s="31">
        <f>TIME(9,13, 0)</f>
        <v>0.3840277777777778</v>
      </c>
      <c r="C1892" t="str">
        <f>'Inventory as of 12th Aug 2024'!A197</f>
        <v>Canned cookies</v>
      </c>
      <c r="D1892" s="27">
        <v>1</v>
      </c>
      <c r="E1892" s="5">
        <f>Table4[[#This Row],[qty]]*(VLOOKUP(Table4[[#This Row],[item_sold]],Table1[],5,FALSE))</f>
        <v>60</v>
      </c>
      <c r="F1892" s="5">
        <f>(VLOOKUP(Table4[[#This Row],[item_sold]],Table1[],4,FALSE))*Table4[[#This Row],[qty]]</f>
        <v>50</v>
      </c>
      <c r="G1892">
        <f t="shared" si="110"/>
        <v>10</v>
      </c>
      <c r="H1892" t="s">
        <v>247</v>
      </c>
    </row>
    <row r="1893" spans="1:9" x14ac:dyDescent="0.25">
      <c r="A1893" s="1">
        <f t="shared" si="115"/>
        <v>45517</v>
      </c>
      <c r="B1893" s="31">
        <f>TIME(9,15, 0)</f>
        <v>0.38541666666666669</v>
      </c>
      <c r="C1893" t="str">
        <f>'Inventory as of 12th Aug 2024'!A9</f>
        <v>Kinangop Fresh Milk 500ml</v>
      </c>
      <c r="D1893" s="27">
        <v>1</v>
      </c>
      <c r="E1893" s="5">
        <f>Table4[[#This Row],[qty]]*(VLOOKUP(Table4[[#This Row],[item_sold]],Table1[],5,FALSE))</f>
        <v>60</v>
      </c>
      <c r="F1893" s="5">
        <f>(VLOOKUP(Table4[[#This Row],[item_sold]],Table1[],4,FALSE))*Table4[[#This Row],[qty]]</f>
        <v>55</v>
      </c>
      <c r="G1893">
        <f t="shared" si="110"/>
        <v>5</v>
      </c>
      <c r="H1893" t="s">
        <v>361</v>
      </c>
    </row>
    <row r="1894" spans="1:9" x14ac:dyDescent="0.25">
      <c r="A1894" s="1">
        <f t="shared" si="115"/>
        <v>45517</v>
      </c>
      <c r="B1894" s="31">
        <f>TIME(9,15, 0)</f>
        <v>0.38541666666666669</v>
      </c>
      <c r="C1894" t="str">
        <f>'Inventory as of 12th Aug 2024'!A37</f>
        <v>Festive Bread 400g</v>
      </c>
      <c r="D1894" s="27">
        <v>1</v>
      </c>
      <c r="E1894" s="5">
        <f>Table4[[#This Row],[qty]]*(VLOOKUP(Table4[[#This Row],[item_sold]],Table1[],5,FALSE))</f>
        <v>65</v>
      </c>
      <c r="F1894" s="5">
        <f>(VLOOKUP(Table4[[#This Row],[item_sold]],Table1[],4,FALSE))*Table4[[#This Row],[qty]]</f>
        <v>60</v>
      </c>
      <c r="G1894">
        <f t="shared" si="110"/>
        <v>5</v>
      </c>
      <c r="H1894" t="s">
        <v>361</v>
      </c>
    </row>
    <row r="1895" spans="1:9" x14ac:dyDescent="0.25">
      <c r="A1895" s="1">
        <f t="shared" si="115"/>
        <v>45517</v>
      </c>
      <c r="B1895" s="31">
        <f>TIME(9,22, 0)</f>
        <v>0.39027777777777778</v>
      </c>
      <c r="C1895" t="str">
        <f>'Inventory as of 12th Aug 2024'!A33</f>
        <v>BB Bread 400g</v>
      </c>
      <c r="D1895" s="27">
        <v>1</v>
      </c>
      <c r="E1895" s="5">
        <f>Table4[[#This Row],[qty]]*(VLOOKUP(Table4[[#This Row],[item_sold]],Table1[],5,FALSE))</f>
        <v>65</v>
      </c>
      <c r="F1895" s="5">
        <f>(VLOOKUP(Table4[[#This Row],[item_sold]],Table1[],4,FALSE))*Table4[[#This Row],[qty]]</f>
        <v>60</v>
      </c>
      <c r="G1895">
        <f t="shared" si="110"/>
        <v>5</v>
      </c>
      <c r="H1895" t="s">
        <v>361</v>
      </c>
    </row>
    <row r="1896" spans="1:9" x14ac:dyDescent="0.25">
      <c r="A1896" s="1">
        <f t="shared" si="115"/>
        <v>45517</v>
      </c>
      <c r="B1896" s="31">
        <f>TIME(9,56, 0)</f>
        <v>0.41388888888888892</v>
      </c>
      <c r="C1896" t="str">
        <f>'Inventory as of 12th Aug 2024'!A87</f>
        <v>Menengai Bar 1kg</v>
      </c>
      <c r="D1896" s="27">
        <v>2</v>
      </c>
      <c r="E1896" s="5">
        <f>Table4[[#This Row],[qty]]*(VLOOKUP(Table4[[#This Row],[item_sold]],Table1[],5,FALSE))</f>
        <v>500</v>
      </c>
      <c r="F1896" s="5">
        <f>(VLOOKUP(Table4[[#This Row],[item_sold]],Table1[],4,FALSE))*Table4[[#This Row],[qty]]</f>
        <v>380</v>
      </c>
      <c r="G1896">
        <f t="shared" si="110"/>
        <v>120</v>
      </c>
      <c r="H1896" t="s">
        <v>359</v>
      </c>
      <c r="I1896" t="s">
        <v>395</v>
      </c>
    </row>
    <row r="1897" spans="1:9" x14ac:dyDescent="0.25">
      <c r="A1897" s="1">
        <f t="shared" si="115"/>
        <v>45517</v>
      </c>
      <c r="B1897" s="31">
        <f t="shared" ref="B1897:B1898" si="116">TIME(9,56, 0)</f>
        <v>0.41388888888888892</v>
      </c>
      <c r="C1897" t="str">
        <f>'Inventory as of 12th Aug 2024'!A85</f>
        <v>Downy lavender</v>
      </c>
      <c r="D1897" s="27">
        <v>2</v>
      </c>
      <c r="E1897" s="5">
        <f>Table4[[#This Row],[qty]]*(VLOOKUP(Table4[[#This Row],[item_sold]],Table1[],5,FALSE))</f>
        <v>40</v>
      </c>
      <c r="F1897" s="5">
        <f>(VLOOKUP(Table4[[#This Row],[item_sold]],Table1[],4,FALSE))*Table4[[#This Row],[qty]]</f>
        <v>34.666666666666664</v>
      </c>
      <c r="G1897">
        <f t="shared" si="110"/>
        <v>5.3333333333333357</v>
      </c>
      <c r="H1897" t="s">
        <v>359</v>
      </c>
      <c r="I1897" t="s">
        <v>395</v>
      </c>
    </row>
    <row r="1898" spans="1:9" x14ac:dyDescent="0.25">
      <c r="A1898" s="1">
        <f t="shared" si="115"/>
        <v>45517</v>
      </c>
      <c r="B1898" s="31">
        <f t="shared" si="116"/>
        <v>0.41388888888888892</v>
      </c>
      <c r="C1898" t="str">
        <f>'Inventory as of 12th Aug 2024'!A88</f>
        <v>Sunlight 400g</v>
      </c>
      <c r="D1898" s="27">
        <v>1</v>
      </c>
      <c r="E1898" s="5">
        <f>Table4[[#This Row],[qty]]*(VLOOKUP(Table4[[#This Row],[item_sold]],Table1[],5,FALSE))</f>
        <v>200</v>
      </c>
      <c r="F1898" s="5">
        <f>(VLOOKUP(Table4[[#This Row],[item_sold]],Table1[],4,FALSE))*Table4[[#This Row],[qty]]</f>
        <v>145</v>
      </c>
      <c r="G1898">
        <f t="shared" si="110"/>
        <v>55</v>
      </c>
      <c r="H1898" t="s">
        <v>359</v>
      </c>
      <c r="I1898" t="s">
        <v>395</v>
      </c>
    </row>
    <row r="1899" spans="1:9" x14ac:dyDescent="0.25">
      <c r="A1899" s="1">
        <f t="shared" si="115"/>
        <v>45517</v>
      </c>
      <c r="B1899" s="31">
        <f>TIME(10,0, 0)</f>
        <v>0.41666666666666669</v>
      </c>
      <c r="C1899" t="str">
        <f>'Inventory as of 12th Aug 2024'!A35</f>
        <v>Festive 600g</v>
      </c>
      <c r="D1899" s="27">
        <v>1</v>
      </c>
      <c r="E1899" s="5">
        <f>Table4[[#This Row],[qty]]*(VLOOKUP(Table4[[#This Row],[item_sold]],Table1[],5,FALSE))</f>
        <v>100</v>
      </c>
      <c r="F1899" s="5">
        <f>(VLOOKUP(Table4[[#This Row],[item_sold]],Table1[],4,FALSE))*Table4[[#This Row],[qty]]</f>
        <v>90</v>
      </c>
      <c r="G1899">
        <f t="shared" si="110"/>
        <v>10</v>
      </c>
      <c r="H1899" t="s">
        <v>361</v>
      </c>
    </row>
    <row r="1900" spans="1:9" x14ac:dyDescent="0.25">
      <c r="A1900" s="1">
        <f t="shared" si="115"/>
        <v>45517</v>
      </c>
      <c r="B1900" s="31">
        <f>TIME(10,58, 0)</f>
        <v>0.45694444444444443</v>
      </c>
      <c r="C1900" t="str">
        <f>'Inventory as of 12th Aug 2024'!A224</f>
        <v>pens black</v>
      </c>
      <c r="D1900" s="27">
        <v>1</v>
      </c>
      <c r="E1900" s="5">
        <f>Table4[[#This Row],[qty]]*(VLOOKUP(Table4[[#This Row],[item_sold]],Table1[],5,FALSE))</f>
        <v>10</v>
      </c>
      <c r="F1900" s="5">
        <f>(VLOOKUP(Table4[[#This Row],[item_sold]],Table1[],4,FALSE))*Table4[[#This Row],[qty]]</f>
        <v>5</v>
      </c>
      <c r="G1900">
        <f t="shared" ref="G1900:G1942" si="117">E1900-F1900</f>
        <v>5</v>
      </c>
      <c r="H1900" t="s">
        <v>247</v>
      </c>
    </row>
    <row r="1901" spans="1:9" x14ac:dyDescent="0.25">
      <c r="A1901" s="1">
        <f t="shared" si="115"/>
        <v>45517</v>
      </c>
      <c r="B1901" s="31">
        <f>TIME(10,58, 0)</f>
        <v>0.45694444444444443</v>
      </c>
      <c r="C1901" t="str">
        <f>'Inventory as of 12th Aug 2024'!A234</f>
        <v>Bigdaddy</v>
      </c>
      <c r="D1901" s="27">
        <v>1</v>
      </c>
      <c r="E1901" s="5">
        <f>Table4[[#This Row],[qty]]*(VLOOKUP(Table4[[#This Row],[item_sold]],Table1[],5,FALSE))</f>
        <v>10</v>
      </c>
      <c r="F1901" s="5">
        <f>(VLOOKUP(Table4[[#This Row],[item_sold]],Table1[],4,FALSE))*Table4[[#This Row],[qty]]</f>
        <v>6</v>
      </c>
      <c r="G1901">
        <f t="shared" si="117"/>
        <v>4</v>
      </c>
      <c r="H1901" t="s">
        <v>247</v>
      </c>
    </row>
    <row r="1902" spans="1:9" x14ac:dyDescent="0.25">
      <c r="A1902" s="1">
        <f t="shared" si="115"/>
        <v>45517</v>
      </c>
      <c r="B1902" s="31">
        <f>TIME(12,1, 0)</f>
        <v>0.50069444444444444</v>
      </c>
      <c r="C1902" t="str">
        <f>'Inventory as of 12th Aug 2024'!A35</f>
        <v>Festive 600g</v>
      </c>
      <c r="D1902" s="27">
        <v>1</v>
      </c>
      <c r="E1902" s="5">
        <f>Table4[[#This Row],[qty]]*(VLOOKUP(Table4[[#This Row],[item_sold]],Table1[],5,FALSE))</f>
        <v>100</v>
      </c>
      <c r="F1902" s="5">
        <f>(VLOOKUP(Table4[[#This Row],[item_sold]],Table1[],4,FALSE))*Table4[[#This Row],[qty]]</f>
        <v>90</v>
      </c>
      <c r="G1902">
        <f t="shared" si="117"/>
        <v>10</v>
      </c>
      <c r="H1902" t="s">
        <v>247</v>
      </c>
    </row>
    <row r="1903" spans="1:9" x14ac:dyDescent="0.25">
      <c r="A1903" s="1">
        <f t="shared" si="115"/>
        <v>45517</v>
      </c>
      <c r="B1903" s="31">
        <f>TIME(12,2, 0)</f>
        <v>0.50138888888888888</v>
      </c>
      <c r="C1903" t="str">
        <f>'Inventory as of 12th Aug 2024'!A27</f>
        <v>Nescafe 1.5g</v>
      </c>
      <c r="D1903" s="27">
        <v>2</v>
      </c>
      <c r="E1903" s="5">
        <f>Table4[[#This Row],[qty]]*(VLOOKUP(Table4[[#This Row],[item_sold]],Table1[],5,FALSE))</f>
        <v>30</v>
      </c>
      <c r="F1903" s="5">
        <f>(VLOOKUP(Table4[[#This Row],[item_sold]],Table1[],4,FALSE))*Table4[[#This Row],[qty]]</f>
        <v>18.333333333333332</v>
      </c>
      <c r="G1903">
        <f t="shared" si="117"/>
        <v>11.666666666666668</v>
      </c>
      <c r="H1903" t="s">
        <v>247</v>
      </c>
    </row>
    <row r="1904" spans="1:9" x14ac:dyDescent="0.25">
      <c r="A1904" s="1">
        <f t="shared" si="115"/>
        <v>45517</v>
      </c>
      <c r="B1904" s="31">
        <f t="shared" ref="B1904:B1908" si="118">TIME(12,2, 0)</f>
        <v>0.50138888888888888</v>
      </c>
      <c r="C1904" t="str">
        <f>'Inventory as of 12th Aug 2024'!A37</f>
        <v>Festive Bread 400g</v>
      </c>
      <c r="D1904" s="27">
        <v>1</v>
      </c>
      <c r="E1904" s="5">
        <f>Table4[[#This Row],[qty]]*(VLOOKUP(Table4[[#This Row],[item_sold]],Table1[],5,FALSE))</f>
        <v>65</v>
      </c>
      <c r="F1904" s="5">
        <f>(VLOOKUP(Table4[[#This Row],[item_sold]],Table1[],4,FALSE))*Table4[[#This Row],[qty]]</f>
        <v>60</v>
      </c>
      <c r="G1904">
        <f t="shared" si="117"/>
        <v>5</v>
      </c>
      <c r="H1904" t="s">
        <v>247</v>
      </c>
    </row>
    <row r="1905" spans="1:9" x14ac:dyDescent="0.25">
      <c r="A1905" s="1">
        <f t="shared" si="115"/>
        <v>45517</v>
      </c>
      <c r="B1905" s="31">
        <f t="shared" si="118"/>
        <v>0.50138888888888888</v>
      </c>
      <c r="C1905" t="str">
        <f>'Inventory as of 12th Aug 2024'!A244</f>
        <v>5ltrs water</v>
      </c>
      <c r="D1905" s="27">
        <v>1</v>
      </c>
      <c r="E1905" s="5">
        <f>Table4[[#This Row],[qty]]*(VLOOKUP(Table4[[#This Row],[item_sold]],Table1[],5,FALSE))</f>
        <v>120</v>
      </c>
      <c r="F1905" s="5">
        <f>(VLOOKUP(Table4[[#This Row],[item_sold]],Table1[],4,FALSE))*Table4[[#This Row],[qty]]</f>
        <v>75</v>
      </c>
      <c r="G1905">
        <f t="shared" si="117"/>
        <v>45</v>
      </c>
      <c r="H1905" t="s">
        <v>247</v>
      </c>
    </row>
    <row r="1906" spans="1:9" x14ac:dyDescent="0.25">
      <c r="A1906" s="1">
        <f t="shared" si="115"/>
        <v>45517</v>
      </c>
      <c r="B1906" s="31">
        <f t="shared" si="118"/>
        <v>0.50138888888888888</v>
      </c>
      <c r="C1906" t="str">
        <f>'Inventory as of 12th Aug 2024'!A91</f>
        <v>Tomatoes</v>
      </c>
      <c r="D1906" s="27">
        <v>3</v>
      </c>
      <c r="E1906" s="5">
        <f>Table4[[#This Row],[qty]]*(VLOOKUP(Table4[[#This Row],[item_sold]],Table1[],5,FALSE))</f>
        <v>30</v>
      </c>
      <c r="F1906" s="5">
        <f>(VLOOKUP(Table4[[#This Row],[item_sold]],Table1[],4,FALSE))*Table4[[#This Row],[qty]]</f>
        <v>15</v>
      </c>
      <c r="G1906">
        <f t="shared" si="117"/>
        <v>15</v>
      </c>
      <c r="H1906" t="s">
        <v>247</v>
      </c>
    </row>
    <row r="1907" spans="1:9" x14ac:dyDescent="0.25">
      <c r="A1907" s="1">
        <f t="shared" si="115"/>
        <v>45517</v>
      </c>
      <c r="B1907" s="31">
        <f t="shared" si="118"/>
        <v>0.50138888888888888</v>
      </c>
      <c r="C1907" t="str">
        <f>'Inventory as of 12th Aug 2024'!A232</f>
        <v>coo</v>
      </c>
      <c r="D1907" s="27">
        <v>10</v>
      </c>
      <c r="E1907" s="5">
        <f>Table4[[#This Row],[qty]]*(VLOOKUP(Table4[[#This Row],[item_sold]],Table1[],5,FALSE))</f>
        <v>25</v>
      </c>
      <c r="F1907" s="5">
        <f>(VLOOKUP(Table4[[#This Row],[item_sold]],Table1[],4,FALSE))*Table4[[#This Row],[qty]]</f>
        <v>12</v>
      </c>
      <c r="G1907">
        <f t="shared" si="117"/>
        <v>13</v>
      </c>
      <c r="H1907" t="s">
        <v>247</v>
      </c>
    </row>
    <row r="1908" spans="1:9" x14ac:dyDescent="0.25">
      <c r="A1908" s="1">
        <f t="shared" si="115"/>
        <v>45517</v>
      </c>
      <c r="B1908" s="31">
        <f t="shared" si="118"/>
        <v>0.50138888888888888</v>
      </c>
      <c r="C1908" t="str">
        <f>'Inventory as of 12th Aug 2024'!A191</f>
        <v>Nuvita Bisquit</v>
      </c>
      <c r="D1908" s="27">
        <v>2</v>
      </c>
      <c r="E1908" s="5">
        <f>Table4[[#This Row],[qty]]*(VLOOKUP(Table4[[#This Row],[item_sold]],Table1[],5,FALSE))</f>
        <v>10</v>
      </c>
      <c r="F1908" s="5">
        <f>(VLOOKUP(Table4[[#This Row],[item_sold]],Table1[],4,FALSE))*Table4[[#This Row],[qty]]</f>
        <v>8.3333333333333339</v>
      </c>
      <c r="G1908">
        <f t="shared" si="117"/>
        <v>1.6666666666666661</v>
      </c>
      <c r="H1908" t="s">
        <v>247</v>
      </c>
    </row>
    <row r="1909" spans="1:9" x14ac:dyDescent="0.25">
      <c r="A1909" s="1">
        <f t="shared" si="115"/>
        <v>45517</v>
      </c>
      <c r="B1909" s="31">
        <f>TIME(12,58, 0)</f>
        <v>0.54027777777777775</v>
      </c>
      <c r="C1909" t="str">
        <f>'Inventory as of 12th Aug 2024'!A88</f>
        <v>Sunlight 400g</v>
      </c>
      <c r="D1909" s="27">
        <v>1</v>
      </c>
      <c r="E1909" s="5">
        <f>Table4[[#This Row],[qty]]*(VLOOKUP(Table4[[#This Row],[item_sold]],Table1[],5,FALSE))</f>
        <v>200</v>
      </c>
      <c r="F1909" s="5">
        <f>(VLOOKUP(Table4[[#This Row],[item_sold]],Table1[],4,FALSE))*Table4[[#This Row],[qty]]</f>
        <v>145</v>
      </c>
      <c r="G1909">
        <f t="shared" si="117"/>
        <v>55</v>
      </c>
      <c r="H1909" t="s">
        <v>247</v>
      </c>
    </row>
    <row r="1910" spans="1:9" x14ac:dyDescent="0.25">
      <c r="A1910" s="1">
        <f t="shared" si="115"/>
        <v>45517</v>
      </c>
      <c r="B1910" s="31">
        <f t="shared" ref="B1910:B1913" si="119">TIME(12,58, 0)</f>
        <v>0.54027777777777775</v>
      </c>
      <c r="C1910" t="str">
        <f>'Inventory as of 12th Aug 2024'!A195</f>
        <v>Ring Cake</v>
      </c>
      <c r="D1910" s="27">
        <v>1</v>
      </c>
      <c r="E1910" s="5">
        <f>Table4[[#This Row],[qty]]*(VLOOKUP(Table4[[#This Row],[item_sold]],Table1[],5,FALSE))</f>
        <v>50</v>
      </c>
      <c r="F1910" s="5">
        <f>(VLOOKUP(Table4[[#This Row],[item_sold]],Table1[],4,FALSE))*Table4[[#This Row],[qty]]</f>
        <v>45</v>
      </c>
      <c r="G1910">
        <f t="shared" si="117"/>
        <v>5</v>
      </c>
      <c r="H1910" t="s">
        <v>247</v>
      </c>
    </row>
    <row r="1911" spans="1:9" x14ac:dyDescent="0.25">
      <c r="A1911" s="1">
        <f t="shared" si="115"/>
        <v>45517</v>
      </c>
      <c r="B1911" s="31">
        <f t="shared" si="119"/>
        <v>0.54027777777777775</v>
      </c>
      <c r="C1911" t="str">
        <f>'Inventory as of 12th Aug 2024'!A172</f>
        <v>Carrier bag small</v>
      </c>
      <c r="D1911" s="27">
        <v>1</v>
      </c>
      <c r="E1911" s="5">
        <f>Table4[[#This Row],[qty]]*(VLOOKUP(Table4[[#This Row],[item_sold]],Table1[],5,FALSE))</f>
        <v>10</v>
      </c>
      <c r="F1911" s="5">
        <f>(VLOOKUP(Table4[[#This Row],[item_sold]],Table1[],4,FALSE))*Table4[[#This Row],[qty]]</f>
        <v>3</v>
      </c>
      <c r="G1911">
        <f t="shared" si="117"/>
        <v>7</v>
      </c>
      <c r="H1911" t="s">
        <v>247</v>
      </c>
    </row>
    <row r="1912" spans="1:9" x14ac:dyDescent="0.25">
      <c r="A1912" s="1">
        <f t="shared" si="115"/>
        <v>45517</v>
      </c>
      <c r="B1912" s="31">
        <f t="shared" si="119"/>
        <v>0.54027777777777775</v>
      </c>
      <c r="C1912" t="str">
        <f>'Inventory as of 12th Aug 2024'!A10</f>
        <v>Mt Kenya milk 200ml</v>
      </c>
      <c r="D1912" s="27">
        <v>1</v>
      </c>
      <c r="E1912" s="5">
        <f>Table4[[#This Row],[qty]]*(VLOOKUP(Table4[[#This Row],[item_sold]],Table1[],5,FALSE))</f>
        <v>35</v>
      </c>
      <c r="F1912" s="5">
        <f>(VLOOKUP(Table4[[#This Row],[item_sold]],Table1[],4,FALSE))*Table4[[#This Row],[qty]]</f>
        <v>24.285714285714285</v>
      </c>
      <c r="G1912">
        <f t="shared" si="117"/>
        <v>10.714285714285715</v>
      </c>
      <c r="H1912" t="s">
        <v>359</v>
      </c>
      <c r="I1912" t="s">
        <v>395</v>
      </c>
    </row>
    <row r="1913" spans="1:9" x14ac:dyDescent="0.25">
      <c r="A1913" s="1">
        <f t="shared" si="115"/>
        <v>45517</v>
      </c>
      <c r="B1913" s="31">
        <f t="shared" si="119"/>
        <v>0.54027777777777775</v>
      </c>
      <c r="C1913" t="str">
        <f>'Inventory as of 12th Aug 2024'!A201</f>
        <v>Scones</v>
      </c>
      <c r="D1913" s="27">
        <v>1</v>
      </c>
      <c r="E1913" s="5">
        <f>Table4[[#This Row],[qty]]*(VLOOKUP(Table4[[#This Row],[item_sold]],Table1[],5,FALSE))</f>
        <v>10</v>
      </c>
      <c r="F1913" s="5">
        <f>(VLOOKUP(Table4[[#This Row],[item_sold]],Table1[],4,FALSE))*Table4[[#This Row],[qty]]</f>
        <v>8.3333333333333339</v>
      </c>
      <c r="G1913">
        <f t="shared" si="117"/>
        <v>1.6666666666666661</v>
      </c>
      <c r="H1913" t="s">
        <v>359</v>
      </c>
      <c r="I1913" t="s">
        <v>395</v>
      </c>
    </row>
    <row r="1914" spans="1:9" x14ac:dyDescent="0.25">
      <c r="A1914" s="1">
        <f t="shared" si="115"/>
        <v>45517</v>
      </c>
      <c r="B1914" s="31">
        <f>TIME(13,32, 0)</f>
        <v>0.56388888888888888</v>
      </c>
      <c r="C1914" t="str">
        <f>'Inventory as of 12th Aug 2024'!A207</f>
        <v>soda 350ml plastic</v>
      </c>
      <c r="D1914" s="27">
        <v>1</v>
      </c>
      <c r="E1914" s="5">
        <f>Table4[[#This Row],[qty]]*(VLOOKUP(Table4[[#This Row],[item_sold]],Table1[],5,FALSE))</f>
        <v>50</v>
      </c>
      <c r="F1914" s="5">
        <f>(VLOOKUP(Table4[[#This Row],[item_sold]],Table1[],4,FALSE))*Table4[[#This Row],[qty]]</f>
        <v>41.666666666666664</v>
      </c>
      <c r="G1914">
        <f t="shared" si="117"/>
        <v>8.3333333333333357</v>
      </c>
      <c r="H1914" t="s">
        <v>361</v>
      </c>
    </row>
    <row r="1915" spans="1:9" x14ac:dyDescent="0.25">
      <c r="A1915" s="1">
        <f t="shared" si="115"/>
        <v>45517</v>
      </c>
      <c r="B1915" s="31">
        <f t="shared" ref="B1915" si="120">TIME(13,32, 0)</f>
        <v>0.56388888888888888</v>
      </c>
      <c r="C1915" t="str">
        <f>'Inventory as of 12th Aug 2024'!A8</f>
        <v>eggs</v>
      </c>
      <c r="D1915" s="27">
        <v>2</v>
      </c>
      <c r="E1915" s="5">
        <f>Table4[[#This Row],[qty]]*(VLOOKUP(Table4[[#This Row],[item_sold]],Table1[],5,FALSE))</f>
        <v>40</v>
      </c>
      <c r="F1915" s="5">
        <f>(VLOOKUP(Table4[[#This Row],[item_sold]],Table1[],4,FALSE))*Table4[[#This Row],[qty]]</f>
        <v>28.666666666666668</v>
      </c>
      <c r="G1915">
        <f t="shared" si="117"/>
        <v>11.333333333333332</v>
      </c>
      <c r="H1915" t="s">
        <v>361</v>
      </c>
    </row>
    <row r="1916" spans="1:9" x14ac:dyDescent="0.25">
      <c r="A1916" s="1">
        <f t="shared" si="115"/>
        <v>45517</v>
      </c>
      <c r="B1916" s="31">
        <f>TIME(13,39, 0)</f>
        <v>0.56874999999999998</v>
      </c>
      <c r="C1916" t="str">
        <f>'Inventory as of 12th Aug 2024'!A10</f>
        <v>Mt Kenya milk 200ml</v>
      </c>
      <c r="D1916" s="27">
        <v>1</v>
      </c>
      <c r="E1916" s="5">
        <f>Table4[[#This Row],[qty]]*(VLOOKUP(Table4[[#This Row],[item_sold]],Table1[],5,FALSE))</f>
        <v>35</v>
      </c>
      <c r="F1916" s="5">
        <f>(VLOOKUP(Table4[[#This Row],[item_sold]],Table1[],4,FALSE))*Table4[[#This Row],[qty]]</f>
        <v>24.285714285714285</v>
      </c>
      <c r="G1916">
        <f t="shared" si="117"/>
        <v>10.714285714285715</v>
      </c>
      <c r="H1916" t="s">
        <v>247</v>
      </c>
    </row>
    <row r="1917" spans="1:9" x14ac:dyDescent="0.25">
      <c r="A1917" s="1">
        <f t="shared" si="115"/>
        <v>45517</v>
      </c>
      <c r="B1917" s="31">
        <f>TIME(14,7, 0)</f>
        <v>0.58819444444444446</v>
      </c>
      <c r="C1917" t="str">
        <f>'Inventory as of 12th Aug 2024'!A211</f>
        <v>predator</v>
      </c>
      <c r="D1917" s="27">
        <v>1</v>
      </c>
      <c r="E1917" s="5">
        <f>Table4[[#This Row],[qty]]*(VLOOKUP(Table4[[#This Row],[item_sold]],Table1[],5,FALSE))</f>
        <v>70</v>
      </c>
      <c r="F1917" s="5">
        <f>(VLOOKUP(Table4[[#This Row],[item_sold]],Table1[],4,FALSE))*Table4[[#This Row],[qty]]</f>
        <v>54.166666666666664</v>
      </c>
      <c r="G1917">
        <f t="shared" si="117"/>
        <v>15.833333333333336</v>
      </c>
      <c r="H1917" t="s">
        <v>359</v>
      </c>
      <c r="I1917" t="s">
        <v>401</v>
      </c>
    </row>
    <row r="1918" spans="1:9" x14ac:dyDescent="0.25">
      <c r="A1918" s="1">
        <f t="shared" si="115"/>
        <v>45517</v>
      </c>
      <c r="B1918" s="31">
        <f t="shared" ref="B1918" si="121">TIME(14,7, 0)</f>
        <v>0.58819444444444446</v>
      </c>
      <c r="C1918" t="str">
        <f>'Inventory as of 12th Aug 2024'!A189</f>
        <v>Peanut Cookies</v>
      </c>
      <c r="D1918" s="27">
        <v>1</v>
      </c>
      <c r="E1918" s="5">
        <f>Table4[[#This Row],[qty]]*(VLOOKUP(Table4[[#This Row],[item_sold]],Table1[],5,FALSE))</f>
        <v>35</v>
      </c>
      <c r="F1918" s="5">
        <f>(VLOOKUP(Table4[[#This Row],[item_sold]],Table1[],4,FALSE))*Table4[[#This Row],[qty]]</f>
        <v>25</v>
      </c>
      <c r="G1918">
        <f t="shared" si="117"/>
        <v>10</v>
      </c>
      <c r="H1918" t="s">
        <v>359</v>
      </c>
      <c r="I1918" t="s">
        <v>401</v>
      </c>
    </row>
    <row r="1919" spans="1:9" x14ac:dyDescent="0.25">
      <c r="A1919" s="1">
        <f t="shared" si="115"/>
        <v>45517</v>
      </c>
      <c r="B1919" s="31">
        <f>TIME(14,27, 0)</f>
        <v>0.6020833333333333</v>
      </c>
      <c r="C1919" t="str">
        <f>'Inventory as of 12th Aug 2024'!A84</f>
        <v>omo 20g</v>
      </c>
      <c r="D1919" s="27">
        <v>1</v>
      </c>
      <c r="E1919" s="5">
        <f>Table4[[#This Row],[qty]]*(VLOOKUP(Table4[[#This Row],[item_sold]],Table1[],5,FALSE))</f>
        <v>15</v>
      </c>
      <c r="F1919" s="5">
        <f>(VLOOKUP(Table4[[#This Row],[item_sold]],Table1[],4,FALSE))*Table4[[#This Row],[qty]]</f>
        <v>9.1666666666666661</v>
      </c>
      <c r="G1919">
        <f t="shared" si="117"/>
        <v>5.8333333333333339</v>
      </c>
      <c r="H1919" t="s">
        <v>247</v>
      </c>
    </row>
    <row r="1920" spans="1:9" x14ac:dyDescent="0.25">
      <c r="A1920" s="1">
        <f t="shared" si="115"/>
        <v>45517</v>
      </c>
      <c r="B1920" s="31">
        <f t="shared" ref="B1920:B1921" si="122">TIME(14,27, 0)</f>
        <v>0.6020833333333333</v>
      </c>
      <c r="C1920" t="str">
        <f>'Inventory as of 12th Aug 2024'!A87</f>
        <v>Menengai Bar 1kg</v>
      </c>
      <c r="D1920" s="27">
        <v>2</v>
      </c>
      <c r="E1920" s="5">
        <f>Table4[[#This Row],[qty]]*(VLOOKUP(Table4[[#This Row],[item_sold]],Table1[],5,FALSE))</f>
        <v>500</v>
      </c>
      <c r="F1920" s="5">
        <f>(VLOOKUP(Table4[[#This Row],[item_sold]],Table1[],4,FALSE))*Table4[[#This Row],[qty]]</f>
        <v>380</v>
      </c>
      <c r="G1920">
        <f t="shared" si="117"/>
        <v>120</v>
      </c>
      <c r="H1920" t="s">
        <v>247</v>
      </c>
    </row>
    <row r="1921" spans="1:9" x14ac:dyDescent="0.25">
      <c r="A1921" s="1">
        <f t="shared" si="115"/>
        <v>45517</v>
      </c>
      <c r="B1921" s="31">
        <f t="shared" si="122"/>
        <v>0.6020833333333333</v>
      </c>
      <c r="C1921" t="str">
        <f>'Inventory as of 12th Aug 2024'!A191</f>
        <v>Nuvita Bisquit</v>
      </c>
      <c r="D1921" s="27">
        <v>3</v>
      </c>
      <c r="E1921" s="5">
        <f>Table4[[#This Row],[qty]]*(VLOOKUP(Table4[[#This Row],[item_sold]],Table1[],5,FALSE))</f>
        <v>15</v>
      </c>
      <c r="F1921" s="5">
        <f>(VLOOKUP(Table4[[#This Row],[item_sold]],Table1[],4,FALSE))*Table4[[#This Row],[qty]]</f>
        <v>12.5</v>
      </c>
      <c r="G1921">
        <f t="shared" si="117"/>
        <v>2.5</v>
      </c>
      <c r="H1921" t="s">
        <v>247</v>
      </c>
    </row>
    <row r="1922" spans="1:9" x14ac:dyDescent="0.25">
      <c r="A1922" s="1">
        <f t="shared" si="115"/>
        <v>45517</v>
      </c>
      <c r="B1922" s="31">
        <f>TIME(15,9, 0)</f>
        <v>0.63124999999999998</v>
      </c>
      <c r="C1922" t="str">
        <f>'Inventory as of 12th Aug 2024'!A190</f>
        <v>Goodday Cookies</v>
      </c>
      <c r="D1922" s="27">
        <v>4</v>
      </c>
      <c r="E1922" s="5">
        <f>Table4[[#This Row],[qty]]*(VLOOKUP(Table4[[#This Row],[item_sold]],Table1[],5,FALSE))</f>
        <v>60</v>
      </c>
      <c r="F1922" s="5">
        <f>(VLOOKUP(Table4[[#This Row],[item_sold]],Table1[],4,FALSE))*Table4[[#This Row],[qty]]</f>
        <v>37.333333333333336</v>
      </c>
      <c r="G1922">
        <f t="shared" si="117"/>
        <v>22.666666666666664</v>
      </c>
      <c r="H1922" t="s">
        <v>361</v>
      </c>
    </row>
    <row r="1923" spans="1:9" x14ac:dyDescent="0.25">
      <c r="A1923" s="1">
        <f t="shared" si="115"/>
        <v>45517</v>
      </c>
      <c r="B1923" s="31">
        <f>TIME(15,19, 0)</f>
        <v>0.6381944444444444</v>
      </c>
      <c r="C1923" t="str">
        <f>'Inventory as of 12th Aug 2024'!A41</f>
        <v>Indomie beef</v>
      </c>
      <c r="D1923" s="27">
        <v>1</v>
      </c>
      <c r="E1923" s="5">
        <f>Table4[[#This Row],[qty]]*(VLOOKUP(Table4[[#This Row],[item_sold]],Table1[],5,FALSE))</f>
        <v>50</v>
      </c>
      <c r="F1923" s="5">
        <f>(VLOOKUP(Table4[[#This Row],[item_sold]],Table1[],4,FALSE))*Table4[[#This Row],[qty]]</f>
        <v>38</v>
      </c>
      <c r="G1923">
        <f t="shared" si="117"/>
        <v>12</v>
      </c>
      <c r="H1923" t="s">
        <v>361</v>
      </c>
    </row>
    <row r="1924" spans="1:9" x14ac:dyDescent="0.25">
      <c r="A1924" s="1">
        <f t="shared" si="115"/>
        <v>45517</v>
      </c>
      <c r="B1924" s="31">
        <f t="shared" ref="B1924:B1925" si="123">TIME(15,19, 0)</f>
        <v>0.6381944444444444</v>
      </c>
      <c r="C1924" t="str">
        <f>'Inventory as of 12th Aug 2024'!A42</f>
        <v>Indomie chicken</v>
      </c>
      <c r="D1924" s="27">
        <v>1</v>
      </c>
      <c r="E1924" s="5">
        <f>Table4[[#This Row],[qty]]*(VLOOKUP(Table4[[#This Row],[item_sold]],Table1[],5,FALSE))</f>
        <v>50</v>
      </c>
      <c r="F1924" s="5">
        <f>(VLOOKUP(Table4[[#This Row],[item_sold]],Table1[],4,FALSE))*Table4[[#This Row],[qty]]</f>
        <v>37.5</v>
      </c>
      <c r="G1924">
        <f t="shared" si="117"/>
        <v>12.5</v>
      </c>
      <c r="H1924" t="s">
        <v>361</v>
      </c>
    </row>
    <row r="1925" spans="1:9" x14ac:dyDescent="0.25">
      <c r="A1925" s="1">
        <f t="shared" si="115"/>
        <v>45517</v>
      </c>
      <c r="B1925" s="31">
        <f t="shared" si="123"/>
        <v>0.6381944444444444</v>
      </c>
      <c r="C1925" t="str">
        <f>'Inventory as of 12th Aug 2024'!A200</f>
        <v>Ngumu</v>
      </c>
      <c r="D1925" s="27">
        <v>3</v>
      </c>
      <c r="E1925" s="5">
        <f>Table4[[#This Row],[qty]]*(VLOOKUP(Table4[[#This Row],[item_sold]],Table1[],5,FALSE))</f>
        <v>30</v>
      </c>
      <c r="F1925" s="5">
        <f>(VLOOKUP(Table4[[#This Row],[item_sold]],Table1[],4,FALSE))*Table4[[#This Row],[qty]]</f>
        <v>25</v>
      </c>
      <c r="G1925">
        <f t="shared" si="117"/>
        <v>5</v>
      </c>
      <c r="H1925" t="s">
        <v>361</v>
      </c>
    </row>
    <row r="1926" spans="1:9" x14ac:dyDescent="0.25">
      <c r="A1926" s="1">
        <f t="shared" si="115"/>
        <v>45517</v>
      </c>
      <c r="B1926" s="31">
        <f>TIME(15,25, 0)</f>
        <v>0.64236111111111105</v>
      </c>
      <c r="C1926" t="str">
        <f>'Inventory as of 12th Aug 2024'!A239</f>
        <v>Gumballs</v>
      </c>
      <c r="D1926" s="27">
        <v>5</v>
      </c>
      <c r="E1926" s="5">
        <f>Table4[[#This Row],[qty]]*(VLOOKUP(Table4[[#This Row],[item_sold]],Table1[],5,FALSE))</f>
        <v>5</v>
      </c>
      <c r="F1926" s="5">
        <f>(VLOOKUP(Table4[[#This Row],[item_sold]],Table1[],4,FALSE))*Table4[[#This Row],[qty]]</f>
        <v>3.5</v>
      </c>
      <c r="G1926">
        <f t="shared" si="117"/>
        <v>1.5</v>
      </c>
      <c r="H1926" t="s">
        <v>247</v>
      </c>
    </row>
    <row r="1927" spans="1:9" x14ac:dyDescent="0.25">
      <c r="A1927" s="1">
        <f t="shared" si="115"/>
        <v>45517</v>
      </c>
      <c r="B1927" s="31">
        <f>TIME(15,52, 0)</f>
        <v>0.66111111111111109</v>
      </c>
      <c r="C1927" t="str">
        <f>'Inventory as of 12th Aug 2024'!A234</f>
        <v>Bigdaddy</v>
      </c>
      <c r="D1927" s="27">
        <v>5</v>
      </c>
      <c r="E1927" s="5">
        <f>Table4[[#This Row],[qty]]*(VLOOKUP(Table4[[#This Row],[item_sold]],Table1[],5,FALSE))</f>
        <v>50</v>
      </c>
      <c r="F1927" s="5">
        <f>(VLOOKUP(Table4[[#This Row],[item_sold]],Table1[],4,FALSE))*Table4[[#This Row],[qty]]</f>
        <v>30</v>
      </c>
      <c r="G1927">
        <f t="shared" si="117"/>
        <v>20</v>
      </c>
      <c r="H1927" t="s">
        <v>247</v>
      </c>
    </row>
    <row r="1928" spans="1:9" x14ac:dyDescent="0.25">
      <c r="A1928" s="1">
        <f t="shared" si="115"/>
        <v>45517</v>
      </c>
      <c r="B1928" s="31">
        <f>TIME(15,56, 0)</f>
        <v>0.66388888888888886</v>
      </c>
      <c r="C1928" t="str">
        <f>'Inventory as of 12th Aug 2024'!A236</f>
        <v>Gomba</v>
      </c>
      <c r="D1928" s="27">
        <v>2</v>
      </c>
      <c r="E1928" s="5">
        <f>Table4[[#This Row],[qty]]*(VLOOKUP(Table4[[#This Row],[item_sold]],Table1[],5,FALSE))</f>
        <v>5</v>
      </c>
      <c r="F1928" s="5">
        <f>(VLOOKUP(Table4[[#This Row],[item_sold]],Table1[],4,FALSE))*Table4[[#This Row],[qty]]</f>
        <v>3.6</v>
      </c>
      <c r="G1928">
        <f t="shared" si="117"/>
        <v>1.4</v>
      </c>
      <c r="H1928" t="s">
        <v>247</v>
      </c>
    </row>
    <row r="1929" spans="1:9" x14ac:dyDescent="0.25">
      <c r="A1929" s="1">
        <f t="shared" si="115"/>
        <v>45517</v>
      </c>
      <c r="B1929" s="31">
        <f>TIME(16,12, 0)</f>
        <v>0.67499999999999993</v>
      </c>
      <c r="C1929" t="str">
        <f>'Inventory as of 12th Aug 2024'!A213</f>
        <v>soda 500ml glass</v>
      </c>
      <c r="D1929" s="27">
        <v>3</v>
      </c>
      <c r="E1929" s="5">
        <f>Table4[[#This Row],[qty]]*(VLOOKUP(Table4[[#This Row],[item_sold]],Table1[],5,FALSE))</f>
        <v>165</v>
      </c>
      <c r="F1929" s="5">
        <f>(VLOOKUP(Table4[[#This Row],[item_sold]],Table1[],4,FALSE))*Table4[[#This Row],[qty]]</f>
        <v>150</v>
      </c>
      <c r="G1929">
        <f t="shared" si="117"/>
        <v>15</v>
      </c>
      <c r="H1929" t="s">
        <v>359</v>
      </c>
      <c r="I1929" t="s">
        <v>404</v>
      </c>
    </row>
    <row r="1930" spans="1:9" x14ac:dyDescent="0.25">
      <c r="A1930" s="1">
        <f t="shared" si="115"/>
        <v>45517</v>
      </c>
      <c r="B1930" s="31">
        <f>TIME(16,44, 0)</f>
        <v>0.6972222222222223</v>
      </c>
      <c r="C1930" t="str">
        <f>'Inventory as of 12th Aug 2024'!A240</f>
        <v>Bigboss</v>
      </c>
      <c r="D1930" s="27">
        <v>6</v>
      </c>
      <c r="E1930" s="5">
        <f>Table4[[#This Row],[qty]]*(VLOOKUP(Table4[[#This Row],[item_sold]],Table1[],5,FALSE))</f>
        <v>30</v>
      </c>
      <c r="F1930" s="5">
        <f>(VLOOKUP(Table4[[#This Row],[item_sold]],Table1[],4,FALSE))*Table4[[#This Row],[qty]]</f>
        <v>21</v>
      </c>
      <c r="G1930">
        <f t="shared" si="117"/>
        <v>9</v>
      </c>
      <c r="H1930" t="s">
        <v>361</v>
      </c>
    </row>
    <row r="1931" spans="1:9" x14ac:dyDescent="0.25">
      <c r="A1931" s="1">
        <f t="shared" si="115"/>
        <v>45517</v>
      </c>
      <c r="B1931" s="31">
        <f t="shared" ref="B1931" si="124">TIME(16,44, 0)</f>
        <v>0.6972222222222223</v>
      </c>
      <c r="C1931" t="str">
        <f>'Inventory as of 12th Aug 2024'!A191</f>
        <v>Nuvita Bisquit</v>
      </c>
      <c r="D1931" s="27">
        <v>2</v>
      </c>
      <c r="E1931" s="5">
        <f>Table4[[#This Row],[qty]]*(VLOOKUP(Table4[[#This Row],[item_sold]],Table1[],5,FALSE))</f>
        <v>10</v>
      </c>
      <c r="F1931" s="5">
        <f>(VLOOKUP(Table4[[#This Row],[item_sold]],Table1[],4,FALSE))*Table4[[#This Row],[qty]]</f>
        <v>8.3333333333333339</v>
      </c>
      <c r="G1931">
        <f t="shared" si="117"/>
        <v>1.6666666666666661</v>
      </c>
      <c r="H1931" t="s">
        <v>361</v>
      </c>
    </row>
    <row r="1932" spans="1:9" x14ac:dyDescent="0.25">
      <c r="A1932" s="1">
        <f t="shared" si="115"/>
        <v>45517</v>
      </c>
      <c r="B1932" s="31">
        <f>TIME(17,8, 0)</f>
        <v>0.71388888888888891</v>
      </c>
      <c r="C1932" t="str">
        <f>'Inventory as of 12th Aug 2024'!A182</f>
        <v>T.Heat Potato crisps salted 25g</v>
      </c>
      <c r="D1932" s="27">
        <v>1</v>
      </c>
      <c r="E1932" s="5">
        <f>Table4[[#This Row],[qty]]*(VLOOKUP(Table4[[#This Row],[item_sold]],Table1[],5,FALSE))</f>
        <v>30</v>
      </c>
      <c r="F1932" s="5">
        <f>(VLOOKUP(Table4[[#This Row],[item_sold]],Table1[],4,FALSE))*Table4[[#This Row],[qty]]</f>
        <v>22.916666666666668</v>
      </c>
      <c r="G1932">
        <f t="shared" si="117"/>
        <v>7.0833333333333321</v>
      </c>
      <c r="H1932" t="s">
        <v>247</v>
      </c>
    </row>
    <row r="1933" spans="1:9" x14ac:dyDescent="0.25">
      <c r="A1933" s="1">
        <f t="shared" si="115"/>
        <v>45517</v>
      </c>
      <c r="B1933" s="31">
        <f t="shared" ref="B1933:B1934" si="125">TIME(17,8, 0)</f>
        <v>0.71388888888888891</v>
      </c>
      <c r="C1933" t="str">
        <f>'Inventory as of 12th Aug 2024'!A176</f>
        <v>Queen cake</v>
      </c>
      <c r="D1933" s="27">
        <v>1</v>
      </c>
      <c r="E1933" s="5">
        <f>Table4[[#This Row],[qty]]*(VLOOKUP(Table4[[#This Row],[item_sold]],Table1[],5,FALSE))</f>
        <v>10</v>
      </c>
      <c r="F1933" s="5">
        <f>(VLOOKUP(Table4[[#This Row],[item_sold]],Table1[],4,FALSE))*Table4[[#This Row],[qty]]</f>
        <v>8.3333333333333339</v>
      </c>
      <c r="G1933">
        <f t="shared" si="117"/>
        <v>1.6666666666666661</v>
      </c>
      <c r="H1933" t="s">
        <v>247</v>
      </c>
    </row>
    <row r="1934" spans="1:9" x14ac:dyDescent="0.25">
      <c r="A1934" s="1">
        <f t="shared" si="115"/>
        <v>45517</v>
      </c>
      <c r="B1934" s="31">
        <f t="shared" si="125"/>
        <v>0.71388888888888891</v>
      </c>
      <c r="C1934" t="str">
        <f>'Inventory as of 12th Aug 2024'!A240</f>
        <v>Bigboss</v>
      </c>
      <c r="D1934" s="27">
        <v>2</v>
      </c>
      <c r="E1934" s="5">
        <f>Table4[[#This Row],[qty]]*(VLOOKUP(Table4[[#This Row],[item_sold]],Table1[],5,FALSE))</f>
        <v>10</v>
      </c>
      <c r="F1934" s="5">
        <f>(VLOOKUP(Table4[[#This Row],[item_sold]],Table1[],4,FALSE))*Table4[[#This Row],[qty]]</f>
        <v>7</v>
      </c>
      <c r="G1934">
        <f t="shared" si="117"/>
        <v>3</v>
      </c>
      <c r="H1934" t="s">
        <v>247</v>
      </c>
    </row>
    <row r="1935" spans="1:9" x14ac:dyDescent="0.25">
      <c r="A1935" s="1">
        <f t="shared" si="115"/>
        <v>45517</v>
      </c>
      <c r="B1935" s="31">
        <f>TIME(17,48, 0)</f>
        <v>0.7416666666666667</v>
      </c>
      <c r="C1935" t="str">
        <f>'Inventory as of 12th Aug 2024'!A233</f>
        <v>Lollipop</v>
      </c>
      <c r="D1935" s="27">
        <v>1</v>
      </c>
      <c r="E1935" s="5">
        <f>Table4[[#This Row],[qty]]*(VLOOKUP(Table4[[#This Row],[item_sold]],Table1[],5,FALSE))</f>
        <v>5</v>
      </c>
      <c r="F1935" s="5">
        <f>(VLOOKUP(Table4[[#This Row],[item_sold]],Table1[],4,FALSE))*Table4[[#This Row],[qty]]</f>
        <v>2.4</v>
      </c>
      <c r="G1935">
        <f t="shared" si="117"/>
        <v>2.6</v>
      </c>
      <c r="H1935" t="s">
        <v>247</v>
      </c>
    </row>
    <row r="1936" spans="1:9" x14ac:dyDescent="0.25">
      <c r="A1936" s="1">
        <f t="shared" si="115"/>
        <v>45517</v>
      </c>
      <c r="B1936" s="31">
        <f t="shared" ref="B1936:B1937" si="126">TIME(17,48, 0)</f>
        <v>0.7416666666666667</v>
      </c>
      <c r="C1936" t="str">
        <f>'Inventory as of 12th Aug 2024'!A201</f>
        <v>Scones</v>
      </c>
      <c r="D1936" s="27">
        <v>1</v>
      </c>
      <c r="E1936" s="5">
        <f>Table4[[#This Row],[qty]]*(VLOOKUP(Table4[[#This Row],[item_sold]],Table1[],5,FALSE))</f>
        <v>10</v>
      </c>
      <c r="F1936" s="5">
        <f>(VLOOKUP(Table4[[#This Row],[item_sold]],Table1[],4,FALSE))*Table4[[#This Row],[qty]]</f>
        <v>8.3333333333333339</v>
      </c>
      <c r="G1936">
        <f t="shared" si="117"/>
        <v>1.6666666666666661</v>
      </c>
      <c r="H1936" t="s">
        <v>247</v>
      </c>
    </row>
    <row r="1937" spans="1:12" x14ac:dyDescent="0.25">
      <c r="A1937" s="1">
        <f t="shared" si="115"/>
        <v>45517</v>
      </c>
      <c r="B1937" s="31">
        <f t="shared" si="126"/>
        <v>0.7416666666666667</v>
      </c>
      <c r="C1937" t="str">
        <f>'Inventory as of 12th Aug 2024'!A180</f>
        <v>Tamu  Tamu Green</v>
      </c>
      <c r="D1937" s="27">
        <v>1</v>
      </c>
      <c r="E1937" s="5">
        <f>Table4[[#This Row],[qty]]*(VLOOKUP(Table4[[#This Row],[item_sold]],Table1[],5,FALSE))</f>
        <v>15</v>
      </c>
      <c r="F1937" s="5">
        <f>(VLOOKUP(Table4[[#This Row],[item_sold]],Table1[],4,FALSE))*Table4[[#This Row],[qty]]</f>
        <v>8.6</v>
      </c>
      <c r="G1937">
        <f t="shared" si="117"/>
        <v>6.4</v>
      </c>
      <c r="H1937" t="s">
        <v>247</v>
      </c>
    </row>
    <row r="1938" spans="1:12" x14ac:dyDescent="0.25">
      <c r="A1938" s="1">
        <f t="shared" si="115"/>
        <v>45517</v>
      </c>
      <c r="B1938" s="31">
        <f>TIME(18,0, 0)</f>
        <v>0.75</v>
      </c>
      <c r="C1938" t="str">
        <f>'Inventory as of 12th Aug 2024'!A14</f>
        <v>1ltr Brookside Lala Sweetened</v>
      </c>
      <c r="D1938" s="27">
        <v>1</v>
      </c>
      <c r="E1938" s="5">
        <f>Table4[[#This Row],[qty]]*(VLOOKUP(Table4[[#This Row],[item_sold]],Table1[],5,FALSE))</f>
        <v>190</v>
      </c>
      <c r="F1938" s="5">
        <f>(VLOOKUP(Table4[[#This Row],[item_sold]],Table1[],4,FALSE))*Table4[[#This Row],[qty]]</f>
        <v>173</v>
      </c>
      <c r="G1938">
        <f t="shared" si="117"/>
        <v>17</v>
      </c>
      <c r="H1938" t="s">
        <v>359</v>
      </c>
      <c r="I1938" t="s">
        <v>392</v>
      </c>
    </row>
    <row r="1939" spans="1:12" x14ac:dyDescent="0.25">
      <c r="A1939" s="1">
        <f t="shared" si="115"/>
        <v>45517</v>
      </c>
      <c r="B1939" s="31">
        <f>TIME(18,36, 0)</f>
        <v>0.77500000000000002</v>
      </c>
      <c r="C1939" t="str">
        <f>'Inventory as of 12th Aug 2024'!A90</f>
        <v>Onion</v>
      </c>
      <c r="D1939" s="27">
        <v>1</v>
      </c>
      <c r="E1939" s="5">
        <f>Table4[[#This Row],[qty]]*(VLOOKUP(Table4[[#This Row],[item_sold]],Table1[],5,FALSE))</f>
        <v>10</v>
      </c>
      <c r="F1939" s="5">
        <f>(VLOOKUP(Table4[[#This Row],[item_sold]],Table1[],4,FALSE))*Table4[[#This Row],[qty]]</f>
        <v>8</v>
      </c>
      <c r="G1939">
        <f t="shared" si="117"/>
        <v>2</v>
      </c>
      <c r="H1939" t="s">
        <v>361</v>
      </c>
    </row>
    <row r="1940" spans="1:12" x14ac:dyDescent="0.25">
      <c r="A1940" s="1">
        <f t="shared" si="115"/>
        <v>45517</v>
      </c>
      <c r="B1940" s="31">
        <f>TIME(18,43, 0)</f>
        <v>0.77986111111111101</v>
      </c>
      <c r="C1940" t="str">
        <f>'Inventory as of 12th Aug 2024'!A33</f>
        <v>BB Bread 400g</v>
      </c>
      <c r="D1940" s="27">
        <v>1</v>
      </c>
      <c r="E1940" s="5">
        <f>Table4[[#This Row],[qty]]*(VLOOKUP(Table4[[#This Row],[item_sold]],Table1[],5,FALSE))</f>
        <v>65</v>
      </c>
      <c r="F1940" s="5">
        <f>(VLOOKUP(Table4[[#This Row],[item_sold]],Table1[],4,FALSE))*Table4[[#This Row],[qty]]</f>
        <v>60</v>
      </c>
      <c r="G1940">
        <f t="shared" si="117"/>
        <v>5</v>
      </c>
      <c r="H1940" t="s">
        <v>247</v>
      </c>
    </row>
    <row r="1941" spans="1:12" x14ac:dyDescent="0.25">
      <c r="A1941" s="1">
        <f t="shared" si="115"/>
        <v>45517</v>
      </c>
      <c r="B1941" s="31">
        <f>TIME(19,10, 0)</f>
        <v>0.79861111111111116</v>
      </c>
      <c r="C1941" t="str">
        <f>'Inventory as of 12th Aug 2024'!A120</f>
        <v>Maramoja</v>
      </c>
      <c r="D1941" s="27">
        <v>2</v>
      </c>
      <c r="E1941" s="5">
        <f>Table4[[#This Row],[qty]]*(VLOOKUP(Table4[[#This Row],[item_sold]],Table1[],5,FALSE))</f>
        <v>20</v>
      </c>
      <c r="F1941" s="5">
        <f>(VLOOKUP(Table4[[#This Row],[item_sold]],Table1[],4,FALSE))*Table4[[#This Row],[qty]]</f>
        <v>14</v>
      </c>
      <c r="G1941">
        <f t="shared" si="117"/>
        <v>6</v>
      </c>
      <c r="H1941" t="s">
        <v>247</v>
      </c>
    </row>
    <row r="1942" spans="1:12" x14ac:dyDescent="0.25">
      <c r="A1942" s="1">
        <f t="shared" si="115"/>
        <v>45517</v>
      </c>
      <c r="B1942" s="31">
        <f>TIME(19,10, 0)</f>
        <v>0.79861111111111116</v>
      </c>
      <c r="C1942" t="str">
        <f>'Inventory as of 12th Aug 2024'!A234</f>
        <v>Bigdaddy</v>
      </c>
      <c r="D1942" s="27">
        <v>1</v>
      </c>
      <c r="E1942" s="5">
        <f>Table4[[#This Row],[qty]]*(VLOOKUP(Table4[[#This Row],[item_sold]],Table1[],5,FALSE))</f>
        <v>10</v>
      </c>
      <c r="F1942" s="5">
        <f>(VLOOKUP(Table4[[#This Row],[item_sold]],Table1[],4,FALSE))*Table4[[#This Row],[qty]]</f>
        <v>6</v>
      </c>
      <c r="G1942">
        <f t="shared" si="117"/>
        <v>4</v>
      </c>
      <c r="H1942" t="s">
        <v>247</v>
      </c>
    </row>
    <row r="1943" spans="1:12" x14ac:dyDescent="0.25">
      <c r="A1943" s="1">
        <f t="shared" si="115"/>
        <v>45517</v>
      </c>
      <c r="B1943" s="31">
        <f>TIME(19,11, 0)</f>
        <v>0.7993055555555556</v>
      </c>
      <c r="C1943" t="str">
        <f>'Inventory as of 12th Aug 2024'!A198</f>
        <v>Mandazi</v>
      </c>
      <c r="D1943" s="27">
        <v>4</v>
      </c>
      <c r="E1943" s="5">
        <f>Table4[[#This Row],[qty]]*(VLOOKUP(Table4[[#This Row],[item_sold]],Table1[],5,FALSE))</f>
        <v>20</v>
      </c>
      <c r="F1943" s="5">
        <f>(VLOOKUP(Table4[[#This Row],[item_sold]],Table1[],4,FALSE))*Table4[[#This Row],[qty]]</f>
        <v>16.666666666666668</v>
      </c>
      <c r="G1943">
        <f t="shared" ref="G1943:G1960" si="127">E1943-F1943</f>
        <v>3.3333333333333321</v>
      </c>
      <c r="H1943" t="s">
        <v>361</v>
      </c>
    </row>
    <row r="1944" spans="1:12" x14ac:dyDescent="0.25">
      <c r="A1944" s="1">
        <f t="shared" si="115"/>
        <v>45517</v>
      </c>
      <c r="B1944" s="31">
        <f>TIME(19,51, 0)</f>
        <v>0.82708333333333339</v>
      </c>
      <c r="C1944" t="str">
        <f>'Inventory as of 12th Aug 2024'!A52</f>
        <v>210 Maize Meal 2kg</v>
      </c>
      <c r="D1944" s="27">
        <v>1</v>
      </c>
      <c r="E1944" s="5">
        <f>Table4[[#This Row],[qty]]*(VLOOKUP(Table4[[#This Row],[item_sold]],Table1[],5,FALSE))</f>
        <v>160</v>
      </c>
      <c r="F1944" s="5">
        <f>(VLOOKUP(Table4[[#This Row],[item_sold]],Table1[],4,FALSE))*Table4[[#This Row],[qty]]</f>
        <v>117.08333333333333</v>
      </c>
      <c r="G1944">
        <f t="shared" si="127"/>
        <v>42.916666666666671</v>
      </c>
      <c r="H1944" t="s">
        <v>359</v>
      </c>
      <c r="I1944" t="s">
        <v>401</v>
      </c>
    </row>
    <row r="1945" spans="1:12" x14ac:dyDescent="0.25">
      <c r="A1945" s="1">
        <f t="shared" si="115"/>
        <v>45517</v>
      </c>
      <c r="B1945" s="31">
        <f>TIME(19,51, 0)</f>
        <v>0.82708333333333339</v>
      </c>
      <c r="C1945" t="str">
        <f>'Inventory as of 12th Aug 2024'!A75</f>
        <v>Cooking Oil Measured</v>
      </c>
      <c r="D1945" s="27">
        <v>0.5</v>
      </c>
      <c r="E1945" s="5">
        <f>Table4[[#This Row],[qty]]*(VLOOKUP(Table4[[#This Row],[item_sold]],Table1[],5,FALSE))</f>
        <v>140</v>
      </c>
      <c r="F1945" s="5">
        <f>(VLOOKUP(Table4[[#This Row],[item_sold]],Table1[],4,FALSE))*Table4[[#This Row],[qty]]</f>
        <v>100</v>
      </c>
      <c r="G1945">
        <f t="shared" si="127"/>
        <v>40</v>
      </c>
      <c r="H1945" t="s">
        <v>359</v>
      </c>
      <c r="I1945" t="s">
        <v>401</v>
      </c>
    </row>
    <row r="1946" spans="1:12" x14ac:dyDescent="0.25">
      <c r="A1946" s="1">
        <f t="shared" si="115"/>
        <v>45517</v>
      </c>
      <c r="B1946" s="31">
        <f>TIME(19,52, 0)</f>
        <v>0.82777777777777783</v>
      </c>
      <c r="C1946" t="str">
        <f>'Inventory as of 12th Aug 2024'!A75</f>
        <v>Cooking Oil Measured</v>
      </c>
      <c r="D1946" s="27">
        <v>0.5</v>
      </c>
      <c r="E1946" s="5">
        <f>Table4[[#This Row],[qty]]*(VLOOKUP(Table4[[#This Row],[item_sold]],Table1[],5,FALSE))</f>
        <v>140</v>
      </c>
      <c r="F1946" s="5">
        <f>(VLOOKUP(Table4[[#This Row],[item_sold]],Table1[],4,FALSE))*Table4[[#This Row],[qty]]</f>
        <v>100</v>
      </c>
      <c r="G1946">
        <f t="shared" si="127"/>
        <v>40</v>
      </c>
      <c r="H1946" t="s">
        <v>359</v>
      </c>
      <c r="I1946" t="s">
        <v>412</v>
      </c>
      <c r="J1946" t="s">
        <v>389</v>
      </c>
      <c r="K1946">
        <v>40</v>
      </c>
      <c r="L1946" t="s">
        <v>247</v>
      </c>
    </row>
    <row r="1947" spans="1:12" x14ac:dyDescent="0.25">
      <c r="A1947" s="1">
        <f t="shared" si="115"/>
        <v>45517</v>
      </c>
      <c r="B1947" s="31">
        <f>TIME(20,1, 0)</f>
        <v>0.8340277777777777</v>
      </c>
      <c r="C1947" t="str">
        <f>'Inventory as of 12th Aug 2024'!A17</f>
        <v>Brookside milk 500ml</v>
      </c>
      <c r="D1947" s="27">
        <v>3</v>
      </c>
      <c r="E1947" s="5">
        <f>Table4[[#This Row],[qty]]*(VLOOKUP(Table4[[#This Row],[item_sold]],Table1[],5,FALSE))</f>
        <v>210</v>
      </c>
      <c r="F1947" s="5">
        <f>(VLOOKUP(Table4[[#This Row],[item_sold]],Table1[],4,FALSE))*Table4[[#This Row],[qty]]</f>
        <v>177</v>
      </c>
      <c r="G1947">
        <f t="shared" si="127"/>
        <v>33</v>
      </c>
      <c r="H1947" t="s">
        <v>359</v>
      </c>
      <c r="I1947" t="s">
        <v>389</v>
      </c>
      <c r="J1947" t="s">
        <v>389</v>
      </c>
      <c r="K1947">
        <v>1600</v>
      </c>
      <c r="L1947" t="s">
        <v>361</v>
      </c>
    </row>
    <row r="1948" spans="1:12" x14ac:dyDescent="0.25">
      <c r="A1948" s="1">
        <f t="shared" si="115"/>
        <v>45517</v>
      </c>
      <c r="B1948" s="31">
        <f>TIME(20,2, 0)</f>
        <v>0.83472222222222225</v>
      </c>
      <c r="C1948" t="str">
        <f>'Inventory as of 12th Aug 2024'!A75</f>
        <v>Cooking Oil Measured</v>
      </c>
      <c r="D1948" s="27">
        <v>0.5</v>
      </c>
      <c r="E1948" s="5">
        <f>Table4[[#This Row],[qty]]*(VLOOKUP(Table4[[#This Row],[item_sold]],Table1[],5,FALSE))</f>
        <v>140</v>
      </c>
      <c r="F1948" s="5">
        <f>(VLOOKUP(Table4[[#This Row],[item_sold]],Table1[],4,FALSE))*Table4[[#This Row],[qty]]</f>
        <v>100</v>
      </c>
      <c r="G1948">
        <f t="shared" si="127"/>
        <v>40</v>
      </c>
      <c r="H1948" t="s">
        <v>247</v>
      </c>
    </row>
    <row r="1949" spans="1:12" x14ac:dyDescent="0.25">
      <c r="A1949" s="1">
        <f t="shared" si="115"/>
        <v>45517</v>
      </c>
      <c r="B1949" s="31">
        <f>TIME(20,2, 0)</f>
        <v>0.83472222222222225</v>
      </c>
      <c r="C1949" t="str">
        <f>'Inventory as of 12th Aug 2024'!A91</f>
        <v>Tomatoes</v>
      </c>
      <c r="D1949" s="27">
        <v>2</v>
      </c>
      <c r="E1949" s="5">
        <f>Table4[[#This Row],[qty]]*(VLOOKUP(Table4[[#This Row],[item_sold]],Table1[],5,FALSE))</f>
        <v>20</v>
      </c>
      <c r="F1949" s="5">
        <f>(VLOOKUP(Table4[[#This Row],[item_sold]],Table1[],4,FALSE))*Table4[[#This Row],[qty]]</f>
        <v>10</v>
      </c>
      <c r="G1949">
        <f t="shared" si="127"/>
        <v>10</v>
      </c>
      <c r="H1949" t="s">
        <v>361</v>
      </c>
    </row>
    <row r="1950" spans="1:12" x14ac:dyDescent="0.25">
      <c r="A1950" s="1">
        <f t="shared" si="115"/>
        <v>45517</v>
      </c>
      <c r="B1950" s="31">
        <f t="shared" ref="B1950:B1951" si="128">TIME(20,2, 0)</f>
        <v>0.83472222222222225</v>
      </c>
      <c r="C1950" t="str">
        <f>'Inventory as of 12th Aug 2024'!A90</f>
        <v>Onion</v>
      </c>
      <c r="D1950" s="27">
        <v>2</v>
      </c>
      <c r="E1950" s="5">
        <f>Table4[[#This Row],[qty]]*(VLOOKUP(Table4[[#This Row],[item_sold]],Table1[],5,FALSE))</f>
        <v>20</v>
      </c>
      <c r="F1950" s="5">
        <f>(VLOOKUP(Table4[[#This Row],[item_sold]],Table1[],4,FALSE))*Table4[[#This Row],[qty]]</f>
        <v>16</v>
      </c>
      <c r="G1950">
        <f t="shared" si="127"/>
        <v>4</v>
      </c>
      <c r="H1950" t="s">
        <v>361</v>
      </c>
    </row>
    <row r="1951" spans="1:12" x14ac:dyDescent="0.25">
      <c r="A1951" s="1">
        <f t="shared" si="115"/>
        <v>45517</v>
      </c>
      <c r="B1951" s="31">
        <f t="shared" si="128"/>
        <v>0.83472222222222225</v>
      </c>
      <c r="C1951" t="str">
        <f>'Inventory as of 12th Aug 2024'!A68</f>
        <v>Royco cubes</v>
      </c>
      <c r="D1951" s="27">
        <v>2</v>
      </c>
      <c r="E1951" s="5">
        <f>Table4[[#This Row],[qty]]*(VLOOKUP(Table4[[#This Row],[item_sold]],Table1[],5,FALSE))</f>
        <v>10</v>
      </c>
      <c r="F1951" s="5">
        <f>(VLOOKUP(Table4[[#This Row],[item_sold]],Table1[],4,FALSE))*Table4[[#This Row],[qty]]</f>
        <v>6</v>
      </c>
      <c r="G1951">
        <f t="shared" si="127"/>
        <v>4</v>
      </c>
      <c r="H1951" t="s">
        <v>361</v>
      </c>
    </row>
    <row r="1952" spans="1:12" x14ac:dyDescent="0.25">
      <c r="A1952" s="1">
        <f t="shared" ref="A1952:A1957" si="129">DATE(2024,8,13)</f>
        <v>45517</v>
      </c>
      <c r="B1952" s="31">
        <f>TIME(20,30, 0)</f>
        <v>0.85416666666666663</v>
      </c>
      <c r="C1952" t="str">
        <f>'Inventory as of 12th Aug 2024'!A107</f>
        <v>Match Box</v>
      </c>
      <c r="D1952" s="27">
        <v>1</v>
      </c>
      <c r="E1952" s="5">
        <f>Table4[[#This Row],[qty]]*(VLOOKUP(Table4[[#This Row],[item_sold]],Table1[],5,FALSE))</f>
        <v>5</v>
      </c>
      <c r="F1952" s="5">
        <f>(VLOOKUP(Table4[[#This Row],[item_sold]],Table1[],4,FALSE))*Table4[[#This Row],[qty]]</f>
        <v>2.3611111111111112</v>
      </c>
      <c r="G1952">
        <f t="shared" si="127"/>
        <v>2.6388888888888888</v>
      </c>
      <c r="H1952" t="s">
        <v>359</v>
      </c>
      <c r="I1952" t="s">
        <v>401</v>
      </c>
    </row>
    <row r="1953" spans="1:9" x14ac:dyDescent="0.25">
      <c r="A1953" s="1">
        <f t="shared" si="129"/>
        <v>45517</v>
      </c>
      <c r="B1953" s="31">
        <f>TIME(20,49, 0)</f>
        <v>0.86736111111111114</v>
      </c>
      <c r="C1953" t="str">
        <f>'Inventory as of 12th Aug 2024'!A189</f>
        <v>Peanut Cookies</v>
      </c>
      <c r="D1953" s="27">
        <v>1</v>
      </c>
      <c r="E1953" s="5">
        <f>Table4[[#This Row],[qty]]*(VLOOKUP(Table4[[#This Row],[item_sold]],Table1[],5,FALSE))</f>
        <v>35</v>
      </c>
      <c r="F1953" s="5">
        <f>(VLOOKUP(Table4[[#This Row],[item_sold]],Table1[],4,FALSE))*Table4[[#This Row],[qty]]</f>
        <v>25</v>
      </c>
      <c r="G1953">
        <f t="shared" si="127"/>
        <v>10</v>
      </c>
      <c r="H1953" t="s">
        <v>361</v>
      </c>
    </row>
    <row r="1954" spans="1:9" x14ac:dyDescent="0.25">
      <c r="A1954" s="1">
        <f t="shared" si="129"/>
        <v>45517</v>
      </c>
      <c r="B1954" s="31">
        <f>TIME(21,20, 0)</f>
        <v>0.88888888888888884</v>
      </c>
      <c r="C1954" t="str">
        <f>'Inventory as of 12th Aug 2024'!A12</f>
        <v>Kienyeji  Eggs</v>
      </c>
      <c r="D1954" s="27">
        <v>2</v>
      </c>
      <c r="E1954" s="5">
        <f>Table4[[#This Row],[qty]]*(VLOOKUP(Table4[[#This Row],[item_sold]],Table1[],5,FALSE))</f>
        <v>60</v>
      </c>
      <c r="F1954" s="5">
        <f>(VLOOKUP(Table4[[#This Row],[item_sold]],Table1[],4,FALSE))*Table4[[#This Row],[qty]]</f>
        <v>40</v>
      </c>
      <c r="G1954">
        <f t="shared" si="127"/>
        <v>20</v>
      </c>
      <c r="H1954" t="s">
        <v>359</v>
      </c>
      <c r="I1954" t="s">
        <v>398</v>
      </c>
    </row>
    <row r="1955" spans="1:9" x14ac:dyDescent="0.25">
      <c r="A1955" s="1">
        <f t="shared" si="129"/>
        <v>45517</v>
      </c>
      <c r="B1955" s="31">
        <f t="shared" ref="B1955:B1957" si="130">TIME(21,20, 0)</f>
        <v>0.88888888888888884</v>
      </c>
      <c r="C1955" t="str">
        <f>'Inventory as of 12th Aug 2024'!A90</f>
        <v>Onion</v>
      </c>
      <c r="D1955" s="27">
        <v>1</v>
      </c>
      <c r="E1955" s="5">
        <f>Table4[[#This Row],[qty]]*(VLOOKUP(Table4[[#This Row],[item_sold]],Table1[],5,FALSE))</f>
        <v>10</v>
      </c>
      <c r="F1955" s="5">
        <f>(VLOOKUP(Table4[[#This Row],[item_sold]],Table1[],4,FALSE))*Table4[[#This Row],[qty]]</f>
        <v>8</v>
      </c>
      <c r="G1955">
        <f t="shared" si="127"/>
        <v>2</v>
      </c>
      <c r="H1955" t="s">
        <v>359</v>
      </c>
      <c r="I1955" t="s">
        <v>398</v>
      </c>
    </row>
    <row r="1956" spans="1:9" x14ac:dyDescent="0.25">
      <c r="A1956" s="1">
        <f t="shared" si="129"/>
        <v>45517</v>
      </c>
      <c r="B1956" s="31">
        <f t="shared" si="130"/>
        <v>0.88888888888888884</v>
      </c>
      <c r="C1956" t="str">
        <f>'Inventory as of 12th Aug 2024'!A9</f>
        <v>Kinangop Fresh Milk 500ml</v>
      </c>
      <c r="D1956" s="27">
        <v>1</v>
      </c>
      <c r="E1956" s="5">
        <f>Table4[[#This Row],[qty]]*(VLOOKUP(Table4[[#This Row],[item_sold]],Table1[],5,FALSE))</f>
        <v>60</v>
      </c>
      <c r="F1956" s="5">
        <f>(VLOOKUP(Table4[[#This Row],[item_sold]],Table1[],4,FALSE))*Table4[[#This Row],[qty]]</f>
        <v>55</v>
      </c>
      <c r="G1956">
        <f t="shared" si="127"/>
        <v>5</v>
      </c>
      <c r="H1956" t="s">
        <v>359</v>
      </c>
      <c r="I1956" t="s">
        <v>390</v>
      </c>
    </row>
    <row r="1957" spans="1:9" x14ac:dyDescent="0.25">
      <c r="A1957" s="1">
        <f t="shared" si="129"/>
        <v>45517</v>
      </c>
      <c r="B1957" s="31">
        <f t="shared" si="130"/>
        <v>0.88888888888888884</v>
      </c>
      <c r="C1957" t="str">
        <f>'Inventory as of 12th Aug 2024'!A207</f>
        <v>soda 350ml plastic</v>
      </c>
      <c r="D1957" s="27">
        <v>1</v>
      </c>
      <c r="E1957" s="5">
        <f>Table4[[#This Row],[qty]]*(VLOOKUP(Table4[[#This Row],[item_sold]],Table1[],5,FALSE))</f>
        <v>50</v>
      </c>
      <c r="F1957" s="5">
        <f>(VLOOKUP(Table4[[#This Row],[item_sold]],Table1[],4,FALSE))*Table4[[#This Row],[qty]]</f>
        <v>41.666666666666664</v>
      </c>
      <c r="G1957">
        <f t="shared" si="127"/>
        <v>8.3333333333333357</v>
      </c>
      <c r="H1957" t="s">
        <v>359</v>
      </c>
      <c r="I1957" t="s">
        <v>390</v>
      </c>
    </row>
    <row r="1958" spans="1:9" x14ac:dyDescent="0.25">
      <c r="A1958" s="1">
        <f>DATE(2024,8,14)</f>
        <v>45518</v>
      </c>
      <c r="B1958" s="31">
        <f>TIME(8,9, 0)</f>
        <v>0.33958333333333335</v>
      </c>
      <c r="C1958" t="str">
        <f>'Inventory as of 12th Aug 2024'!A33</f>
        <v>BB Bread 400g</v>
      </c>
      <c r="D1958" s="27">
        <v>1</v>
      </c>
      <c r="E1958" s="5">
        <f>Table4[[#This Row],[qty]]*(VLOOKUP(Table4[[#This Row],[item_sold]],Table1[],5,FALSE))</f>
        <v>65</v>
      </c>
      <c r="F1958" s="5">
        <f>(VLOOKUP(Table4[[#This Row],[item_sold]],Table1[],4,FALSE))*Table4[[#This Row],[qty]]</f>
        <v>60</v>
      </c>
      <c r="G1958">
        <f t="shared" si="127"/>
        <v>5</v>
      </c>
      <c r="H1958" t="s">
        <v>361</v>
      </c>
    </row>
    <row r="1959" spans="1:9" x14ac:dyDescent="0.25">
      <c r="A1959" s="1">
        <f t="shared" ref="A1959:A2019" si="131">DATE(2024,8,14)</f>
        <v>45518</v>
      </c>
      <c r="B1959" s="31">
        <f t="shared" ref="B1959" si="132">TIME(8,9, 0)</f>
        <v>0.33958333333333335</v>
      </c>
      <c r="C1959" t="str">
        <f>'Inventory as of 12th Aug 2024'!A9</f>
        <v>Kinangop Fresh Milk 500ml</v>
      </c>
      <c r="D1959" s="27">
        <v>1</v>
      </c>
      <c r="E1959" s="5">
        <f>Table4[[#This Row],[qty]]*(VLOOKUP(Table4[[#This Row],[item_sold]],Table1[],5,FALSE))</f>
        <v>60</v>
      </c>
      <c r="F1959" s="5">
        <f>(VLOOKUP(Table4[[#This Row],[item_sold]],Table1[],4,FALSE))*Table4[[#This Row],[qty]]</f>
        <v>55</v>
      </c>
      <c r="G1959">
        <f t="shared" si="127"/>
        <v>5</v>
      </c>
      <c r="H1959" t="s">
        <v>361</v>
      </c>
    </row>
    <row r="1960" spans="1:9" x14ac:dyDescent="0.25">
      <c r="A1960" s="1">
        <f t="shared" si="131"/>
        <v>45518</v>
      </c>
      <c r="B1960" s="31">
        <f>TIME(8,10, 0)</f>
        <v>0.34027777777777773</v>
      </c>
      <c r="C1960" t="str">
        <f>'Inventory as of 12th Aug 2024'!A37</f>
        <v>Festive Bread 400g</v>
      </c>
      <c r="D1960" s="27">
        <v>2</v>
      </c>
      <c r="E1960" s="5">
        <f>Table4[[#This Row],[qty]]*(VLOOKUP(Table4[[#This Row],[item_sold]],Table1[],5,FALSE))</f>
        <v>130</v>
      </c>
      <c r="F1960" s="5">
        <f>(VLOOKUP(Table4[[#This Row],[item_sold]],Table1[],4,FALSE))*Table4[[#This Row],[qty]]</f>
        <v>120</v>
      </c>
      <c r="G1960">
        <f t="shared" si="127"/>
        <v>10</v>
      </c>
      <c r="H1960" t="s">
        <v>247</v>
      </c>
    </row>
    <row r="1961" spans="1:9" x14ac:dyDescent="0.25">
      <c r="A1961" s="1">
        <f t="shared" si="131"/>
        <v>45518</v>
      </c>
      <c r="B1961" s="31">
        <f>TIME(8,12, 0)</f>
        <v>0.34166666666666662</v>
      </c>
      <c r="C1961" t="str">
        <f>'Inventory as of 12th Aug 2024'!A17</f>
        <v>Brookside milk 500ml</v>
      </c>
      <c r="D1961" s="27">
        <v>3</v>
      </c>
      <c r="E1961" s="5">
        <f>Table4[[#This Row],[qty]]*(VLOOKUP(Table4[[#This Row],[item_sold]],Table1[],5,FALSE))</f>
        <v>210</v>
      </c>
      <c r="F1961" s="5">
        <f>(VLOOKUP(Table4[[#This Row],[item_sold]],Table1[],4,FALSE))*Table4[[#This Row],[qty]]</f>
        <v>177</v>
      </c>
      <c r="G1961">
        <f t="shared" ref="G1961:G2024" si="133">E1961-F1961</f>
        <v>33</v>
      </c>
      <c r="H1961" t="s">
        <v>247</v>
      </c>
    </row>
    <row r="1962" spans="1:9" x14ac:dyDescent="0.25">
      <c r="A1962" s="1">
        <f t="shared" si="131"/>
        <v>45518</v>
      </c>
      <c r="B1962" s="31">
        <f>TIME(8,25, 0)</f>
        <v>0.35069444444444442</v>
      </c>
      <c r="C1962" t="str">
        <f>'Inventory as of 12th Aug 2024'!A33</f>
        <v>BB Bread 400g</v>
      </c>
      <c r="D1962" s="27">
        <v>2</v>
      </c>
      <c r="E1962" s="5">
        <f>Table4[[#This Row],[qty]]*(VLOOKUP(Table4[[#This Row],[item_sold]],Table1[],5,FALSE))</f>
        <v>130</v>
      </c>
      <c r="F1962" s="5">
        <f>(VLOOKUP(Table4[[#This Row],[item_sold]],Table1[],4,FALSE))*Table4[[#This Row],[qty]]</f>
        <v>120</v>
      </c>
      <c r="G1962">
        <f t="shared" si="133"/>
        <v>10</v>
      </c>
      <c r="H1962" t="s">
        <v>247</v>
      </c>
    </row>
    <row r="1963" spans="1:9" x14ac:dyDescent="0.25">
      <c r="A1963" s="1">
        <f t="shared" si="131"/>
        <v>45518</v>
      </c>
      <c r="B1963" s="31">
        <f>TIME(9,9, 0)</f>
        <v>0.38125000000000003</v>
      </c>
      <c r="C1963" t="str">
        <f>'Inventory as of 12th Aug 2024'!A57</f>
        <v>Sportsman</v>
      </c>
      <c r="D1963" s="27">
        <v>1</v>
      </c>
      <c r="E1963" s="5">
        <f>Table4[[#This Row],[qty]]*(VLOOKUP(Table4[[#This Row],[item_sold]],Table1[],5,FALSE))</f>
        <v>20</v>
      </c>
      <c r="F1963" s="5">
        <f>(VLOOKUP(Table4[[#This Row],[item_sold]],Table1[],4,FALSE))*Table4[[#This Row],[qty]]</f>
        <v>13</v>
      </c>
      <c r="G1963">
        <f t="shared" si="133"/>
        <v>7</v>
      </c>
      <c r="H1963" t="s">
        <v>247</v>
      </c>
    </row>
    <row r="1964" spans="1:9" x14ac:dyDescent="0.25">
      <c r="A1964" s="1">
        <f t="shared" si="131"/>
        <v>45518</v>
      </c>
      <c r="B1964" s="31">
        <f>TIME(9,50, 0)</f>
        <v>0.40972222222222227</v>
      </c>
      <c r="C1964" t="str">
        <f>'Inventory as of 12th Aug 2024'!A191</f>
        <v>Nuvita Bisquit</v>
      </c>
      <c r="D1964" s="27">
        <v>6</v>
      </c>
      <c r="E1964" s="5">
        <f>Table4[[#This Row],[qty]]*(VLOOKUP(Table4[[#This Row],[item_sold]],Table1[],5,FALSE))</f>
        <v>30</v>
      </c>
      <c r="F1964" s="5">
        <f>(VLOOKUP(Table4[[#This Row],[item_sold]],Table1[],4,FALSE))*Table4[[#This Row],[qty]]</f>
        <v>25</v>
      </c>
      <c r="G1964">
        <f t="shared" si="133"/>
        <v>5</v>
      </c>
      <c r="H1964" t="s">
        <v>247</v>
      </c>
    </row>
    <row r="1965" spans="1:9" x14ac:dyDescent="0.25">
      <c r="A1965" s="1">
        <f t="shared" si="131"/>
        <v>45518</v>
      </c>
      <c r="B1965" s="31">
        <f>TIME(10,11, 0)</f>
        <v>0.42430555555555555</v>
      </c>
      <c r="C1965" t="str">
        <f>'Inventory as of 12th Aug 2024'!A211</f>
        <v>predator</v>
      </c>
      <c r="D1965" s="27">
        <v>1</v>
      </c>
      <c r="E1965" s="5">
        <f>Table4[[#This Row],[qty]]*(VLOOKUP(Table4[[#This Row],[item_sold]],Table1[],5,FALSE))</f>
        <v>70</v>
      </c>
      <c r="F1965" s="5">
        <f>(VLOOKUP(Table4[[#This Row],[item_sold]],Table1[],4,FALSE))*Table4[[#This Row],[qty]]</f>
        <v>54.166666666666664</v>
      </c>
      <c r="G1965">
        <f t="shared" si="133"/>
        <v>15.833333333333336</v>
      </c>
      <c r="H1965" t="s">
        <v>361</v>
      </c>
    </row>
    <row r="1966" spans="1:9" x14ac:dyDescent="0.25">
      <c r="A1966" s="1">
        <f t="shared" si="131"/>
        <v>45518</v>
      </c>
      <c r="B1966" s="31">
        <f>TIME(10,11, 0)</f>
        <v>0.42430555555555555</v>
      </c>
      <c r="C1966" t="str">
        <f>'Inventory as of 12th Aug 2024'!A189</f>
        <v>Peanut Cookies</v>
      </c>
      <c r="D1966" s="27">
        <v>1</v>
      </c>
      <c r="E1966" s="5">
        <f>Table4[[#This Row],[qty]]*(VLOOKUP(Table4[[#This Row],[item_sold]],Table1[],5,FALSE))</f>
        <v>35</v>
      </c>
      <c r="F1966" s="5">
        <f>(VLOOKUP(Table4[[#This Row],[item_sold]],Table1[],4,FALSE))*Table4[[#This Row],[qty]]</f>
        <v>25</v>
      </c>
      <c r="G1966">
        <f t="shared" si="133"/>
        <v>10</v>
      </c>
      <c r="H1966" t="s">
        <v>361</v>
      </c>
    </row>
    <row r="1967" spans="1:9" x14ac:dyDescent="0.25">
      <c r="A1967" s="1">
        <f t="shared" si="131"/>
        <v>45518</v>
      </c>
      <c r="B1967" s="31">
        <f>TIME(10,21, 0)</f>
        <v>0.43124999999999997</v>
      </c>
      <c r="C1967" t="str">
        <f>'Inventory as of 12th Aug 2024'!A33</f>
        <v>BB Bread 400g</v>
      </c>
      <c r="D1967" s="27">
        <v>1</v>
      </c>
      <c r="E1967" s="5">
        <f>Table4[[#This Row],[qty]]*(VLOOKUP(Table4[[#This Row],[item_sold]],Table1[],5,FALSE))</f>
        <v>65</v>
      </c>
      <c r="F1967" s="5">
        <f>(VLOOKUP(Table4[[#This Row],[item_sold]],Table1[],4,FALSE))*Table4[[#This Row],[qty]]</f>
        <v>60</v>
      </c>
      <c r="G1967">
        <f t="shared" si="133"/>
        <v>5</v>
      </c>
      <c r="H1967" t="s">
        <v>361</v>
      </c>
    </row>
    <row r="1968" spans="1:9" x14ac:dyDescent="0.25">
      <c r="A1968" s="1">
        <f t="shared" si="131"/>
        <v>45518</v>
      </c>
      <c r="B1968" s="31">
        <f t="shared" ref="B1968:B1969" si="134">TIME(11,57, 0)</f>
        <v>0.49791666666666662</v>
      </c>
      <c r="C1968" t="str">
        <f>'Inventory as of 12th Aug 2024'!A177</f>
        <v>Ringoz Barbeque</v>
      </c>
      <c r="D1968" s="27">
        <v>2</v>
      </c>
      <c r="E1968" s="5">
        <f>Table4[[#This Row],[qty]]*(VLOOKUP(Table4[[#This Row],[item_sold]],Table1[],5,FALSE))</f>
        <v>30</v>
      </c>
      <c r="F1968" s="5">
        <f>(VLOOKUP(Table4[[#This Row],[item_sold]],Table1[],4,FALSE))*Table4[[#This Row],[qty]]</f>
        <v>17.2</v>
      </c>
      <c r="G1968">
        <f t="shared" si="133"/>
        <v>12.8</v>
      </c>
      <c r="H1968" t="s">
        <v>247</v>
      </c>
    </row>
    <row r="1969" spans="1:8" x14ac:dyDescent="0.25">
      <c r="A1969" s="1">
        <f t="shared" si="131"/>
        <v>45518</v>
      </c>
      <c r="B1969" s="31">
        <f t="shared" si="134"/>
        <v>0.49791666666666662</v>
      </c>
      <c r="C1969" t="str">
        <f>'Inventory as of 12th Aug 2024'!A188</f>
        <v>Choc-chip Cookies</v>
      </c>
      <c r="D1969" s="27">
        <v>1</v>
      </c>
      <c r="E1969" s="5">
        <f>Table4[[#This Row],[qty]]*(VLOOKUP(Table4[[#This Row],[item_sold]],Table1[],5,FALSE))</f>
        <v>35</v>
      </c>
      <c r="F1969" s="5">
        <f>(VLOOKUP(Table4[[#This Row],[item_sold]],Table1[],4,FALSE))*Table4[[#This Row],[qty]]</f>
        <v>25</v>
      </c>
      <c r="G1969">
        <f t="shared" si="133"/>
        <v>10</v>
      </c>
      <c r="H1969" t="s">
        <v>247</v>
      </c>
    </row>
    <row r="1970" spans="1:8" x14ac:dyDescent="0.25">
      <c r="A1970" s="1">
        <f t="shared" si="131"/>
        <v>45518</v>
      </c>
      <c r="B1970" s="31">
        <f>TIME(13,12, 0)</f>
        <v>0.54999999999999993</v>
      </c>
      <c r="C1970" t="str">
        <f>'Inventory as of 12th Aug 2024'!A244</f>
        <v>5ltrs water</v>
      </c>
      <c r="D1970" s="27">
        <v>1</v>
      </c>
      <c r="E1970" s="5">
        <f>Table4[[#This Row],[qty]]*(VLOOKUP(Table4[[#This Row],[item_sold]],Table1[],5,FALSE))</f>
        <v>120</v>
      </c>
      <c r="F1970" s="5">
        <f>(VLOOKUP(Table4[[#This Row],[item_sold]],Table1[],4,FALSE))*Table4[[#This Row],[qty]]</f>
        <v>75</v>
      </c>
      <c r="G1970">
        <f t="shared" si="133"/>
        <v>45</v>
      </c>
      <c r="H1970" t="s">
        <v>361</v>
      </c>
    </row>
    <row r="1971" spans="1:8" x14ac:dyDescent="0.25">
      <c r="A1971" s="1">
        <f t="shared" si="131"/>
        <v>45518</v>
      </c>
      <c r="B1971" s="31">
        <f t="shared" ref="B1971:B1972" si="135">TIME(13,12, 0)</f>
        <v>0.54999999999999993</v>
      </c>
      <c r="C1971" t="str">
        <f>'Inventory as of 12th Aug 2024'!A241</f>
        <v>scooter cans</v>
      </c>
      <c r="D1971" s="27">
        <v>1</v>
      </c>
      <c r="E1971" s="7">
        <f>Table4[[#This Row],[qty]]*(VLOOKUP(Table4[[#This Row],[item_sold]],Table1[],5,FALSE))-5</f>
        <v>15</v>
      </c>
      <c r="F1971" s="5">
        <f>(VLOOKUP(Table4[[#This Row],[item_sold]],Table1[],4,FALSE))*Table4[[#This Row],[qty]]</f>
        <v>15</v>
      </c>
      <c r="G1971">
        <f t="shared" si="133"/>
        <v>0</v>
      </c>
      <c r="H1971" t="s">
        <v>361</v>
      </c>
    </row>
    <row r="1972" spans="1:8" x14ac:dyDescent="0.25">
      <c r="A1972" s="1">
        <f t="shared" si="131"/>
        <v>45518</v>
      </c>
      <c r="B1972" s="31">
        <f t="shared" si="135"/>
        <v>0.54999999999999993</v>
      </c>
      <c r="C1972" t="str">
        <f>'Inventory as of 12th Aug 2024'!A240</f>
        <v>Bigboss</v>
      </c>
      <c r="D1972" s="27">
        <v>1</v>
      </c>
      <c r="E1972" s="5">
        <f>Table4[[#This Row],[qty]]*(VLOOKUP(Table4[[#This Row],[item_sold]],Table1[],5,FALSE))</f>
        <v>5</v>
      </c>
      <c r="F1972" s="5">
        <f>(VLOOKUP(Table4[[#This Row],[item_sold]],Table1[],4,FALSE))*Table4[[#This Row],[qty]]</f>
        <v>3.5</v>
      </c>
      <c r="G1972">
        <f t="shared" si="133"/>
        <v>1.5</v>
      </c>
      <c r="H1972" t="s">
        <v>247</v>
      </c>
    </row>
    <row r="1973" spans="1:8" x14ac:dyDescent="0.25">
      <c r="A1973" s="1">
        <f t="shared" si="131"/>
        <v>45518</v>
      </c>
      <c r="B1973" s="31">
        <f>TIME(13,20, 0)</f>
        <v>0.55555555555555558</v>
      </c>
      <c r="C1973" t="str">
        <f>'Inventory as of 12th Aug 2024'!A8</f>
        <v>eggs</v>
      </c>
      <c r="D1973" s="27">
        <v>2</v>
      </c>
      <c r="E1973" s="5">
        <f>Table4[[#This Row],[qty]]*(VLOOKUP(Table4[[#This Row],[item_sold]],Table1[],5,FALSE))</f>
        <v>40</v>
      </c>
      <c r="F1973" s="5">
        <f>(VLOOKUP(Table4[[#This Row],[item_sold]],Table1[],4,FALSE))*Table4[[#This Row],[qty]]</f>
        <v>28.666666666666668</v>
      </c>
      <c r="G1973">
        <f t="shared" si="133"/>
        <v>11.333333333333332</v>
      </c>
      <c r="H1973" t="s">
        <v>361</v>
      </c>
    </row>
    <row r="1974" spans="1:8" x14ac:dyDescent="0.25">
      <c r="A1974" s="1">
        <f t="shared" si="131"/>
        <v>45518</v>
      </c>
      <c r="B1974" s="31">
        <f>TIME(13,57, 0)</f>
        <v>0.58124999999999993</v>
      </c>
      <c r="C1974" t="str">
        <f>'Inventory as of 12th Aug 2024'!A218</f>
        <v>Battery AAA</v>
      </c>
      <c r="D1974" s="27">
        <v>1</v>
      </c>
      <c r="E1974" s="5">
        <f>Table4[[#This Row],[qty]]*(VLOOKUP(Table4[[#This Row],[item_sold]],Table1[],5,FALSE))</f>
        <v>15</v>
      </c>
      <c r="F1974" s="5">
        <f>(VLOOKUP(Table4[[#This Row],[item_sold]],Table1[],4,FALSE))*Table4[[#This Row],[qty]]</f>
        <v>10</v>
      </c>
      <c r="G1974">
        <f t="shared" si="133"/>
        <v>5</v>
      </c>
      <c r="H1974" t="s">
        <v>361</v>
      </c>
    </row>
    <row r="1975" spans="1:8" x14ac:dyDescent="0.25">
      <c r="A1975" s="1">
        <f t="shared" si="131"/>
        <v>45518</v>
      </c>
      <c r="B1975" s="31">
        <f>TIME(14,24, 0)</f>
        <v>0.6</v>
      </c>
      <c r="C1975" t="str">
        <f>'Inventory as of 12th Aug 2024'!A87</f>
        <v>Menengai Bar 1kg</v>
      </c>
      <c r="D1975" s="27">
        <v>0.2</v>
      </c>
      <c r="E1975" s="5">
        <f>Table4[[#This Row],[qty]]*(VLOOKUP(Table4[[#This Row],[item_sold]],Table1[],5,FALSE))</f>
        <v>50</v>
      </c>
      <c r="F1975" s="5">
        <f>(VLOOKUP(Table4[[#This Row],[item_sold]],Table1[],4,FALSE))*Table4[[#This Row],[qty]]</f>
        <v>38</v>
      </c>
      <c r="G1975">
        <f t="shared" si="133"/>
        <v>12</v>
      </c>
      <c r="H1975" t="s">
        <v>361</v>
      </c>
    </row>
    <row r="1976" spans="1:8" x14ac:dyDescent="0.25">
      <c r="A1976" s="1">
        <f t="shared" si="131"/>
        <v>45518</v>
      </c>
      <c r="B1976" s="31">
        <f>TIME(14,27, 0)</f>
        <v>0.6020833333333333</v>
      </c>
      <c r="C1976" t="str">
        <f>'Inventory as of 12th Aug 2024'!A42</f>
        <v>Indomie chicken</v>
      </c>
      <c r="D1976" s="27">
        <v>4</v>
      </c>
      <c r="E1976" s="5">
        <f>Table4[[#This Row],[qty]]*(VLOOKUP(Table4[[#This Row],[item_sold]],Table1[],5,FALSE))</f>
        <v>200</v>
      </c>
      <c r="F1976" s="5">
        <f>(VLOOKUP(Table4[[#This Row],[item_sold]],Table1[],4,FALSE))*Table4[[#This Row],[qty]]</f>
        <v>150</v>
      </c>
      <c r="G1976">
        <f t="shared" si="133"/>
        <v>50</v>
      </c>
      <c r="H1976" t="s">
        <v>361</v>
      </c>
    </row>
    <row r="1977" spans="1:8" x14ac:dyDescent="0.25">
      <c r="A1977" s="1">
        <f t="shared" si="131"/>
        <v>45518</v>
      </c>
      <c r="B1977" s="31">
        <f>TIME(14,28, 0)</f>
        <v>0.60277777777777775</v>
      </c>
      <c r="C1977" t="str">
        <f>'Inventory as of 12th Aug 2024'!A245</f>
        <v>1.5ltrs water</v>
      </c>
      <c r="D1977" s="27">
        <v>1</v>
      </c>
      <c r="E1977" s="5">
        <f>Table4[[#This Row],[qty]]*(VLOOKUP(Table4[[#This Row],[item_sold]],Table1[],5,FALSE))</f>
        <v>70</v>
      </c>
      <c r="F1977" s="5">
        <f>(VLOOKUP(Table4[[#This Row],[item_sold]],Table1[],4,FALSE))*Table4[[#This Row],[qty]]</f>
        <v>25</v>
      </c>
      <c r="G1977">
        <f t="shared" si="133"/>
        <v>45</v>
      </c>
      <c r="H1977" t="s">
        <v>247</v>
      </c>
    </row>
    <row r="1978" spans="1:8" x14ac:dyDescent="0.25">
      <c r="A1978" s="1">
        <f t="shared" si="131"/>
        <v>45518</v>
      </c>
      <c r="B1978" s="31">
        <f>TIME(14,30, 0)</f>
        <v>0.60416666666666663</v>
      </c>
      <c r="C1978" t="str">
        <f>'Inventory as of 12th Aug 2024'!A242</f>
        <v>Icepop</v>
      </c>
      <c r="D1978" s="27">
        <v>3</v>
      </c>
      <c r="E1978" s="5">
        <f>Table4[[#This Row],[qty]]*(VLOOKUP(Table4[[#This Row],[item_sold]],Table1[],5,FALSE))</f>
        <v>45</v>
      </c>
      <c r="F1978" s="5">
        <f>(VLOOKUP(Table4[[#This Row],[item_sold]],Table1[],4,FALSE))*Table4[[#This Row],[qty]]</f>
        <v>22.5</v>
      </c>
      <c r="G1978">
        <f t="shared" si="133"/>
        <v>22.5</v>
      </c>
      <c r="H1978" t="s">
        <v>247</v>
      </c>
    </row>
    <row r="1979" spans="1:8" x14ac:dyDescent="0.25">
      <c r="A1979" s="1">
        <f t="shared" si="131"/>
        <v>45518</v>
      </c>
      <c r="B1979" s="31">
        <f t="shared" ref="B1979" si="136">TIME(14,30, 0)</f>
        <v>0.60416666666666663</v>
      </c>
      <c r="C1979" t="str">
        <f>'Inventory as of 12th Aug 2024'!A231</f>
        <v>Patco</v>
      </c>
      <c r="D1979" s="27">
        <v>2</v>
      </c>
      <c r="E1979" s="5">
        <f>Table4[[#This Row],[qty]]*(VLOOKUP(Table4[[#This Row],[item_sold]],Table1[],5,FALSE))</f>
        <v>5</v>
      </c>
      <c r="F1979" s="5">
        <f>(VLOOKUP(Table4[[#This Row],[item_sold]],Table1[],4,FALSE))*Table4[[#This Row],[qty]]</f>
        <v>2.4</v>
      </c>
      <c r="G1979">
        <f t="shared" si="133"/>
        <v>2.6</v>
      </c>
      <c r="H1979" t="s">
        <v>247</v>
      </c>
    </row>
    <row r="1980" spans="1:8" x14ac:dyDescent="0.25">
      <c r="A1980" s="1">
        <f t="shared" si="131"/>
        <v>45518</v>
      </c>
      <c r="B1980" s="31">
        <f>TIME(14,31, 0)</f>
        <v>0.60486111111111118</v>
      </c>
      <c r="C1980" t="str">
        <f>'Inventory as of 12th Aug 2024'!A242</f>
        <v>Icepop</v>
      </c>
      <c r="D1980" s="27">
        <v>2</v>
      </c>
      <c r="E1980" s="5">
        <f>Table4[[#This Row],[qty]]*(VLOOKUP(Table4[[#This Row],[item_sold]],Table1[],5,FALSE))</f>
        <v>30</v>
      </c>
      <c r="F1980" s="5">
        <f>(VLOOKUP(Table4[[#This Row],[item_sold]],Table1[],4,FALSE))*Table4[[#This Row],[qty]]</f>
        <v>15</v>
      </c>
      <c r="G1980">
        <f t="shared" si="133"/>
        <v>15</v>
      </c>
      <c r="H1980" t="s">
        <v>247</v>
      </c>
    </row>
    <row r="1981" spans="1:8" x14ac:dyDescent="0.25">
      <c r="A1981" s="1">
        <f t="shared" si="131"/>
        <v>45518</v>
      </c>
      <c r="B1981" s="31">
        <f>TIME(14,32, 0)</f>
        <v>0.60555555555555551</v>
      </c>
      <c r="C1981" t="str">
        <f>'Inventory as of 12th Aug 2024'!A236</f>
        <v>Gomba</v>
      </c>
      <c r="D1981" s="27">
        <v>4</v>
      </c>
      <c r="E1981" s="5">
        <f>Table4[[#This Row],[qty]]*(VLOOKUP(Table4[[#This Row],[item_sold]],Table1[],5,FALSE))</f>
        <v>10</v>
      </c>
      <c r="F1981" s="5">
        <f>(VLOOKUP(Table4[[#This Row],[item_sold]],Table1[],4,FALSE))*Table4[[#This Row],[qty]]</f>
        <v>7.2</v>
      </c>
      <c r="G1981">
        <f t="shared" si="133"/>
        <v>2.8</v>
      </c>
      <c r="H1981" t="s">
        <v>247</v>
      </c>
    </row>
    <row r="1982" spans="1:8" x14ac:dyDescent="0.25">
      <c r="A1982" s="1">
        <f t="shared" si="131"/>
        <v>45518</v>
      </c>
      <c r="B1982" s="31">
        <f>TIME(14,33, 0)</f>
        <v>0.60625000000000007</v>
      </c>
      <c r="C1982" t="str">
        <f>'Inventory as of 12th Aug 2024'!A241</f>
        <v>scooter cans</v>
      </c>
      <c r="D1982" s="27">
        <v>1</v>
      </c>
      <c r="E1982" s="7">
        <f>Table4[[#This Row],[qty]]*(VLOOKUP(Table4[[#This Row],[item_sold]],Table1[],5,FALSE))-5</f>
        <v>15</v>
      </c>
      <c r="F1982" s="5">
        <f>(VLOOKUP(Table4[[#This Row],[item_sold]],Table1[],4,FALSE))*Table4[[#This Row],[qty]]</f>
        <v>15</v>
      </c>
      <c r="G1982">
        <f t="shared" si="133"/>
        <v>0</v>
      </c>
      <c r="H1982" t="s">
        <v>247</v>
      </c>
    </row>
    <row r="1983" spans="1:8" x14ac:dyDescent="0.25">
      <c r="A1983" s="1">
        <f t="shared" si="131"/>
        <v>45518</v>
      </c>
      <c r="B1983" s="31">
        <f>TIME(14,34, 0)</f>
        <v>0.6069444444444444</v>
      </c>
      <c r="C1983" t="str">
        <f>'Inventory as of 12th Aug 2024'!A234</f>
        <v>Bigdaddy</v>
      </c>
      <c r="D1983" s="27">
        <v>2</v>
      </c>
      <c r="E1983" s="5">
        <f>Table4[[#This Row],[qty]]*(VLOOKUP(Table4[[#This Row],[item_sold]],Table1[],5,FALSE))</f>
        <v>20</v>
      </c>
      <c r="F1983" s="5">
        <f>(VLOOKUP(Table4[[#This Row],[item_sold]],Table1[],4,FALSE))*Table4[[#This Row],[qty]]</f>
        <v>12</v>
      </c>
      <c r="G1983">
        <f t="shared" si="133"/>
        <v>8</v>
      </c>
      <c r="H1983" t="s">
        <v>247</v>
      </c>
    </row>
    <row r="1984" spans="1:8" x14ac:dyDescent="0.25">
      <c r="A1984" s="1">
        <f t="shared" si="131"/>
        <v>45518</v>
      </c>
      <c r="B1984" s="31">
        <f>TIME(14,34, 0)</f>
        <v>0.6069444444444444</v>
      </c>
      <c r="C1984" t="str">
        <f>'Inventory as of 12th Aug 2024'!A232</f>
        <v>coo</v>
      </c>
      <c r="D1984" s="27">
        <v>6</v>
      </c>
      <c r="E1984" s="5">
        <f>Table4[[#This Row],[qty]]*(VLOOKUP(Table4[[#This Row],[item_sold]],Table1[],5,FALSE))</f>
        <v>15</v>
      </c>
      <c r="F1984" s="5">
        <f>(VLOOKUP(Table4[[#This Row],[item_sold]],Table1[],4,FALSE))*Table4[[#This Row],[qty]]</f>
        <v>7.1999999999999993</v>
      </c>
      <c r="G1984">
        <f t="shared" si="133"/>
        <v>7.8000000000000007</v>
      </c>
      <c r="H1984" t="s">
        <v>247</v>
      </c>
    </row>
    <row r="1985" spans="1:8" x14ac:dyDescent="0.25">
      <c r="A1985" s="1">
        <f t="shared" si="131"/>
        <v>45518</v>
      </c>
      <c r="B1985" s="31">
        <f>TIME(14,35, 0)</f>
        <v>0.60763888888888895</v>
      </c>
      <c r="C1985" t="str">
        <f>'Inventory as of 12th Aug 2024'!A29</f>
        <v>Fahari Tea 50g</v>
      </c>
      <c r="D1985" s="27">
        <v>1</v>
      </c>
      <c r="E1985" s="5">
        <f>Table4[[#This Row],[qty]]*(VLOOKUP(Table4[[#This Row],[item_sold]],Table1[],5,FALSE))</f>
        <v>30</v>
      </c>
      <c r="F1985" s="5">
        <f>(VLOOKUP(Table4[[#This Row],[item_sold]],Table1[],4,FALSE))*Table4[[#This Row],[qty]]</f>
        <v>17.5</v>
      </c>
      <c r="G1985">
        <f t="shared" si="133"/>
        <v>12.5</v>
      </c>
      <c r="H1985" t="s">
        <v>247</v>
      </c>
    </row>
    <row r="1986" spans="1:8" x14ac:dyDescent="0.25">
      <c r="A1986" s="1">
        <f t="shared" si="131"/>
        <v>45518</v>
      </c>
      <c r="B1986" s="31">
        <f>TIME(14,35, 0)</f>
        <v>0.60763888888888895</v>
      </c>
      <c r="C1986" t="str">
        <f>'Inventory as of 12th Aug 2024'!A213</f>
        <v>soda 500ml glass</v>
      </c>
      <c r="D1986" s="27">
        <v>1</v>
      </c>
      <c r="E1986" s="5">
        <f>Table4[[#This Row],[qty]]*(VLOOKUP(Table4[[#This Row],[item_sold]],Table1[],5,FALSE))</f>
        <v>55</v>
      </c>
      <c r="F1986" s="5">
        <f>(VLOOKUP(Table4[[#This Row],[item_sold]],Table1[],4,FALSE))*Table4[[#This Row],[qty]]</f>
        <v>50</v>
      </c>
      <c r="G1986">
        <f t="shared" si="133"/>
        <v>5</v>
      </c>
      <c r="H1986" t="s">
        <v>361</v>
      </c>
    </row>
    <row r="1987" spans="1:8" x14ac:dyDescent="0.25">
      <c r="A1987" s="1">
        <f t="shared" si="131"/>
        <v>45518</v>
      </c>
      <c r="B1987" s="31">
        <f t="shared" ref="B1987" si="137">TIME(14,35, 0)</f>
        <v>0.60763888888888895</v>
      </c>
      <c r="C1987" t="str">
        <f>'Inventory as of 12th Aug 2024'!A232</f>
        <v>coo</v>
      </c>
      <c r="D1987" s="27">
        <v>2</v>
      </c>
      <c r="E1987" s="5">
        <f>Table4[[#This Row],[qty]]*(VLOOKUP(Table4[[#This Row],[item_sold]],Table1[],5,FALSE))</f>
        <v>5</v>
      </c>
      <c r="F1987" s="5">
        <f>(VLOOKUP(Table4[[#This Row],[item_sold]],Table1[],4,FALSE))*Table4[[#This Row],[qty]]</f>
        <v>2.4</v>
      </c>
      <c r="G1987">
        <f t="shared" si="133"/>
        <v>2.6</v>
      </c>
      <c r="H1987" t="s">
        <v>247</v>
      </c>
    </row>
    <row r="1988" spans="1:8" x14ac:dyDescent="0.25">
      <c r="A1988" s="1">
        <f t="shared" si="131"/>
        <v>45518</v>
      </c>
      <c r="B1988" s="31">
        <f>TIME(14,36, 0)</f>
        <v>0.60833333333333328</v>
      </c>
      <c r="C1988" t="str">
        <f>'Inventory as of 12th Aug 2024'!A42</f>
        <v>Indomie chicken</v>
      </c>
      <c r="D1988" s="27">
        <v>1</v>
      </c>
      <c r="E1988" s="5">
        <f>Table4[[#This Row],[qty]]*(VLOOKUP(Table4[[#This Row],[item_sold]],Table1[],5,FALSE))</f>
        <v>50</v>
      </c>
      <c r="F1988" s="5">
        <f>(VLOOKUP(Table4[[#This Row],[item_sold]],Table1[],4,FALSE))*Table4[[#This Row],[qty]]</f>
        <v>37.5</v>
      </c>
      <c r="G1988">
        <f t="shared" si="133"/>
        <v>12.5</v>
      </c>
      <c r="H1988" t="s">
        <v>361</v>
      </c>
    </row>
    <row r="1989" spans="1:8" x14ac:dyDescent="0.25">
      <c r="A1989" s="1">
        <f t="shared" si="131"/>
        <v>45518</v>
      </c>
      <c r="B1989" s="31">
        <f>TIME(16,5, 0)</f>
        <v>0.67013888888888884</v>
      </c>
      <c r="C1989" t="str">
        <f>'Inventory as of 12th Aug 2024'!A240</f>
        <v>Bigboss</v>
      </c>
      <c r="D1989" s="27">
        <v>4</v>
      </c>
      <c r="E1989" s="5">
        <f>Table4[[#This Row],[qty]]*(VLOOKUP(Table4[[#This Row],[item_sold]],Table1[],5,FALSE))</f>
        <v>20</v>
      </c>
      <c r="F1989" s="5">
        <f>(VLOOKUP(Table4[[#This Row],[item_sold]],Table1[],4,FALSE))*Table4[[#This Row],[qty]]</f>
        <v>14</v>
      </c>
      <c r="G1989">
        <f t="shared" si="133"/>
        <v>6</v>
      </c>
      <c r="H1989" t="s">
        <v>247</v>
      </c>
    </row>
    <row r="1990" spans="1:8" x14ac:dyDescent="0.25">
      <c r="A1990" s="1">
        <f t="shared" si="131"/>
        <v>45518</v>
      </c>
      <c r="B1990" s="31">
        <f>TIME(16,6, 0)</f>
        <v>0.67083333333333339</v>
      </c>
      <c r="C1990" t="str">
        <f>'Inventory as of 12th Aug 2024'!A180</f>
        <v>Tamu  Tamu Green</v>
      </c>
      <c r="D1990" s="27">
        <v>4</v>
      </c>
      <c r="E1990" s="5">
        <f>Table4[[#This Row],[qty]]*(VLOOKUP(Table4[[#This Row],[item_sold]],Table1[],5,FALSE))</f>
        <v>60</v>
      </c>
      <c r="F1990" s="5">
        <f>(VLOOKUP(Table4[[#This Row],[item_sold]],Table1[],4,FALSE))*Table4[[#This Row],[qty]]</f>
        <v>34.4</v>
      </c>
      <c r="G1990">
        <f t="shared" si="133"/>
        <v>25.6</v>
      </c>
      <c r="H1990" t="s">
        <v>247</v>
      </c>
    </row>
    <row r="1991" spans="1:8" x14ac:dyDescent="0.25">
      <c r="A1991" s="1">
        <f t="shared" si="131"/>
        <v>45518</v>
      </c>
      <c r="B1991" s="31">
        <f t="shared" ref="B1991" si="138">TIME(16,6, 0)</f>
        <v>0.67083333333333339</v>
      </c>
      <c r="C1991" t="str">
        <f>'Inventory as of 12th Aug 2024'!A191</f>
        <v>Nuvita Bisquit</v>
      </c>
      <c r="D1991" s="27">
        <v>3</v>
      </c>
      <c r="E1991" s="5">
        <f>Table4[[#This Row],[qty]]*(VLOOKUP(Table4[[#This Row],[item_sold]],Table1[],5,FALSE))</f>
        <v>15</v>
      </c>
      <c r="F1991" s="5">
        <f>(VLOOKUP(Table4[[#This Row],[item_sold]],Table1[],4,FALSE))*Table4[[#This Row],[qty]]</f>
        <v>12.5</v>
      </c>
      <c r="G1991">
        <f t="shared" si="133"/>
        <v>2.5</v>
      </c>
      <c r="H1991" t="s">
        <v>247</v>
      </c>
    </row>
    <row r="1992" spans="1:8" x14ac:dyDescent="0.25">
      <c r="A1992" s="1">
        <f t="shared" si="131"/>
        <v>45518</v>
      </c>
      <c r="B1992" s="31">
        <f>TIME(16,11, 0)</f>
        <v>0.6743055555555556</v>
      </c>
      <c r="C1992" t="str">
        <f>'Inventory as of 12th Aug 2024'!A60</f>
        <v>kensalt 200g</v>
      </c>
      <c r="D1992" s="27">
        <v>2</v>
      </c>
      <c r="E1992" s="5">
        <f>Table4[[#This Row],[qty]]*(VLOOKUP(Table4[[#This Row],[item_sold]],Table1[],5,FALSE))</f>
        <v>30</v>
      </c>
      <c r="F1992" s="5">
        <f>(VLOOKUP(Table4[[#This Row],[item_sold]],Table1[],4,FALSE))*Table4[[#This Row],[qty]]</f>
        <v>11</v>
      </c>
      <c r="G1992">
        <f t="shared" si="133"/>
        <v>19</v>
      </c>
      <c r="H1992" t="s">
        <v>247</v>
      </c>
    </row>
    <row r="1993" spans="1:8" x14ac:dyDescent="0.25">
      <c r="A1993" s="1">
        <f t="shared" si="131"/>
        <v>45518</v>
      </c>
      <c r="B1993" s="31">
        <f t="shared" ref="B1993" si="139">TIME(16,11, 0)</f>
        <v>0.6743055555555556</v>
      </c>
      <c r="C1993" t="str">
        <f>'Inventory as of 12th Aug 2024'!A61</f>
        <v>kensalt 500g</v>
      </c>
      <c r="D1993" s="27">
        <v>2</v>
      </c>
      <c r="E1993" s="5">
        <f>Table4[[#This Row],[qty]]*(VLOOKUP(Table4[[#This Row],[item_sold]],Table1[],5,FALSE))</f>
        <v>50</v>
      </c>
      <c r="F1993" s="5">
        <f>(VLOOKUP(Table4[[#This Row],[item_sold]],Table1[],4,FALSE))*Table4[[#This Row],[qty]]</f>
        <v>28</v>
      </c>
      <c r="G1993">
        <f t="shared" si="133"/>
        <v>22</v>
      </c>
      <c r="H1993" t="s">
        <v>247</v>
      </c>
    </row>
    <row r="1994" spans="1:8" x14ac:dyDescent="0.25">
      <c r="A1994" s="1">
        <f t="shared" si="131"/>
        <v>45518</v>
      </c>
      <c r="B1994" s="31">
        <f t="shared" ref="B1994" si="140">TIME(17,26, 0)</f>
        <v>0.72638888888888886</v>
      </c>
      <c r="C1994" t="str">
        <f>'Inventory as of 12th Aug 2024'!A92</f>
        <v>Banana</v>
      </c>
      <c r="D1994" s="27">
        <v>2</v>
      </c>
      <c r="E1994" s="5">
        <f>Table4[[#This Row],[qty]]*(VLOOKUP(Table4[[#This Row],[item_sold]],Table1[],5,FALSE))</f>
        <v>20</v>
      </c>
      <c r="F1994" s="5">
        <f>(VLOOKUP(Table4[[#This Row],[item_sold]],Table1[],4,FALSE))*Table4[[#This Row],[qty]]</f>
        <v>16.666666666666668</v>
      </c>
      <c r="G1994">
        <f t="shared" si="133"/>
        <v>3.3333333333333321</v>
      </c>
      <c r="H1994" t="s">
        <v>247</v>
      </c>
    </row>
    <row r="1995" spans="1:8" x14ac:dyDescent="0.25">
      <c r="A1995" s="1">
        <f t="shared" si="131"/>
        <v>45518</v>
      </c>
      <c r="B1995" s="31">
        <f>TIME(17,31, 0)</f>
        <v>0.72986111111111107</v>
      </c>
      <c r="C1995" t="str">
        <f>'Inventory as of 12th Aug 2024'!A57</f>
        <v>Sportsman</v>
      </c>
      <c r="D1995" s="27">
        <v>2</v>
      </c>
      <c r="E1995" s="5">
        <f>Table4[[#This Row],[qty]]*(VLOOKUP(Table4[[#This Row],[item_sold]],Table1[],5,FALSE))</f>
        <v>40</v>
      </c>
      <c r="F1995" s="5">
        <f>(VLOOKUP(Table4[[#This Row],[item_sold]],Table1[],4,FALSE))*Table4[[#This Row],[qty]]</f>
        <v>26</v>
      </c>
      <c r="G1995">
        <f t="shared" si="133"/>
        <v>14</v>
      </c>
      <c r="H1995" t="s">
        <v>361</v>
      </c>
    </row>
    <row r="1996" spans="1:8" x14ac:dyDescent="0.25">
      <c r="A1996" s="1">
        <f t="shared" si="131"/>
        <v>45518</v>
      </c>
      <c r="B1996" s="31">
        <f>TIME(17,31, 0)</f>
        <v>0.72986111111111107</v>
      </c>
      <c r="C1996" t="str">
        <f>'Inventory as of 12th Aug 2024'!A82</f>
        <v>ariel 10g</v>
      </c>
      <c r="D1996" s="27">
        <v>1</v>
      </c>
      <c r="E1996" s="5">
        <f>Table4[[#This Row],[qty]]*(VLOOKUP(Table4[[#This Row],[item_sold]],Table1[],5,FALSE))</f>
        <v>15</v>
      </c>
      <c r="F1996" s="5">
        <f>(VLOOKUP(Table4[[#This Row],[item_sold]],Table1[],4,FALSE))*Table4[[#This Row],[qty]]</f>
        <v>9.1666666666666661</v>
      </c>
      <c r="G1996">
        <f t="shared" si="133"/>
        <v>5.8333333333333339</v>
      </c>
      <c r="H1996" t="s">
        <v>361</v>
      </c>
    </row>
    <row r="1997" spans="1:8" x14ac:dyDescent="0.25">
      <c r="A1997" s="1">
        <f t="shared" si="131"/>
        <v>45518</v>
      </c>
      <c r="B1997" s="31">
        <f>TIME(17,33, 0)</f>
        <v>0.73125000000000007</v>
      </c>
      <c r="C1997" t="str">
        <f>'Inventory as of 12th Aug 2024'!A5</f>
        <v>Airtel 20 Credit</v>
      </c>
      <c r="D1997" s="27">
        <v>2</v>
      </c>
      <c r="E1997" s="5">
        <f>Table4[[#This Row],[qty]]*(VLOOKUP(Table4[[#This Row],[item_sold]],Table1[],5,FALSE))</f>
        <v>40</v>
      </c>
      <c r="F1997" s="5">
        <f>(VLOOKUP(Table4[[#This Row],[item_sold]],Table1[],4,FALSE))*Table4[[#This Row],[qty]]</f>
        <v>36</v>
      </c>
      <c r="G1997">
        <f t="shared" si="133"/>
        <v>4</v>
      </c>
      <c r="H1997" t="s">
        <v>247</v>
      </c>
    </row>
    <row r="1998" spans="1:8" x14ac:dyDescent="0.25">
      <c r="A1998" s="1">
        <f t="shared" si="131"/>
        <v>45518</v>
      </c>
      <c r="B1998" s="31">
        <f>TIME(17,31, 0)</f>
        <v>0.72986111111111107</v>
      </c>
      <c r="C1998" t="str">
        <f>'Inventory as of 12th Aug 2024'!A197</f>
        <v>Canned cookies</v>
      </c>
      <c r="D1998" s="27">
        <v>1</v>
      </c>
      <c r="E1998" s="5">
        <f>Table4[[#This Row],[qty]]*(VLOOKUP(Table4[[#This Row],[item_sold]],Table1[],5,FALSE))</f>
        <v>60</v>
      </c>
      <c r="F1998" s="5">
        <f>(VLOOKUP(Table4[[#This Row],[item_sold]],Table1[],4,FALSE))*Table4[[#This Row],[qty]]</f>
        <v>50</v>
      </c>
      <c r="G1998">
        <f t="shared" si="133"/>
        <v>10</v>
      </c>
      <c r="H1998" t="s">
        <v>361</v>
      </c>
    </row>
    <row r="1999" spans="1:8" x14ac:dyDescent="0.25">
      <c r="A1999" s="1">
        <f t="shared" si="131"/>
        <v>45518</v>
      </c>
      <c r="B1999" s="31">
        <f>TIME(17,54, 0)</f>
        <v>0.74583333333333324</v>
      </c>
      <c r="C1999" t="str">
        <f>'Inventory as of 12th Aug 2024'!A199</f>
        <v>Kdf</v>
      </c>
      <c r="D1999" s="27">
        <v>4</v>
      </c>
      <c r="E1999" s="5">
        <f>Table4[[#This Row],[qty]]*(VLOOKUP(Table4[[#This Row],[item_sold]],Table1[],5,FALSE))</f>
        <v>40</v>
      </c>
      <c r="F1999" s="5">
        <f>(VLOOKUP(Table4[[#This Row],[item_sold]],Table1[],4,FALSE))*Table4[[#This Row],[qty]]</f>
        <v>33.333333333333336</v>
      </c>
      <c r="G1999">
        <f t="shared" si="133"/>
        <v>6.6666666666666643</v>
      </c>
      <c r="H1999" t="s">
        <v>247</v>
      </c>
    </row>
    <row r="2000" spans="1:8" x14ac:dyDescent="0.25">
      <c r="A2000" s="1">
        <f t="shared" si="131"/>
        <v>45518</v>
      </c>
      <c r="B2000" s="31">
        <f>TIME(18,17, 0)</f>
        <v>0.76180555555555562</v>
      </c>
      <c r="C2000" t="str">
        <f>'Inventory as of 12th Aug 2024'!A233</f>
        <v>Lollipop</v>
      </c>
      <c r="D2000" s="27">
        <v>2</v>
      </c>
      <c r="E2000" s="5">
        <f>Table4[[#This Row],[qty]]*(VLOOKUP(Table4[[#This Row],[item_sold]],Table1[],5,FALSE))</f>
        <v>10</v>
      </c>
      <c r="F2000" s="5">
        <f>(VLOOKUP(Table4[[#This Row],[item_sold]],Table1[],4,FALSE))*Table4[[#This Row],[qty]]</f>
        <v>4.8</v>
      </c>
      <c r="G2000">
        <f t="shared" si="133"/>
        <v>5.2</v>
      </c>
      <c r="H2000" t="s">
        <v>361</v>
      </c>
    </row>
    <row r="2001" spans="1:12" x14ac:dyDescent="0.25">
      <c r="A2001" s="1">
        <f t="shared" si="131"/>
        <v>45518</v>
      </c>
      <c r="B2001" s="31">
        <f>TIME(18,21, 0)</f>
        <v>0.76458333333333339</v>
      </c>
      <c r="C2001" t="str">
        <f>'Inventory as of 12th Aug 2024'!A247</f>
        <v>nylon papers</v>
      </c>
      <c r="D2001" s="27">
        <v>1</v>
      </c>
      <c r="E2001" s="5">
        <f>Table4[[#This Row],[qty]]*(VLOOKUP(Table4[[#This Row],[item_sold]],Table1[],5,FALSE))</f>
        <v>100</v>
      </c>
      <c r="F2001" s="5">
        <f>(VLOOKUP(Table4[[#This Row],[item_sold]],Table1[],4,FALSE))*Table4[[#This Row],[qty]]</f>
        <v>70</v>
      </c>
      <c r="G2001">
        <f t="shared" si="133"/>
        <v>30</v>
      </c>
      <c r="H2001" t="s">
        <v>359</v>
      </c>
      <c r="I2001" t="s">
        <v>408</v>
      </c>
    </row>
    <row r="2002" spans="1:12" x14ac:dyDescent="0.25">
      <c r="A2002" s="1">
        <f t="shared" si="131"/>
        <v>45518</v>
      </c>
      <c r="B2002" s="31">
        <f>TIME(18,51, 0)</f>
        <v>0.78541666666666676</v>
      </c>
      <c r="C2002" t="str">
        <f>'Inventory as of 12th Aug 2024'!A12</f>
        <v>Kienyeji  Eggs</v>
      </c>
      <c r="D2002" s="27">
        <v>5</v>
      </c>
      <c r="E2002" s="5">
        <f>Table4[[#This Row],[qty]]*(VLOOKUP(Table4[[#This Row],[item_sold]],Table1[],5,FALSE))</f>
        <v>150</v>
      </c>
      <c r="F2002" s="5">
        <f>(VLOOKUP(Table4[[#This Row],[item_sold]],Table1[],4,FALSE))*Table4[[#This Row],[qty]]</f>
        <v>100</v>
      </c>
      <c r="G2002">
        <f t="shared" si="133"/>
        <v>50</v>
      </c>
      <c r="H2002" t="s">
        <v>359</v>
      </c>
      <c r="I2002" t="s">
        <v>394</v>
      </c>
    </row>
    <row r="2003" spans="1:12" x14ac:dyDescent="0.25">
      <c r="A2003" s="1">
        <f t="shared" si="131"/>
        <v>45518</v>
      </c>
      <c r="B2003" s="31">
        <f t="shared" ref="B2003" si="141">TIME(18,51, 0)</f>
        <v>0.78541666666666676</v>
      </c>
      <c r="C2003" t="str">
        <f>'Inventory as of 12th Aug 2024'!A8</f>
        <v>eggs</v>
      </c>
      <c r="D2003" s="27">
        <v>5</v>
      </c>
      <c r="E2003" s="5">
        <f>Table4[[#This Row],[qty]]*(VLOOKUP(Table4[[#This Row],[item_sold]],Table1[],5,FALSE))</f>
        <v>100</v>
      </c>
      <c r="F2003" s="5">
        <f>(VLOOKUP(Table4[[#This Row],[item_sold]],Table1[],4,FALSE))*Table4[[#This Row],[qty]]</f>
        <v>71.666666666666671</v>
      </c>
      <c r="G2003">
        <f t="shared" si="133"/>
        <v>28.333333333333329</v>
      </c>
      <c r="H2003" t="s">
        <v>359</v>
      </c>
      <c r="I2003" t="s">
        <v>394</v>
      </c>
      <c r="J2003" t="s">
        <v>394</v>
      </c>
      <c r="K2003">
        <v>225</v>
      </c>
      <c r="L2003" t="s">
        <v>361</v>
      </c>
    </row>
    <row r="2004" spans="1:12" x14ac:dyDescent="0.25">
      <c r="A2004" s="1">
        <f t="shared" si="131"/>
        <v>45518</v>
      </c>
      <c r="B2004" s="31">
        <f>TIME(19,5, 0)</f>
        <v>0.79513888888888884</v>
      </c>
      <c r="C2004" t="str">
        <f>'Inventory as of 12th Aug 2024'!A57</f>
        <v>Sportsman</v>
      </c>
      <c r="D2004" s="27">
        <v>2</v>
      </c>
      <c r="E2004" s="5">
        <f>Table4[[#This Row],[qty]]*(VLOOKUP(Table4[[#This Row],[item_sold]],Table1[],5,FALSE))</f>
        <v>40</v>
      </c>
      <c r="F2004" s="5">
        <f>(VLOOKUP(Table4[[#This Row],[item_sold]],Table1[],4,FALSE))*Table4[[#This Row],[qty]]</f>
        <v>26</v>
      </c>
      <c r="G2004">
        <f t="shared" si="133"/>
        <v>14</v>
      </c>
      <c r="H2004" t="s">
        <v>361</v>
      </c>
    </row>
    <row r="2005" spans="1:12" x14ac:dyDescent="0.25">
      <c r="A2005" s="1">
        <f t="shared" si="131"/>
        <v>45518</v>
      </c>
      <c r="B2005" s="31">
        <f>TIME(19,15, 0)</f>
        <v>0.80208333333333337</v>
      </c>
      <c r="C2005" t="str">
        <f>'Inventory as of 12th Aug 2024'!A8</f>
        <v>eggs</v>
      </c>
      <c r="D2005" s="27">
        <v>2</v>
      </c>
      <c r="E2005" s="5">
        <f>Table4[[#This Row],[qty]]*(VLOOKUP(Table4[[#This Row],[item_sold]],Table1[],5,FALSE))</f>
        <v>40</v>
      </c>
      <c r="F2005" s="5">
        <f>(VLOOKUP(Table4[[#This Row],[item_sold]],Table1[],4,FALSE))*Table4[[#This Row],[qty]]</f>
        <v>28.666666666666668</v>
      </c>
      <c r="G2005">
        <f t="shared" si="133"/>
        <v>11.333333333333332</v>
      </c>
      <c r="H2005" t="s">
        <v>359</v>
      </c>
      <c r="I2005" t="s">
        <v>401</v>
      </c>
    </row>
    <row r="2006" spans="1:12" x14ac:dyDescent="0.25">
      <c r="A2006" s="1">
        <f t="shared" si="131"/>
        <v>45518</v>
      </c>
      <c r="B2006" s="31">
        <f>TIME(19,15, 0)</f>
        <v>0.80208333333333337</v>
      </c>
      <c r="C2006" t="str">
        <f>'Inventory as of 12th Aug 2024'!A90</f>
        <v>Onion</v>
      </c>
      <c r="D2006" s="27">
        <v>1</v>
      </c>
      <c r="E2006" s="5">
        <f>Table4[[#This Row],[qty]]*(VLOOKUP(Table4[[#This Row],[item_sold]],Table1[],5,FALSE))</f>
        <v>10</v>
      </c>
      <c r="F2006" s="5">
        <f>(VLOOKUP(Table4[[#This Row],[item_sold]],Table1[],4,FALSE))*Table4[[#This Row],[qty]]</f>
        <v>8</v>
      </c>
      <c r="G2006">
        <f t="shared" si="133"/>
        <v>2</v>
      </c>
      <c r="H2006" t="s">
        <v>359</v>
      </c>
      <c r="I2006" t="s">
        <v>401</v>
      </c>
    </row>
    <row r="2007" spans="1:12" x14ac:dyDescent="0.25">
      <c r="A2007" s="1">
        <f t="shared" si="131"/>
        <v>45518</v>
      </c>
      <c r="B2007" s="31">
        <f>TIME(19,16, 0)</f>
        <v>0.8027777777777777</v>
      </c>
      <c r="C2007" t="str">
        <f>'Inventory as of 12th Aug 2024'!A27</f>
        <v>Nescafe 1.5g</v>
      </c>
      <c r="D2007" s="27">
        <v>1</v>
      </c>
      <c r="E2007" s="5">
        <f>Table4[[#This Row],[qty]]*(VLOOKUP(Table4[[#This Row],[item_sold]],Table1[],5,FALSE))</f>
        <v>15</v>
      </c>
      <c r="F2007" s="5">
        <f>(VLOOKUP(Table4[[#This Row],[item_sold]],Table1[],4,FALSE))*Table4[[#This Row],[qty]]</f>
        <v>9.1666666666666661</v>
      </c>
      <c r="G2007">
        <f t="shared" si="133"/>
        <v>5.8333333333333339</v>
      </c>
      <c r="H2007" t="s">
        <v>361</v>
      </c>
    </row>
    <row r="2008" spans="1:12" x14ac:dyDescent="0.25">
      <c r="A2008" s="1">
        <f t="shared" si="131"/>
        <v>45518</v>
      </c>
      <c r="B2008" s="31">
        <f t="shared" ref="B2008:B2010" si="142">TIME(19,16, 0)</f>
        <v>0.8027777777777777</v>
      </c>
      <c r="C2008" t="str">
        <f>'Inventory as of 12th Aug 2024'!A141</f>
        <v>Colgate 35g</v>
      </c>
      <c r="D2008" s="27">
        <v>1</v>
      </c>
      <c r="E2008" s="5">
        <f>Table4[[#This Row],[qty]]*(VLOOKUP(Table4[[#This Row],[item_sold]],Table1[],5,FALSE))</f>
        <v>80</v>
      </c>
      <c r="F2008" s="5">
        <f>(VLOOKUP(Table4[[#This Row],[item_sold]],Table1[],4,FALSE))*Table4[[#This Row],[qty]]</f>
        <v>62.5</v>
      </c>
      <c r="G2008">
        <f t="shared" si="133"/>
        <v>17.5</v>
      </c>
      <c r="H2008" t="s">
        <v>361</v>
      </c>
    </row>
    <row r="2009" spans="1:12" x14ac:dyDescent="0.25">
      <c r="A2009" s="1">
        <f t="shared" si="131"/>
        <v>45518</v>
      </c>
      <c r="B2009" s="31">
        <f t="shared" si="142"/>
        <v>0.8027777777777777</v>
      </c>
      <c r="C2009" t="str">
        <f>'Inventory as of 12th Aug 2024'!A31</f>
        <v>Drinking Chocolate 20g</v>
      </c>
      <c r="D2009" s="27">
        <v>1</v>
      </c>
      <c r="E2009" s="5">
        <f>Table4[[#This Row],[qty]]*(VLOOKUP(Table4[[#This Row],[item_sold]],Table1[],5,FALSE))</f>
        <v>20</v>
      </c>
      <c r="F2009" s="5">
        <f>(VLOOKUP(Table4[[#This Row],[item_sold]],Table1[],4,FALSE))*Table4[[#This Row],[qty]]</f>
        <v>10.416666666666666</v>
      </c>
      <c r="G2009">
        <f t="shared" si="133"/>
        <v>9.5833333333333339</v>
      </c>
      <c r="H2009" t="s">
        <v>361</v>
      </c>
    </row>
    <row r="2010" spans="1:12" x14ac:dyDescent="0.25">
      <c r="A2010" s="1">
        <f t="shared" si="131"/>
        <v>45518</v>
      </c>
      <c r="B2010" s="31">
        <f t="shared" si="142"/>
        <v>0.8027777777777777</v>
      </c>
      <c r="C2010" t="str">
        <f>'Inventory as of 12th Aug 2024'!A37</f>
        <v>Festive Bread 400g</v>
      </c>
      <c r="D2010" s="27">
        <v>1</v>
      </c>
      <c r="E2010" s="5">
        <f>Table4[[#This Row],[qty]]*(VLOOKUP(Table4[[#This Row],[item_sold]],Table1[],5,FALSE))</f>
        <v>65</v>
      </c>
      <c r="F2010" s="5">
        <f>(VLOOKUP(Table4[[#This Row],[item_sold]],Table1[],4,FALSE))*Table4[[#This Row],[qty]]</f>
        <v>60</v>
      </c>
      <c r="G2010">
        <f t="shared" si="133"/>
        <v>5</v>
      </c>
      <c r="H2010" t="s">
        <v>361</v>
      </c>
    </row>
    <row r="2011" spans="1:12" x14ac:dyDescent="0.25">
      <c r="A2011" s="1">
        <f t="shared" si="131"/>
        <v>45518</v>
      </c>
      <c r="B2011" s="31">
        <f>TIME(19,28, 0)</f>
        <v>0.81111111111111101</v>
      </c>
      <c r="C2011" t="str">
        <f>'Inventory as of 12th Aug 2024'!A8</f>
        <v>eggs</v>
      </c>
      <c r="D2011" s="27">
        <v>5</v>
      </c>
      <c r="E2011" s="5">
        <f>Table4[[#This Row],[qty]]*(VLOOKUP(Table4[[#This Row],[item_sold]],Table1[],5,FALSE))</f>
        <v>100</v>
      </c>
      <c r="F2011" s="5">
        <f>(VLOOKUP(Table4[[#This Row],[item_sold]],Table1[],4,FALSE))*Table4[[#This Row],[qty]]</f>
        <v>71.666666666666671</v>
      </c>
      <c r="G2011">
        <f t="shared" si="133"/>
        <v>28.333333333333329</v>
      </c>
      <c r="H2011" t="s">
        <v>361</v>
      </c>
    </row>
    <row r="2012" spans="1:12" x14ac:dyDescent="0.25">
      <c r="A2012" s="1">
        <f t="shared" si="131"/>
        <v>45518</v>
      </c>
      <c r="B2012" s="31">
        <f t="shared" ref="B2012:B2013" si="143">TIME(19,28, 0)</f>
        <v>0.81111111111111101</v>
      </c>
      <c r="C2012" t="str">
        <f>'Inventory as of 12th Aug 2024'!A37</f>
        <v>Festive Bread 400g</v>
      </c>
      <c r="D2012" s="27">
        <v>1</v>
      </c>
      <c r="E2012" s="5">
        <f>Table4[[#This Row],[qty]]*(VLOOKUP(Table4[[#This Row],[item_sold]],Table1[],5,FALSE))</f>
        <v>65</v>
      </c>
      <c r="F2012" s="5">
        <f>(VLOOKUP(Table4[[#This Row],[item_sold]],Table1[],4,FALSE))*Table4[[#This Row],[qty]]</f>
        <v>60</v>
      </c>
      <c r="G2012">
        <f t="shared" si="133"/>
        <v>5</v>
      </c>
      <c r="H2012" t="s">
        <v>361</v>
      </c>
    </row>
    <row r="2013" spans="1:12" x14ac:dyDescent="0.25">
      <c r="A2013" s="1">
        <f t="shared" si="131"/>
        <v>45518</v>
      </c>
      <c r="B2013" s="31">
        <f t="shared" si="143"/>
        <v>0.81111111111111101</v>
      </c>
      <c r="C2013" t="str">
        <f>'Inventory as of 12th Aug 2024'!A9</f>
        <v>Kinangop Fresh Milk 500ml</v>
      </c>
      <c r="D2013" s="27">
        <v>1</v>
      </c>
      <c r="E2013" s="5">
        <f>Table4[[#This Row],[qty]]*(VLOOKUP(Table4[[#This Row],[item_sold]],Table1[],5,FALSE))</f>
        <v>60</v>
      </c>
      <c r="F2013" s="5">
        <f>(VLOOKUP(Table4[[#This Row],[item_sold]],Table1[],4,FALSE))*Table4[[#This Row],[qty]]</f>
        <v>55</v>
      </c>
      <c r="G2013">
        <f t="shared" si="133"/>
        <v>5</v>
      </c>
      <c r="H2013" t="s">
        <v>247</v>
      </c>
    </row>
    <row r="2014" spans="1:12" x14ac:dyDescent="0.25">
      <c r="A2014" s="1">
        <f t="shared" si="131"/>
        <v>45518</v>
      </c>
      <c r="B2014" s="31">
        <f>TIME(20,24, 0)</f>
        <v>0.85</v>
      </c>
      <c r="C2014" t="str">
        <f>'Inventory as of 12th Aug 2024'!A95</f>
        <v>waru</v>
      </c>
      <c r="D2014" s="27">
        <v>2</v>
      </c>
      <c r="E2014" s="5">
        <f>Table4[[#This Row],[qty]]*(VLOOKUP(Table4[[#This Row],[item_sold]],Table1[],5,FALSE))</f>
        <v>100</v>
      </c>
      <c r="F2014" s="5">
        <f>(VLOOKUP(Table4[[#This Row],[item_sold]],Table1[],4,FALSE))*Table4[[#This Row],[qty]]</f>
        <v>59.999999999999993</v>
      </c>
      <c r="G2014">
        <f t="shared" si="133"/>
        <v>40.000000000000007</v>
      </c>
      <c r="H2014" t="s">
        <v>359</v>
      </c>
      <c r="I2014" t="s">
        <v>390</v>
      </c>
    </row>
    <row r="2015" spans="1:12" x14ac:dyDescent="0.25">
      <c r="A2015" s="1">
        <f t="shared" si="131"/>
        <v>45518</v>
      </c>
      <c r="B2015" s="31">
        <f>TIME(20,24, 0)</f>
        <v>0.85</v>
      </c>
      <c r="C2015" t="str">
        <f>'Inventory as of 12th Aug 2024'!A9</f>
        <v>Kinangop Fresh Milk 500ml</v>
      </c>
      <c r="D2015" s="27">
        <v>1</v>
      </c>
      <c r="E2015" s="5">
        <f>Table4[[#This Row],[qty]]*(VLOOKUP(Table4[[#This Row],[item_sold]],Table1[],5,FALSE))</f>
        <v>60</v>
      </c>
      <c r="F2015" s="5">
        <f>(VLOOKUP(Table4[[#This Row],[item_sold]],Table1[],4,FALSE))*Table4[[#This Row],[qty]]</f>
        <v>55</v>
      </c>
      <c r="G2015">
        <f t="shared" si="133"/>
        <v>5</v>
      </c>
      <c r="H2015" t="s">
        <v>359</v>
      </c>
      <c r="I2015" t="s">
        <v>390</v>
      </c>
    </row>
    <row r="2016" spans="1:12" x14ac:dyDescent="0.25">
      <c r="A2016" s="1">
        <f t="shared" si="131"/>
        <v>45518</v>
      </c>
      <c r="B2016" s="31">
        <f t="shared" ref="B2016:B2019" si="144">TIME(20,24, 0)</f>
        <v>0.85</v>
      </c>
      <c r="C2016" t="str">
        <f>'Inventory as of 12th Aug 2024'!A10</f>
        <v>Mt Kenya milk 200ml</v>
      </c>
      <c r="D2016" s="27">
        <v>3</v>
      </c>
      <c r="E2016" s="5">
        <f>Table4[[#This Row],[qty]]*(VLOOKUP(Table4[[#This Row],[item_sold]],Table1[],5,FALSE))</f>
        <v>105</v>
      </c>
      <c r="F2016" s="5">
        <f>(VLOOKUP(Table4[[#This Row],[item_sold]],Table1[],4,FALSE))*Table4[[#This Row],[qty]]</f>
        <v>72.857142857142861</v>
      </c>
      <c r="G2016">
        <f t="shared" si="133"/>
        <v>32.142857142857139</v>
      </c>
      <c r="H2016" t="s">
        <v>361</v>
      </c>
    </row>
    <row r="2017" spans="1:8" x14ac:dyDescent="0.25">
      <c r="A2017" s="1">
        <f t="shared" si="131"/>
        <v>45518</v>
      </c>
      <c r="B2017" s="31">
        <f t="shared" si="144"/>
        <v>0.85</v>
      </c>
      <c r="C2017" t="str">
        <f>'Inventory as of 12th Aug 2024'!A37</f>
        <v>Festive Bread 400g</v>
      </c>
      <c r="D2017" s="27">
        <v>1</v>
      </c>
      <c r="E2017" s="5">
        <f>Table4[[#This Row],[qty]]*(VLOOKUP(Table4[[#This Row],[item_sold]],Table1[],5,FALSE))</f>
        <v>65</v>
      </c>
      <c r="F2017" s="5">
        <f>(VLOOKUP(Table4[[#This Row],[item_sold]],Table1[],4,FALSE))*Table4[[#This Row],[qty]]</f>
        <v>60</v>
      </c>
      <c r="G2017">
        <f t="shared" si="133"/>
        <v>5</v>
      </c>
      <c r="H2017" t="s">
        <v>361</v>
      </c>
    </row>
    <row r="2018" spans="1:8" x14ac:dyDescent="0.25">
      <c r="A2018" s="1">
        <f t="shared" si="131"/>
        <v>45518</v>
      </c>
      <c r="B2018" s="31">
        <f t="shared" si="144"/>
        <v>0.85</v>
      </c>
      <c r="C2018" t="str">
        <f>'Inventory as of 12th Aug 2024'!A232</f>
        <v>coo</v>
      </c>
      <c r="D2018" s="27">
        <v>40</v>
      </c>
      <c r="E2018" s="5">
        <f>Table4[[#This Row],[qty]]*(VLOOKUP(Table4[[#This Row],[item_sold]],Table1[],5,FALSE))</f>
        <v>100</v>
      </c>
      <c r="F2018" s="5">
        <f>(VLOOKUP(Table4[[#This Row],[item_sold]],Table1[],4,FALSE))*Table4[[#This Row],[qty]]</f>
        <v>48</v>
      </c>
      <c r="G2018">
        <f t="shared" si="133"/>
        <v>52</v>
      </c>
      <c r="H2018" t="s">
        <v>247</v>
      </c>
    </row>
    <row r="2019" spans="1:8" x14ac:dyDescent="0.25">
      <c r="A2019" s="1">
        <f t="shared" si="131"/>
        <v>45518</v>
      </c>
      <c r="B2019" s="31">
        <f t="shared" si="144"/>
        <v>0.85</v>
      </c>
      <c r="C2019" t="str">
        <f>'Inventory as of 12th Aug 2024'!A120</f>
        <v>Maramoja</v>
      </c>
      <c r="D2019" s="27">
        <v>2</v>
      </c>
      <c r="E2019" s="5">
        <f>Table4[[#This Row],[qty]]*(VLOOKUP(Table4[[#This Row],[item_sold]],Table1[],5,FALSE))</f>
        <v>20</v>
      </c>
      <c r="F2019" s="5">
        <f>(VLOOKUP(Table4[[#This Row],[item_sold]],Table1[],4,FALSE))*Table4[[#This Row],[qty]]</f>
        <v>14</v>
      </c>
      <c r="G2019">
        <f t="shared" si="133"/>
        <v>6</v>
      </c>
      <c r="H2019" t="s">
        <v>247</v>
      </c>
    </row>
    <row r="2020" spans="1:8" x14ac:dyDescent="0.25">
      <c r="A2020" s="1">
        <f>DATE(2024,8,15)</f>
        <v>45519</v>
      </c>
      <c r="B2020" s="31">
        <f>TIME(8,0, 0)</f>
        <v>0.33333333333333331</v>
      </c>
      <c r="C2020" t="str">
        <f>'Inventory as of 12th Aug 2024'!A57</f>
        <v>Sportsman</v>
      </c>
      <c r="D2020" s="27">
        <v>1</v>
      </c>
      <c r="E2020" s="5">
        <f>Table4[[#This Row],[qty]]*(VLOOKUP(Table4[[#This Row],[item_sold]],Table1[],5,FALSE))</f>
        <v>20</v>
      </c>
      <c r="F2020" s="5">
        <f>(VLOOKUP(Table4[[#This Row],[item_sold]],Table1[],4,FALSE))*Table4[[#This Row],[qty]]</f>
        <v>13</v>
      </c>
      <c r="G2020">
        <f t="shared" si="133"/>
        <v>7</v>
      </c>
      <c r="H2020" t="s">
        <v>247</v>
      </c>
    </row>
    <row r="2021" spans="1:8" x14ac:dyDescent="0.25">
      <c r="A2021" s="1">
        <f t="shared" ref="A2021:A2073" si="145">DATE(2024,8,15)</f>
        <v>45519</v>
      </c>
      <c r="B2021" s="31">
        <f>TIME(8,1, 0)</f>
        <v>0.33402777777777781</v>
      </c>
      <c r="C2021" t="str">
        <f>'Inventory as of 12th Aug 2024'!A136</f>
        <v>Poa Pekee Tissue</v>
      </c>
      <c r="D2021" s="27">
        <v>1</v>
      </c>
      <c r="E2021" s="5">
        <f>Table4[[#This Row],[qty]]*(VLOOKUP(Table4[[#This Row],[item_sold]],Table1[],5,FALSE))</f>
        <v>30</v>
      </c>
      <c r="F2021" s="5">
        <f>(VLOOKUP(Table4[[#This Row],[item_sold]],Table1[],4,FALSE))*Table4[[#This Row],[qty]]</f>
        <v>13.333333333333334</v>
      </c>
      <c r="G2021">
        <f t="shared" si="133"/>
        <v>16.666666666666664</v>
      </c>
      <c r="H2021" t="s">
        <v>247</v>
      </c>
    </row>
    <row r="2022" spans="1:8" x14ac:dyDescent="0.25">
      <c r="A2022" s="1">
        <f t="shared" si="145"/>
        <v>45519</v>
      </c>
      <c r="B2022" s="31">
        <f>TIME(8,2, 0)</f>
        <v>0.3347222222222222</v>
      </c>
      <c r="C2022" t="str">
        <f>'Inventory as of 12th Aug 2024'!A33</f>
        <v>BB Bread 400g</v>
      </c>
      <c r="D2022" s="27">
        <v>1</v>
      </c>
      <c r="E2022" s="5">
        <f>Table4[[#This Row],[qty]]*(VLOOKUP(Table4[[#This Row],[item_sold]],Table1[],5,FALSE))</f>
        <v>65</v>
      </c>
      <c r="F2022" s="5">
        <f>(VLOOKUP(Table4[[#This Row],[item_sold]],Table1[],4,FALSE))*Table4[[#This Row],[qty]]</f>
        <v>60</v>
      </c>
      <c r="G2022">
        <f t="shared" si="133"/>
        <v>5</v>
      </c>
      <c r="H2022" t="s">
        <v>361</v>
      </c>
    </row>
    <row r="2023" spans="1:8" x14ac:dyDescent="0.25">
      <c r="A2023" s="1">
        <f t="shared" si="145"/>
        <v>45519</v>
      </c>
      <c r="B2023" s="31">
        <f>TIME(8,2, 0)</f>
        <v>0.3347222222222222</v>
      </c>
      <c r="C2023" t="str">
        <f>'Inventory as of 12th Aug 2024'!A9</f>
        <v>Kinangop Fresh Milk 500ml</v>
      </c>
      <c r="D2023" s="27">
        <v>1</v>
      </c>
      <c r="E2023" s="5">
        <f>Table4[[#This Row],[qty]]*(VLOOKUP(Table4[[#This Row],[item_sold]],Table1[],5,FALSE))</f>
        <v>60</v>
      </c>
      <c r="F2023" s="5">
        <f>(VLOOKUP(Table4[[#This Row],[item_sold]],Table1[],4,FALSE))*Table4[[#This Row],[qty]]</f>
        <v>55</v>
      </c>
      <c r="G2023">
        <f t="shared" si="133"/>
        <v>5</v>
      </c>
      <c r="H2023" t="s">
        <v>361</v>
      </c>
    </row>
    <row r="2024" spans="1:8" x14ac:dyDescent="0.25">
      <c r="A2024" s="1">
        <f t="shared" si="145"/>
        <v>45519</v>
      </c>
      <c r="B2024" s="31">
        <f>TIME(9,38, 0)</f>
        <v>0.40138888888888885</v>
      </c>
      <c r="C2024" t="str">
        <f>'Inventory as of 12th Aug 2024'!A202</f>
        <v>funtime snacks</v>
      </c>
      <c r="D2024" s="27">
        <v>2</v>
      </c>
      <c r="E2024" s="5">
        <f>Table4[[#This Row],[qty]]*(VLOOKUP(Table4[[#This Row],[item_sold]],Table1[],5,FALSE))</f>
        <v>30</v>
      </c>
      <c r="F2024" s="5">
        <f>(VLOOKUP(Table4[[#This Row],[item_sold]],Table1[],4,FALSE))*Table4[[#This Row],[qty]]</f>
        <v>18</v>
      </c>
      <c r="G2024">
        <f t="shared" si="133"/>
        <v>12</v>
      </c>
      <c r="H2024" t="s">
        <v>247</v>
      </c>
    </row>
    <row r="2025" spans="1:8" x14ac:dyDescent="0.25">
      <c r="A2025" s="1">
        <f t="shared" si="145"/>
        <v>45519</v>
      </c>
      <c r="B2025" s="31">
        <f>TIME(10,15, 0)</f>
        <v>0.42708333333333331</v>
      </c>
      <c r="C2025" t="str">
        <f>'Inventory as of 12th Aug 2024'!A3</f>
        <v>Safaricom 10 Credit</v>
      </c>
      <c r="D2025" s="27">
        <v>3</v>
      </c>
      <c r="E2025" s="5">
        <f>Table4[[#This Row],[qty]]*(VLOOKUP(Table4[[#This Row],[item_sold]],Table1[],5,FALSE))</f>
        <v>30</v>
      </c>
      <c r="F2025" s="5">
        <f>(VLOOKUP(Table4[[#This Row],[item_sold]],Table1[],4,FALSE))*Table4[[#This Row],[qty]]</f>
        <v>27</v>
      </c>
      <c r="G2025">
        <f t="shared" ref="G2025:G2088" si="146">E2025-F2025</f>
        <v>3</v>
      </c>
      <c r="H2025" t="s">
        <v>247</v>
      </c>
    </row>
    <row r="2026" spans="1:8" x14ac:dyDescent="0.25">
      <c r="A2026" s="1">
        <f t="shared" si="145"/>
        <v>45519</v>
      </c>
      <c r="B2026" s="31">
        <f>TIME(10,19, 0)</f>
        <v>0.42986111111111108</v>
      </c>
      <c r="C2026" t="str">
        <f>'Inventory as of 12th Aug 2024'!A3</f>
        <v>Safaricom 10 Credit</v>
      </c>
      <c r="D2026" s="27">
        <v>2</v>
      </c>
      <c r="E2026" s="5">
        <f>Table4[[#This Row],[qty]]*(VLOOKUP(Table4[[#This Row],[item_sold]],Table1[],5,FALSE))</f>
        <v>20</v>
      </c>
      <c r="F2026" s="5">
        <f>(VLOOKUP(Table4[[#This Row],[item_sold]],Table1[],4,FALSE))*Table4[[#This Row],[qty]]</f>
        <v>18</v>
      </c>
      <c r="G2026">
        <f t="shared" si="146"/>
        <v>2</v>
      </c>
      <c r="H2026" t="s">
        <v>247</v>
      </c>
    </row>
    <row r="2027" spans="1:8" x14ac:dyDescent="0.25">
      <c r="A2027" s="1">
        <f t="shared" si="145"/>
        <v>45519</v>
      </c>
      <c r="B2027" s="31">
        <f t="shared" ref="B2027:B2028" si="147">TIME(10,19, 0)</f>
        <v>0.42986111111111108</v>
      </c>
      <c r="C2027" t="str">
        <f>'Inventory as of 12th Aug 2024'!A6</f>
        <v>Airtel 10 Credit</v>
      </c>
      <c r="D2027" s="27">
        <v>2</v>
      </c>
      <c r="E2027" s="5">
        <f>Table4[[#This Row],[qty]]*(VLOOKUP(Table4[[#This Row],[item_sold]],Table1[],5,FALSE))</f>
        <v>20</v>
      </c>
      <c r="F2027" s="5">
        <f>(VLOOKUP(Table4[[#This Row],[item_sold]],Table1[],4,FALSE))*Table4[[#This Row],[qty]]</f>
        <v>18</v>
      </c>
      <c r="G2027">
        <f t="shared" si="146"/>
        <v>2</v>
      </c>
      <c r="H2027" t="s">
        <v>247</v>
      </c>
    </row>
    <row r="2028" spans="1:8" x14ac:dyDescent="0.25">
      <c r="A2028" s="1">
        <f t="shared" si="145"/>
        <v>45519</v>
      </c>
      <c r="B2028" s="31">
        <f t="shared" si="147"/>
        <v>0.42986111111111108</v>
      </c>
      <c r="C2028" t="str">
        <f>'Inventory as of 12th Aug 2024'!A238</f>
        <v>Tropical</v>
      </c>
      <c r="D2028" s="27">
        <v>2</v>
      </c>
      <c r="E2028" s="5">
        <f>Table4[[#This Row],[qty]]*(VLOOKUP(Table4[[#This Row],[item_sold]],Table1[],5,FALSE))</f>
        <v>10</v>
      </c>
      <c r="F2028" s="5">
        <f>(VLOOKUP(Table4[[#This Row],[item_sold]],Table1[],4,FALSE))*Table4[[#This Row],[qty]]</f>
        <v>3</v>
      </c>
      <c r="G2028">
        <f t="shared" si="146"/>
        <v>7</v>
      </c>
      <c r="H2028" t="s">
        <v>247</v>
      </c>
    </row>
    <row r="2029" spans="1:8" x14ac:dyDescent="0.25">
      <c r="A2029" s="1">
        <f t="shared" si="145"/>
        <v>45519</v>
      </c>
      <c r="B2029" s="31">
        <f>TIME(10,32, 0)</f>
        <v>0.43888888888888888</v>
      </c>
      <c r="C2029" t="str">
        <f>'Inventory as of 12th Aug 2024'!A193</f>
        <v>Ginger Bisquit</v>
      </c>
      <c r="D2029" s="27">
        <v>2</v>
      </c>
      <c r="E2029" s="5">
        <f>Table4[[#This Row],[qty]]*(VLOOKUP(Table4[[#This Row],[item_sold]],Table1[],5,FALSE))</f>
        <v>10</v>
      </c>
      <c r="F2029" s="5">
        <f>(VLOOKUP(Table4[[#This Row],[item_sold]],Table1[],4,FALSE))*Table4[[#This Row],[qty]]</f>
        <v>8.6666666666666661</v>
      </c>
      <c r="G2029">
        <f t="shared" si="146"/>
        <v>1.3333333333333339</v>
      </c>
      <c r="H2029" t="s">
        <v>247</v>
      </c>
    </row>
    <row r="2030" spans="1:8" x14ac:dyDescent="0.25">
      <c r="A2030" s="1">
        <f t="shared" si="145"/>
        <v>45519</v>
      </c>
      <c r="B2030" s="31">
        <f t="shared" ref="B2030" si="148">TIME(10,32, 0)</f>
        <v>0.43888888888888888</v>
      </c>
      <c r="C2030" t="str">
        <f>'Inventory as of 12th Aug 2024'!A5</f>
        <v>Airtel 20 Credit</v>
      </c>
      <c r="D2030" s="27">
        <v>2</v>
      </c>
      <c r="E2030" s="5">
        <f>Table4[[#This Row],[qty]]*(VLOOKUP(Table4[[#This Row],[item_sold]],Table1[],5,FALSE))</f>
        <v>40</v>
      </c>
      <c r="F2030" s="5">
        <f>(VLOOKUP(Table4[[#This Row],[item_sold]],Table1[],4,FALSE))*Table4[[#This Row],[qty]]</f>
        <v>36</v>
      </c>
      <c r="G2030">
        <f t="shared" si="146"/>
        <v>4</v>
      </c>
      <c r="H2030" t="s">
        <v>247</v>
      </c>
    </row>
    <row r="2031" spans="1:8" x14ac:dyDescent="0.25">
      <c r="A2031" s="1">
        <f t="shared" si="145"/>
        <v>45519</v>
      </c>
      <c r="B2031" s="31">
        <f>TIME(11,20, 0)</f>
        <v>0.47222222222222227</v>
      </c>
      <c r="C2031" t="str">
        <f>'Inventory as of 12th Aug 2024'!A33</f>
        <v>BB Bread 400g</v>
      </c>
      <c r="D2031" s="27">
        <v>2</v>
      </c>
      <c r="E2031" s="5">
        <f>Table4[[#This Row],[qty]]*(VLOOKUP(Table4[[#This Row],[item_sold]],Table1[],5,FALSE))</f>
        <v>130</v>
      </c>
      <c r="F2031" s="5">
        <f>(VLOOKUP(Table4[[#This Row],[item_sold]],Table1[],4,FALSE))*Table4[[#This Row],[qty]]</f>
        <v>120</v>
      </c>
      <c r="G2031">
        <f t="shared" si="146"/>
        <v>10</v>
      </c>
      <c r="H2031" t="s">
        <v>361</v>
      </c>
    </row>
    <row r="2032" spans="1:8" x14ac:dyDescent="0.25">
      <c r="A2032" s="1">
        <f t="shared" si="145"/>
        <v>45519</v>
      </c>
      <c r="B2032" s="31">
        <f>TIME(11,20, 0)</f>
        <v>0.47222222222222227</v>
      </c>
      <c r="C2032" t="str">
        <f>'Inventory as of 12th Aug 2024'!A70</f>
        <v>Sugar 1/2 kg</v>
      </c>
      <c r="D2032" s="27">
        <v>1</v>
      </c>
      <c r="E2032" s="5">
        <f>Table4[[#This Row],[qty]]*(VLOOKUP(Table4[[#This Row],[item_sold]],Table1[],5,FALSE))</f>
        <v>90</v>
      </c>
      <c r="F2032" s="5">
        <f>(VLOOKUP(Table4[[#This Row],[item_sold]],Table1[],4,FALSE))*Table4[[#This Row],[qty]]</f>
        <v>60</v>
      </c>
      <c r="G2032">
        <f t="shared" si="146"/>
        <v>30</v>
      </c>
      <c r="H2032" t="s">
        <v>361</v>
      </c>
    </row>
    <row r="2033" spans="1:8" x14ac:dyDescent="0.25">
      <c r="A2033" s="1">
        <f t="shared" si="145"/>
        <v>45519</v>
      </c>
      <c r="B2033" s="31">
        <f>TIME(11,38, 0)</f>
        <v>0.48472222222222222</v>
      </c>
      <c r="C2033" t="str">
        <f>'Inventory as of 12th Aug 2024'!A215</f>
        <v>Blueband 100g</v>
      </c>
      <c r="D2033" s="27">
        <v>1</v>
      </c>
      <c r="E2033" s="5">
        <f>Table4[[#This Row],[qty]]*(VLOOKUP(Table4[[#This Row],[item_sold]],Table1[],5,FALSE))</f>
        <v>70</v>
      </c>
      <c r="F2033" s="5">
        <f>(VLOOKUP(Table4[[#This Row],[item_sold]],Table1[],4,FALSE))*Table4[[#This Row],[qty]]</f>
        <v>58.333333333333336</v>
      </c>
      <c r="G2033">
        <f t="shared" si="146"/>
        <v>11.666666666666664</v>
      </c>
      <c r="H2033" t="s">
        <v>361</v>
      </c>
    </row>
    <row r="2034" spans="1:8" x14ac:dyDescent="0.25">
      <c r="A2034" s="1">
        <f t="shared" si="145"/>
        <v>45519</v>
      </c>
      <c r="B2034" s="31">
        <f t="shared" ref="B2034" si="149">TIME(11,38, 0)</f>
        <v>0.48472222222222222</v>
      </c>
      <c r="C2034" t="str">
        <f>'Inventory as of 12th Aug 2024'!A8</f>
        <v>eggs</v>
      </c>
      <c r="D2034" s="27">
        <v>2</v>
      </c>
      <c r="E2034" s="5">
        <f>Table4[[#This Row],[qty]]*(VLOOKUP(Table4[[#This Row],[item_sold]],Table1[],5,FALSE))</f>
        <v>40</v>
      </c>
      <c r="F2034" s="5">
        <f>(VLOOKUP(Table4[[#This Row],[item_sold]],Table1[],4,FALSE))*Table4[[#This Row],[qty]]</f>
        <v>28.666666666666668</v>
      </c>
      <c r="G2034">
        <f t="shared" si="146"/>
        <v>11.333333333333332</v>
      </c>
      <c r="H2034" t="s">
        <v>361</v>
      </c>
    </row>
    <row r="2035" spans="1:8" x14ac:dyDescent="0.25">
      <c r="A2035" s="1">
        <f t="shared" si="145"/>
        <v>45519</v>
      </c>
      <c r="B2035" s="31">
        <f>TIME(12,31, 0)</f>
        <v>0.52152777777777781</v>
      </c>
      <c r="C2035" t="str">
        <f>'Inventory as of 12th Aug 2024'!A176</f>
        <v>Queen cake</v>
      </c>
      <c r="D2035" s="27">
        <v>6</v>
      </c>
      <c r="E2035" s="5">
        <f>Table4[[#This Row],[qty]]*(VLOOKUP(Table4[[#This Row],[item_sold]],Table1[],5,FALSE))</f>
        <v>60</v>
      </c>
      <c r="F2035" s="5">
        <f>(VLOOKUP(Table4[[#This Row],[item_sold]],Table1[],4,FALSE))*Table4[[#This Row],[qty]]</f>
        <v>50</v>
      </c>
      <c r="G2035">
        <f t="shared" si="146"/>
        <v>10</v>
      </c>
      <c r="H2035" t="s">
        <v>247</v>
      </c>
    </row>
    <row r="2036" spans="1:8" x14ac:dyDescent="0.25">
      <c r="A2036" s="1">
        <f t="shared" si="145"/>
        <v>45519</v>
      </c>
      <c r="B2036" s="31">
        <f>TIME(13,9, 0)</f>
        <v>0.54791666666666672</v>
      </c>
      <c r="C2036" t="str">
        <f>'Inventory as of 12th Aug 2024'!A42</f>
        <v>Indomie chicken</v>
      </c>
      <c r="D2036" s="27">
        <v>2</v>
      </c>
      <c r="E2036" s="5">
        <f>Table4[[#This Row],[qty]]*(VLOOKUP(Table4[[#This Row],[item_sold]],Table1[],5,FALSE))</f>
        <v>100</v>
      </c>
      <c r="F2036" s="5">
        <f>(VLOOKUP(Table4[[#This Row],[item_sold]],Table1[],4,FALSE))*Table4[[#This Row],[qty]]</f>
        <v>75</v>
      </c>
      <c r="G2036">
        <f t="shared" si="146"/>
        <v>25</v>
      </c>
      <c r="H2036" t="s">
        <v>247</v>
      </c>
    </row>
    <row r="2037" spans="1:8" x14ac:dyDescent="0.25">
      <c r="A2037" s="1">
        <f t="shared" si="145"/>
        <v>45519</v>
      </c>
      <c r="B2037" s="31">
        <f>TIME(13,30, 0)</f>
        <v>0.5625</v>
      </c>
      <c r="C2037" t="str">
        <f>'Inventory as of 12th Aug 2024'!A243</f>
        <v>Ballon</v>
      </c>
      <c r="D2037" s="27">
        <v>4</v>
      </c>
      <c r="E2037" s="5">
        <f>Table4[[#This Row],[qty]]*(VLOOKUP(Table4[[#This Row],[item_sold]],Table1[],5,FALSE))</f>
        <v>40</v>
      </c>
      <c r="F2037" s="5">
        <f>(VLOOKUP(Table4[[#This Row],[item_sold]],Table1[],4,FALSE))*Table4[[#This Row],[qty]]</f>
        <v>30</v>
      </c>
      <c r="G2037">
        <f t="shared" si="146"/>
        <v>10</v>
      </c>
      <c r="H2037" t="s">
        <v>361</v>
      </c>
    </row>
    <row r="2038" spans="1:8" x14ac:dyDescent="0.25">
      <c r="A2038" s="1">
        <f t="shared" si="145"/>
        <v>45519</v>
      </c>
      <c r="B2038" s="31">
        <f>TIME(13,51, 0)</f>
        <v>0.57708333333333328</v>
      </c>
      <c r="C2038" t="str">
        <f>'Inventory as of 12th Aug 2024'!A199</f>
        <v>Kdf</v>
      </c>
      <c r="D2038" s="27">
        <v>1</v>
      </c>
      <c r="E2038" s="5">
        <f>Table4[[#This Row],[qty]]*(VLOOKUP(Table4[[#This Row],[item_sold]],Table1[],5,FALSE))</f>
        <v>10</v>
      </c>
      <c r="F2038" s="5">
        <f>(VLOOKUP(Table4[[#This Row],[item_sold]],Table1[],4,FALSE))*Table4[[#This Row],[qty]]</f>
        <v>8.3333333333333339</v>
      </c>
      <c r="G2038">
        <f t="shared" si="146"/>
        <v>1.6666666666666661</v>
      </c>
      <c r="H2038" t="s">
        <v>247</v>
      </c>
    </row>
    <row r="2039" spans="1:8" x14ac:dyDescent="0.25">
      <c r="A2039" s="1">
        <f t="shared" si="145"/>
        <v>45519</v>
      </c>
      <c r="B2039" s="31">
        <f>TIME(13,58, 0)</f>
        <v>0.58194444444444449</v>
      </c>
      <c r="C2039" t="str">
        <f>'Inventory as of 12th Aug 2024'!A82</f>
        <v>ariel 10g</v>
      </c>
      <c r="D2039" s="27">
        <v>1</v>
      </c>
      <c r="E2039" s="5">
        <f>Table4[[#This Row],[qty]]*(VLOOKUP(Table4[[#This Row],[item_sold]],Table1[],5,FALSE))</f>
        <v>15</v>
      </c>
      <c r="F2039" s="5">
        <f>(VLOOKUP(Table4[[#This Row],[item_sold]],Table1[],4,FALSE))*Table4[[#This Row],[qty]]</f>
        <v>9.1666666666666661</v>
      </c>
      <c r="G2039">
        <f t="shared" si="146"/>
        <v>5.8333333333333339</v>
      </c>
      <c r="H2039" t="s">
        <v>247</v>
      </c>
    </row>
    <row r="2040" spans="1:8" x14ac:dyDescent="0.25">
      <c r="A2040" s="1">
        <f t="shared" si="145"/>
        <v>45519</v>
      </c>
      <c r="B2040" s="31">
        <f>TIME(14,46, 0)</f>
        <v>0.61527777777777781</v>
      </c>
      <c r="C2040" t="str">
        <f>'Inventory as of 12th Aug 2024'!A42</f>
        <v>Indomie chicken</v>
      </c>
      <c r="D2040" s="27">
        <v>4</v>
      </c>
      <c r="E2040" s="5">
        <f>Table4[[#This Row],[qty]]*(VLOOKUP(Table4[[#This Row],[item_sold]],Table1[],5,FALSE))</f>
        <v>200</v>
      </c>
      <c r="F2040" s="5">
        <f>(VLOOKUP(Table4[[#This Row],[item_sold]],Table1[],4,FALSE))*Table4[[#This Row],[qty]]</f>
        <v>150</v>
      </c>
      <c r="G2040">
        <f t="shared" si="146"/>
        <v>50</v>
      </c>
      <c r="H2040" t="s">
        <v>361</v>
      </c>
    </row>
    <row r="2041" spans="1:8" x14ac:dyDescent="0.25">
      <c r="A2041" s="1">
        <f t="shared" si="145"/>
        <v>45519</v>
      </c>
      <c r="B2041" s="31">
        <f>TIME(14,46, 0)</f>
        <v>0.61527777777777781</v>
      </c>
      <c r="C2041" t="str">
        <f>'Inventory as of 12th Aug 2024'!A135</f>
        <v>Bella Tissue</v>
      </c>
      <c r="D2041" s="27">
        <v>1</v>
      </c>
      <c r="E2041" s="5">
        <f>Table4[[#This Row],[qty]]*(VLOOKUP(Table4[[#This Row],[item_sold]],Table1[],5,FALSE))</f>
        <v>50</v>
      </c>
      <c r="F2041" s="5">
        <f>(VLOOKUP(Table4[[#This Row],[item_sold]],Table1[],4,FALSE))*Table4[[#This Row],[qty]]</f>
        <v>35</v>
      </c>
      <c r="G2041">
        <f t="shared" si="146"/>
        <v>15</v>
      </c>
      <c r="H2041" t="s">
        <v>361</v>
      </c>
    </row>
    <row r="2042" spans="1:8" x14ac:dyDescent="0.25">
      <c r="A2042" s="1">
        <f t="shared" si="145"/>
        <v>45519</v>
      </c>
      <c r="B2042" s="31">
        <f>TIME(15,19, 0)</f>
        <v>0.6381944444444444</v>
      </c>
      <c r="C2042" t="str">
        <f>'Inventory as of 12th Aug 2024'!A42</f>
        <v>Indomie chicken</v>
      </c>
      <c r="D2042" s="27">
        <v>1</v>
      </c>
      <c r="E2042" s="5">
        <f>Table4[[#This Row],[qty]]*(VLOOKUP(Table4[[#This Row],[item_sold]],Table1[],5,FALSE))</f>
        <v>50</v>
      </c>
      <c r="F2042" s="5">
        <f>(VLOOKUP(Table4[[#This Row],[item_sold]],Table1[],4,FALSE))*Table4[[#This Row],[qty]]</f>
        <v>37.5</v>
      </c>
      <c r="G2042">
        <f t="shared" si="146"/>
        <v>12.5</v>
      </c>
      <c r="H2042" t="s">
        <v>361</v>
      </c>
    </row>
    <row r="2043" spans="1:8" x14ac:dyDescent="0.25">
      <c r="A2043" s="1">
        <f t="shared" si="145"/>
        <v>45519</v>
      </c>
      <c r="B2043" s="31">
        <f>TIME(15,41, 0)</f>
        <v>0.65347222222222223</v>
      </c>
      <c r="C2043" t="str">
        <f>'Inventory as of 12th Aug 2024'!A242</f>
        <v>Icepop</v>
      </c>
      <c r="D2043" s="27">
        <v>2</v>
      </c>
      <c r="E2043" s="5">
        <f>Table4[[#This Row],[qty]]*(VLOOKUP(Table4[[#This Row],[item_sold]],Table1[],5,FALSE))</f>
        <v>30</v>
      </c>
      <c r="F2043" s="5">
        <f>(VLOOKUP(Table4[[#This Row],[item_sold]],Table1[],4,FALSE))*Table4[[#This Row],[qty]]</f>
        <v>15</v>
      </c>
      <c r="G2043">
        <f t="shared" si="146"/>
        <v>15</v>
      </c>
      <c r="H2043" t="s">
        <v>361</v>
      </c>
    </row>
    <row r="2044" spans="1:8" x14ac:dyDescent="0.25">
      <c r="A2044" s="1">
        <f t="shared" si="145"/>
        <v>45519</v>
      </c>
      <c r="B2044" s="31">
        <f>TIME(16,12, 0)</f>
        <v>0.67499999999999993</v>
      </c>
      <c r="C2044" t="str">
        <f>'Inventory as of 12th Aug 2024'!A212</f>
        <v>soda 300ml glass</v>
      </c>
      <c r="D2044" s="27">
        <v>1</v>
      </c>
      <c r="E2044" s="5">
        <f>Table4[[#This Row],[qty]]*(VLOOKUP(Table4[[#This Row],[item_sold]],Table1[],5,FALSE))</f>
        <v>40</v>
      </c>
      <c r="F2044" s="5">
        <f>(VLOOKUP(Table4[[#This Row],[item_sold]],Table1[],4,FALSE))*Table4[[#This Row],[qty]]</f>
        <v>32.5</v>
      </c>
      <c r="G2044">
        <f t="shared" si="146"/>
        <v>7.5</v>
      </c>
      <c r="H2044" t="s">
        <v>247</v>
      </c>
    </row>
    <row r="2045" spans="1:8" x14ac:dyDescent="0.25">
      <c r="A2045" s="1">
        <f t="shared" si="145"/>
        <v>45519</v>
      </c>
      <c r="B2045" s="31">
        <f t="shared" ref="B2045" si="150">TIME(15,41, 0)</f>
        <v>0.65347222222222223</v>
      </c>
      <c r="C2045" t="str">
        <f>'Inventory as of 12th Aug 2024'!A191</f>
        <v>Nuvita Bisquit</v>
      </c>
      <c r="D2045" s="27">
        <v>2</v>
      </c>
      <c r="E2045" s="5">
        <f>Table4[[#This Row],[qty]]*(VLOOKUP(Table4[[#This Row],[item_sold]],Table1[],5,FALSE))</f>
        <v>10</v>
      </c>
      <c r="F2045" s="5">
        <f>(VLOOKUP(Table4[[#This Row],[item_sold]],Table1[],4,FALSE))*Table4[[#This Row],[qty]]</f>
        <v>8.3333333333333339</v>
      </c>
      <c r="G2045">
        <f t="shared" si="146"/>
        <v>1.6666666666666661</v>
      </c>
      <c r="H2045" t="s">
        <v>247</v>
      </c>
    </row>
    <row r="2046" spans="1:8" x14ac:dyDescent="0.25">
      <c r="A2046" s="1">
        <f t="shared" si="145"/>
        <v>45519</v>
      </c>
      <c r="B2046" s="31">
        <f>TIME(15,42, 0)</f>
        <v>0.65416666666666667</v>
      </c>
      <c r="C2046" t="str">
        <f>'Inventory as of 12th Aug 2024'!A189</f>
        <v>Peanut Cookies</v>
      </c>
      <c r="D2046" s="27">
        <v>1</v>
      </c>
      <c r="E2046" s="5">
        <f>Table4[[#This Row],[qty]]*(VLOOKUP(Table4[[#This Row],[item_sold]],Table1[],5,FALSE))</f>
        <v>35</v>
      </c>
      <c r="F2046" s="5">
        <f>(VLOOKUP(Table4[[#This Row],[item_sold]],Table1[],4,FALSE))*Table4[[#This Row],[qty]]</f>
        <v>25</v>
      </c>
      <c r="G2046">
        <f t="shared" si="146"/>
        <v>10</v>
      </c>
      <c r="H2046" t="s">
        <v>361</v>
      </c>
    </row>
    <row r="2047" spans="1:8" x14ac:dyDescent="0.25">
      <c r="A2047" s="1">
        <f t="shared" si="145"/>
        <v>45519</v>
      </c>
      <c r="B2047" s="31">
        <f>TIME(15,42, 0)</f>
        <v>0.65416666666666667</v>
      </c>
      <c r="C2047" t="str">
        <f>'Inventory as of 12th Aug 2024'!A240</f>
        <v>Bigboss</v>
      </c>
      <c r="D2047" s="27">
        <v>2</v>
      </c>
      <c r="E2047" s="5">
        <f>Table4[[#This Row],[qty]]*(VLOOKUP(Table4[[#This Row],[item_sold]],Table1[],5,FALSE))</f>
        <v>10</v>
      </c>
      <c r="F2047" s="5">
        <f>(VLOOKUP(Table4[[#This Row],[item_sold]],Table1[],4,FALSE))*Table4[[#This Row],[qty]]</f>
        <v>7</v>
      </c>
      <c r="G2047">
        <f t="shared" si="146"/>
        <v>3</v>
      </c>
      <c r="H2047" t="s">
        <v>361</v>
      </c>
    </row>
    <row r="2048" spans="1:8" x14ac:dyDescent="0.25">
      <c r="A2048" s="1">
        <f t="shared" si="145"/>
        <v>45519</v>
      </c>
      <c r="B2048" s="31">
        <f>TIME(16,55, 0)</f>
        <v>0.70486111111111116</v>
      </c>
      <c r="C2048" t="str">
        <f>'Inventory as of 12th Aug 2024'!A149</f>
        <v>Arimis small</v>
      </c>
      <c r="D2048" s="27">
        <v>1</v>
      </c>
      <c r="E2048" s="5">
        <f>Table4[[#This Row],[qty]]*(VLOOKUP(Table4[[#This Row],[item_sold]],Table1[],5,FALSE))</f>
        <v>35</v>
      </c>
      <c r="F2048" s="5">
        <f>(VLOOKUP(Table4[[#This Row],[item_sold]],Table1[],4,FALSE))*Table4[[#This Row],[qty]]</f>
        <v>23.333333333333332</v>
      </c>
      <c r="G2048">
        <f t="shared" si="146"/>
        <v>11.666666666666668</v>
      </c>
      <c r="H2048" t="s">
        <v>247</v>
      </c>
    </row>
    <row r="2049" spans="1:8" x14ac:dyDescent="0.25">
      <c r="A2049" s="1">
        <f t="shared" si="145"/>
        <v>45519</v>
      </c>
      <c r="B2049" s="31">
        <f>TIME(16,57, 0)</f>
        <v>0.70624999999999993</v>
      </c>
      <c r="C2049" t="str">
        <f>'Inventory as of 12th Aug 2024'!A231</f>
        <v>Patco</v>
      </c>
      <c r="D2049" s="27">
        <v>4</v>
      </c>
      <c r="E2049" s="5">
        <f>Table4[[#This Row],[qty]]*(VLOOKUP(Table4[[#This Row],[item_sold]],Table1[],5,FALSE))</f>
        <v>10</v>
      </c>
      <c r="F2049" s="5">
        <f>(VLOOKUP(Table4[[#This Row],[item_sold]],Table1[],4,FALSE))*Table4[[#This Row],[qty]]</f>
        <v>4.8</v>
      </c>
      <c r="G2049">
        <f t="shared" si="146"/>
        <v>5.2</v>
      </c>
      <c r="H2049" t="s">
        <v>247</v>
      </c>
    </row>
    <row r="2050" spans="1:8" x14ac:dyDescent="0.25">
      <c r="A2050" s="1">
        <f t="shared" si="145"/>
        <v>45519</v>
      </c>
      <c r="B2050" s="31">
        <f>TIME(17,4, 0)</f>
        <v>0.71111111111111114</v>
      </c>
      <c r="C2050" t="str">
        <f>'Inventory as of 12th Aug 2024'!A242</f>
        <v>Icepop</v>
      </c>
      <c r="D2050" s="27">
        <v>2</v>
      </c>
      <c r="E2050" s="5">
        <f>Table4[[#This Row],[qty]]*(VLOOKUP(Table4[[#This Row],[item_sold]],Table1[],5,FALSE))</f>
        <v>30</v>
      </c>
      <c r="F2050" s="5">
        <f>(VLOOKUP(Table4[[#This Row],[item_sold]],Table1[],4,FALSE))*Table4[[#This Row],[qty]]</f>
        <v>15</v>
      </c>
      <c r="G2050">
        <f t="shared" si="146"/>
        <v>15</v>
      </c>
      <c r="H2050" t="s">
        <v>247</v>
      </c>
    </row>
    <row r="2051" spans="1:8" x14ac:dyDescent="0.25">
      <c r="A2051" s="1">
        <f t="shared" si="145"/>
        <v>45519</v>
      </c>
      <c r="B2051" s="31">
        <f>TIME(17,4, 0)</f>
        <v>0.71111111111111114</v>
      </c>
      <c r="C2051" t="str">
        <f>'Inventory as of 12th Aug 2024'!A242</f>
        <v>Icepop</v>
      </c>
      <c r="D2051" s="27">
        <v>2</v>
      </c>
      <c r="E2051" s="5">
        <f>Table4[[#This Row],[qty]]*(VLOOKUP(Table4[[#This Row],[item_sold]],Table1[],5,FALSE))</f>
        <v>30</v>
      </c>
      <c r="F2051" s="5">
        <f>(VLOOKUP(Table4[[#This Row],[item_sold]],Table1[],4,FALSE))*Table4[[#This Row],[qty]]</f>
        <v>15</v>
      </c>
      <c r="G2051">
        <f t="shared" si="146"/>
        <v>15</v>
      </c>
      <c r="H2051" t="s">
        <v>247</v>
      </c>
    </row>
    <row r="2052" spans="1:8" x14ac:dyDescent="0.25">
      <c r="A2052" s="1">
        <f t="shared" si="145"/>
        <v>45519</v>
      </c>
      <c r="B2052" s="31">
        <f>TIME(17,4, 0)</f>
        <v>0.71111111111111114</v>
      </c>
      <c r="C2052" t="str">
        <f>'Inventory as of 12th Aug 2024'!A241</f>
        <v>scooter cans</v>
      </c>
      <c r="D2052" s="27">
        <v>1</v>
      </c>
      <c r="E2052" s="5">
        <f>Table4[[#This Row],[qty]]*(VLOOKUP(Table4[[#This Row],[item_sold]],Table1[],5,FALSE))</f>
        <v>20</v>
      </c>
      <c r="F2052" s="5">
        <f>(VLOOKUP(Table4[[#This Row],[item_sold]],Table1[],4,FALSE))*Table4[[#This Row],[qty]]</f>
        <v>15</v>
      </c>
      <c r="G2052">
        <f t="shared" si="146"/>
        <v>5</v>
      </c>
      <c r="H2052" t="s">
        <v>247</v>
      </c>
    </row>
    <row r="2053" spans="1:8" x14ac:dyDescent="0.25">
      <c r="A2053" s="1">
        <f t="shared" si="145"/>
        <v>45519</v>
      </c>
      <c r="B2053" s="31">
        <f>TIME(17,5, 0)</f>
        <v>0.71180555555555547</v>
      </c>
      <c r="C2053" t="str">
        <f>'Inventory as of 12th Aug 2024'!A233</f>
        <v>Lollipop</v>
      </c>
      <c r="D2053" s="27">
        <v>1</v>
      </c>
      <c r="E2053" s="5">
        <f>Table4[[#This Row],[qty]]*(VLOOKUP(Table4[[#This Row],[item_sold]],Table1[],5,FALSE))</f>
        <v>5</v>
      </c>
      <c r="F2053" s="5">
        <f>(VLOOKUP(Table4[[#This Row],[item_sold]],Table1[],4,FALSE))*Table4[[#This Row],[qty]]</f>
        <v>2.4</v>
      </c>
      <c r="G2053">
        <f t="shared" si="146"/>
        <v>2.6</v>
      </c>
      <c r="H2053" t="s">
        <v>247</v>
      </c>
    </row>
    <row r="2054" spans="1:8" x14ac:dyDescent="0.25">
      <c r="A2054" s="1">
        <f t="shared" si="145"/>
        <v>45519</v>
      </c>
      <c r="B2054" s="31">
        <f>TIME(17,6, 0)</f>
        <v>0.71250000000000002</v>
      </c>
      <c r="C2054" t="str">
        <f>'Inventory as of 12th Aug 2024'!A242</f>
        <v>Icepop</v>
      </c>
      <c r="D2054" s="27">
        <v>2</v>
      </c>
      <c r="E2054" s="5">
        <f>Table4[[#This Row],[qty]]*(VLOOKUP(Table4[[#This Row],[item_sold]],Table1[],5,FALSE))</f>
        <v>30</v>
      </c>
      <c r="F2054" s="5">
        <f>(VLOOKUP(Table4[[#This Row],[item_sold]],Table1[],4,FALSE))*Table4[[#This Row],[qty]]</f>
        <v>15</v>
      </c>
      <c r="G2054">
        <f t="shared" si="146"/>
        <v>15</v>
      </c>
      <c r="H2054" t="s">
        <v>247</v>
      </c>
    </row>
    <row r="2055" spans="1:8" x14ac:dyDescent="0.25">
      <c r="A2055" s="1">
        <f t="shared" si="145"/>
        <v>45519</v>
      </c>
      <c r="B2055" s="31">
        <f t="shared" ref="B2055:B2057" si="151">TIME(17,6, 0)</f>
        <v>0.71250000000000002</v>
      </c>
      <c r="C2055" t="str">
        <f>'Inventory as of 12th Aug 2024'!A242</f>
        <v>Icepop</v>
      </c>
      <c r="D2055" s="27">
        <v>2</v>
      </c>
      <c r="E2055" s="5">
        <f>Table4[[#This Row],[qty]]*(VLOOKUP(Table4[[#This Row],[item_sold]],Table1[],5,FALSE))</f>
        <v>30</v>
      </c>
      <c r="F2055" s="5">
        <f>(VLOOKUP(Table4[[#This Row],[item_sold]],Table1[],4,FALSE))*Table4[[#This Row],[qty]]</f>
        <v>15</v>
      </c>
      <c r="G2055">
        <f t="shared" si="146"/>
        <v>15</v>
      </c>
      <c r="H2055" t="s">
        <v>247</v>
      </c>
    </row>
    <row r="2056" spans="1:8" x14ac:dyDescent="0.25">
      <c r="A2056" s="1">
        <f t="shared" si="145"/>
        <v>45519</v>
      </c>
      <c r="B2056" s="31">
        <f t="shared" si="151"/>
        <v>0.71250000000000002</v>
      </c>
      <c r="C2056" t="str">
        <f>'Inventory as of 12th Aug 2024'!A35</f>
        <v>Festive 600g</v>
      </c>
      <c r="D2056" s="27">
        <v>1</v>
      </c>
      <c r="E2056" s="5">
        <f>Table4[[#This Row],[qty]]*(VLOOKUP(Table4[[#This Row],[item_sold]],Table1[],5,FALSE))</f>
        <v>100</v>
      </c>
      <c r="F2056" s="5">
        <f>(VLOOKUP(Table4[[#This Row],[item_sold]],Table1[],4,FALSE))*Table4[[#This Row],[qty]]</f>
        <v>90</v>
      </c>
      <c r="G2056">
        <f t="shared" si="146"/>
        <v>10</v>
      </c>
      <c r="H2056" t="s">
        <v>247</v>
      </c>
    </row>
    <row r="2057" spans="1:8" x14ac:dyDescent="0.25">
      <c r="A2057" s="1">
        <f t="shared" si="145"/>
        <v>45519</v>
      </c>
      <c r="B2057" s="31">
        <f t="shared" si="151"/>
        <v>0.71250000000000002</v>
      </c>
      <c r="C2057" t="str">
        <f>'Inventory as of 12th Aug 2024'!A242</f>
        <v>Icepop</v>
      </c>
      <c r="D2057" s="27">
        <v>3</v>
      </c>
      <c r="E2057" s="5">
        <f>Table4[[#This Row],[qty]]*(VLOOKUP(Table4[[#This Row],[item_sold]],Table1[],5,FALSE))</f>
        <v>45</v>
      </c>
      <c r="F2057" s="5">
        <f>(VLOOKUP(Table4[[#This Row],[item_sold]],Table1[],4,FALSE))*Table4[[#This Row],[qty]]</f>
        <v>22.5</v>
      </c>
      <c r="G2057">
        <f t="shared" si="146"/>
        <v>22.5</v>
      </c>
      <c r="H2057" t="s">
        <v>247</v>
      </c>
    </row>
    <row r="2058" spans="1:8" x14ac:dyDescent="0.25">
      <c r="A2058" s="1">
        <f t="shared" si="145"/>
        <v>45519</v>
      </c>
      <c r="B2058" s="31">
        <f>TIME(18,45, 0)</f>
        <v>0.78125</v>
      </c>
      <c r="C2058" t="str">
        <f>'Inventory as of 12th Aug 2024'!A244</f>
        <v>5ltrs water</v>
      </c>
      <c r="D2058" s="27">
        <v>1</v>
      </c>
      <c r="E2058" s="5">
        <f>Table4[[#This Row],[qty]]*(VLOOKUP(Table4[[#This Row],[item_sold]],Table1[],5,FALSE))</f>
        <v>120</v>
      </c>
      <c r="F2058" s="5">
        <f>(VLOOKUP(Table4[[#This Row],[item_sold]],Table1[],4,FALSE))*Table4[[#This Row],[qty]]</f>
        <v>75</v>
      </c>
      <c r="G2058">
        <f t="shared" si="146"/>
        <v>45</v>
      </c>
      <c r="H2058" t="s">
        <v>361</v>
      </c>
    </row>
    <row r="2059" spans="1:8" x14ac:dyDescent="0.25">
      <c r="A2059" s="1">
        <f t="shared" si="145"/>
        <v>45519</v>
      </c>
      <c r="B2059" s="31">
        <f>TIME(18,58, 0)</f>
        <v>0.79027777777777775</v>
      </c>
      <c r="C2059" t="str">
        <f>'Inventory as of 12th Aug 2024'!A211</f>
        <v>predator</v>
      </c>
      <c r="D2059" s="27">
        <v>1</v>
      </c>
      <c r="E2059" s="5">
        <f>Table4[[#This Row],[qty]]*(VLOOKUP(Table4[[#This Row],[item_sold]],Table1[],5,FALSE))</f>
        <v>70</v>
      </c>
      <c r="F2059" s="5">
        <f>(VLOOKUP(Table4[[#This Row],[item_sold]],Table1[],4,FALSE))*Table4[[#This Row],[qty]]</f>
        <v>54.166666666666664</v>
      </c>
      <c r="G2059">
        <f t="shared" si="146"/>
        <v>15.833333333333336</v>
      </c>
      <c r="H2059" t="s">
        <v>361</v>
      </c>
    </row>
    <row r="2060" spans="1:8" x14ac:dyDescent="0.25">
      <c r="A2060" s="1">
        <f t="shared" si="145"/>
        <v>45519</v>
      </c>
      <c r="B2060" s="31">
        <f>TIME(19,20, 0)</f>
        <v>0.80555555555555547</v>
      </c>
      <c r="C2060" t="str">
        <f>'Inventory as of 12th Aug 2024'!A191</f>
        <v>Nuvita Bisquit</v>
      </c>
      <c r="D2060" s="27">
        <v>8</v>
      </c>
      <c r="E2060" s="5">
        <f>Table4[[#This Row],[qty]]*(VLOOKUP(Table4[[#This Row],[item_sold]],Table1[],5,FALSE))</f>
        <v>40</v>
      </c>
      <c r="F2060" s="5">
        <f>(VLOOKUP(Table4[[#This Row],[item_sold]],Table1[],4,FALSE))*Table4[[#This Row],[qty]]</f>
        <v>33.333333333333336</v>
      </c>
      <c r="G2060">
        <f t="shared" si="146"/>
        <v>6.6666666666666643</v>
      </c>
      <c r="H2060" t="s">
        <v>247</v>
      </c>
    </row>
    <row r="2061" spans="1:8" x14ac:dyDescent="0.25">
      <c r="A2061" s="1">
        <f t="shared" si="145"/>
        <v>45519</v>
      </c>
      <c r="B2061" s="31">
        <f>TIME(19,20, 0)</f>
        <v>0.80555555555555547</v>
      </c>
      <c r="C2061" t="str">
        <f>'Inventory as of 12th Aug 2024'!A243</f>
        <v>Ballon</v>
      </c>
      <c r="D2061" s="27">
        <v>2</v>
      </c>
      <c r="E2061" s="5">
        <f>Table4[[#This Row],[qty]]*(VLOOKUP(Table4[[#This Row],[item_sold]],Table1[],5,FALSE))</f>
        <v>20</v>
      </c>
      <c r="F2061" s="5">
        <f>(VLOOKUP(Table4[[#This Row],[item_sold]],Table1[],4,FALSE))*Table4[[#This Row],[qty]]</f>
        <v>15</v>
      </c>
      <c r="G2061">
        <f t="shared" si="146"/>
        <v>5</v>
      </c>
      <c r="H2061" t="s">
        <v>247</v>
      </c>
    </row>
    <row r="2062" spans="1:8" x14ac:dyDescent="0.25">
      <c r="A2062" s="1">
        <f t="shared" si="145"/>
        <v>45519</v>
      </c>
      <c r="B2062" s="31">
        <f>TIME(19,27, 0)</f>
        <v>0.81041666666666667</v>
      </c>
      <c r="C2062" t="str">
        <f>'Inventory as of 12th Aug 2024'!A75</f>
        <v>Cooking Oil Measured</v>
      </c>
      <c r="D2062" s="27">
        <v>1</v>
      </c>
      <c r="E2062" s="5">
        <f>Table4[[#This Row],[qty]]*(VLOOKUP(Table4[[#This Row],[item_sold]],Table1[],5,FALSE))</f>
        <v>280</v>
      </c>
      <c r="F2062" s="5">
        <f>(VLOOKUP(Table4[[#This Row],[item_sold]],Table1[],4,FALSE))*Table4[[#This Row],[qty]]</f>
        <v>200</v>
      </c>
      <c r="G2062">
        <f t="shared" si="146"/>
        <v>80</v>
      </c>
      <c r="H2062" t="s">
        <v>361</v>
      </c>
    </row>
    <row r="2063" spans="1:8" x14ac:dyDescent="0.25">
      <c r="A2063" s="1">
        <f t="shared" si="145"/>
        <v>45519</v>
      </c>
      <c r="B2063" s="31">
        <f>TIME(19,27, 0)</f>
        <v>0.81041666666666667</v>
      </c>
      <c r="C2063" t="str">
        <f>'Inventory as of 12th Aug 2024'!A9</f>
        <v>Kinangop Fresh Milk 500ml</v>
      </c>
      <c r="D2063" s="27">
        <v>1</v>
      </c>
      <c r="E2063" s="5">
        <f>Table4[[#This Row],[qty]]*(VLOOKUP(Table4[[#This Row],[item_sold]],Table1[],5,FALSE))</f>
        <v>60</v>
      </c>
      <c r="F2063" s="5">
        <f>(VLOOKUP(Table4[[#This Row],[item_sold]],Table1[],4,FALSE))*Table4[[#This Row],[qty]]</f>
        <v>55</v>
      </c>
      <c r="G2063">
        <f t="shared" si="146"/>
        <v>5</v>
      </c>
      <c r="H2063" t="s">
        <v>361</v>
      </c>
    </row>
    <row r="2064" spans="1:8" x14ac:dyDescent="0.25">
      <c r="A2064" s="1">
        <f t="shared" si="145"/>
        <v>45519</v>
      </c>
      <c r="B2064" s="31">
        <f t="shared" ref="B2064" si="152">TIME(19,27, 0)</f>
        <v>0.81041666666666667</v>
      </c>
      <c r="C2064" t="str">
        <f>'Inventory as of 12th Aug 2024'!A134</f>
        <v>Hanaan Tissue</v>
      </c>
      <c r="D2064" s="27">
        <v>1</v>
      </c>
      <c r="E2064" s="5">
        <f>Table4[[#This Row],[qty]]*(VLOOKUP(Table4[[#This Row],[item_sold]],Table1[],5,FALSE))</f>
        <v>55</v>
      </c>
      <c r="F2064" s="5">
        <f>(VLOOKUP(Table4[[#This Row],[item_sold]],Table1[],4,FALSE))*Table4[[#This Row],[qty]]</f>
        <v>43</v>
      </c>
      <c r="G2064">
        <f t="shared" si="146"/>
        <v>12</v>
      </c>
      <c r="H2064" t="s">
        <v>361</v>
      </c>
    </row>
    <row r="2065" spans="1:9" x14ac:dyDescent="0.25">
      <c r="A2065" s="1">
        <f t="shared" si="145"/>
        <v>45519</v>
      </c>
      <c r="B2065" s="31">
        <f>TIME(19,52, 0)</f>
        <v>0.82777777777777783</v>
      </c>
      <c r="C2065" t="str">
        <f>'Inventory as of 12th Aug 2024'!A208</f>
        <v>minutemaid 400ml</v>
      </c>
      <c r="D2065" s="27">
        <v>1</v>
      </c>
      <c r="E2065" s="5">
        <f>Table4[[#This Row],[qty]]*(VLOOKUP(Table4[[#This Row],[item_sold]],Table1[],5,FALSE))</f>
        <v>85</v>
      </c>
      <c r="F2065" s="5">
        <f>(VLOOKUP(Table4[[#This Row],[item_sold]],Table1[],4,FALSE))*Table4[[#This Row],[qty]]</f>
        <v>62.5</v>
      </c>
      <c r="G2065">
        <f t="shared" si="146"/>
        <v>22.5</v>
      </c>
      <c r="H2065" t="s">
        <v>361</v>
      </c>
    </row>
    <row r="2066" spans="1:9" x14ac:dyDescent="0.25">
      <c r="A2066" s="1">
        <f t="shared" si="145"/>
        <v>45519</v>
      </c>
      <c r="B2066" s="31">
        <f>TIME(19,52, 0)</f>
        <v>0.82777777777777783</v>
      </c>
      <c r="C2066" t="str">
        <f>'Inventory as of 12th Aug 2024'!A9</f>
        <v>Kinangop Fresh Milk 500ml</v>
      </c>
      <c r="D2066" s="27">
        <v>1</v>
      </c>
      <c r="E2066" s="5">
        <f>Table4[[#This Row],[qty]]*(VLOOKUP(Table4[[#This Row],[item_sold]],Table1[],5,FALSE))</f>
        <v>60</v>
      </c>
      <c r="F2066" s="5">
        <f>(VLOOKUP(Table4[[#This Row],[item_sold]],Table1[],4,FALSE))*Table4[[#This Row],[qty]]</f>
        <v>55</v>
      </c>
      <c r="G2066">
        <f t="shared" si="146"/>
        <v>5</v>
      </c>
      <c r="H2066" t="s">
        <v>359</v>
      </c>
      <c r="I2066" t="s">
        <v>390</v>
      </c>
    </row>
    <row r="2067" spans="1:9" x14ac:dyDescent="0.25">
      <c r="A2067" s="1">
        <f t="shared" si="145"/>
        <v>45519</v>
      </c>
      <c r="B2067" s="31">
        <f>TIME(19,54, 0)</f>
        <v>0.82916666666666661</v>
      </c>
      <c r="C2067" t="str">
        <f>'Inventory as of 12th Aug 2024'!A16</f>
        <v>Mt kenya milk 500ml</v>
      </c>
      <c r="D2067" s="27">
        <v>3</v>
      </c>
      <c r="E2067" s="5">
        <f>Table4[[#This Row],[qty]]*(VLOOKUP(Table4[[#This Row],[item_sold]],Table1[],5,FALSE))</f>
        <v>195</v>
      </c>
      <c r="F2067" s="5">
        <f>(VLOOKUP(Table4[[#This Row],[item_sold]],Table1[],4,FALSE))*Table4[[#This Row],[qty]]</f>
        <v>145</v>
      </c>
      <c r="G2067">
        <f t="shared" si="146"/>
        <v>50</v>
      </c>
      <c r="H2067" t="s">
        <v>361</v>
      </c>
    </row>
    <row r="2068" spans="1:9" x14ac:dyDescent="0.25">
      <c r="A2068" s="1">
        <f t="shared" si="145"/>
        <v>45519</v>
      </c>
      <c r="B2068" s="31">
        <f t="shared" ref="B2068" si="153">TIME(19,54, 0)</f>
        <v>0.82916666666666661</v>
      </c>
      <c r="C2068" t="str">
        <f>'Inventory as of 12th Aug 2024'!A37</f>
        <v>Festive Bread 400g</v>
      </c>
      <c r="D2068" s="27">
        <v>1</v>
      </c>
      <c r="E2068" s="5">
        <f>Table4[[#This Row],[qty]]*(VLOOKUP(Table4[[#This Row],[item_sold]],Table1[],5,FALSE))</f>
        <v>65</v>
      </c>
      <c r="F2068" s="5">
        <f>(VLOOKUP(Table4[[#This Row],[item_sold]],Table1[],4,FALSE))*Table4[[#This Row],[qty]]</f>
        <v>60</v>
      </c>
      <c r="G2068">
        <f t="shared" si="146"/>
        <v>5</v>
      </c>
      <c r="H2068" t="s">
        <v>361</v>
      </c>
    </row>
    <row r="2069" spans="1:9" x14ac:dyDescent="0.25">
      <c r="A2069" s="1">
        <f t="shared" si="145"/>
        <v>45519</v>
      </c>
      <c r="B2069" s="31">
        <f>TIME(20,0, 0)</f>
        <v>0.83333333333333337</v>
      </c>
      <c r="C2069" t="str">
        <f>'Inventory as of 12th Aug 2024'!A57</f>
        <v>Sportsman</v>
      </c>
      <c r="D2069" s="27">
        <v>1</v>
      </c>
      <c r="E2069" s="5">
        <f>Table4[[#This Row],[qty]]*(VLOOKUP(Table4[[#This Row],[item_sold]],Table1[],5,FALSE))</f>
        <v>20</v>
      </c>
      <c r="F2069" s="5">
        <f>(VLOOKUP(Table4[[#This Row],[item_sold]],Table1[],4,FALSE))*Table4[[#This Row],[qty]]</f>
        <v>13</v>
      </c>
      <c r="G2069">
        <f t="shared" si="146"/>
        <v>7</v>
      </c>
      <c r="H2069" t="s">
        <v>247</v>
      </c>
    </row>
    <row r="2070" spans="1:9" x14ac:dyDescent="0.25">
      <c r="A2070" s="1">
        <f t="shared" si="145"/>
        <v>45519</v>
      </c>
      <c r="B2070" s="31">
        <f>TIME(20,0, 0)</f>
        <v>0.83333333333333337</v>
      </c>
      <c r="C2070" t="str">
        <f>'Inventory as of 12th Aug 2024'!A57</f>
        <v>Sportsman</v>
      </c>
      <c r="D2070" s="27">
        <v>1</v>
      </c>
      <c r="E2070" s="5">
        <f>Table4[[#This Row],[qty]]*(VLOOKUP(Table4[[#This Row],[item_sold]],Table1[],5,FALSE))</f>
        <v>20</v>
      </c>
      <c r="F2070" s="5">
        <f>(VLOOKUP(Table4[[#This Row],[item_sold]],Table1[],4,FALSE))*Table4[[#This Row],[qty]]</f>
        <v>13</v>
      </c>
      <c r="G2070">
        <f t="shared" si="146"/>
        <v>7</v>
      </c>
      <c r="H2070" t="s">
        <v>361</v>
      </c>
    </row>
    <row r="2071" spans="1:9" x14ac:dyDescent="0.25">
      <c r="A2071" s="1">
        <f t="shared" si="145"/>
        <v>45519</v>
      </c>
      <c r="B2071" s="31">
        <f>TIME(20,41, 0)</f>
        <v>0.8618055555555556</v>
      </c>
      <c r="C2071" t="str">
        <f>'Inventory as of 12th Aug 2024'!A60</f>
        <v>kensalt 200g</v>
      </c>
      <c r="D2071" s="27">
        <v>1</v>
      </c>
      <c r="E2071" s="5">
        <f>Table4[[#This Row],[qty]]*(VLOOKUP(Table4[[#This Row],[item_sold]],Table1[],5,FALSE))</f>
        <v>15</v>
      </c>
      <c r="F2071" s="5">
        <f>(VLOOKUP(Table4[[#This Row],[item_sold]],Table1[],4,FALSE))*Table4[[#This Row],[qty]]</f>
        <v>5.5</v>
      </c>
      <c r="G2071">
        <f t="shared" si="146"/>
        <v>9.5</v>
      </c>
      <c r="H2071" t="s">
        <v>361</v>
      </c>
    </row>
    <row r="2072" spans="1:9" x14ac:dyDescent="0.25">
      <c r="A2072" s="1">
        <f t="shared" si="145"/>
        <v>45519</v>
      </c>
      <c r="B2072" s="31">
        <f t="shared" ref="B2072:B2073" si="154">TIME(20,41, 0)</f>
        <v>0.8618055555555556</v>
      </c>
      <c r="C2072" t="str">
        <f>'Inventory as of 12th Aug 2024'!A68</f>
        <v>Royco cubes</v>
      </c>
      <c r="D2072" s="27">
        <v>2</v>
      </c>
      <c r="E2072" s="5">
        <f>Table4[[#This Row],[qty]]*(VLOOKUP(Table4[[#This Row],[item_sold]],Table1[],5,FALSE))</f>
        <v>10</v>
      </c>
      <c r="F2072" s="5">
        <f>(VLOOKUP(Table4[[#This Row],[item_sold]],Table1[],4,FALSE))*Table4[[#This Row],[qty]]</f>
        <v>6</v>
      </c>
      <c r="G2072">
        <f t="shared" si="146"/>
        <v>4</v>
      </c>
      <c r="H2072" t="s">
        <v>361</v>
      </c>
    </row>
    <row r="2073" spans="1:9" x14ac:dyDescent="0.25">
      <c r="A2073" s="1">
        <f t="shared" si="145"/>
        <v>45519</v>
      </c>
      <c r="B2073" s="31">
        <f t="shared" si="154"/>
        <v>0.8618055555555556</v>
      </c>
      <c r="C2073" t="str">
        <f>'Inventory as of 12th Aug 2024'!A234</f>
        <v>Bigdaddy</v>
      </c>
      <c r="D2073" s="27">
        <v>1</v>
      </c>
      <c r="E2073" s="5">
        <f>Table4[[#This Row],[qty]]*(VLOOKUP(Table4[[#This Row],[item_sold]],Table1[],5,FALSE))</f>
        <v>10</v>
      </c>
      <c r="F2073" s="5">
        <f>(VLOOKUP(Table4[[#This Row],[item_sold]],Table1[],4,FALSE))*Table4[[#This Row],[qty]]</f>
        <v>6</v>
      </c>
      <c r="G2073">
        <f t="shared" si="146"/>
        <v>4</v>
      </c>
      <c r="H2073" t="s">
        <v>361</v>
      </c>
    </row>
    <row r="2074" spans="1:9" x14ac:dyDescent="0.25">
      <c r="A2074" s="1">
        <f>DATE(2024,8,16)</f>
        <v>45520</v>
      </c>
      <c r="B2074" s="31">
        <f>TIME(7,36, 0)</f>
        <v>0.31666666666666665</v>
      </c>
      <c r="C2074" t="str">
        <f>'Inventory as of 12th Aug 2024'!A37</f>
        <v>Festive Bread 400g</v>
      </c>
      <c r="D2074" s="27">
        <v>1</v>
      </c>
      <c r="E2074" s="5">
        <f>Table4[[#This Row],[qty]]*(VLOOKUP(Table4[[#This Row],[item_sold]],Table1[],5,FALSE))</f>
        <v>65</v>
      </c>
      <c r="F2074" s="5">
        <f>(VLOOKUP(Table4[[#This Row],[item_sold]],Table1[],4,FALSE))*Table4[[#This Row],[qty]]</f>
        <v>60</v>
      </c>
      <c r="G2074">
        <f t="shared" si="146"/>
        <v>5</v>
      </c>
      <c r="H2074" t="s">
        <v>359</v>
      </c>
      <c r="I2074" t="s">
        <v>390</v>
      </c>
    </row>
    <row r="2075" spans="1:9" x14ac:dyDescent="0.25">
      <c r="A2075" s="1">
        <f t="shared" ref="A2075:A2138" si="155">DATE(2024,8,16)</f>
        <v>45520</v>
      </c>
      <c r="B2075" s="31">
        <f>TIME(8,26, 0)</f>
        <v>0.35138888888888892</v>
      </c>
      <c r="C2075" t="str">
        <f>'Inventory as of 12th Aug 2024'!A35</f>
        <v>Festive 600g</v>
      </c>
      <c r="D2075" s="27">
        <v>1</v>
      </c>
      <c r="E2075" s="5">
        <f>Table4[[#This Row],[qty]]*(VLOOKUP(Table4[[#This Row],[item_sold]],Table1[],5,FALSE))</f>
        <v>100</v>
      </c>
      <c r="F2075" s="5">
        <f>(VLOOKUP(Table4[[#This Row],[item_sold]],Table1[],4,FALSE))*Table4[[#This Row],[qty]]</f>
        <v>90</v>
      </c>
      <c r="G2075">
        <f t="shared" si="146"/>
        <v>10</v>
      </c>
      <c r="H2075" t="s">
        <v>361</v>
      </c>
    </row>
    <row r="2076" spans="1:9" x14ac:dyDescent="0.25">
      <c r="A2076" s="1">
        <f t="shared" si="155"/>
        <v>45520</v>
      </c>
      <c r="B2076" s="31">
        <f>TIME(8,50, 0)</f>
        <v>0.36805555555555558</v>
      </c>
      <c r="C2076" t="str">
        <f>'Inventory as of 12th Aug 2024'!A156</f>
        <v>Kortex pads</v>
      </c>
      <c r="D2076" s="27">
        <v>1</v>
      </c>
      <c r="E2076" s="5">
        <f>Table4[[#This Row],[qty]]*(VLOOKUP(Table4[[#This Row],[item_sold]],Table1[],5,FALSE))</f>
        <v>130</v>
      </c>
      <c r="F2076" s="5">
        <f>(VLOOKUP(Table4[[#This Row],[item_sold]],Table1[],4,FALSE))*Table4[[#This Row],[qty]]</f>
        <v>106</v>
      </c>
      <c r="G2076">
        <f t="shared" si="146"/>
        <v>24</v>
      </c>
      <c r="H2076" t="s">
        <v>247</v>
      </c>
    </row>
    <row r="2077" spans="1:9" x14ac:dyDescent="0.25">
      <c r="A2077" s="1">
        <f t="shared" si="155"/>
        <v>45520</v>
      </c>
      <c r="B2077" s="31">
        <f t="shared" ref="B2077:B2078" si="156">TIME(8,50, 0)</f>
        <v>0.36805555555555558</v>
      </c>
      <c r="C2077" t="str">
        <f>'Inventory as of 12th Aug 2024'!A120</f>
        <v>Maramoja</v>
      </c>
      <c r="D2077" s="27">
        <v>1</v>
      </c>
      <c r="E2077" s="5">
        <f>Table4[[#This Row],[qty]]*(VLOOKUP(Table4[[#This Row],[item_sold]],Table1[],5,FALSE))</f>
        <v>10</v>
      </c>
      <c r="F2077" s="5">
        <f>(VLOOKUP(Table4[[#This Row],[item_sold]],Table1[],4,FALSE))*Table4[[#This Row],[qty]]</f>
        <v>7</v>
      </c>
      <c r="G2077">
        <f t="shared" si="146"/>
        <v>3</v>
      </c>
      <c r="H2077" t="s">
        <v>247</v>
      </c>
    </row>
    <row r="2078" spans="1:9" x14ac:dyDescent="0.25">
      <c r="A2078" s="1">
        <f t="shared" si="155"/>
        <v>45520</v>
      </c>
      <c r="B2078" s="31">
        <f t="shared" si="156"/>
        <v>0.36805555555555558</v>
      </c>
      <c r="C2078" t="str">
        <f>'Inventory as of 12th Aug 2024'!A6</f>
        <v>Airtel 10 Credit</v>
      </c>
      <c r="D2078" s="27">
        <v>1</v>
      </c>
      <c r="E2078" s="5">
        <f>Table4[[#This Row],[qty]]*(VLOOKUP(Table4[[#This Row],[item_sold]],Table1[],5,FALSE))</f>
        <v>10</v>
      </c>
      <c r="F2078" s="5">
        <f>(VLOOKUP(Table4[[#This Row],[item_sold]],Table1[],4,FALSE))*Table4[[#This Row],[qty]]</f>
        <v>9</v>
      </c>
      <c r="G2078">
        <f t="shared" si="146"/>
        <v>1</v>
      </c>
      <c r="H2078" t="s">
        <v>247</v>
      </c>
    </row>
    <row r="2079" spans="1:9" x14ac:dyDescent="0.25">
      <c r="A2079" s="1">
        <f t="shared" si="155"/>
        <v>45520</v>
      </c>
      <c r="B2079" s="31">
        <f>TIME(9,50, 0)</f>
        <v>0.40972222222222227</v>
      </c>
      <c r="C2079" t="str">
        <f>'Inventory as of 12th Aug 2024'!A57</f>
        <v>Sportsman</v>
      </c>
      <c r="D2079" s="27">
        <v>1</v>
      </c>
      <c r="E2079" s="5">
        <f>Table4[[#This Row],[qty]]*(VLOOKUP(Table4[[#This Row],[item_sold]],Table1[],5,FALSE))</f>
        <v>20</v>
      </c>
      <c r="F2079" s="5">
        <f>(VLOOKUP(Table4[[#This Row],[item_sold]],Table1[],4,FALSE))*Table4[[#This Row],[qty]]</f>
        <v>13</v>
      </c>
      <c r="G2079">
        <f t="shared" si="146"/>
        <v>7</v>
      </c>
      <c r="H2079" t="s">
        <v>247</v>
      </c>
    </row>
    <row r="2080" spans="1:9" x14ac:dyDescent="0.25">
      <c r="A2080" s="1">
        <f t="shared" si="155"/>
        <v>45520</v>
      </c>
      <c r="B2080" s="31">
        <f>TIME(9,50, 0)</f>
        <v>0.40972222222222227</v>
      </c>
      <c r="C2080" t="str">
        <f>'Inventory as of 12th Aug 2024'!A238</f>
        <v>Tropical</v>
      </c>
      <c r="D2080" s="27">
        <v>1</v>
      </c>
      <c r="E2080" s="5">
        <f>Table4[[#This Row],[qty]]*(VLOOKUP(Table4[[#This Row],[item_sold]],Table1[],5,FALSE))</f>
        <v>5</v>
      </c>
      <c r="F2080" s="5">
        <f>(VLOOKUP(Table4[[#This Row],[item_sold]],Table1[],4,FALSE))*Table4[[#This Row],[qty]]</f>
        <v>1.5</v>
      </c>
      <c r="G2080">
        <f t="shared" si="146"/>
        <v>3.5</v>
      </c>
      <c r="H2080" t="s">
        <v>247</v>
      </c>
    </row>
    <row r="2081" spans="1:9" x14ac:dyDescent="0.25">
      <c r="A2081" s="1">
        <f t="shared" si="155"/>
        <v>45520</v>
      </c>
      <c r="B2081" s="31">
        <f>TIME(10,3, 0)</f>
        <v>0.41875000000000001</v>
      </c>
      <c r="C2081" t="str">
        <f>'Inventory as of 12th Aug 2024'!A199</f>
        <v>Kdf</v>
      </c>
      <c r="D2081" s="27">
        <v>2</v>
      </c>
      <c r="E2081" s="5">
        <f>Table4[[#This Row],[qty]]*(VLOOKUP(Table4[[#This Row],[item_sold]],Table1[],5,FALSE))</f>
        <v>20</v>
      </c>
      <c r="F2081" s="5">
        <f>(VLOOKUP(Table4[[#This Row],[item_sold]],Table1[],4,FALSE))*Table4[[#This Row],[qty]]</f>
        <v>16.666666666666668</v>
      </c>
      <c r="G2081">
        <f t="shared" si="146"/>
        <v>3.3333333333333321</v>
      </c>
      <c r="H2081" t="s">
        <v>361</v>
      </c>
    </row>
    <row r="2082" spans="1:9" x14ac:dyDescent="0.25">
      <c r="A2082" s="1">
        <f t="shared" si="155"/>
        <v>45520</v>
      </c>
      <c r="B2082" s="31">
        <f t="shared" ref="B2082" si="157">TIME(10,3, 0)</f>
        <v>0.41875000000000001</v>
      </c>
      <c r="C2082" t="str">
        <f>'Inventory as of 12th Aug 2024'!A198</f>
        <v>Mandazi</v>
      </c>
      <c r="D2082" s="27">
        <v>2</v>
      </c>
      <c r="E2082" s="5">
        <f>Table4[[#This Row],[qty]]*(VLOOKUP(Table4[[#This Row],[item_sold]],Table1[],5,FALSE))</f>
        <v>10</v>
      </c>
      <c r="F2082" s="5">
        <f>(VLOOKUP(Table4[[#This Row],[item_sold]],Table1[],4,FALSE))*Table4[[#This Row],[qty]]</f>
        <v>8.3333333333333339</v>
      </c>
      <c r="G2082">
        <f t="shared" si="146"/>
        <v>1.6666666666666661</v>
      </c>
      <c r="H2082" t="s">
        <v>361</v>
      </c>
    </row>
    <row r="2083" spans="1:9" x14ac:dyDescent="0.25">
      <c r="A2083" s="1">
        <f t="shared" si="155"/>
        <v>45520</v>
      </c>
      <c r="B2083" s="31">
        <f>TIME(10,25, 0)</f>
        <v>0.43402777777777773</v>
      </c>
      <c r="C2083" t="str">
        <f>'Inventory as of 12th Aug 2024'!A35</f>
        <v>Festive 600g</v>
      </c>
      <c r="D2083" s="27">
        <v>1</v>
      </c>
      <c r="E2083" s="5">
        <f>Table4[[#This Row],[qty]]*(VLOOKUP(Table4[[#This Row],[item_sold]],Table1[],5,FALSE))</f>
        <v>100</v>
      </c>
      <c r="F2083" s="5">
        <f>(VLOOKUP(Table4[[#This Row],[item_sold]],Table1[],4,FALSE))*Table4[[#This Row],[qty]]</f>
        <v>90</v>
      </c>
      <c r="G2083">
        <f t="shared" si="146"/>
        <v>10</v>
      </c>
      <c r="H2083" t="s">
        <v>359</v>
      </c>
      <c r="I2083" t="s">
        <v>414</v>
      </c>
    </row>
    <row r="2084" spans="1:9" x14ac:dyDescent="0.25">
      <c r="A2084" s="1">
        <f t="shared" si="155"/>
        <v>45520</v>
      </c>
      <c r="B2084" s="31">
        <f>TIME(11,4, 0)</f>
        <v>0.46111111111111108</v>
      </c>
      <c r="C2084" t="str">
        <f>'Inventory as of 12th Aug 2024'!A198</f>
        <v>Mandazi</v>
      </c>
      <c r="D2084" s="27">
        <v>4</v>
      </c>
      <c r="E2084" s="5">
        <f>Table4[[#This Row],[qty]]*(VLOOKUP(Table4[[#This Row],[item_sold]],Table1[],5,FALSE))</f>
        <v>20</v>
      </c>
      <c r="F2084" s="5">
        <f>(VLOOKUP(Table4[[#This Row],[item_sold]],Table1[],4,FALSE))*Table4[[#This Row],[qty]]</f>
        <v>16.666666666666668</v>
      </c>
      <c r="G2084">
        <f t="shared" si="146"/>
        <v>3.3333333333333321</v>
      </c>
      <c r="H2084" t="s">
        <v>247</v>
      </c>
    </row>
    <row r="2085" spans="1:9" x14ac:dyDescent="0.25">
      <c r="A2085" s="1">
        <f t="shared" si="155"/>
        <v>45520</v>
      </c>
      <c r="B2085" s="31">
        <f>TIME(11,21, 0)</f>
        <v>0.47291666666666665</v>
      </c>
      <c r="C2085" t="str">
        <f>'Inventory as of 12th Aug 2024'!A37</f>
        <v>Festive Bread 400g</v>
      </c>
      <c r="D2085" s="27">
        <v>1</v>
      </c>
      <c r="E2085" s="5">
        <f>Table4[[#This Row],[qty]]*(VLOOKUP(Table4[[#This Row],[item_sold]],Table1[],5,FALSE))</f>
        <v>65</v>
      </c>
      <c r="F2085" s="5">
        <f>(VLOOKUP(Table4[[#This Row],[item_sold]],Table1[],4,FALSE))*Table4[[#This Row],[qty]]</f>
        <v>60</v>
      </c>
      <c r="G2085">
        <f t="shared" si="146"/>
        <v>5</v>
      </c>
      <c r="H2085" t="s">
        <v>359</v>
      </c>
      <c r="I2085" t="s">
        <v>408</v>
      </c>
    </row>
    <row r="2086" spans="1:9" x14ac:dyDescent="0.25">
      <c r="A2086" s="1">
        <f t="shared" si="155"/>
        <v>45520</v>
      </c>
      <c r="B2086" s="31">
        <f>TIME(11,25, 0)</f>
        <v>0.47569444444444442</v>
      </c>
      <c r="C2086" t="str">
        <f>'Inventory as of 12th Aug 2024'!A202</f>
        <v>funtime snacks</v>
      </c>
      <c r="D2086" s="27">
        <v>4</v>
      </c>
      <c r="E2086" s="5">
        <f>Table4[[#This Row],[qty]]*(VLOOKUP(Table4[[#This Row],[item_sold]],Table1[],5,FALSE))</f>
        <v>60</v>
      </c>
      <c r="F2086" s="5">
        <f>(VLOOKUP(Table4[[#This Row],[item_sold]],Table1[],4,FALSE))*Table4[[#This Row],[qty]]</f>
        <v>36</v>
      </c>
      <c r="G2086">
        <f t="shared" si="146"/>
        <v>24</v>
      </c>
      <c r="H2086" t="s">
        <v>247</v>
      </c>
    </row>
    <row r="2087" spans="1:9" x14ac:dyDescent="0.25">
      <c r="A2087" s="1">
        <f t="shared" si="155"/>
        <v>45520</v>
      </c>
      <c r="B2087" s="31">
        <f>TIME(11,46, 0)</f>
        <v>0.49027777777777781</v>
      </c>
      <c r="C2087" t="str">
        <f>'Inventory as of 12th Aug 2024'!A138</f>
        <v>Softcare pads</v>
      </c>
      <c r="D2087" s="27">
        <v>2</v>
      </c>
      <c r="E2087" s="5">
        <f>Table4[[#This Row],[qty]]*(VLOOKUP(Table4[[#This Row],[item_sold]],Table1[],5,FALSE))</f>
        <v>170</v>
      </c>
      <c r="F2087" s="5">
        <f>(VLOOKUP(Table4[[#This Row],[item_sold]],Table1[],4,FALSE))*Table4[[#This Row],[qty]]</f>
        <v>132</v>
      </c>
      <c r="G2087">
        <f t="shared" si="146"/>
        <v>38</v>
      </c>
      <c r="H2087" t="s">
        <v>247</v>
      </c>
    </row>
    <row r="2088" spans="1:9" x14ac:dyDescent="0.25">
      <c r="A2088" s="1">
        <f t="shared" si="155"/>
        <v>45520</v>
      </c>
      <c r="B2088" s="31">
        <f>TIME(11,46, 0)</f>
        <v>0.49027777777777781</v>
      </c>
      <c r="C2088" t="str">
        <f>'Inventory as of 12th Aug 2024'!A236</f>
        <v>Gomba</v>
      </c>
      <c r="D2088" s="27">
        <v>4</v>
      </c>
      <c r="E2088" s="5">
        <f>Table4[[#This Row],[qty]]*(VLOOKUP(Table4[[#This Row],[item_sold]],Table1[],5,FALSE))</f>
        <v>10</v>
      </c>
      <c r="F2088" s="5">
        <f>(VLOOKUP(Table4[[#This Row],[item_sold]],Table1[],4,FALSE))*Table4[[#This Row],[qty]]</f>
        <v>7.2</v>
      </c>
      <c r="G2088">
        <f t="shared" si="146"/>
        <v>2.8</v>
      </c>
      <c r="H2088" t="s">
        <v>247</v>
      </c>
    </row>
    <row r="2089" spans="1:9" x14ac:dyDescent="0.25">
      <c r="A2089" s="1">
        <f t="shared" si="155"/>
        <v>45520</v>
      </c>
      <c r="B2089" s="31">
        <f>TIME(12,36, 0)</f>
        <v>0.52500000000000002</v>
      </c>
      <c r="C2089" t="str">
        <f>'Inventory as of 12th Aug 2024'!A138</f>
        <v>Softcare pads</v>
      </c>
      <c r="D2089" s="27">
        <v>2</v>
      </c>
      <c r="E2089" s="5">
        <f>Table4[[#This Row],[qty]]*(VLOOKUP(Table4[[#This Row],[item_sold]],Table1[],5,FALSE))</f>
        <v>170</v>
      </c>
      <c r="F2089" s="5">
        <f>(VLOOKUP(Table4[[#This Row],[item_sold]],Table1[],4,FALSE))*Table4[[#This Row],[qty]]</f>
        <v>132</v>
      </c>
      <c r="G2089">
        <f t="shared" ref="G2089:G2102" si="158">E2089-F2089</f>
        <v>38</v>
      </c>
      <c r="H2089" t="s">
        <v>247</v>
      </c>
    </row>
    <row r="2090" spans="1:9" x14ac:dyDescent="0.25">
      <c r="A2090" s="1">
        <f t="shared" si="155"/>
        <v>45520</v>
      </c>
      <c r="B2090" s="31">
        <f t="shared" ref="B2090:B2091" si="159">TIME(12,36, 0)</f>
        <v>0.52500000000000002</v>
      </c>
      <c r="C2090" t="str">
        <f>'Inventory as of 12th Aug 2024'!A202</f>
        <v>funtime snacks</v>
      </c>
      <c r="D2090" s="27">
        <v>3</v>
      </c>
      <c r="E2090" s="5">
        <f>Table4[[#This Row],[qty]]*(VLOOKUP(Table4[[#This Row],[item_sold]],Table1[],5,FALSE))</f>
        <v>45</v>
      </c>
      <c r="F2090" s="5">
        <f>(VLOOKUP(Table4[[#This Row],[item_sold]],Table1[],4,FALSE))*Table4[[#This Row],[qty]]</f>
        <v>27</v>
      </c>
      <c r="G2090">
        <f t="shared" si="158"/>
        <v>18</v>
      </c>
      <c r="H2090" t="s">
        <v>247</v>
      </c>
    </row>
    <row r="2091" spans="1:9" x14ac:dyDescent="0.25">
      <c r="A2091" s="1">
        <f t="shared" si="155"/>
        <v>45520</v>
      </c>
      <c r="B2091" s="31">
        <f t="shared" si="159"/>
        <v>0.52500000000000002</v>
      </c>
      <c r="C2091" t="str">
        <f>'Inventory as of 12th Aug 2024'!A233</f>
        <v>Lollipop</v>
      </c>
      <c r="D2091" s="27">
        <v>3</v>
      </c>
      <c r="E2091" s="5">
        <f>Table4[[#This Row],[qty]]*(VLOOKUP(Table4[[#This Row],[item_sold]],Table1[],5,FALSE))</f>
        <v>15</v>
      </c>
      <c r="F2091" s="5">
        <f>(VLOOKUP(Table4[[#This Row],[item_sold]],Table1[],4,FALSE))*Table4[[#This Row],[qty]]</f>
        <v>7.1999999999999993</v>
      </c>
      <c r="G2091">
        <f t="shared" si="158"/>
        <v>7.8000000000000007</v>
      </c>
      <c r="H2091" t="s">
        <v>247</v>
      </c>
    </row>
    <row r="2092" spans="1:9" x14ac:dyDescent="0.25">
      <c r="A2092" s="1">
        <f t="shared" si="155"/>
        <v>45520</v>
      </c>
      <c r="B2092" s="31">
        <f>TIME(12,44, 0)</f>
        <v>0.53055555555555556</v>
      </c>
      <c r="C2092" t="str">
        <f>'Inventory as of 12th Aug 2024'!A42</f>
        <v>Indomie chicken</v>
      </c>
      <c r="D2092" s="27">
        <v>1</v>
      </c>
      <c r="E2092" s="5">
        <f>Table4[[#This Row],[qty]]*(VLOOKUP(Table4[[#This Row],[item_sold]],Table1[],5,FALSE))</f>
        <v>50</v>
      </c>
      <c r="F2092" s="5">
        <f>(VLOOKUP(Table4[[#This Row],[item_sold]],Table1[],4,FALSE))*Table4[[#This Row],[qty]]</f>
        <v>37.5</v>
      </c>
      <c r="G2092">
        <f t="shared" si="158"/>
        <v>12.5</v>
      </c>
      <c r="H2092" t="s">
        <v>361</v>
      </c>
    </row>
    <row r="2093" spans="1:9" x14ac:dyDescent="0.25">
      <c r="A2093" s="1">
        <f t="shared" si="155"/>
        <v>45520</v>
      </c>
      <c r="B2093" s="31">
        <f t="shared" ref="B2093:B2094" si="160">TIME(12,44, 0)</f>
        <v>0.53055555555555556</v>
      </c>
      <c r="C2093" t="str">
        <f>'Inventory as of 12th Aug 2024'!A8</f>
        <v>eggs</v>
      </c>
      <c r="D2093" s="27">
        <v>2</v>
      </c>
      <c r="E2093" s="5">
        <f>Table4[[#This Row],[qty]]*(VLOOKUP(Table4[[#This Row],[item_sold]],Table1[],5,FALSE))</f>
        <v>40</v>
      </c>
      <c r="F2093" s="5">
        <f>(VLOOKUP(Table4[[#This Row],[item_sold]],Table1[],4,FALSE))*Table4[[#This Row],[qty]]</f>
        <v>28.666666666666668</v>
      </c>
      <c r="G2093">
        <f t="shared" si="158"/>
        <v>11.333333333333332</v>
      </c>
      <c r="H2093" t="s">
        <v>361</v>
      </c>
    </row>
    <row r="2094" spans="1:9" x14ac:dyDescent="0.25">
      <c r="A2094" s="1">
        <f t="shared" si="155"/>
        <v>45520</v>
      </c>
      <c r="B2094" s="31">
        <f t="shared" si="160"/>
        <v>0.53055555555555556</v>
      </c>
      <c r="C2094" t="str">
        <f>'Inventory as of 12th Aug 2024'!A107</f>
        <v>Match Box</v>
      </c>
      <c r="D2094" s="27">
        <v>1</v>
      </c>
      <c r="E2094" s="5">
        <f>Table4[[#This Row],[qty]]*(VLOOKUP(Table4[[#This Row],[item_sold]],Table1[],5,FALSE))</f>
        <v>5</v>
      </c>
      <c r="F2094" s="5">
        <f>(VLOOKUP(Table4[[#This Row],[item_sold]],Table1[],4,FALSE))*Table4[[#This Row],[qty]]</f>
        <v>2.3611111111111112</v>
      </c>
      <c r="G2094">
        <f t="shared" si="158"/>
        <v>2.6388888888888888</v>
      </c>
      <c r="H2094" t="s">
        <v>361</v>
      </c>
    </row>
    <row r="2095" spans="1:9" x14ac:dyDescent="0.25">
      <c r="A2095" s="1">
        <f t="shared" si="155"/>
        <v>45520</v>
      </c>
      <c r="B2095" s="31">
        <f>TIME(12,59, 0)</f>
        <v>0.54097222222222219</v>
      </c>
      <c r="C2095" t="str">
        <f>'Inventory as of 12th Aug 2024'!A46</f>
        <v>Tukuza 1kg</v>
      </c>
      <c r="D2095" s="27">
        <v>1</v>
      </c>
      <c r="E2095" s="5">
        <f>Table4[[#This Row],[qty]]*(VLOOKUP(Table4[[#This Row],[item_sold]],Table1[],5,FALSE))</f>
        <v>90</v>
      </c>
      <c r="F2095" s="5">
        <f>(VLOOKUP(Table4[[#This Row],[item_sold]],Table1[],4,FALSE))*Table4[[#This Row],[qty]]</f>
        <v>61.25</v>
      </c>
      <c r="G2095">
        <f t="shared" si="158"/>
        <v>28.75</v>
      </c>
      <c r="H2095" t="s">
        <v>361</v>
      </c>
    </row>
    <row r="2096" spans="1:9" x14ac:dyDescent="0.25">
      <c r="A2096" s="1">
        <f t="shared" si="155"/>
        <v>45520</v>
      </c>
      <c r="B2096" s="31">
        <f>TIME(12,59, 0)</f>
        <v>0.54097222222222219</v>
      </c>
      <c r="C2096" t="str">
        <f>'Inventory as of 12th Aug 2024'!A67</f>
        <v>Magadi</v>
      </c>
      <c r="D2096" s="27">
        <v>1</v>
      </c>
      <c r="E2096" s="5">
        <f>Table4[[#This Row],[qty]]*(VLOOKUP(Table4[[#This Row],[item_sold]],Table1[],5,FALSE))</f>
        <v>10</v>
      </c>
      <c r="F2096" s="5">
        <f>(VLOOKUP(Table4[[#This Row],[item_sold]],Table1[],4,FALSE))*Table4[[#This Row],[qty]]</f>
        <v>5</v>
      </c>
      <c r="G2096">
        <f t="shared" si="158"/>
        <v>5</v>
      </c>
      <c r="H2096" t="s">
        <v>361</v>
      </c>
    </row>
    <row r="2097" spans="1:9" x14ac:dyDescent="0.25">
      <c r="A2097" s="1">
        <f t="shared" si="155"/>
        <v>45520</v>
      </c>
      <c r="B2097" s="31">
        <f>TIME(13,0, 0)</f>
        <v>0.54166666666666663</v>
      </c>
      <c r="C2097" t="str">
        <f>'Inventory as of 12th Aug 2024'!A242</f>
        <v>Icepop</v>
      </c>
      <c r="D2097" s="27">
        <v>1</v>
      </c>
      <c r="E2097" s="5">
        <f>Table4[[#This Row],[qty]]*(VLOOKUP(Table4[[#This Row],[item_sold]],Table1[],5,FALSE))</f>
        <v>15</v>
      </c>
      <c r="F2097" s="5">
        <f>(VLOOKUP(Table4[[#This Row],[item_sold]],Table1[],4,FALSE))*Table4[[#This Row],[qty]]</f>
        <v>7.5</v>
      </c>
      <c r="G2097">
        <f t="shared" si="158"/>
        <v>7.5</v>
      </c>
      <c r="H2097" t="s">
        <v>247</v>
      </c>
    </row>
    <row r="2098" spans="1:9" x14ac:dyDescent="0.25">
      <c r="A2098" s="1">
        <f t="shared" si="155"/>
        <v>45520</v>
      </c>
      <c r="B2098" s="31">
        <f t="shared" ref="B2098" si="161">TIME(13,0, 0)</f>
        <v>0.54166666666666663</v>
      </c>
      <c r="C2098" t="str">
        <f>'Inventory as of 12th Aug 2024'!A236</f>
        <v>Gomba</v>
      </c>
      <c r="D2098" s="27">
        <v>2</v>
      </c>
      <c r="E2098" s="5">
        <f>Table4[[#This Row],[qty]]*(VLOOKUP(Table4[[#This Row],[item_sold]],Table1[],5,FALSE))</f>
        <v>5</v>
      </c>
      <c r="F2098" s="5">
        <f>(VLOOKUP(Table4[[#This Row],[item_sold]],Table1[],4,FALSE))*Table4[[#This Row],[qty]]</f>
        <v>3.6</v>
      </c>
      <c r="G2098">
        <f t="shared" si="158"/>
        <v>1.4</v>
      </c>
      <c r="H2098" t="s">
        <v>247</v>
      </c>
    </row>
    <row r="2099" spans="1:9" x14ac:dyDescent="0.25">
      <c r="A2099" s="1">
        <f t="shared" si="155"/>
        <v>45520</v>
      </c>
      <c r="B2099" s="31">
        <f>TIME(13,7, 0)</f>
        <v>0.54652777777777783</v>
      </c>
      <c r="C2099" t="str">
        <f>'Inventory as of 12th Aug 2024'!A81</f>
        <v>ariel 75g</v>
      </c>
      <c r="D2099" s="27">
        <v>1</v>
      </c>
      <c r="E2099" s="5">
        <f>Table4[[#This Row],[qty]]*(VLOOKUP(Table4[[#This Row],[item_sold]],Table1[],5,FALSE))</f>
        <v>35</v>
      </c>
      <c r="F2099" s="5">
        <f>(VLOOKUP(Table4[[#This Row],[item_sold]],Table1[],4,FALSE))*Table4[[#This Row],[qty]]</f>
        <v>27.5</v>
      </c>
      <c r="G2099">
        <f t="shared" si="158"/>
        <v>7.5</v>
      </c>
      <c r="H2099" t="s">
        <v>361</v>
      </c>
    </row>
    <row r="2100" spans="1:9" x14ac:dyDescent="0.25">
      <c r="A2100" s="1">
        <f t="shared" si="155"/>
        <v>45520</v>
      </c>
      <c r="B2100" s="31">
        <f>TIME(13,9, 0)</f>
        <v>0.54791666666666672</v>
      </c>
      <c r="C2100" t="str">
        <f>'Inventory as of 12th Aug 2024'!A42</f>
        <v>Indomie chicken</v>
      </c>
      <c r="D2100" s="27">
        <v>1</v>
      </c>
      <c r="E2100" s="5">
        <f>Table4[[#This Row],[qty]]*(VLOOKUP(Table4[[#This Row],[item_sold]],Table1[],5,FALSE))</f>
        <v>50</v>
      </c>
      <c r="F2100" s="5">
        <f>(VLOOKUP(Table4[[#This Row],[item_sold]],Table1[],4,FALSE))*Table4[[#This Row],[qty]]</f>
        <v>37.5</v>
      </c>
      <c r="G2100">
        <f t="shared" si="158"/>
        <v>12.5</v>
      </c>
      <c r="H2100" t="s">
        <v>361</v>
      </c>
    </row>
    <row r="2101" spans="1:9" x14ac:dyDescent="0.25">
      <c r="A2101" s="1">
        <f t="shared" si="155"/>
        <v>45520</v>
      </c>
      <c r="B2101" s="31">
        <f t="shared" ref="B2101:B2102" si="162">TIME(13,9, 0)</f>
        <v>0.54791666666666672</v>
      </c>
      <c r="C2101" t="str">
        <f>'Inventory as of 12th Aug 2024'!A8</f>
        <v>eggs</v>
      </c>
      <c r="D2101" s="27">
        <v>2</v>
      </c>
      <c r="E2101" s="5">
        <f>Table4[[#This Row],[qty]]*(VLOOKUP(Table4[[#This Row],[item_sold]],Table1[],5,FALSE))</f>
        <v>40</v>
      </c>
      <c r="F2101" s="5">
        <f>(VLOOKUP(Table4[[#This Row],[item_sold]],Table1[],4,FALSE))*Table4[[#This Row],[qty]]</f>
        <v>28.666666666666668</v>
      </c>
      <c r="G2101">
        <f t="shared" si="158"/>
        <v>11.333333333333332</v>
      </c>
      <c r="H2101" t="s">
        <v>361</v>
      </c>
    </row>
    <row r="2102" spans="1:9" x14ac:dyDescent="0.25">
      <c r="A2102" s="1">
        <f t="shared" si="155"/>
        <v>45520</v>
      </c>
      <c r="B2102" s="31">
        <f t="shared" si="162"/>
        <v>0.54791666666666672</v>
      </c>
      <c r="C2102" t="str">
        <f>'Inventory as of 12th Aug 2024'!A240</f>
        <v>Bigboss</v>
      </c>
      <c r="D2102" s="27">
        <v>1</v>
      </c>
      <c r="E2102" s="5">
        <f>Table4[[#This Row],[qty]]*(VLOOKUP(Table4[[#This Row],[item_sold]],Table1[],5,FALSE))</f>
        <v>5</v>
      </c>
      <c r="F2102" s="5">
        <f>(VLOOKUP(Table4[[#This Row],[item_sold]],Table1[],4,FALSE))*Table4[[#This Row],[qty]]</f>
        <v>3.5</v>
      </c>
      <c r="G2102">
        <f t="shared" si="158"/>
        <v>1.5</v>
      </c>
      <c r="H2102" t="s">
        <v>361</v>
      </c>
    </row>
    <row r="2103" spans="1:9" x14ac:dyDescent="0.25">
      <c r="A2103" s="1">
        <f t="shared" si="155"/>
        <v>45520</v>
      </c>
      <c r="B2103" s="31">
        <f>TIME(13,21, 0)</f>
        <v>0.55625000000000002</v>
      </c>
      <c r="C2103" t="str">
        <f>'Inventory as of 12th Aug 2024'!A233</f>
        <v>Lollipop</v>
      </c>
      <c r="D2103" s="27">
        <v>3</v>
      </c>
      <c r="E2103" s="5">
        <f>Table4[[#This Row],[qty]]*(VLOOKUP(Table4[[#This Row],[item_sold]],Table1[],5,FALSE))</f>
        <v>15</v>
      </c>
      <c r="F2103" s="5">
        <f>(VLOOKUP(Table4[[#This Row],[item_sold]],Table1[],4,FALSE))*Table4[[#This Row],[qty]]</f>
        <v>7.1999999999999993</v>
      </c>
      <c r="G2103">
        <f t="shared" ref="G2103:G2166" si="163">E2103-F2103</f>
        <v>7.8000000000000007</v>
      </c>
      <c r="H2103" t="s">
        <v>247</v>
      </c>
    </row>
    <row r="2104" spans="1:9" x14ac:dyDescent="0.25">
      <c r="A2104" s="1">
        <f t="shared" si="155"/>
        <v>45520</v>
      </c>
      <c r="B2104" s="31">
        <f>TIME(13,21, 0)</f>
        <v>0.55625000000000002</v>
      </c>
      <c r="C2104" t="str">
        <f>'Inventory as of 12th Aug 2024'!A235</f>
        <v>Cough drops</v>
      </c>
      <c r="D2104" s="27">
        <v>1</v>
      </c>
      <c r="E2104" s="5">
        <f>Table4[[#This Row],[qty]]*(VLOOKUP(Table4[[#This Row],[item_sold]],Table1[],5,FALSE))</f>
        <v>5</v>
      </c>
      <c r="F2104" s="5">
        <f>(VLOOKUP(Table4[[#This Row],[item_sold]],Table1[],4,FALSE))*Table4[[#This Row],[qty]]</f>
        <v>4</v>
      </c>
      <c r="G2104">
        <f t="shared" si="163"/>
        <v>1</v>
      </c>
      <c r="H2104" t="s">
        <v>247</v>
      </c>
    </row>
    <row r="2105" spans="1:9" x14ac:dyDescent="0.25">
      <c r="A2105" s="1">
        <f t="shared" si="155"/>
        <v>45520</v>
      </c>
      <c r="B2105" s="31">
        <f t="shared" ref="B2105" si="164">TIME(13,21, 0)</f>
        <v>0.55625000000000002</v>
      </c>
      <c r="C2105" t="str">
        <f>'Inventory as of 12th Aug 2024'!A242</f>
        <v>Icepop</v>
      </c>
      <c r="D2105" s="27">
        <v>1</v>
      </c>
      <c r="E2105" s="5">
        <f>Table4[[#This Row],[qty]]*(VLOOKUP(Table4[[#This Row],[item_sold]],Table1[],5,FALSE))</f>
        <v>15</v>
      </c>
      <c r="F2105" s="5">
        <f>(VLOOKUP(Table4[[#This Row],[item_sold]],Table1[],4,FALSE))*Table4[[#This Row],[qty]]</f>
        <v>7.5</v>
      </c>
      <c r="G2105">
        <f t="shared" si="163"/>
        <v>7.5</v>
      </c>
      <c r="H2105" t="s">
        <v>247</v>
      </c>
    </row>
    <row r="2106" spans="1:9" x14ac:dyDescent="0.25">
      <c r="A2106" s="1">
        <f t="shared" si="155"/>
        <v>45520</v>
      </c>
      <c r="B2106" s="31">
        <f>TIME(13,42, 0)</f>
        <v>0.5708333333333333</v>
      </c>
      <c r="C2106" t="str">
        <f>'Inventory as of 12th Aug 2024'!A234</f>
        <v>Bigdaddy</v>
      </c>
      <c r="D2106" s="27">
        <v>1</v>
      </c>
      <c r="E2106" s="5">
        <f>Table4[[#This Row],[qty]]*(VLOOKUP(Table4[[#This Row],[item_sold]],Table1[],5,FALSE))</f>
        <v>10</v>
      </c>
      <c r="F2106" s="5">
        <f>(VLOOKUP(Table4[[#This Row],[item_sold]],Table1[],4,FALSE))*Table4[[#This Row],[qty]]</f>
        <v>6</v>
      </c>
      <c r="G2106">
        <f t="shared" si="163"/>
        <v>4</v>
      </c>
      <c r="H2106" t="s">
        <v>247</v>
      </c>
    </row>
    <row r="2107" spans="1:9" x14ac:dyDescent="0.25">
      <c r="A2107" s="1">
        <f t="shared" si="155"/>
        <v>45520</v>
      </c>
      <c r="B2107" s="31">
        <f>TIME(14,23, 0)</f>
        <v>0.59930555555555554</v>
      </c>
      <c r="C2107" t="str">
        <f>'Inventory as of 12th Aug 2024'!A93</f>
        <v>Dhania</v>
      </c>
      <c r="D2107" s="27">
        <v>3</v>
      </c>
      <c r="E2107" s="5">
        <f>Table4[[#This Row],[qty]]*(VLOOKUP(Table4[[#This Row],[item_sold]],Table1[],5,FALSE))</f>
        <v>15</v>
      </c>
      <c r="F2107" s="5">
        <f>(VLOOKUP(Table4[[#This Row],[item_sold]],Table1[],4,FALSE))*Table4[[#This Row],[qty]]</f>
        <v>10</v>
      </c>
      <c r="G2107">
        <f t="shared" si="163"/>
        <v>5</v>
      </c>
      <c r="H2107" t="s">
        <v>359</v>
      </c>
      <c r="I2107" t="s">
        <v>390</v>
      </c>
    </row>
    <row r="2108" spans="1:9" x14ac:dyDescent="0.25">
      <c r="A2108" s="1">
        <f t="shared" si="155"/>
        <v>45520</v>
      </c>
      <c r="B2108" s="31">
        <f>TIME(14,23, 0)</f>
        <v>0.59930555555555554</v>
      </c>
      <c r="C2108" t="str">
        <f>'Inventory as of 12th Aug 2024'!A91</f>
        <v>Tomatoes</v>
      </c>
      <c r="D2108" s="27">
        <v>2</v>
      </c>
      <c r="E2108" s="5">
        <f>Table4[[#This Row],[qty]]*(VLOOKUP(Table4[[#This Row],[item_sold]],Table1[],5,FALSE))</f>
        <v>20</v>
      </c>
      <c r="F2108" s="5">
        <f>(VLOOKUP(Table4[[#This Row],[item_sold]],Table1[],4,FALSE))*Table4[[#This Row],[qty]]</f>
        <v>10</v>
      </c>
      <c r="G2108">
        <f t="shared" si="163"/>
        <v>10</v>
      </c>
      <c r="H2108" t="s">
        <v>359</v>
      </c>
      <c r="I2108" t="s">
        <v>390</v>
      </c>
    </row>
    <row r="2109" spans="1:9" x14ac:dyDescent="0.25">
      <c r="A2109" s="1">
        <f t="shared" si="155"/>
        <v>45520</v>
      </c>
      <c r="B2109" s="31">
        <f t="shared" ref="B2109" si="165">TIME(14,23, 0)</f>
        <v>0.59930555555555554</v>
      </c>
      <c r="C2109" t="str">
        <f>'Inventory as of 12th Aug 2024'!A212</f>
        <v>soda 300ml glass</v>
      </c>
      <c r="D2109" s="27">
        <v>1</v>
      </c>
      <c r="E2109" s="5">
        <f>Table4[[#This Row],[qty]]*(VLOOKUP(Table4[[#This Row],[item_sold]],Table1[],5,FALSE))</f>
        <v>40</v>
      </c>
      <c r="F2109" s="5">
        <f>(VLOOKUP(Table4[[#This Row],[item_sold]],Table1[],4,FALSE))*Table4[[#This Row],[qty]]</f>
        <v>32.5</v>
      </c>
      <c r="G2109">
        <f t="shared" si="163"/>
        <v>7.5</v>
      </c>
      <c r="H2109" t="s">
        <v>361</v>
      </c>
    </row>
    <row r="2110" spans="1:9" x14ac:dyDescent="0.25">
      <c r="A2110" s="1">
        <f t="shared" si="155"/>
        <v>45520</v>
      </c>
      <c r="B2110" s="31">
        <f>TIME(15,31, 0)</f>
        <v>0.64652777777777781</v>
      </c>
      <c r="C2110" t="str">
        <f>'Inventory as of 12th Aug 2024'!A146</f>
        <v>Black Shampoo</v>
      </c>
      <c r="D2110" s="27">
        <v>1</v>
      </c>
      <c r="E2110" s="5">
        <f>Table4[[#This Row],[qty]]*(VLOOKUP(Table4[[#This Row],[item_sold]],Table1[],5,FALSE))</f>
        <v>50</v>
      </c>
      <c r="F2110" s="5">
        <f>(VLOOKUP(Table4[[#This Row],[item_sold]],Table1[],4,FALSE))*Table4[[#This Row],[qty]]</f>
        <v>28</v>
      </c>
      <c r="G2110">
        <f t="shared" si="163"/>
        <v>22</v>
      </c>
      <c r="H2110" t="s">
        <v>359</v>
      </c>
      <c r="I2110" t="s">
        <v>422</v>
      </c>
    </row>
    <row r="2111" spans="1:9" x14ac:dyDescent="0.25">
      <c r="A2111" s="1">
        <f t="shared" si="155"/>
        <v>45520</v>
      </c>
      <c r="B2111" s="31">
        <f>TIME(15,50, 0)</f>
        <v>0.65972222222222221</v>
      </c>
      <c r="C2111" t="str">
        <f>'Inventory as of 12th Aug 2024'!A205</f>
        <v xml:space="preserve"> soda 1.25lts</v>
      </c>
      <c r="D2111" s="27">
        <v>1</v>
      </c>
      <c r="E2111" s="5">
        <f>Table4[[#This Row],[qty]]*(VLOOKUP(Table4[[#This Row],[item_sold]],Table1[],5,FALSE))</f>
        <v>130</v>
      </c>
      <c r="F2111" s="5">
        <f>(VLOOKUP(Table4[[#This Row],[item_sold]],Table1[],4,FALSE))*Table4[[#This Row],[qty]]</f>
        <v>112.5</v>
      </c>
      <c r="G2111">
        <f t="shared" si="163"/>
        <v>17.5</v>
      </c>
      <c r="H2111" t="s">
        <v>359</v>
      </c>
      <c r="I2111" t="s">
        <v>412</v>
      </c>
    </row>
    <row r="2112" spans="1:9" x14ac:dyDescent="0.25">
      <c r="A2112" s="1">
        <f t="shared" si="155"/>
        <v>45520</v>
      </c>
      <c r="B2112" s="31">
        <f t="shared" ref="B2112:B2114" si="166">TIME(15,50, 0)</f>
        <v>0.65972222222222221</v>
      </c>
      <c r="C2112" t="str">
        <f>'Inventory as of 12th Aug 2024'!A183</f>
        <v>T.Heat Potato crisps Tomato 25g</v>
      </c>
      <c r="D2112" s="27">
        <v>1</v>
      </c>
      <c r="E2112" s="5">
        <f>Table4[[#This Row],[qty]]*(VLOOKUP(Table4[[#This Row],[item_sold]],Table1[],5,FALSE))</f>
        <v>30</v>
      </c>
      <c r="F2112" s="5">
        <f>(VLOOKUP(Table4[[#This Row],[item_sold]],Table1[],4,FALSE))*Table4[[#This Row],[qty]]</f>
        <v>22.916666666666668</v>
      </c>
      <c r="G2112">
        <f t="shared" si="163"/>
        <v>7.0833333333333321</v>
      </c>
      <c r="H2112" t="s">
        <v>359</v>
      </c>
      <c r="I2112" t="s">
        <v>412</v>
      </c>
    </row>
    <row r="2113" spans="1:9" x14ac:dyDescent="0.25">
      <c r="A2113" s="1">
        <f t="shared" si="155"/>
        <v>45520</v>
      </c>
      <c r="B2113" s="31">
        <f t="shared" si="166"/>
        <v>0.65972222222222221</v>
      </c>
      <c r="C2113" t="str">
        <f>'Inventory as of 12th Aug 2024'!A21</f>
        <v>kinangop250g youghurt</v>
      </c>
      <c r="D2113" s="27">
        <v>1</v>
      </c>
      <c r="E2113" s="5">
        <f>Table4[[#This Row],[qty]]*(VLOOKUP(Table4[[#This Row],[item_sold]],Table1[],5,FALSE))</f>
        <v>60</v>
      </c>
      <c r="F2113" s="5">
        <f>(VLOOKUP(Table4[[#This Row],[item_sold]],Table1[],4,FALSE))*Table4[[#This Row],[qty]]</f>
        <v>48.333333333333336</v>
      </c>
      <c r="G2113">
        <f t="shared" si="163"/>
        <v>11.666666666666664</v>
      </c>
      <c r="H2113" t="s">
        <v>359</v>
      </c>
      <c r="I2113" t="s">
        <v>412</v>
      </c>
    </row>
    <row r="2114" spans="1:9" x14ac:dyDescent="0.25">
      <c r="A2114" s="1">
        <f t="shared" si="155"/>
        <v>45520</v>
      </c>
      <c r="B2114" s="31">
        <f t="shared" si="166"/>
        <v>0.65972222222222221</v>
      </c>
      <c r="C2114" t="str">
        <f>'Inventory as of 12th Aug 2024'!A242</f>
        <v>Icepop</v>
      </c>
      <c r="D2114" s="27">
        <v>1</v>
      </c>
      <c r="E2114" s="5">
        <f>Table4[[#This Row],[qty]]*(VLOOKUP(Table4[[#This Row],[item_sold]],Table1[],5,FALSE))</f>
        <v>15</v>
      </c>
      <c r="F2114" s="5">
        <f>(VLOOKUP(Table4[[#This Row],[item_sold]],Table1[],4,FALSE))*Table4[[#This Row],[qty]]</f>
        <v>7.5</v>
      </c>
      <c r="G2114">
        <f t="shared" si="163"/>
        <v>7.5</v>
      </c>
      <c r="H2114" t="s">
        <v>247</v>
      </c>
    </row>
    <row r="2115" spans="1:9" x14ac:dyDescent="0.25">
      <c r="A2115" s="1">
        <f t="shared" si="155"/>
        <v>45520</v>
      </c>
      <c r="B2115" s="31">
        <f>TIME(15,56, 0)</f>
        <v>0.66388888888888886</v>
      </c>
      <c r="C2115" t="str">
        <f>'Inventory as of 12th Aug 2024'!A242</f>
        <v>Icepop</v>
      </c>
      <c r="D2115" s="27">
        <v>1</v>
      </c>
      <c r="E2115" s="5">
        <f>Table4[[#This Row],[qty]]*(VLOOKUP(Table4[[#This Row],[item_sold]],Table1[],5,FALSE))</f>
        <v>15</v>
      </c>
      <c r="F2115" s="5">
        <f>(VLOOKUP(Table4[[#This Row],[item_sold]],Table1[],4,FALSE))*Table4[[#This Row],[qty]]</f>
        <v>7.5</v>
      </c>
      <c r="G2115">
        <f t="shared" si="163"/>
        <v>7.5</v>
      </c>
      <c r="H2115" t="s">
        <v>247</v>
      </c>
    </row>
    <row r="2116" spans="1:9" x14ac:dyDescent="0.25">
      <c r="A2116" s="1">
        <f t="shared" si="155"/>
        <v>45520</v>
      </c>
      <c r="B2116" s="31">
        <f t="shared" ref="B2116" si="167">TIME(15,56, 0)</f>
        <v>0.66388888888888886</v>
      </c>
      <c r="C2116" t="str">
        <f>'Inventory as of 12th Aug 2024'!A234</f>
        <v>Bigdaddy</v>
      </c>
      <c r="D2116" s="27">
        <v>1</v>
      </c>
      <c r="E2116" s="5">
        <f>Table4[[#This Row],[qty]]*(VLOOKUP(Table4[[#This Row],[item_sold]],Table1[],5,FALSE))</f>
        <v>10</v>
      </c>
      <c r="F2116" s="5">
        <f>(VLOOKUP(Table4[[#This Row],[item_sold]],Table1[],4,FALSE))*Table4[[#This Row],[qty]]</f>
        <v>6</v>
      </c>
      <c r="G2116">
        <f t="shared" si="163"/>
        <v>4</v>
      </c>
      <c r="H2116" t="s">
        <v>247</v>
      </c>
    </row>
    <row r="2117" spans="1:9" x14ac:dyDescent="0.25">
      <c r="A2117" s="1">
        <f t="shared" si="155"/>
        <v>45520</v>
      </c>
      <c r="B2117" s="31">
        <f>TIME(16,9, 0)</f>
        <v>0.67291666666666661</v>
      </c>
      <c r="C2117" t="str">
        <f>'Inventory as of 12th Aug 2024'!A236</f>
        <v>Gomba</v>
      </c>
      <c r="D2117" s="27">
        <v>20</v>
      </c>
      <c r="E2117" s="5">
        <f>Table4[[#This Row],[qty]]*(VLOOKUP(Table4[[#This Row],[item_sold]],Table1[],5,FALSE))</f>
        <v>50</v>
      </c>
      <c r="F2117" s="5">
        <f>(VLOOKUP(Table4[[#This Row],[item_sold]],Table1[],4,FALSE))*Table4[[#This Row],[qty]]</f>
        <v>36</v>
      </c>
      <c r="G2117">
        <f t="shared" si="163"/>
        <v>14</v>
      </c>
      <c r="H2117" t="s">
        <v>247</v>
      </c>
    </row>
    <row r="2118" spans="1:9" x14ac:dyDescent="0.25">
      <c r="A2118" s="1">
        <f t="shared" si="155"/>
        <v>45520</v>
      </c>
      <c r="B2118" s="31">
        <f>TIME(16,10, 0)</f>
        <v>0.67361111111111116</v>
      </c>
      <c r="C2118" t="str">
        <f>'Inventory as of 12th Aug 2024'!A5</f>
        <v>Airtel 20 Credit</v>
      </c>
      <c r="D2118" s="27">
        <v>1</v>
      </c>
      <c r="E2118" s="5">
        <f>Table4[[#This Row],[qty]]*(VLOOKUP(Table4[[#This Row],[item_sold]],Table1[],5,FALSE))</f>
        <v>20</v>
      </c>
      <c r="F2118" s="5">
        <f>(VLOOKUP(Table4[[#This Row],[item_sold]],Table1[],4,FALSE))*Table4[[#This Row],[qty]]</f>
        <v>18</v>
      </c>
      <c r="G2118">
        <f t="shared" si="163"/>
        <v>2</v>
      </c>
      <c r="H2118" t="s">
        <v>247</v>
      </c>
    </row>
    <row r="2119" spans="1:9" x14ac:dyDescent="0.25">
      <c r="A2119" s="1">
        <f t="shared" si="155"/>
        <v>45520</v>
      </c>
      <c r="B2119" s="31">
        <f>TIME(16,10, 0)</f>
        <v>0.67361111111111116</v>
      </c>
      <c r="C2119" t="str">
        <f>'Inventory as of 12th Aug 2024'!A6</f>
        <v>Airtel 10 Credit</v>
      </c>
      <c r="D2119" s="27">
        <v>1</v>
      </c>
      <c r="E2119" s="5">
        <f>Table4[[#This Row],[qty]]*(VLOOKUP(Table4[[#This Row],[item_sold]],Table1[],5,FALSE))</f>
        <v>10</v>
      </c>
      <c r="F2119" s="5">
        <f>(VLOOKUP(Table4[[#This Row],[item_sold]],Table1[],4,FALSE))*Table4[[#This Row],[qty]]</f>
        <v>9</v>
      </c>
      <c r="G2119">
        <f t="shared" si="163"/>
        <v>1</v>
      </c>
      <c r="H2119" t="s">
        <v>247</v>
      </c>
    </row>
    <row r="2120" spans="1:9" x14ac:dyDescent="0.25">
      <c r="A2120" s="1">
        <f t="shared" si="155"/>
        <v>45520</v>
      </c>
      <c r="B2120" s="31">
        <f t="shared" ref="B2120:B2122" si="168">TIME(16,25, 0)</f>
        <v>0.68402777777777779</v>
      </c>
      <c r="C2120" t="str">
        <f>'Inventory as of 12th Aug 2024'!A229</f>
        <v>Fresh green</v>
      </c>
      <c r="D2120" s="27">
        <v>1</v>
      </c>
      <c r="E2120" s="5">
        <f>Table4[[#This Row],[qty]]*(VLOOKUP(Table4[[#This Row],[item_sold]],Table1[],5,FALSE))</f>
        <v>10</v>
      </c>
      <c r="F2120" s="5">
        <f>(VLOOKUP(Table4[[#This Row],[item_sold]],Table1[],4,FALSE))*Table4[[#This Row],[qty]]</f>
        <v>5</v>
      </c>
      <c r="G2120">
        <f t="shared" si="163"/>
        <v>5</v>
      </c>
      <c r="H2120" t="s">
        <v>361</v>
      </c>
    </row>
    <row r="2121" spans="1:9" x14ac:dyDescent="0.25">
      <c r="A2121" s="1">
        <f t="shared" si="155"/>
        <v>45520</v>
      </c>
      <c r="B2121" s="31">
        <f t="shared" si="168"/>
        <v>0.68402777777777779</v>
      </c>
      <c r="C2121" t="str">
        <f>'Inventory as of 12th Aug 2024'!A188</f>
        <v>Choc-chip Cookies</v>
      </c>
      <c r="D2121" s="27">
        <v>1</v>
      </c>
      <c r="E2121" s="5">
        <f>Table4[[#This Row],[qty]]*(VLOOKUP(Table4[[#This Row],[item_sold]],Table1[],5,FALSE))</f>
        <v>35</v>
      </c>
      <c r="F2121" s="5">
        <f>(VLOOKUP(Table4[[#This Row],[item_sold]],Table1[],4,FALSE))*Table4[[#This Row],[qty]]</f>
        <v>25</v>
      </c>
      <c r="G2121">
        <f t="shared" si="163"/>
        <v>10</v>
      </c>
      <c r="H2121" t="s">
        <v>361</v>
      </c>
    </row>
    <row r="2122" spans="1:9" x14ac:dyDescent="0.25">
      <c r="A2122" s="1">
        <f t="shared" si="155"/>
        <v>45520</v>
      </c>
      <c r="B2122" s="31">
        <f t="shared" si="168"/>
        <v>0.68402777777777779</v>
      </c>
      <c r="C2122" t="str">
        <f>'Inventory as of 12th Aug 2024'!A240</f>
        <v>Bigboss</v>
      </c>
      <c r="D2122" s="27">
        <v>1</v>
      </c>
      <c r="E2122" s="5">
        <f>Table4[[#This Row],[qty]]*(VLOOKUP(Table4[[#This Row],[item_sold]],Table1[],5,FALSE))</f>
        <v>5</v>
      </c>
      <c r="F2122" s="5">
        <f>(VLOOKUP(Table4[[#This Row],[item_sold]],Table1[],4,FALSE))*Table4[[#This Row],[qty]]</f>
        <v>3.5</v>
      </c>
      <c r="G2122">
        <f t="shared" si="163"/>
        <v>1.5</v>
      </c>
      <c r="H2122" t="s">
        <v>361</v>
      </c>
    </row>
    <row r="2123" spans="1:9" x14ac:dyDescent="0.25">
      <c r="A2123" s="1">
        <f t="shared" si="155"/>
        <v>45520</v>
      </c>
      <c r="B2123" s="31">
        <f>TIME(16,39, 0)</f>
        <v>0.69374999999999998</v>
      </c>
      <c r="C2123" t="str">
        <f>'Inventory as of 12th Aug 2024'!A188</f>
        <v>Choc-chip Cookies</v>
      </c>
      <c r="D2123" s="27">
        <v>1</v>
      </c>
      <c r="E2123" s="5">
        <f>Table4[[#This Row],[qty]]*(VLOOKUP(Table4[[#This Row],[item_sold]],Table1[],5,FALSE))</f>
        <v>35</v>
      </c>
      <c r="F2123" s="5">
        <f>(VLOOKUP(Table4[[#This Row],[item_sold]],Table1[],4,FALSE))*Table4[[#This Row],[qty]]</f>
        <v>25</v>
      </c>
      <c r="G2123">
        <f t="shared" si="163"/>
        <v>10</v>
      </c>
      <c r="H2123" t="s">
        <v>247</v>
      </c>
    </row>
    <row r="2124" spans="1:9" x14ac:dyDescent="0.25">
      <c r="A2124" s="1">
        <f t="shared" si="155"/>
        <v>45520</v>
      </c>
      <c r="B2124" s="31">
        <f t="shared" ref="B2124:B2125" si="169">TIME(16,39, 0)</f>
        <v>0.69374999999999998</v>
      </c>
      <c r="C2124" t="str">
        <f>'Inventory as of 12th Aug 2024'!A234</f>
        <v>Bigdaddy</v>
      </c>
      <c r="D2124" s="27">
        <v>1</v>
      </c>
      <c r="E2124" s="5">
        <f>Table4[[#This Row],[qty]]*(VLOOKUP(Table4[[#This Row],[item_sold]],Table1[],5,FALSE))</f>
        <v>10</v>
      </c>
      <c r="F2124" s="5">
        <f>(VLOOKUP(Table4[[#This Row],[item_sold]],Table1[],4,FALSE))*Table4[[#This Row],[qty]]</f>
        <v>6</v>
      </c>
      <c r="G2124">
        <f t="shared" si="163"/>
        <v>4</v>
      </c>
      <c r="H2124" t="s">
        <v>247</v>
      </c>
    </row>
    <row r="2125" spans="1:9" x14ac:dyDescent="0.25">
      <c r="A2125" s="1">
        <f t="shared" si="155"/>
        <v>45520</v>
      </c>
      <c r="B2125" s="31">
        <f t="shared" si="169"/>
        <v>0.69374999999999998</v>
      </c>
      <c r="C2125" t="str">
        <f>'Inventory as of 12th Aug 2024'!A233</f>
        <v>Lollipop</v>
      </c>
      <c r="D2125" s="27">
        <v>2</v>
      </c>
      <c r="E2125" s="5">
        <f>Table4[[#This Row],[qty]]*(VLOOKUP(Table4[[#This Row],[item_sold]],Table1[],5,FALSE))</f>
        <v>10</v>
      </c>
      <c r="F2125" s="5">
        <f>(VLOOKUP(Table4[[#This Row],[item_sold]],Table1[],4,FALSE))*Table4[[#This Row],[qty]]</f>
        <v>4.8</v>
      </c>
      <c r="G2125">
        <f t="shared" si="163"/>
        <v>5.2</v>
      </c>
      <c r="H2125" t="s">
        <v>247</v>
      </c>
    </row>
    <row r="2126" spans="1:9" x14ac:dyDescent="0.25">
      <c r="A2126" s="1">
        <f t="shared" si="155"/>
        <v>45520</v>
      </c>
      <c r="B2126" s="31">
        <f>TIME(17,5, 0)</f>
        <v>0.71180555555555547</v>
      </c>
      <c r="C2126" t="str">
        <f>'Inventory as of 12th Aug 2024'!A44</f>
        <v>Ajab 2kg</v>
      </c>
      <c r="D2126" s="27">
        <v>1</v>
      </c>
      <c r="E2126" s="5">
        <f>Table4[[#This Row],[qty]]*(VLOOKUP(Table4[[#This Row],[item_sold]],Table1[],5,FALSE))</f>
        <v>220</v>
      </c>
      <c r="F2126" s="5">
        <f>(VLOOKUP(Table4[[#This Row],[item_sold]],Table1[],4,FALSE))*Table4[[#This Row],[qty]]</f>
        <v>175</v>
      </c>
      <c r="G2126">
        <f t="shared" si="163"/>
        <v>45</v>
      </c>
      <c r="H2126" t="s">
        <v>361</v>
      </c>
    </row>
    <row r="2127" spans="1:9" x14ac:dyDescent="0.25">
      <c r="A2127" s="1">
        <f t="shared" si="155"/>
        <v>45520</v>
      </c>
      <c r="B2127" s="31">
        <f>TIME(17,5, 0)</f>
        <v>0.71180555555555547</v>
      </c>
      <c r="C2127" t="str">
        <f>'Inventory as of 12th Aug 2024'!A242</f>
        <v>Icepop</v>
      </c>
      <c r="D2127" s="27">
        <v>1</v>
      </c>
      <c r="E2127" s="5">
        <f>Table4[[#This Row],[qty]]*(VLOOKUP(Table4[[#This Row],[item_sold]],Table1[],5,FALSE))</f>
        <v>15</v>
      </c>
      <c r="F2127" s="5">
        <f>(VLOOKUP(Table4[[#This Row],[item_sold]],Table1[],4,FALSE))*Table4[[#This Row],[qty]]</f>
        <v>7.5</v>
      </c>
      <c r="G2127">
        <f t="shared" si="163"/>
        <v>7.5</v>
      </c>
      <c r="H2127" t="s">
        <v>361</v>
      </c>
    </row>
    <row r="2128" spans="1:9" x14ac:dyDescent="0.25">
      <c r="A2128" s="1">
        <f t="shared" si="155"/>
        <v>45520</v>
      </c>
      <c r="B2128" s="31">
        <f>TIME(17,15, 0)</f>
        <v>0.71875</v>
      </c>
      <c r="C2128" t="str">
        <f>'Inventory as of 12th Aug 2024'!A242</f>
        <v>Icepop</v>
      </c>
      <c r="D2128" s="27">
        <v>10</v>
      </c>
      <c r="E2128" s="5">
        <f>Table4[[#This Row],[qty]]*(VLOOKUP(Table4[[#This Row],[item_sold]],Table1[],5,FALSE))</f>
        <v>150</v>
      </c>
      <c r="F2128" s="5">
        <f>(VLOOKUP(Table4[[#This Row],[item_sold]],Table1[],4,FALSE))*Table4[[#This Row],[qty]]</f>
        <v>75</v>
      </c>
      <c r="G2128">
        <f t="shared" si="163"/>
        <v>75</v>
      </c>
      <c r="H2128" t="s">
        <v>247</v>
      </c>
    </row>
    <row r="2129" spans="1:9" x14ac:dyDescent="0.25">
      <c r="A2129" s="1">
        <f t="shared" si="155"/>
        <v>45520</v>
      </c>
      <c r="B2129" s="31">
        <f>TIME(17,39, 0)</f>
        <v>0.73541666666666661</v>
      </c>
      <c r="C2129" t="str">
        <f>'Inventory as of 12th Aug 2024'!A234</f>
        <v>Bigdaddy</v>
      </c>
      <c r="D2129" s="27">
        <v>1</v>
      </c>
      <c r="E2129" s="5">
        <f>Table4[[#This Row],[qty]]*(VLOOKUP(Table4[[#This Row],[item_sold]],Table1[],5,FALSE))</f>
        <v>10</v>
      </c>
      <c r="F2129" s="5">
        <f>(VLOOKUP(Table4[[#This Row],[item_sold]],Table1[],4,FALSE))*Table4[[#This Row],[qty]]</f>
        <v>6</v>
      </c>
      <c r="G2129">
        <f t="shared" si="163"/>
        <v>4</v>
      </c>
      <c r="H2129" t="s">
        <v>247</v>
      </c>
    </row>
    <row r="2130" spans="1:9" x14ac:dyDescent="0.25">
      <c r="A2130" s="1">
        <f t="shared" si="155"/>
        <v>45520</v>
      </c>
      <c r="B2130" s="31">
        <f t="shared" ref="B2130" si="170">TIME(17,39, 0)</f>
        <v>0.73541666666666661</v>
      </c>
      <c r="C2130" t="str">
        <f>'Inventory as of 12th Aug 2024'!A235</f>
        <v>Cough drops</v>
      </c>
      <c r="D2130" s="27">
        <v>1</v>
      </c>
      <c r="E2130" s="5">
        <f>Table4[[#This Row],[qty]]*(VLOOKUP(Table4[[#This Row],[item_sold]],Table1[],5,FALSE))</f>
        <v>5</v>
      </c>
      <c r="F2130" s="5">
        <f>(VLOOKUP(Table4[[#This Row],[item_sold]],Table1[],4,FALSE))*Table4[[#This Row],[qty]]</f>
        <v>4</v>
      </c>
      <c r="G2130">
        <f t="shared" si="163"/>
        <v>1</v>
      </c>
      <c r="H2130" t="s">
        <v>247</v>
      </c>
    </row>
    <row r="2131" spans="1:9" x14ac:dyDescent="0.25">
      <c r="A2131" s="1">
        <f t="shared" si="155"/>
        <v>45520</v>
      </c>
      <c r="B2131" s="31">
        <f>TIME(17,50, 0)</f>
        <v>0.74305555555555547</v>
      </c>
      <c r="C2131" t="str">
        <f>'Inventory as of 12th Aug 2024'!A212</f>
        <v>soda 300ml glass</v>
      </c>
      <c r="D2131" s="27">
        <v>1</v>
      </c>
      <c r="E2131" s="5">
        <f>Table4[[#This Row],[qty]]*(VLOOKUP(Table4[[#This Row],[item_sold]],Table1[],5,FALSE))</f>
        <v>40</v>
      </c>
      <c r="F2131" s="5">
        <f>(VLOOKUP(Table4[[#This Row],[item_sold]],Table1[],4,FALSE))*Table4[[#This Row],[qty]]</f>
        <v>32.5</v>
      </c>
      <c r="G2131">
        <f t="shared" si="163"/>
        <v>7.5</v>
      </c>
      <c r="H2131" t="s">
        <v>361</v>
      </c>
    </row>
    <row r="2132" spans="1:9" x14ac:dyDescent="0.25">
      <c r="A2132" s="1">
        <f t="shared" si="155"/>
        <v>45520</v>
      </c>
      <c r="B2132" s="31">
        <f>TIME(18,3, 0)</f>
        <v>0.75208333333333333</v>
      </c>
      <c r="C2132" t="str">
        <f>'Inventory as of 12th Aug 2024'!A35</f>
        <v>Festive 600g</v>
      </c>
      <c r="D2132" s="27">
        <v>1</v>
      </c>
      <c r="E2132" s="5">
        <f>Table4[[#This Row],[qty]]*(VLOOKUP(Table4[[#This Row],[item_sold]],Table1[],5,FALSE))</f>
        <v>100</v>
      </c>
      <c r="F2132" s="5">
        <f>(VLOOKUP(Table4[[#This Row],[item_sold]],Table1[],4,FALSE))*Table4[[#This Row],[qty]]</f>
        <v>90</v>
      </c>
      <c r="G2132">
        <f t="shared" si="163"/>
        <v>10</v>
      </c>
      <c r="H2132" t="s">
        <v>361</v>
      </c>
    </row>
    <row r="2133" spans="1:9" x14ac:dyDescent="0.25">
      <c r="A2133" s="1">
        <f t="shared" si="155"/>
        <v>45520</v>
      </c>
      <c r="B2133" s="31">
        <f>TIME(18,44, 0)</f>
        <v>0.78055555555555556</v>
      </c>
      <c r="C2133" t="str">
        <f>'Inventory as of 12th Aug 2024'!A204</f>
        <v>soda 2lts</v>
      </c>
      <c r="D2133" s="27">
        <v>1</v>
      </c>
      <c r="E2133" s="5">
        <f>Table4[[#This Row],[qty]]*(VLOOKUP(Table4[[#This Row],[item_sold]],Table1[],5,FALSE))</f>
        <v>200</v>
      </c>
      <c r="F2133" s="5">
        <f>(VLOOKUP(Table4[[#This Row],[item_sold]],Table1[],4,FALSE))*Table4[[#This Row],[qty]]</f>
        <v>176.66666666666666</v>
      </c>
      <c r="G2133">
        <f t="shared" si="163"/>
        <v>23.333333333333343</v>
      </c>
      <c r="H2133" t="s">
        <v>359</v>
      </c>
      <c r="I2133" t="s">
        <v>403</v>
      </c>
    </row>
    <row r="2134" spans="1:9" x14ac:dyDescent="0.25">
      <c r="A2134" s="1">
        <f t="shared" si="155"/>
        <v>45520</v>
      </c>
      <c r="B2134" s="31">
        <f>TIME(19,9, 0)</f>
        <v>0.79791666666666661</v>
      </c>
      <c r="C2134" t="str">
        <f>'Inventory as of 12th Aug 2024'!A5</f>
        <v>Airtel 20 Credit</v>
      </c>
      <c r="D2134" s="27">
        <v>1</v>
      </c>
      <c r="E2134" s="5">
        <f>Table4[[#This Row],[qty]]*(VLOOKUP(Table4[[#This Row],[item_sold]],Table1[],5,FALSE))</f>
        <v>20</v>
      </c>
      <c r="F2134" s="5">
        <f>(VLOOKUP(Table4[[#This Row],[item_sold]],Table1[],4,FALSE))*Table4[[#This Row],[qty]]</f>
        <v>18</v>
      </c>
      <c r="G2134">
        <f t="shared" si="163"/>
        <v>2</v>
      </c>
      <c r="H2134" t="s">
        <v>247</v>
      </c>
    </row>
    <row r="2135" spans="1:9" x14ac:dyDescent="0.25">
      <c r="A2135" s="1">
        <f t="shared" si="155"/>
        <v>45520</v>
      </c>
      <c r="B2135" s="31">
        <f t="shared" ref="B2135:B2136" si="171">TIME(19,9, 0)</f>
        <v>0.79791666666666661</v>
      </c>
      <c r="C2135" t="str">
        <f>'Inventory as of 12th Aug 2024'!A6</f>
        <v>Airtel 10 Credit</v>
      </c>
      <c r="D2135" s="27">
        <v>1</v>
      </c>
      <c r="E2135" s="5">
        <f>Table4[[#This Row],[qty]]*(VLOOKUP(Table4[[#This Row],[item_sold]],Table1[],5,FALSE))</f>
        <v>10</v>
      </c>
      <c r="F2135" s="5">
        <f>(VLOOKUP(Table4[[#This Row],[item_sold]],Table1[],4,FALSE))*Table4[[#This Row],[qty]]</f>
        <v>9</v>
      </c>
      <c r="G2135">
        <f t="shared" si="163"/>
        <v>1</v>
      </c>
      <c r="H2135" t="s">
        <v>247</v>
      </c>
    </row>
    <row r="2136" spans="1:9" x14ac:dyDescent="0.25">
      <c r="A2136" s="1">
        <f t="shared" si="155"/>
        <v>45520</v>
      </c>
      <c r="B2136" s="31">
        <f t="shared" si="171"/>
        <v>0.79791666666666661</v>
      </c>
      <c r="C2136" t="str">
        <f>'Inventory as of 12th Aug 2024'!A2</f>
        <v>Safaricom 20 Credit</v>
      </c>
      <c r="D2136" s="27">
        <v>1</v>
      </c>
      <c r="E2136" s="5">
        <f>Table4[[#This Row],[qty]]*(VLOOKUP(Table4[[#This Row],[item_sold]],Table1[],5,FALSE))</f>
        <v>20</v>
      </c>
      <c r="F2136" s="5">
        <f>(VLOOKUP(Table4[[#This Row],[item_sold]],Table1[],4,FALSE))*Table4[[#This Row],[qty]]</f>
        <v>18</v>
      </c>
      <c r="G2136">
        <f t="shared" si="163"/>
        <v>2</v>
      </c>
      <c r="H2136" t="s">
        <v>247</v>
      </c>
    </row>
    <row r="2137" spans="1:9" x14ac:dyDescent="0.25">
      <c r="A2137" s="1">
        <f t="shared" si="155"/>
        <v>45520</v>
      </c>
      <c r="B2137" s="31">
        <f>TIME(19,24, 0)</f>
        <v>0.80833333333333324</v>
      </c>
      <c r="C2137" t="str">
        <f>'Inventory as of 12th Aug 2024'!A21</f>
        <v>kinangop250g youghurt</v>
      </c>
      <c r="D2137" s="27">
        <v>1</v>
      </c>
      <c r="E2137" s="5">
        <f>Table4[[#This Row],[qty]]*(VLOOKUP(Table4[[#This Row],[item_sold]],Table1[],5,FALSE))</f>
        <v>60</v>
      </c>
      <c r="F2137" s="5">
        <f>(VLOOKUP(Table4[[#This Row],[item_sold]],Table1[],4,FALSE))*Table4[[#This Row],[qty]]</f>
        <v>48.333333333333336</v>
      </c>
      <c r="G2137">
        <f t="shared" si="163"/>
        <v>11.666666666666664</v>
      </c>
      <c r="H2137" t="s">
        <v>247</v>
      </c>
    </row>
    <row r="2138" spans="1:9" x14ac:dyDescent="0.25">
      <c r="A2138" s="1">
        <f t="shared" si="155"/>
        <v>45520</v>
      </c>
      <c r="B2138" s="31">
        <f>TIME(19,24, 0)</f>
        <v>0.80833333333333324</v>
      </c>
      <c r="C2138" t="str">
        <f>'Inventory as of 12th Aug 2024'!A191</f>
        <v>Nuvita Bisquit</v>
      </c>
      <c r="D2138" s="27">
        <v>1</v>
      </c>
      <c r="E2138" s="5">
        <f>Table4[[#This Row],[qty]]*(VLOOKUP(Table4[[#This Row],[item_sold]],Table1[],5,FALSE))</f>
        <v>5</v>
      </c>
      <c r="F2138" s="5">
        <f>(VLOOKUP(Table4[[#This Row],[item_sold]],Table1[],4,FALSE))*Table4[[#This Row],[qty]]</f>
        <v>4.166666666666667</v>
      </c>
      <c r="G2138">
        <f t="shared" si="163"/>
        <v>0.83333333333333304</v>
      </c>
      <c r="H2138" t="s">
        <v>247</v>
      </c>
    </row>
    <row r="2139" spans="1:9" x14ac:dyDescent="0.25">
      <c r="A2139" s="1">
        <f t="shared" ref="A2139:A2153" si="172">DATE(2024,8,16)</f>
        <v>45520</v>
      </c>
      <c r="B2139" s="31">
        <f>TIME(19,25, 0)</f>
        <v>0.80902777777777779</v>
      </c>
      <c r="C2139" t="str">
        <f>'Inventory as of 12th Aug 2024'!A76</f>
        <v>Rina 1ltr</v>
      </c>
      <c r="D2139" s="27">
        <v>1</v>
      </c>
      <c r="E2139" s="5">
        <f>Table4[[#This Row],[qty]]*(VLOOKUP(Table4[[#This Row],[item_sold]],Table1[],5,FALSE))</f>
        <v>350</v>
      </c>
      <c r="F2139" s="5">
        <f>(VLOOKUP(Table4[[#This Row],[item_sold]],Table1[],4,FALSE))*Table4[[#This Row],[qty]]</f>
        <v>290</v>
      </c>
      <c r="G2139">
        <f t="shared" si="163"/>
        <v>60</v>
      </c>
      <c r="H2139" t="s">
        <v>361</v>
      </c>
    </row>
    <row r="2140" spans="1:9" x14ac:dyDescent="0.25">
      <c r="A2140" s="1">
        <f t="shared" si="172"/>
        <v>45520</v>
      </c>
      <c r="B2140" s="31">
        <f>TIME(19,33, 0)</f>
        <v>0.81458333333333333</v>
      </c>
      <c r="C2140" t="str">
        <f>'Inventory as of 12th Aug 2024'!A10</f>
        <v>Mt Kenya milk 200ml</v>
      </c>
      <c r="D2140" s="27">
        <v>2</v>
      </c>
      <c r="E2140" s="5">
        <f>Table4[[#This Row],[qty]]*(VLOOKUP(Table4[[#This Row],[item_sold]],Table1[],5,FALSE))</f>
        <v>70</v>
      </c>
      <c r="F2140" s="5">
        <f>(VLOOKUP(Table4[[#This Row],[item_sold]],Table1[],4,FALSE))*Table4[[#This Row],[qty]]</f>
        <v>48.571428571428569</v>
      </c>
      <c r="G2140">
        <f t="shared" si="163"/>
        <v>21.428571428571431</v>
      </c>
      <c r="H2140" t="s">
        <v>361</v>
      </c>
    </row>
    <row r="2141" spans="1:9" x14ac:dyDescent="0.25">
      <c r="A2141" s="1">
        <f t="shared" si="172"/>
        <v>45520</v>
      </c>
      <c r="B2141" s="31">
        <f t="shared" ref="B2141" si="173">TIME(19,33, 0)</f>
        <v>0.81458333333333333</v>
      </c>
      <c r="C2141" t="str">
        <f>'Inventory as of 12th Aug 2024'!A176</f>
        <v>Queen cake</v>
      </c>
      <c r="D2141" s="27">
        <v>2</v>
      </c>
      <c r="E2141" s="5">
        <f>Table4[[#This Row],[qty]]*(VLOOKUP(Table4[[#This Row],[item_sold]],Table1[],5,FALSE))</f>
        <v>20</v>
      </c>
      <c r="F2141" s="5">
        <f>(VLOOKUP(Table4[[#This Row],[item_sold]],Table1[],4,FALSE))*Table4[[#This Row],[qty]]</f>
        <v>16.666666666666668</v>
      </c>
      <c r="G2141">
        <f t="shared" si="163"/>
        <v>3.3333333333333321</v>
      </c>
      <c r="H2141" t="s">
        <v>361</v>
      </c>
    </row>
    <row r="2142" spans="1:9" x14ac:dyDescent="0.25">
      <c r="A2142" s="1">
        <f t="shared" si="172"/>
        <v>45520</v>
      </c>
      <c r="B2142" s="31">
        <f>TIME(19,59, 0)</f>
        <v>0.83263888888888893</v>
      </c>
      <c r="C2142" t="str">
        <f>'Inventory as of 12th Aug 2024'!A33</f>
        <v>BB Bread 400g</v>
      </c>
      <c r="D2142" s="27">
        <v>1</v>
      </c>
      <c r="E2142" s="5">
        <f>Table4[[#This Row],[qty]]*(VLOOKUP(Table4[[#This Row],[item_sold]],Table1[],5,FALSE))</f>
        <v>65</v>
      </c>
      <c r="F2142" s="5">
        <f>(VLOOKUP(Table4[[#This Row],[item_sold]],Table1[],4,FALSE))*Table4[[#This Row],[qty]]</f>
        <v>60</v>
      </c>
      <c r="G2142">
        <f t="shared" si="163"/>
        <v>5</v>
      </c>
      <c r="H2142" t="s">
        <v>247</v>
      </c>
    </row>
    <row r="2143" spans="1:9" x14ac:dyDescent="0.25">
      <c r="A2143" s="1">
        <f t="shared" si="172"/>
        <v>45520</v>
      </c>
      <c r="B2143" s="31">
        <f>TIME(20,14, 0)</f>
        <v>0.84305555555555556</v>
      </c>
      <c r="C2143" t="str">
        <f>'Inventory as of 12th Aug 2024'!A90</f>
        <v>Onion</v>
      </c>
      <c r="D2143" s="27">
        <v>1</v>
      </c>
      <c r="E2143" s="5">
        <f>Table4[[#This Row],[qty]]*(VLOOKUP(Table4[[#This Row],[item_sold]],Table1[],5,FALSE))</f>
        <v>10</v>
      </c>
      <c r="F2143" s="5">
        <f>(VLOOKUP(Table4[[#This Row],[item_sold]],Table1[],4,FALSE))*Table4[[#This Row],[qty]]</f>
        <v>8</v>
      </c>
      <c r="G2143">
        <f t="shared" si="163"/>
        <v>2</v>
      </c>
      <c r="H2143" t="s">
        <v>361</v>
      </c>
    </row>
    <row r="2144" spans="1:9" x14ac:dyDescent="0.25">
      <c r="A2144" s="1">
        <f t="shared" si="172"/>
        <v>45520</v>
      </c>
      <c r="B2144" s="31">
        <f t="shared" ref="B2144:B2145" si="174">TIME(20,14, 0)</f>
        <v>0.84305555555555556</v>
      </c>
      <c r="C2144" t="str">
        <f>'Inventory as of 12th Aug 2024'!A91</f>
        <v>Tomatoes</v>
      </c>
      <c r="D2144" s="27">
        <v>2</v>
      </c>
      <c r="E2144" s="5">
        <f>Table4[[#This Row],[qty]]*(VLOOKUP(Table4[[#This Row],[item_sold]],Table1[],5,FALSE))</f>
        <v>20</v>
      </c>
      <c r="F2144" s="5">
        <f>(VLOOKUP(Table4[[#This Row],[item_sold]],Table1[],4,FALSE))*Table4[[#This Row],[qty]]</f>
        <v>10</v>
      </c>
      <c r="G2144">
        <f t="shared" si="163"/>
        <v>10</v>
      </c>
      <c r="H2144" t="s">
        <v>361</v>
      </c>
    </row>
    <row r="2145" spans="1:12" x14ac:dyDescent="0.25">
      <c r="A2145" s="1">
        <f t="shared" si="172"/>
        <v>45520</v>
      </c>
      <c r="B2145" s="31">
        <f t="shared" si="174"/>
        <v>0.84305555555555556</v>
      </c>
      <c r="C2145" t="str">
        <f>'Inventory as of 12th Aug 2024'!A92</f>
        <v>Banana</v>
      </c>
      <c r="D2145" s="27">
        <v>4</v>
      </c>
      <c r="E2145" s="5">
        <f>Table4[[#This Row],[qty]]*(VLOOKUP(Table4[[#This Row],[item_sold]],Table1[],5,FALSE))</f>
        <v>40</v>
      </c>
      <c r="F2145" s="5">
        <f>(VLOOKUP(Table4[[#This Row],[item_sold]],Table1[],4,FALSE))*Table4[[#This Row],[qty]]</f>
        <v>33.333333333333336</v>
      </c>
      <c r="G2145">
        <f t="shared" si="163"/>
        <v>6.6666666666666643</v>
      </c>
      <c r="H2145" t="s">
        <v>361</v>
      </c>
    </row>
    <row r="2146" spans="1:12" x14ac:dyDescent="0.25">
      <c r="A2146" s="1">
        <f t="shared" si="172"/>
        <v>45520</v>
      </c>
      <c r="B2146" s="31">
        <f>TIME(20,43, 0)</f>
        <v>0.86319444444444438</v>
      </c>
      <c r="C2146" t="str">
        <f>'Inventory as of 12th Aug 2024'!A229</f>
        <v>Fresh green</v>
      </c>
      <c r="D2146" s="27">
        <v>1</v>
      </c>
      <c r="E2146" s="5">
        <f>Table4[[#This Row],[qty]]*(VLOOKUP(Table4[[#This Row],[item_sold]],Table1[],5,FALSE))</f>
        <v>10</v>
      </c>
      <c r="F2146" s="5">
        <f>(VLOOKUP(Table4[[#This Row],[item_sold]],Table1[],4,FALSE))*Table4[[#This Row],[qty]]</f>
        <v>5</v>
      </c>
      <c r="G2146">
        <f t="shared" si="163"/>
        <v>5</v>
      </c>
      <c r="H2146" t="s">
        <v>361</v>
      </c>
    </row>
    <row r="2147" spans="1:12" x14ac:dyDescent="0.25">
      <c r="A2147" s="1">
        <f t="shared" si="172"/>
        <v>45520</v>
      </c>
      <c r="B2147" s="31">
        <f t="shared" ref="B2147" si="175">TIME(20,43, 0)</f>
        <v>0.86319444444444438</v>
      </c>
      <c r="C2147" t="str">
        <f>'Inventory as of 12th Aug 2024'!A230</f>
        <v>Fresh Blue</v>
      </c>
      <c r="D2147" s="27">
        <v>1</v>
      </c>
      <c r="E2147" s="5">
        <f>Table4[[#This Row],[qty]]*(VLOOKUP(Table4[[#This Row],[item_sold]],Table1[],5,FALSE))</f>
        <v>10</v>
      </c>
      <c r="F2147" s="5">
        <f>(VLOOKUP(Table4[[#This Row],[item_sold]],Table1[],4,FALSE))*Table4[[#This Row],[qty]]</f>
        <v>5</v>
      </c>
      <c r="G2147">
        <f t="shared" si="163"/>
        <v>5</v>
      </c>
      <c r="H2147" t="s">
        <v>361</v>
      </c>
    </row>
    <row r="2148" spans="1:12" x14ac:dyDescent="0.25">
      <c r="A2148" s="1">
        <f t="shared" si="172"/>
        <v>45520</v>
      </c>
      <c r="B2148" s="31">
        <f>TIME(20,47, 0)</f>
        <v>0.86597222222222225</v>
      </c>
      <c r="C2148" t="str">
        <f>'Inventory as of 12th Aug 2024'!A9</f>
        <v>Kinangop Fresh Milk 500ml</v>
      </c>
      <c r="D2148" s="27">
        <v>1</v>
      </c>
      <c r="E2148" s="5">
        <f>Table4[[#This Row],[qty]]*(VLOOKUP(Table4[[#This Row],[item_sold]],Table1[],5,FALSE))</f>
        <v>60</v>
      </c>
      <c r="F2148" s="5">
        <f>(VLOOKUP(Table4[[#This Row],[item_sold]],Table1[],4,FALSE))*Table4[[#This Row],[qty]]</f>
        <v>55</v>
      </c>
      <c r="G2148">
        <f t="shared" si="163"/>
        <v>5</v>
      </c>
      <c r="H2148" t="s">
        <v>359</v>
      </c>
      <c r="I2148" t="s">
        <v>390</v>
      </c>
      <c r="J2148" t="s">
        <v>416</v>
      </c>
      <c r="K2148">
        <v>10</v>
      </c>
      <c r="L2148" t="s">
        <v>247</v>
      </c>
    </row>
    <row r="2149" spans="1:12" x14ac:dyDescent="0.25">
      <c r="A2149" s="1">
        <f t="shared" si="172"/>
        <v>45520</v>
      </c>
      <c r="B2149" s="31">
        <f t="shared" ref="B2149:B2153" si="176">TIME(20,47, 0)</f>
        <v>0.86597222222222225</v>
      </c>
      <c r="C2149" t="str">
        <f>'Inventory as of 12th Aug 2024'!A91</f>
        <v>Tomatoes</v>
      </c>
      <c r="D2149" s="27">
        <v>3</v>
      </c>
      <c r="E2149" s="5">
        <f>Table4[[#This Row],[qty]]*(VLOOKUP(Table4[[#This Row],[item_sold]],Table1[],5,FALSE))</f>
        <v>30</v>
      </c>
      <c r="F2149" s="5">
        <f>(VLOOKUP(Table4[[#This Row],[item_sold]],Table1[],4,FALSE))*Table4[[#This Row],[qty]]</f>
        <v>15</v>
      </c>
      <c r="G2149">
        <f t="shared" si="163"/>
        <v>15</v>
      </c>
      <c r="H2149" t="s">
        <v>359</v>
      </c>
      <c r="I2149" t="s">
        <v>390</v>
      </c>
    </row>
    <row r="2150" spans="1:12" x14ac:dyDescent="0.25">
      <c r="A2150" s="1">
        <f t="shared" si="172"/>
        <v>45520</v>
      </c>
      <c r="B2150" s="31">
        <f t="shared" si="176"/>
        <v>0.86597222222222225</v>
      </c>
      <c r="C2150" t="str">
        <f>'Inventory as of 12th Aug 2024'!A136</f>
        <v>Poa Pekee Tissue</v>
      </c>
      <c r="D2150" s="27">
        <v>1</v>
      </c>
      <c r="E2150" s="5">
        <f>Table4[[#This Row],[qty]]*(VLOOKUP(Table4[[#This Row],[item_sold]],Table1[],5,FALSE))</f>
        <v>30</v>
      </c>
      <c r="F2150" s="5">
        <f>(VLOOKUP(Table4[[#This Row],[item_sold]],Table1[],4,FALSE))*Table4[[#This Row],[qty]]</f>
        <v>13.333333333333334</v>
      </c>
      <c r="G2150">
        <f t="shared" si="163"/>
        <v>16.666666666666664</v>
      </c>
      <c r="H2150" t="s">
        <v>361</v>
      </c>
    </row>
    <row r="2151" spans="1:12" x14ac:dyDescent="0.25">
      <c r="A2151" s="1">
        <f t="shared" si="172"/>
        <v>45520</v>
      </c>
      <c r="B2151" s="31">
        <f t="shared" si="176"/>
        <v>0.86597222222222225</v>
      </c>
      <c r="C2151" t="str">
        <f>'Inventory as of 12th Aug 2024'!A29</f>
        <v>Fahari Tea 50g</v>
      </c>
      <c r="D2151" s="27">
        <v>1</v>
      </c>
      <c r="E2151" s="5">
        <f>Table4[[#This Row],[qty]]*(VLOOKUP(Table4[[#This Row],[item_sold]],Table1[],5,FALSE))</f>
        <v>30</v>
      </c>
      <c r="F2151" s="5">
        <f>(VLOOKUP(Table4[[#This Row],[item_sold]],Table1[],4,FALSE))*Table4[[#This Row],[qty]]</f>
        <v>17.5</v>
      </c>
      <c r="G2151">
        <f t="shared" si="163"/>
        <v>12.5</v>
      </c>
      <c r="H2151" t="s">
        <v>361</v>
      </c>
    </row>
    <row r="2152" spans="1:12" x14ac:dyDescent="0.25">
      <c r="A2152" s="1">
        <f t="shared" si="172"/>
        <v>45520</v>
      </c>
      <c r="B2152" s="31">
        <f t="shared" si="176"/>
        <v>0.86597222222222225</v>
      </c>
      <c r="C2152" t="str">
        <f>'Inventory as of 12th Aug 2024'!A71</f>
        <v>Sugar 1/4 kg</v>
      </c>
      <c r="D2152" s="27">
        <v>1</v>
      </c>
      <c r="E2152" s="5">
        <f>Table4[[#This Row],[qty]]*(VLOOKUP(Table4[[#This Row],[item_sold]],Table1[],5,FALSE))</f>
        <v>45</v>
      </c>
      <c r="F2152" s="5">
        <f>(VLOOKUP(Table4[[#This Row],[item_sold]],Table1[],4,FALSE))*Table4[[#This Row],[qty]]</f>
        <v>30</v>
      </c>
      <c r="G2152">
        <f t="shared" si="163"/>
        <v>15</v>
      </c>
      <c r="H2152" t="s">
        <v>361</v>
      </c>
    </row>
    <row r="2153" spans="1:12" x14ac:dyDescent="0.25">
      <c r="A2153" s="1">
        <f t="shared" si="172"/>
        <v>45520</v>
      </c>
      <c r="B2153" s="31">
        <f t="shared" si="176"/>
        <v>0.86597222222222225</v>
      </c>
      <c r="C2153" t="str">
        <f>'Inventory as of 12th Aug 2024'!A107</f>
        <v>Match Box</v>
      </c>
      <c r="D2153" s="27">
        <v>1</v>
      </c>
      <c r="E2153" s="5">
        <f>Table4[[#This Row],[qty]]*(VLOOKUP(Table4[[#This Row],[item_sold]],Table1[],5,FALSE))</f>
        <v>5</v>
      </c>
      <c r="F2153" s="5">
        <f>(VLOOKUP(Table4[[#This Row],[item_sold]],Table1[],4,FALSE))*Table4[[#This Row],[qty]]</f>
        <v>2.3611111111111112</v>
      </c>
      <c r="G2153">
        <f t="shared" si="163"/>
        <v>2.6388888888888888</v>
      </c>
      <c r="H2153" t="s">
        <v>361</v>
      </c>
    </row>
    <row r="2154" spans="1:12" x14ac:dyDescent="0.25">
      <c r="A2154" s="1">
        <f>DATE(2024,8,17)</f>
        <v>45521</v>
      </c>
      <c r="B2154" s="31">
        <f>TIME(8,20, 0)</f>
        <v>0.34722222222222227</v>
      </c>
      <c r="C2154" t="str">
        <f>'Inventory as of 12th Aug 2024'!A37</f>
        <v>Festive Bread 400g</v>
      </c>
      <c r="D2154" s="27">
        <v>1</v>
      </c>
      <c r="E2154" s="5">
        <f>Table4[[#This Row],[qty]]*(VLOOKUP(Table4[[#This Row],[item_sold]],Table1[],5,FALSE))</f>
        <v>65</v>
      </c>
      <c r="F2154" s="5">
        <f>(VLOOKUP(Table4[[#This Row],[item_sold]],Table1[],4,FALSE))*Table4[[#This Row],[qty]]</f>
        <v>60</v>
      </c>
      <c r="G2154">
        <f t="shared" si="163"/>
        <v>5</v>
      </c>
      <c r="H2154" t="s">
        <v>359</v>
      </c>
      <c r="I2154" t="s">
        <v>390</v>
      </c>
    </row>
    <row r="2155" spans="1:12" x14ac:dyDescent="0.25">
      <c r="A2155" s="1">
        <f t="shared" ref="A2155:A2202" si="177">DATE(2024,8,17)</f>
        <v>45521</v>
      </c>
      <c r="B2155" s="31">
        <f t="shared" ref="B2155" si="178">TIME(8,20, 0)</f>
        <v>0.34722222222222227</v>
      </c>
      <c r="C2155" t="str">
        <f>'Inventory as of 12th Aug 2024'!A8</f>
        <v>eggs</v>
      </c>
      <c r="D2155" s="27">
        <v>3</v>
      </c>
      <c r="E2155" s="5">
        <f>Table4[[#This Row],[qty]]*(VLOOKUP(Table4[[#This Row],[item_sold]],Table1[],5,FALSE))</f>
        <v>60</v>
      </c>
      <c r="F2155" s="5">
        <f>(VLOOKUP(Table4[[#This Row],[item_sold]],Table1[],4,FALSE))*Table4[[#This Row],[qty]]</f>
        <v>43</v>
      </c>
      <c r="G2155">
        <f t="shared" si="163"/>
        <v>17</v>
      </c>
      <c r="H2155" t="s">
        <v>359</v>
      </c>
      <c r="I2155" t="s">
        <v>390</v>
      </c>
    </row>
    <row r="2156" spans="1:12" x14ac:dyDescent="0.25">
      <c r="A2156" s="1">
        <f t="shared" si="177"/>
        <v>45521</v>
      </c>
      <c r="B2156" s="31">
        <f>TIME(8,22, 0)</f>
        <v>0.34861111111111115</v>
      </c>
      <c r="C2156" t="str">
        <f>'Inventory as of 12th Aug 2024'!A138</f>
        <v>Softcare pads</v>
      </c>
      <c r="D2156" s="27">
        <v>1</v>
      </c>
      <c r="E2156" s="5">
        <f>Table4[[#This Row],[qty]]*(VLOOKUP(Table4[[#This Row],[item_sold]],Table1[],5,FALSE))</f>
        <v>85</v>
      </c>
      <c r="F2156" s="5">
        <f>(VLOOKUP(Table4[[#This Row],[item_sold]],Table1[],4,FALSE))*Table4[[#This Row],[qty]]</f>
        <v>66</v>
      </c>
      <c r="G2156">
        <f t="shared" si="163"/>
        <v>19</v>
      </c>
      <c r="H2156" t="s">
        <v>361</v>
      </c>
    </row>
    <row r="2157" spans="1:12" x14ac:dyDescent="0.25">
      <c r="A2157" s="1">
        <f t="shared" si="177"/>
        <v>45521</v>
      </c>
      <c r="B2157" s="31">
        <f>TIME(8,43, 0)</f>
        <v>0.36319444444444443</v>
      </c>
      <c r="C2157" t="str">
        <f>'Inventory as of 12th Aug 2024'!A57</f>
        <v>Sportsman</v>
      </c>
      <c r="D2157" s="27">
        <v>1</v>
      </c>
      <c r="E2157" s="5">
        <f>Table4[[#This Row],[qty]]*(VLOOKUP(Table4[[#This Row],[item_sold]],Table1[],5,FALSE))</f>
        <v>20</v>
      </c>
      <c r="F2157" s="5">
        <f>(VLOOKUP(Table4[[#This Row],[item_sold]],Table1[],4,FALSE))*Table4[[#This Row],[qty]]</f>
        <v>13</v>
      </c>
      <c r="G2157">
        <f t="shared" si="163"/>
        <v>7</v>
      </c>
      <c r="H2157" t="s">
        <v>247</v>
      </c>
    </row>
    <row r="2158" spans="1:12" x14ac:dyDescent="0.25">
      <c r="A2158" s="1">
        <f t="shared" si="177"/>
        <v>45521</v>
      </c>
      <c r="B2158" s="31">
        <f t="shared" ref="B2158:B2159" si="179">TIME(9,45, 0)</f>
        <v>0.40625</v>
      </c>
      <c r="C2158" t="str">
        <f>'Inventory as of 12th Aug 2024'!A7</f>
        <v>Airtel 50 Credit</v>
      </c>
      <c r="D2158" s="27">
        <v>2</v>
      </c>
      <c r="E2158" s="5">
        <f>Table4[[#This Row],[qty]]*(VLOOKUP(Table4[[#This Row],[item_sold]],Table1[],5,FALSE))</f>
        <v>100</v>
      </c>
      <c r="F2158" s="5">
        <f>(VLOOKUP(Table4[[#This Row],[item_sold]],Table1[],4,FALSE))*Table4[[#This Row],[qty]]</f>
        <v>94</v>
      </c>
      <c r="G2158">
        <f t="shared" si="163"/>
        <v>6</v>
      </c>
      <c r="H2158" t="s">
        <v>361</v>
      </c>
    </row>
    <row r="2159" spans="1:12" x14ac:dyDescent="0.25">
      <c r="A2159" s="1">
        <f t="shared" si="177"/>
        <v>45521</v>
      </c>
      <c r="B2159" s="31">
        <f t="shared" si="179"/>
        <v>0.40625</v>
      </c>
      <c r="C2159" t="str">
        <f>'Inventory as of 12th Aug 2024'!A144</f>
        <v>Kiwi</v>
      </c>
      <c r="D2159" s="27">
        <v>1</v>
      </c>
      <c r="E2159" s="5">
        <f>Table4[[#This Row],[qty]]*(VLOOKUP(Table4[[#This Row],[item_sold]],Table1[],5,FALSE))</f>
        <v>50</v>
      </c>
      <c r="F2159" s="5">
        <f>(VLOOKUP(Table4[[#This Row],[item_sold]],Table1[],4,FALSE))*Table4[[#This Row],[qty]]</f>
        <v>37.5</v>
      </c>
      <c r="G2159">
        <f t="shared" si="163"/>
        <v>12.5</v>
      </c>
      <c r="H2159" t="s">
        <v>359</v>
      </c>
      <c r="I2159" t="s">
        <v>387</v>
      </c>
    </row>
    <row r="2160" spans="1:12" x14ac:dyDescent="0.25">
      <c r="A2160" s="1">
        <f t="shared" si="177"/>
        <v>45521</v>
      </c>
      <c r="B2160" s="31">
        <f>TIME(11,1, 0)</f>
        <v>0.45902777777777781</v>
      </c>
      <c r="C2160" t="str">
        <f>'Inventory as of 12th Aug 2024'!A242</f>
        <v>Icepop</v>
      </c>
      <c r="D2160" s="27">
        <v>3</v>
      </c>
      <c r="E2160" s="5">
        <f>Table4[[#This Row],[qty]]*(VLOOKUP(Table4[[#This Row],[item_sold]],Table1[],5,FALSE))</f>
        <v>45</v>
      </c>
      <c r="F2160" s="5">
        <f>(VLOOKUP(Table4[[#This Row],[item_sold]],Table1[],4,FALSE))*Table4[[#This Row],[qty]]</f>
        <v>22.5</v>
      </c>
      <c r="G2160">
        <f t="shared" si="163"/>
        <v>22.5</v>
      </c>
      <c r="H2160" t="s">
        <v>247</v>
      </c>
    </row>
    <row r="2161" spans="1:9" x14ac:dyDescent="0.25">
      <c r="A2161" s="1">
        <f t="shared" si="177"/>
        <v>45521</v>
      </c>
      <c r="B2161" s="31">
        <f>TIME(11,4, 0)</f>
        <v>0.46111111111111108</v>
      </c>
      <c r="C2161" t="str">
        <f>'Inventory as of 12th Aug 2024'!A213</f>
        <v>soda 500ml glass</v>
      </c>
      <c r="D2161" s="27">
        <v>1</v>
      </c>
      <c r="E2161" s="5">
        <f>Table4[[#This Row],[qty]]*(VLOOKUP(Table4[[#This Row],[item_sold]],Table1[],5,FALSE))</f>
        <v>55</v>
      </c>
      <c r="F2161" s="5">
        <f>(VLOOKUP(Table4[[#This Row],[item_sold]],Table1[],4,FALSE))*Table4[[#This Row],[qty]]</f>
        <v>50</v>
      </c>
      <c r="G2161">
        <f t="shared" si="163"/>
        <v>5</v>
      </c>
      <c r="H2161" t="s">
        <v>359</v>
      </c>
      <c r="I2161" t="s">
        <v>392</v>
      </c>
    </row>
    <row r="2162" spans="1:9" x14ac:dyDescent="0.25">
      <c r="A2162" s="1">
        <f t="shared" si="177"/>
        <v>45521</v>
      </c>
      <c r="B2162" s="31">
        <f>TIME(11,14, 0)</f>
        <v>0.4680555555555555</v>
      </c>
      <c r="C2162" t="str">
        <f>'Inventory as of 12th Aug 2024'!A198</f>
        <v>Mandazi</v>
      </c>
      <c r="D2162" s="27">
        <v>4</v>
      </c>
      <c r="E2162" s="5">
        <f>Table4[[#This Row],[qty]]*(VLOOKUP(Table4[[#This Row],[item_sold]],Table1[],5,FALSE))</f>
        <v>20</v>
      </c>
      <c r="F2162" s="5">
        <f>(VLOOKUP(Table4[[#This Row],[item_sold]],Table1[],4,FALSE))*Table4[[#This Row],[qty]]</f>
        <v>16.666666666666668</v>
      </c>
      <c r="G2162">
        <f t="shared" si="163"/>
        <v>3.3333333333333321</v>
      </c>
      <c r="H2162" t="s">
        <v>359</v>
      </c>
      <c r="I2162" t="s">
        <v>398</v>
      </c>
    </row>
    <row r="2163" spans="1:9" x14ac:dyDescent="0.25">
      <c r="A2163" s="1">
        <f t="shared" si="177"/>
        <v>45521</v>
      </c>
      <c r="B2163" s="31">
        <f>TIME(11,14, 0)</f>
        <v>0.4680555555555555</v>
      </c>
      <c r="C2163" t="str">
        <f>'Inventory as of 12th Aug 2024'!A239</f>
        <v>Gumballs</v>
      </c>
      <c r="D2163" s="27">
        <v>5</v>
      </c>
      <c r="E2163" s="5">
        <f>Table4[[#This Row],[qty]]*(VLOOKUP(Table4[[#This Row],[item_sold]],Table1[],5,FALSE))</f>
        <v>5</v>
      </c>
      <c r="F2163" s="5">
        <f>(VLOOKUP(Table4[[#This Row],[item_sold]],Table1[],4,FALSE))*Table4[[#This Row],[qty]]</f>
        <v>3.5</v>
      </c>
      <c r="G2163">
        <f t="shared" si="163"/>
        <v>1.5</v>
      </c>
      <c r="H2163" t="s">
        <v>247</v>
      </c>
    </row>
    <row r="2164" spans="1:9" x14ac:dyDescent="0.25">
      <c r="A2164" s="1">
        <f t="shared" si="177"/>
        <v>45521</v>
      </c>
      <c r="B2164" s="31">
        <f>TIME(12,11, 0)</f>
        <v>0.50763888888888886</v>
      </c>
      <c r="C2164" t="str">
        <f>'Inventory as of 12th Aug 2024'!A241</f>
        <v>scooter cans</v>
      </c>
      <c r="D2164" s="27">
        <v>2</v>
      </c>
      <c r="E2164" s="7">
        <f>Table4[[#This Row],[qty]]*(VLOOKUP(Table4[[#This Row],[item_sold]],Table1[],5,FALSE))-10</f>
        <v>30</v>
      </c>
      <c r="F2164" s="5">
        <f>(VLOOKUP(Table4[[#This Row],[item_sold]],Table1[],4,FALSE))*Table4[[#This Row],[qty]]</f>
        <v>30</v>
      </c>
      <c r="G2164">
        <f t="shared" si="163"/>
        <v>0</v>
      </c>
      <c r="H2164" t="s">
        <v>361</v>
      </c>
    </row>
    <row r="2165" spans="1:9" x14ac:dyDescent="0.25">
      <c r="A2165" s="1">
        <f t="shared" si="177"/>
        <v>45521</v>
      </c>
      <c r="B2165" s="31">
        <f>TIME(13,22, 0)</f>
        <v>0.55694444444444446</v>
      </c>
      <c r="C2165" t="str">
        <f>'Inventory as of 12th Aug 2024'!A242</f>
        <v>Icepop</v>
      </c>
      <c r="D2165" s="27">
        <v>1</v>
      </c>
      <c r="E2165" s="5">
        <f>Table4[[#This Row],[qty]]*(VLOOKUP(Table4[[#This Row],[item_sold]],Table1[],5,FALSE))</f>
        <v>15</v>
      </c>
      <c r="F2165" s="5">
        <f>(VLOOKUP(Table4[[#This Row],[item_sold]],Table1[],4,FALSE))*Table4[[#This Row],[qty]]</f>
        <v>7.5</v>
      </c>
      <c r="G2165">
        <f t="shared" si="163"/>
        <v>7.5</v>
      </c>
      <c r="H2165" t="s">
        <v>361</v>
      </c>
    </row>
    <row r="2166" spans="1:9" x14ac:dyDescent="0.25">
      <c r="A2166" s="1">
        <f t="shared" si="177"/>
        <v>45521</v>
      </c>
      <c r="B2166" s="31">
        <f t="shared" ref="B2166:B2167" si="180">TIME(13,22, 0)</f>
        <v>0.55694444444444446</v>
      </c>
      <c r="C2166" t="str">
        <f>'Inventory as of 12th Aug 2024'!A2</f>
        <v>Safaricom 20 Credit</v>
      </c>
      <c r="D2166" s="27">
        <v>1</v>
      </c>
      <c r="E2166" s="5">
        <f>Table4[[#This Row],[qty]]*(VLOOKUP(Table4[[#This Row],[item_sold]],Table1[],5,FALSE))</f>
        <v>20</v>
      </c>
      <c r="F2166" s="5">
        <f>(VLOOKUP(Table4[[#This Row],[item_sold]],Table1[],4,FALSE))*Table4[[#This Row],[qty]]</f>
        <v>18</v>
      </c>
      <c r="G2166">
        <f t="shared" si="163"/>
        <v>2</v>
      </c>
      <c r="H2166" t="s">
        <v>361</v>
      </c>
    </row>
    <row r="2167" spans="1:9" x14ac:dyDescent="0.25">
      <c r="A2167" s="1">
        <f t="shared" si="177"/>
        <v>45521</v>
      </c>
      <c r="B2167" s="31">
        <f t="shared" si="180"/>
        <v>0.55694444444444446</v>
      </c>
      <c r="C2167" t="str">
        <f>'Inventory as of 12th Aug 2024'!A202</f>
        <v>funtime snacks</v>
      </c>
      <c r="D2167" s="27">
        <v>1</v>
      </c>
      <c r="E2167" s="5">
        <f>Table4[[#This Row],[qty]]*(VLOOKUP(Table4[[#This Row],[item_sold]],Table1[],5,FALSE))</f>
        <v>15</v>
      </c>
      <c r="F2167" s="5">
        <f>(VLOOKUP(Table4[[#This Row],[item_sold]],Table1[],4,FALSE))*Table4[[#This Row],[qty]]</f>
        <v>9</v>
      </c>
      <c r="G2167">
        <f t="shared" ref="G2167:G2180" si="181">E2167-F2167</f>
        <v>6</v>
      </c>
      <c r="H2167" t="s">
        <v>361</v>
      </c>
    </row>
    <row r="2168" spans="1:9" x14ac:dyDescent="0.25">
      <c r="A2168" s="1">
        <f t="shared" si="177"/>
        <v>45521</v>
      </c>
      <c r="B2168" s="31">
        <f>TIME(13,45, 0)</f>
        <v>0.57291666666666663</v>
      </c>
      <c r="C2168" t="str">
        <f>'Inventory as of 12th Aug 2024'!A10</f>
        <v>Mt Kenya milk 200ml</v>
      </c>
      <c r="D2168" s="27">
        <v>1</v>
      </c>
      <c r="E2168" s="5">
        <f>Table4[[#This Row],[qty]]*(VLOOKUP(Table4[[#This Row],[item_sold]],Table1[],5,FALSE))</f>
        <v>35</v>
      </c>
      <c r="F2168" s="5">
        <f>(VLOOKUP(Table4[[#This Row],[item_sold]],Table1[],4,FALSE))*Table4[[#This Row],[qty]]</f>
        <v>24.285714285714285</v>
      </c>
      <c r="G2168">
        <f t="shared" si="181"/>
        <v>10.714285714285715</v>
      </c>
      <c r="H2168" t="s">
        <v>247</v>
      </c>
    </row>
    <row r="2169" spans="1:9" x14ac:dyDescent="0.25">
      <c r="A2169" s="1">
        <f t="shared" si="177"/>
        <v>45521</v>
      </c>
      <c r="B2169" s="31">
        <f>TIME(13,53, 0)</f>
        <v>0.57847222222222217</v>
      </c>
      <c r="C2169" t="str">
        <f>'Inventory as of 12th Aug 2024'!A248</f>
        <v>Soko Maize meal</v>
      </c>
      <c r="D2169" s="27">
        <v>1</v>
      </c>
      <c r="E2169" s="5">
        <f>Table4[[#This Row],[qty]]*(VLOOKUP(Table4[[#This Row],[item_sold]],Table1[],5,FALSE))</f>
        <v>160</v>
      </c>
      <c r="F2169" s="5">
        <f>(VLOOKUP(Table4[[#This Row],[item_sold]],Table1[],4,FALSE))*Table4[[#This Row],[qty]]</f>
        <v>125</v>
      </c>
      <c r="G2169">
        <f t="shared" si="181"/>
        <v>35</v>
      </c>
      <c r="H2169" t="s">
        <v>359</v>
      </c>
      <c r="I2169" t="s">
        <v>398</v>
      </c>
    </row>
    <row r="2170" spans="1:9" x14ac:dyDescent="0.25">
      <c r="A2170" s="1">
        <f t="shared" si="177"/>
        <v>45521</v>
      </c>
      <c r="B2170" s="31">
        <f t="shared" ref="B2170" si="182">TIME(13,53, 0)</f>
        <v>0.57847222222222217</v>
      </c>
      <c r="C2170" t="str">
        <f>'Inventory as of 12th Aug 2024'!A8</f>
        <v>eggs</v>
      </c>
      <c r="D2170" s="27">
        <v>1</v>
      </c>
      <c r="E2170" s="5">
        <f>Table4[[#This Row],[qty]]*(VLOOKUP(Table4[[#This Row],[item_sold]],Table1[],5,FALSE))</f>
        <v>20</v>
      </c>
      <c r="F2170" s="5">
        <f>(VLOOKUP(Table4[[#This Row],[item_sold]],Table1[],4,FALSE))*Table4[[#This Row],[qty]]</f>
        <v>14.333333333333334</v>
      </c>
      <c r="G2170">
        <f t="shared" si="181"/>
        <v>5.6666666666666661</v>
      </c>
      <c r="H2170" t="s">
        <v>359</v>
      </c>
      <c r="I2170" t="s">
        <v>398</v>
      </c>
    </row>
    <row r="2171" spans="1:9" x14ac:dyDescent="0.25">
      <c r="A2171" s="1">
        <f t="shared" si="177"/>
        <v>45521</v>
      </c>
      <c r="B2171" s="31">
        <f>TIME(14,2, 0)</f>
        <v>0.58472222222222225</v>
      </c>
      <c r="C2171" t="str">
        <f>'Inventory as of 12th Aug 2024'!A211</f>
        <v>predator</v>
      </c>
      <c r="D2171" s="27">
        <v>1</v>
      </c>
      <c r="E2171" s="5">
        <f>Table4[[#This Row],[qty]]*(VLOOKUP(Table4[[#This Row],[item_sold]],Table1[],5,FALSE))</f>
        <v>70</v>
      </c>
      <c r="F2171" s="5">
        <f>(VLOOKUP(Table4[[#This Row],[item_sold]],Table1[],4,FALSE))*Table4[[#This Row],[qty]]</f>
        <v>54.166666666666664</v>
      </c>
      <c r="G2171">
        <f t="shared" si="181"/>
        <v>15.833333333333336</v>
      </c>
      <c r="H2171" t="s">
        <v>361</v>
      </c>
    </row>
    <row r="2172" spans="1:9" x14ac:dyDescent="0.25">
      <c r="A2172" s="1">
        <f t="shared" si="177"/>
        <v>45521</v>
      </c>
      <c r="B2172" s="31">
        <f t="shared" ref="B2172" si="183">TIME(14,2, 0)</f>
        <v>0.58472222222222225</v>
      </c>
      <c r="C2172" t="str">
        <f>'Inventory as of 12th Aug 2024'!A84</f>
        <v>omo 20g</v>
      </c>
      <c r="D2172" s="27">
        <v>1</v>
      </c>
      <c r="E2172" s="7">
        <f>Table4[[#This Row],[qty]]*(VLOOKUP(Table4[[#This Row],[item_sold]],Table1[],5,FALSE))-5</f>
        <v>10</v>
      </c>
      <c r="F2172" s="5">
        <f>(VLOOKUP(Table4[[#This Row],[item_sold]],Table1[],4,FALSE))*Table4[[#This Row],[qty]]</f>
        <v>9.1666666666666661</v>
      </c>
      <c r="G2172">
        <f t="shared" si="181"/>
        <v>0.83333333333333393</v>
      </c>
      <c r="H2172" t="s">
        <v>361</v>
      </c>
    </row>
    <row r="2173" spans="1:9" x14ac:dyDescent="0.25">
      <c r="A2173" s="1">
        <f t="shared" si="177"/>
        <v>45521</v>
      </c>
      <c r="B2173" s="31">
        <f>TIME(14,27, 0)</f>
        <v>0.6020833333333333</v>
      </c>
      <c r="C2173" t="str">
        <f>'Inventory as of 12th Aug 2024'!A42</f>
        <v>Indomie chicken</v>
      </c>
      <c r="D2173" s="27">
        <v>2</v>
      </c>
      <c r="E2173" s="5">
        <f>Table4[[#This Row],[qty]]*(VLOOKUP(Table4[[#This Row],[item_sold]],Table1[],5,FALSE))</f>
        <v>100</v>
      </c>
      <c r="F2173" s="5">
        <f>(VLOOKUP(Table4[[#This Row],[item_sold]],Table1[],4,FALSE))*Table4[[#This Row],[qty]]</f>
        <v>75</v>
      </c>
      <c r="G2173">
        <f t="shared" si="181"/>
        <v>25</v>
      </c>
      <c r="H2173" t="s">
        <v>361</v>
      </c>
    </row>
    <row r="2174" spans="1:9" x14ac:dyDescent="0.25">
      <c r="A2174" s="1">
        <f t="shared" si="177"/>
        <v>45521</v>
      </c>
      <c r="B2174" s="31">
        <f>TIME(14,27, 0)</f>
        <v>0.6020833333333333</v>
      </c>
      <c r="C2174" t="str">
        <f>'Inventory as of 12th Aug 2024'!A199</f>
        <v>Kdf</v>
      </c>
      <c r="D2174" s="27">
        <v>11</v>
      </c>
      <c r="E2174" s="5">
        <f>Table4[[#This Row],[qty]]*(VLOOKUP(Table4[[#This Row],[item_sold]],Table1[],5,FALSE))</f>
        <v>110</v>
      </c>
      <c r="F2174" s="5">
        <f>(VLOOKUP(Table4[[#This Row],[item_sold]],Table1[],4,FALSE))*Table4[[#This Row],[qty]]</f>
        <v>91.666666666666671</v>
      </c>
      <c r="G2174">
        <f t="shared" si="181"/>
        <v>18.333333333333329</v>
      </c>
      <c r="H2174" t="s">
        <v>361</v>
      </c>
    </row>
    <row r="2175" spans="1:9" x14ac:dyDescent="0.25">
      <c r="A2175" s="1">
        <f t="shared" si="177"/>
        <v>45521</v>
      </c>
      <c r="B2175" s="31">
        <f>TIME(15,1, 0)</f>
        <v>0.62569444444444444</v>
      </c>
      <c r="C2175" t="str">
        <f>'Inventory as of 12th Aug 2024'!A42</f>
        <v>Indomie chicken</v>
      </c>
      <c r="D2175" s="27">
        <v>1</v>
      </c>
      <c r="E2175" s="5">
        <f>Table4[[#This Row],[qty]]*(VLOOKUP(Table4[[#This Row],[item_sold]],Table1[],5,FALSE))</f>
        <v>50</v>
      </c>
      <c r="F2175" s="5">
        <f>(VLOOKUP(Table4[[#This Row],[item_sold]],Table1[],4,FALSE))*Table4[[#This Row],[qty]]</f>
        <v>37.5</v>
      </c>
      <c r="G2175">
        <f t="shared" si="181"/>
        <v>12.5</v>
      </c>
      <c r="H2175" t="s">
        <v>359</v>
      </c>
      <c r="I2175" t="s">
        <v>392</v>
      </c>
    </row>
    <row r="2176" spans="1:9" x14ac:dyDescent="0.25">
      <c r="A2176" s="1">
        <f t="shared" si="177"/>
        <v>45521</v>
      </c>
      <c r="B2176" s="31">
        <f>TIME(15,9, 0)</f>
        <v>0.63124999999999998</v>
      </c>
      <c r="C2176" t="str">
        <f>'Inventory as of 12th Aug 2024'!A85</f>
        <v>Downy lavender</v>
      </c>
      <c r="D2176" s="27">
        <v>1</v>
      </c>
      <c r="E2176" s="5">
        <f>Table4[[#This Row],[qty]]*(VLOOKUP(Table4[[#This Row],[item_sold]],Table1[],5,FALSE))</f>
        <v>20</v>
      </c>
      <c r="F2176" s="5">
        <f>(VLOOKUP(Table4[[#This Row],[item_sold]],Table1[],4,FALSE))*Table4[[#This Row],[qty]]</f>
        <v>17.333333333333332</v>
      </c>
      <c r="G2176">
        <f t="shared" si="181"/>
        <v>2.6666666666666679</v>
      </c>
      <c r="H2176" t="s">
        <v>247</v>
      </c>
    </row>
    <row r="2177" spans="1:12" x14ac:dyDescent="0.25">
      <c r="A2177" s="1">
        <f t="shared" si="177"/>
        <v>45521</v>
      </c>
      <c r="B2177" s="31">
        <f t="shared" ref="B2177:B2178" si="184">TIME(15,9, 0)</f>
        <v>0.63124999999999998</v>
      </c>
      <c r="C2177" t="str">
        <f>'Inventory as of 12th Aug 2024'!A106</f>
        <v>Steel Wool 15g</v>
      </c>
      <c r="D2177" s="27">
        <v>1</v>
      </c>
      <c r="E2177" s="5">
        <f>Table4[[#This Row],[qty]]*(VLOOKUP(Table4[[#This Row],[item_sold]],Table1[],5,FALSE))</f>
        <v>10</v>
      </c>
      <c r="F2177" s="5">
        <f>(VLOOKUP(Table4[[#This Row],[item_sold]],Table1[],4,FALSE))*Table4[[#This Row],[qty]]</f>
        <v>5.2333333333333334</v>
      </c>
      <c r="G2177">
        <f t="shared" si="181"/>
        <v>4.7666666666666666</v>
      </c>
      <c r="H2177" t="s">
        <v>247</v>
      </c>
    </row>
    <row r="2178" spans="1:12" x14ac:dyDescent="0.25">
      <c r="A2178" s="1">
        <f t="shared" si="177"/>
        <v>45521</v>
      </c>
      <c r="B2178" s="31">
        <f t="shared" si="184"/>
        <v>0.63124999999999998</v>
      </c>
      <c r="C2178" t="str">
        <f>'Inventory as of 12th Aug 2024'!A234</f>
        <v>Bigdaddy</v>
      </c>
      <c r="D2178" s="27">
        <v>2</v>
      </c>
      <c r="E2178" s="5">
        <f>Table4[[#This Row],[qty]]*(VLOOKUP(Table4[[#This Row],[item_sold]],Table1[],5,FALSE))</f>
        <v>20</v>
      </c>
      <c r="F2178" s="5">
        <f>(VLOOKUP(Table4[[#This Row],[item_sold]],Table1[],4,FALSE))*Table4[[#This Row],[qty]]</f>
        <v>12</v>
      </c>
      <c r="G2178">
        <f t="shared" si="181"/>
        <v>8</v>
      </c>
      <c r="H2178" t="s">
        <v>247</v>
      </c>
    </row>
    <row r="2179" spans="1:12" x14ac:dyDescent="0.25">
      <c r="A2179" s="1">
        <f t="shared" si="177"/>
        <v>45521</v>
      </c>
      <c r="B2179" s="31">
        <f>TIME(15,17, 0)</f>
        <v>0.63680555555555551</v>
      </c>
      <c r="C2179" t="str">
        <f>'Inventory as of 12th Aug 2024'!A113</f>
        <v>Kifaru Scouring pad</v>
      </c>
      <c r="D2179" s="27">
        <v>1</v>
      </c>
      <c r="E2179" s="5">
        <f>Table4[[#This Row],[qty]]*(VLOOKUP(Table4[[#This Row],[item_sold]],Table1[],5,FALSE))</f>
        <v>50</v>
      </c>
      <c r="F2179" s="5">
        <f>(VLOOKUP(Table4[[#This Row],[item_sold]],Table1[],4,FALSE))*Table4[[#This Row],[qty]]</f>
        <v>38</v>
      </c>
      <c r="G2179">
        <f t="shared" si="181"/>
        <v>12</v>
      </c>
      <c r="H2179" t="s">
        <v>359</v>
      </c>
      <c r="I2179" t="s">
        <v>398</v>
      </c>
    </row>
    <row r="2180" spans="1:12" x14ac:dyDescent="0.25">
      <c r="A2180" s="1">
        <f t="shared" si="177"/>
        <v>45521</v>
      </c>
      <c r="B2180" s="31">
        <f>TIME(15,28, 0)</f>
        <v>0.64444444444444449</v>
      </c>
      <c r="C2180" t="str">
        <f>'Inventory as of 12th Aug 2024'!A240</f>
        <v>Bigboss</v>
      </c>
      <c r="D2180" s="27">
        <v>2</v>
      </c>
      <c r="E2180" s="5">
        <f>Table4[[#This Row],[qty]]*(VLOOKUP(Table4[[#This Row],[item_sold]],Table1[],5,FALSE))</f>
        <v>10</v>
      </c>
      <c r="F2180" s="5">
        <f>(VLOOKUP(Table4[[#This Row],[item_sold]],Table1[],4,FALSE))*Table4[[#This Row],[qty]]</f>
        <v>7</v>
      </c>
      <c r="G2180">
        <f t="shared" si="181"/>
        <v>3</v>
      </c>
      <c r="H2180" t="s">
        <v>247</v>
      </c>
    </row>
    <row r="2181" spans="1:12" x14ac:dyDescent="0.25">
      <c r="A2181" s="1">
        <f t="shared" si="177"/>
        <v>45521</v>
      </c>
      <c r="B2181" s="31">
        <f>TIME(15,29, 0)</f>
        <v>0.64513888888888882</v>
      </c>
      <c r="C2181" t="str">
        <f>'Inventory as of 12th Aug 2024'!A93</f>
        <v>Dhania</v>
      </c>
      <c r="D2181" s="27">
        <v>2</v>
      </c>
      <c r="E2181" s="5">
        <f>Table4[[#This Row],[qty]]*(VLOOKUP(Table4[[#This Row],[item_sold]],Table1[],5,FALSE))</f>
        <v>10</v>
      </c>
      <c r="F2181" s="5">
        <f>(VLOOKUP(Table4[[#This Row],[item_sold]],Table1[],4,FALSE))*Table4[[#This Row],[qty]]</f>
        <v>6.666666666666667</v>
      </c>
      <c r="G2181">
        <f t="shared" ref="G2181:G2244" si="185">E2181-F2181</f>
        <v>3.333333333333333</v>
      </c>
      <c r="H2181" t="s">
        <v>247</v>
      </c>
    </row>
    <row r="2182" spans="1:12" x14ac:dyDescent="0.25">
      <c r="A2182" s="1">
        <f t="shared" si="177"/>
        <v>45521</v>
      </c>
      <c r="B2182" s="31">
        <f t="shared" ref="B2182" si="186">TIME(15,29, 0)</f>
        <v>0.64513888888888882</v>
      </c>
      <c r="C2182" t="str">
        <f>'Inventory as of 12th Aug 2024'!A91</f>
        <v>Tomatoes</v>
      </c>
      <c r="D2182" s="27">
        <v>2</v>
      </c>
      <c r="E2182" s="5">
        <f>Table4[[#This Row],[qty]]*(VLOOKUP(Table4[[#This Row],[item_sold]],Table1[],5,FALSE))</f>
        <v>20</v>
      </c>
      <c r="F2182" s="5">
        <f>(VLOOKUP(Table4[[#This Row],[item_sold]],Table1[],4,FALSE))*Table4[[#This Row],[qty]]</f>
        <v>10</v>
      </c>
      <c r="G2182">
        <f t="shared" si="185"/>
        <v>10</v>
      </c>
      <c r="H2182" t="s">
        <v>247</v>
      </c>
    </row>
    <row r="2183" spans="1:12" x14ac:dyDescent="0.25">
      <c r="A2183" s="1">
        <f t="shared" si="177"/>
        <v>45521</v>
      </c>
      <c r="B2183" s="31">
        <f>TIME(16,47, 0)</f>
        <v>0.69930555555555562</v>
      </c>
      <c r="C2183" t="str">
        <f>'Inventory as of 12th Aug 2024'!A213</f>
        <v>soda 500ml glass</v>
      </c>
      <c r="D2183" s="27">
        <v>1</v>
      </c>
      <c r="E2183" s="5">
        <f>Table4[[#This Row],[qty]]*(VLOOKUP(Table4[[#This Row],[item_sold]],Table1[],5,FALSE))</f>
        <v>55</v>
      </c>
      <c r="F2183" s="5">
        <f>(VLOOKUP(Table4[[#This Row],[item_sold]],Table1[],4,FALSE))*Table4[[#This Row],[qty]]</f>
        <v>50</v>
      </c>
      <c r="G2183">
        <f t="shared" si="185"/>
        <v>5</v>
      </c>
      <c r="H2183" t="s">
        <v>247</v>
      </c>
    </row>
    <row r="2184" spans="1:12" x14ac:dyDescent="0.25">
      <c r="A2184" s="1">
        <f t="shared" si="177"/>
        <v>45521</v>
      </c>
      <c r="B2184" s="31">
        <f t="shared" ref="B2184" si="187">TIME(16,47, 0)</f>
        <v>0.69930555555555562</v>
      </c>
      <c r="C2184" t="str">
        <f>'Inventory as of 12th Aug 2024'!A194</f>
        <v>Half pound cake</v>
      </c>
      <c r="D2184" s="27">
        <v>1</v>
      </c>
      <c r="E2184" s="5">
        <f>Table4[[#This Row],[qty]]*(VLOOKUP(Table4[[#This Row],[item_sold]],Table1[],5,FALSE))</f>
        <v>100</v>
      </c>
      <c r="F2184" s="5">
        <f>(VLOOKUP(Table4[[#This Row],[item_sold]],Table1[],4,FALSE))*Table4[[#This Row],[qty]]</f>
        <v>90</v>
      </c>
      <c r="G2184">
        <f t="shared" si="185"/>
        <v>10</v>
      </c>
      <c r="H2184" t="s">
        <v>247</v>
      </c>
    </row>
    <row r="2185" spans="1:12" x14ac:dyDescent="0.25">
      <c r="A2185" s="1">
        <f t="shared" si="177"/>
        <v>45521</v>
      </c>
      <c r="B2185" s="31">
        <f>TIME(17,0, 0)</f>
        <v>0.70833333333333337</v>
      </c>
      <c r="C2185" t="str">
        <f>'Inventory as of 12th Aug 2024'!A161</f>
        <v>Glycerine</v>
      </c>
      <c r="D2185" s="27">
        <v>1</v>
      </c>
      <c r="E2185" s="5">
        <f>Table4[[#This Row],[qty]]*(VLOOKUP(Table4[[#This Row],[item_sold]],Table1[],5,FALSE))</f>
        <v>50</v>
      </c>
      <c r="F2185" s="5">
        <f>(VLOOKUP(Table4[[#This Row],[item_sold]],Table1[],4,FALSE))*Table4[[#This Row],[qty]]</f>
        <v>41.666666666666664</v>
      </c>
      <c r="G2185">
        <f t="shared" si="185"/>
        <v>8.3333333333333357</v>
      </c>
      <c r="H2185" t="s">
        <v>247</v>
      </c>
    </row>
    <row r="2186" spans="1:12" x14ac:dyDescent="0.25">
      <c r="A2186" s="1">
        <f t="shared" si="177"/>
        <v>45521</v>
      </c>
      <c r="B2186" s="31">
        <f t="shared" ref="B2186:B2188" si="188">TIME(17,0, 0)</f>
        <v>0.70833333333333337</v>
      </c>
      <c r="C2186" t="str">
        <f>'Inventory as of 12th Aug 2024'!A158</f>
        <v>Vaseline</v>
      </c>
      <c r="D2186" s="27">
        <v>1</v>
      </c>
      <c r="E2186" s="5">
        <f>Table4[[#This Row],[qty]]*(VLOOKUP(Table4[[#This Row],[item_sold]],Table1[],5,FALSE))</f>
        <v>40</v>
      </c>
      <c r="F2186" s="5">
        <f>(VLOOKUP(Table4[[#This Row],[item_sold]],Table1[],4,FALSE))*Table4[[#This Row],[qty]]</f>
        <v>30</v>
      </c>
      <c r="G2186">
        <f t="shared" si="185"/>
        <v>10</v>
      </c>
      <c r="H2186" t="s">
        <v>247</v>
      </c>
    </row>
    <row r="2187" spans="1:12" x14ac:dyDescent="0.25">
      <c r="A2187" s="1">
        <f t="shared" si="177"/>
        <v>45521</v>
      </c>
      <c r="B2187" s="31">
        <f t="shared" si="188"/>
        <v>0.70833333333333337</v>
      </c>
      <c r="C2187" t="str">
        <f>'Inventory as of 12th Aug 2024'!A5</f>
        <v>Airtel 20 Credit</v>
      </c>
      <c r="D2187" s="27">
        <v>5</v>
      </c>
      <c r="E2187" s="5">
        <f>Table4[[#This Row],[qty]]*(VLOOKUP(Table4[[#This Row],[item_sold]],Table1[],5,FALSE))</f>
        <v>100</v>
      </c>
      <c r="F2187" s="5">
        <f>(VLOOKUP(Table4[[#This Row],[item_sold]],Table1[],4,FALSE))*Table4[[#This Row],[qty]]</f>
        <v>90</v>
      </c>
      <c r="G2187">
        <f t="shared" si="185"/>
        <v>10</v>
      </c>
      <c r="H2187" t="s">
        <v>247</v>
      </c>
    </row>
    <row r="2188" spans="1:12" x14ac:dyDescent="0.25">
      <c r="A2188" s="1">
        <f t="shared" si="177"/>
        <v>45521</v>
      </c>
      <c r="B2188" s="31">
        <f t="shared" si="188"/>
        <v>0.70833333333333337</v>
      </c>
      <c r="C2188" t="str">
        <f>'Inventory as of 12th Aug 2024'!A106</f>
        <v>Steel Wool 15g</v>
      </c>
      <c r="D2188" s="27">
        <v>1</v>
      </c>
      <c r="E2188" s="5">
        <f>Table4[[#This Row],[qty]]*(VLOOKUP(Table4[[#This Row],[item_sold]],Table1[],5,FALSE))</f>
        <v>10</v>
      </c>
      <c r="F2188" s="5">
        <f>(VLOOKUP(Table4[[#This Row],[item_sold]],Table1[],4,FALSE))*Table4[[#This Row],[qty]]</f>
        <v>5.2333333333333334</v>
      </c>
      <c r="G2188">
        <f t="shared" si="185"/>
        <v>4.7666666666666666</v>
      </c>
      <c r="H2188" t="s">
        <v>247</v>
      </c>
    </row>
    <row r="2189" spans="1:12" x14ac:dyDescent="0.25">
      <c r="A2189" s="1">
        <f t="shared" si="177"/>
        <v>45521</v>
      </c>
      <c r="B2189" s="31">
        <f>TIME(17,2, 0)</f>
        <v>0.70972222222222225</v>
      </c>
      <c r="C2189" t="str">
        <f>'Inventory as of 12th Aug 2024'!A230</f>
        <v>Fresh Blue</v>
      </c>
      <c r="D2189" s="27">
        <v>2</v>
      </c>
      <c r="E2189" s="5">
        <f>Table4[[#This Row],[qty]]*(VLOOKUP(Table4[[#This Row],[item_sold]],Table1[],5,FALSE))</f>
        <v>20</v>
      </c>
      <c r="F2189" s="5">
        <f>(VLOOKUP(Table4[[#This Row],[item_sold]],Table1[],4,FALSE))*Table4[[#This Row],[qty]]</f>
        <v>10</v>
      </c>
      <c r="G2189">
        <f t="shared" si="185"/>
        <v>10</v>
      </c>
      <c r="H2189" t="s">
        <v>359</v>
      </c>
      <c r="I2189" t="s">
        <v>388</v>
      </c>
      <c r="J2189" t="s">
        <v>388</v>
      </c>
      <c r="K2189">
        <v>10</v>
      </c>
      <c r="L2189" t="s">
        <v>361</v>
      </c>
    </row>
    <row r="2190" spans="1:12" x14ac:dyDescent="0.25">
      <c r="A2190" s="1">
        <f t="shared" si="177"/>
        <v>45521</v>
      </c>
      <c r="B2190" s="31">
        <f>TIME(17,3, 0)</f>
        <v>0.7104166666666667</v>
      </c>
      <c r="C2190" t="str">
        <f>'Inventory as of 12th Aug 2024'!A235</f>
        <v>Cough drops</v>
      </c>
      <c r="D2190" s="27">
        <v>2</v>
      </c>
      <c r="E2190" s="5">
        <f>Table4[[#This Row],[qty]]*(VLOOKUP(Table4[[#This Row],[item_sold]],Table1[],5,FALSE))</f>
        <v>10</v>
      </c>
      <c r="F2190" s="5">
        <f>(VLOOKUP(Table4[[#This Row],[item_sold]],Table1[],4,FALSE))*Table4[[#This Row],[qty]]</f>
        <v>8</v>
      </c>
      <c r="G2190">
        <f t="shared" si="185"/>
        <v>2</v>
      </c>
      <c r="H2190" t="s">
        <v>247</v>
      </c>
    </row>
    <row r="2191" spans="1:12" x14ac:dyDescent="0.25">
      <c r="A2191" s="1">
        <f t="shared" si="177"/>
        <v>45521</v>
      </c>
      <c r="B2191" s="31">
        <f>TIME(19,21, 0)</f>
        <v>0.80625000000000002</v>
      </c>
      <c r="C2191" t="str">
        <f>'Inventory as of 12th Aug 2024'!A46</f>
        <v>Tukuza 1kg</v>
      </c>
      <c r="D2191" s="27">
        <v>1</v>
      </c>
      <c r="E2191" s="5">
        <f>Table4[[#This Row],[qty]]*(VLOOKUP(Table4[[#This Row],[item_sold]],Table1[],5,FALSE))</f>
        <v>90</v>
      </c>
      <c r="F2191" s="5">
        <f>(VLOOKUP(Table4[[#This Row],[item_sold]],Table1[],4,FALSE))*Table4[[#This Row],[qty]]</f>
        <v>61.25</v>
      </c>
      <c r="G2191">
        <f t="shared" si="185"/>
        <v>28.75</v>
      </c>
      <c r="H2191" t="s">
        <v>361</v>
      </c>
    </row>
    <row r="2192" spans="1:12" x14ac:dyDescent="0.25">
      <c r="A2192" s="1">
        <f t="shared" si="177"/>
        <v>45521</v>
      </c>
      <c r="B2192" s="31">
        <f>TIME(19,21, 0)</f>
        <v>0.80625000000000002</v>
      </c>
      <c r="C2192" t="str">
        <f>'Inventory as of 12th Aug 2024'!A234</f>
        <v>Bigdaddy</v>
      </c>
      <c r="D2192" s="27">
        <v>1</v>
      </c>
      <c r="E2192" s="5">
        <f>Table4[[#This Row],[qty]]*(VLOOKUP(Table4[[#This Row],[item_sold]],Table1[],5,FALSE))</f>
        <v>10</v>
      </c>
      <c r="F2192" s="5">
        <f>(VLOOKUP(Table4[[#This Row],[item_sold]],Table1[],4,FALSE))*Table4[[#This Row],[qty]]</f>
        <v>6</v>
      </c>
      <c r="G2192">
        <f t="shared" si="185"/>
        <v>4</v>
      </c>
      <c r="H2192" t="s">
        <v>247</v>
      </c>
    </row>
    <row r="2193" spans="1:9" x14ac:dyDescent="0.25">
      <c r="A2193" s="1">
        <f t="shared" si="177"/>
        <v>45521</v>
      </c>
      <c r="B2193" s="31">
        <f>TIME(19,22, 0)</f>
        <v>0.80694444444444446</v>
      </c>
      <c r="C2193" t="str">
        <f>'Inventory as of 12th Aug 2024'!A239</f>
        <v>Gumballs</v>
      </c>
      <c r="D2193" s="27">
        <v>2</v>
      </c>
      <c r="E2193" s="5">
        <f>Table4[[#This Row],[qty]]*(VLOOKUP(Table4[[#This Row],[item_sold]],Table1[],5,FALSE))</f>
        <v>2</v>
      </c>
      <c r="F2193" s="5">
        <f>(VLOOKUP(Table4[[#This Row],[item_sold]],Table1[],4,FALSE))*Table4[[#This Row],[qty]]</f>
        <v>1.4</v>
      </c>
      <c r="G2193">
        <f t="shared" si="185"/>
        <v>0.60000000000000009</v>
      </c>
      <c r="H2193" t="s">
        <v>247</v>
      </c>
    </row>
    <row r="2194" spans="1:9" x14ac:dyDescent="0.25">
      <c r="A2194" s="1">
        <f t="shared" si="177"/>
        <v>45521</v>
      </c>
      <c r="B2194" s="31">
        <f t="shared" ref="B2194" si="189">TIME(19,22, 0)</f>
        <v>0.80694444444444446</v>
      </c>
      <c r="C2194" t="str">
        <f>'Inventory as of 12th Aug 2024'!A231</f>
        <v>Patco</v>
      </c>
      <c r="D2194" s="27">
        <v>5</v>
      </c>
      <c r="E2194" s="5">
        <f>Table4[[#This Row],[qty]]*(VLOOKUP(Table4[[#This Row],[item_sold]],Table1[],5,FALSE))</f>
        <v>12.5</v>
      </c>
      <c r="F2194" s="5">
        <f>(VLOOKUP(Table4[[#This Row],[item_sold]],Table1[],4,FALSE))*Table4[[#This Row],[qty]]</f>
        <v>6</v>
      </c>
      <c r="G2194">
        <f t="shared" si="185"/>
        <v>6.5</v>
      </c>
      <c r="H2194" t="s">
        <v>247</v>
      </c>
    </row>
    <row r="2195" spans="1:9" x14ac:dyDescent="0.25">
      <c r="A2195" s="1">
        <f t="shared" si="177"/>
        <v>45521</v>
      </c>
      <c r="B2195" s="31">
        <f>TIME(19,38, 0)</f>
        <v>0.81805555555555554</v>
      </c>
      <c r="C2195" t="str">
        <f>'Inventory as of 12th Aug 2024'!A120</f>
        <v>Maramoja</v>
      </c>
      <c r="D2195" s="27">
        <v>2</v>
      </c>
      <c r="E2195" s="5">
        <f>Table4[[#This Row],[qty]]*(VLOOKUP(Table4[[#This Row],[item_sold]],Table1[],5,FALSE))</f>
        <v>20</v>
      </c>
      <c r="F2195" s="5">
        <f>(VLOOKUP(Table4[[#This Row],[item_sold]],Table1[],4,FALSE))*Table4[[#This Row],[qty]]</f>
        <v>14</v>
      </c>
      <c r="G2195">
        <f t="shared" si="185"/>
        <v>6</v>
      </c>
      <c r="H2195" t="s">
        <v>361</v>
      </c>
    </row>
    <row r="2196" spans="1:9" x14ac:dyDescent="0.25">
      <c r="A2196" s="1">
        <f t="shared" si="177"/>
        <v>45521</v>
      </c>
      <c r="B2196" s="31">
        <f>TIME(19,50, 0)</f>
        <v>0.82638888888888884</v>
      </c>
      <c r="C2196" t="str">
        <f>'Inventory as of 12th Aug 2024'!A159</f>
        <v>Sofnfree</v>
      </c>
      <c r="D2196" s="27">
        <v>1</v>
      </c>
      <c r="E2196" s="5">
        <f>Table4[[#This Row],[qty]]*(VLOOKUP(Table4[[#This Row],[item_sold]],Table1[],5,FALSE))</f>
        <v>200</v>
      </c>
      <c r="F2196" s="5">
        <f>(VLOOKUP(Table4[[#This Row],[item_sold]],Table1[],4,FALSE))*Table4[[#This Row],[qty]]</f>
        <v>160</v>
      </c>
      <c r="G2196">
        <f t="shared" si="185"/>
        <v>40</v>
      </c>
      <c r="H2196" t="s">
        <v>359</v>
      </c>
      <c r="I2196" t="s">
        <v>398</v>
      </c>
    </row>
    <row r="2197" spans="1:9" x14ac:dyDescent="0.25">
      <c r="A2197" s="1">
        <f t="shared" si="177"/>
        <v>45521</v>
      </c>
      <c r="B2197" s="31">
        <f>TIME(19,50, 0)</f>
        <v>0.82638888888888884</v>
      </c>
      <c r="C2197" t="str">
        <f>'Inventory as of 12th Aug 2024'!A95</f>
        <v>waru</v>
      </c>
      <c r="D2197" s="27">
        <v>1</v>
      </c>
      <c r="E2197" s="5">
        <f>Table4[[#This Row],[qty]]*(VLOOKUP(Table4[[#This Row],[item_sold]],Table1[],5,FALSE))</f>
        <v>50</v>
      </c>
      <c r="F2197" s="5">
        <f>(VLOOKUP(Table4[[#This Row],[item_sold]],Table1[],4,FALSE))*Table4[[#This Row],[qty]]</f>
        <v>29.999999999999996</v>
      </c>
      <c r="G2197">
        <f t="shared" si="185"/>
        <v>20.000000000000004</v>
      </c>
      <c r="H2197" t="s">
        <v>359</v>
      </c>
      <c r="I2197" t="s">
        <v>398</v>
      </c>
    </row>
    <row r="2198" spans="1:9" x14ac:dyDescent="0.25">
      <c r="A2198" s="1">
        <f t="shared" si="177"/>
        <v>45521</v>
      </c>
      <c r="B2198" s="31">
        <f>TIME(19,50, 0)</f>
        <v>0.82638888888888884</v>
      </c>
      <c r="C2198" t="str">
        <f>'Inventory as of 12th Aug 2024'!A191</f>
        <v>Nuvita Bisquit</v>
      </c>
      <c r="D2198" s="27">
        <v>2</v>
      </c>
      <c r="E2198" s="5">
        <f>Table4[[#This Row],[qty]]*(VLOOKUP(Table4[[#This Row],[item_sold]],Table1[],5,FALSE))</f>
        <v>10</v>
      </c>
      <c r="F2198" s="5">
        <f>(VLOOKUP(Table4[[#This Row],[item_sold]],Table1[],4,FALSE))*Table4[[#This Row],[qty]]</f>
        <v>8.3333333333333339</v>
      </c>
      <c r="G2198">
        <f t="shared" si="185"/>
        <v>1.6666666666666661</v>
      </c>
      <c r="H2198" t="s">
        <v>361</v>
      </c>
    </row>
    <row r="2199" spans="1:9" x14ac:dyDescent="0.25">
      <c r="A2199" s="1">
        <f t="shared" si="177"/>
        <v>45521</v>
      </c>
      <c r="B2199" s="31">
        <f t="shared" ref="B2199:B2200" si="190">TIME(19,50, 0)</f>
        <v>0.82638888888888884</v>
      </c>
      <c r="C2199" t="str">
        <f>'Inventory as of 12th Aug 2024'!A192</f>
        <v>Lemon Bisquit</v>
      </c>
      <c r="D2199" s="27">
        <v>2</v>
      </c>
      <c r="E2199" s="5">
        <f>Table4[[#This Row],[qty]]*(VLOOKUP(Table4[[#This Row],[item_sold]],Table1[],5,FALSE))</f>
        <v>10</v>
      </c>
      <c r="F2199" s="5">
        <f>(VLOOKUP(Table4[[#This Row],[item_sold]],Table1[],4,FALSE))*Table4[[#This Row],[qty]]</f>
        <v>8.6666666666666661</v>
      </c>
      <c r="G2199">
        <f t="shared" si="185"/>
        <v>1.3333333333333339</v>
      </c>
      <c r="H2199" t="s">
        <v>361</v>
      </c>
    </row>
    <row r="2200" spans="1:9" x14ac:dyDescent="0.25">
      <c r="A2200" s="1">
        <f t="shared" si="177"/>
        <v>45521</v>
      </c>
      <c r="B2200" s="31">
        <f t="shared" si="190"/>
        <v>0.82638888888888884</v>
      </c>
      <c r="C2200" t="str">
        <f>'Inventory as of 12th Aug 2024'!A193</f>
        <v>Ginger Bisquit</v>
      </c>
      <c r="D2200" s="27">
        <v>2</v>
      </c>
      <c r="E2200" s="5">
        <f>Table4[[#This Row],[qty]]*(VLOOKUP(Table4[[#This Row],[item_sold]],Table1[],5,FALSE))</f>
        <v>10</v>
      </c>
      <c r="F2200" s="5">
        <f>(VLOOKUP(Table4[[#This Row],[item_sold]],Table1[],4,FALSE))*Table4[[#This Row],[qty]]</f>
        <v>8.6666666666666661</v>
      </c>
      <c r="G2200">
        <f t="shared" si="185"/>
        <v>1.3333333333333339</v>
      </c>
      <c r="H2200" t="s">
        <v>361</v>
      </c>
    </row>
    <row r="2201" spans="1:9" x14ac:dyDescent="0.25">
      <c r="A2201" s="1">
        <f t="shared" si="177"/>
        <v>45521</v>
      </c>
      <c r="B2201" s="31">
        <f>TIME(20,31, 0)</f>
        <v>0.85486111111111107</v>
      </c>
      <c r="C2201" t="str">
        <f>'Inventory as of 12th Aug 2024'!A91</f>
        <v>Tomatoes</v>
      </c>
      <c r="D2201" s="27">
        <v>1</v>
      </c>
      <c r="E2201" s="5">
        <f>Table4[[#This Row],[qty]]*(VLOOKUP(Table4[[#This Row],[item_sold]],Table1[],5,FALSE))</f>
        <v>10</v>
      </c>
      <c r="F2201" s="5">
        <f>(VLOOKUP(Table4[[#This Row],[item_sold]],Table1[],4,FALSE))*Table4[[#This Row],[qty]]</f>
        <v>5</v>
      </c>
      <c r="G2201">
        <f t="shared" si="185"/>
        <v>5</v>
      </c>
      <c r="H2201" t="s">
        <v>359</v>
      </c>
      <c r="I2201" t="s">
        <v>398</v>
      </c>
    </row>
    <row r="2202" spans="1:9" x14ac:dyDescent="0.25">
      <c r="A2202" s="1">
        <f t="shared" si="177"/>
        <v>45521</v>
      </c>
      <c r="B2202" s="31">
        <f>TIME(20,35, 0)</f>
        <v>0.85763888888888884</v>
      </c>
      <c r="C2202" t="str">
        <f>'Inventory as of 12th Aug 2024'!A230</f>
        <v>Fresh Blue</v>
      </c>
      <c r="D2202" s="27">
        <v>1</v>
      </c>
      <c r="E2202" s="5">
        <f>Table4[[#This Row],[qty]]*(VLOOKUP(Table4[[#This Row],[item_sold]],Table1[],5,FALSE))</f>
        <v>10</v>
      </c>
      <c r="F2202" s="5">
        <f>(VLOOKUP(Table4[[#This Row],[item_sold]],Table1[],4,FALSE))*Table4[[#This Row],[qty]]</f>
        <v>5</v>
      </c>
      <c r="G2202">
        <f t="shared" si="185"/>
        <v>5</v>
      </c>
      <c r="H2202" t="s">
        <v>361</v>
      </c>
    </row>
    <row r="2203" spans="1:9" x14ac:dyDescent="0.25">
      <c r="A2203" s="1">
        <f>DATE(2024,8,18)</f>
        <v>45522</v>
      </c>
      <c r="B2203" s="31">
        <f>TIME(8,0, 0)</f>
        <v>0.33333333333333331</v>
      </c>
      <c r="C2203" t="str">
        <f>'Inventory as of 12th Aug 2024'!A9</f>
        <v>Kinangop Fresh Milk 500ml</v>
      </c>
      <c r="D2203" s="27">
        <v>1</v>
      </c>
      <c r="E2203" s="5">
        <f>Table4[[#This Row],[qty]]*(VLOOKUP(Table4[[#This Row],[item_sold]],Table1[],5,FALSE))</f>
        <v>60</v>
      </c>
      <c r="F2203" s="5">
        <f>(VLOOKUP(Table4[[#This Row],[item_sold]],Table1[],4,FALSE))*Table4[[#This Row],[qty]]</f>
        <v>55</v>
      </c>
      <c r="G2203">
        <f t="shared" si="185"/>
        <v>5</v>
      </c>
      <c r="H2203" t="s">
        <v>359</v>
      </c>
      <c r="I2203" t="s">
        <v>390</v>
      </c>
    </row>
    <row r="2204" spans="1:9" x14ac:dyDescent="0.25">
      <c r="A2204" s="1">
        <f t="shared" ref="A2204:A2259" si="191">DATE(2024,8,18)</f>
        <v>45522</v>
      </c>
      <c r="B2204" s="31">
        <f>TIME(8,30, 0)</f>
        <v>0.35416666666666669</v>
      </c>
      <c r="C2204" t="str">
        <f>'Inventory as of 12th Aug 2024'!A9</f>
        <v>Kinangop Fresh Milk 500ml</v>
      </c>
      <c r="D2204" s="27">
        <v>1</v>
      </c>
      <c r="E2204" s="5">
        <f>Table4[[#This Row],[qty]]*(VLOOKUP(Table4[[#This Row],[item_sold]],Table1[],5,FALSE))</f>
        <v>60</v>
      </c>
      <c r="F2204" s="5">
        <f>(VLOOKUP(Table4[[#This Row],[item_sold]],Table1[],4,FALSE))*Table4[[#This Row],[qty]]</f>
        <v>55</v>
      </c>
      <c r="G2204">
        <f t="shared" si="185"/>
        <v>5</v>
      </c>
      <c r="H2204" t="s">
        <v>359</v>
      </c>
      <c r="I2204" t="s">
        <v>385</v>
      </c>
    </row>
    <row r="2205" spans="1:9" x14ac:dyDescent="0.25">
      <c r="A2205" s="1">
        <f t="shared" si="191"/>
        <v>45522</v>
      </c>
      <c r="B2205" s="31">
        <f t="shared" ref="B2205" si="192">TIME(8,30, 0)</f>
        <v>0.35416666666666669</v>
      </c>
      <c r="C2205" t="str">
        <f>'Inventory as of 12th Aug 2024'!A37</f>
        <v>Festive Bread 400g</v>
      </c>
      <c r="D2205" s="27">
        <v>1</v>
      </c>
      <c r="E2205" s="5">
        <f>Table4[[#This Row],[qty]]*(VLOOKUP(Table4[[#This Row],[item_sold]],Table1[],5,FALSE))</f>
        <v>65</v>
      </c>
      <c r="F2205" s="5">
        <f>(VLOOKUP(Table4[[#This Row],[item_sold]],Table1[],4,FALSE))*Table4[[#This Row],[qty]]</f>
        <v>60</v>
      </c>
      <c r="G2205">
        <f t="shared" si="185"/>
        <v>5</v>
      </c>
      <c r="H2205" t="s">
        <v>359</v>
      </c>
      <c r="I2205" t="s">
        <v>385</v>
      </c>
    </row>
    <row r="2206" spans="1:9" x14ac:dyDescent="0.25">
      <c r="A2206" s="1">
        <f t="shared" si="191"/>
        <v>45522</v>
      </c>
      <c r="B2206" s="31">
        <f>TIME(9,44, 0)</f>
        <v>0.4055555555555555</v>
      </c>
      <c r="C2206" t="str">
        <f>'Inventory as of 12th Aug 2024'!A35</f>
        <v>Festive 600g</v>
      </c>
      <c r="D2206" s="27">
        <v>1</v>
      </c>
      <c r="E2206" s="5">
        <f>Table4[[#This Row],[qty]]*(VLOOKUP(Table4[[#This Row],[item_sold]],Table1[],5,FALSE))</f>
        <v>100</v>
      </c>
      <c r="F2206" s="5">
        <f>(VLOOKUP(Table4[[#This Row],[item_sold]],Table1[],4,FALSE))*Table4[[#This Row],[qty]]</f>
        <v>90</v>
      </c>
      <c r="G2206">
        <f t="shared" si="185"/>
        <v>10</v>
      </c>
      <c r="H2206" t="s">
        <v>361</v>
      </c>
    </row>
    <row r="2207" spans="1:9" x14ac:dyDescent="0.25">
      <c r="A2207" s="1">
        <f t="shared" si="191"/>
        <v>45522</v>
      </c>
      <c r="B2207" s="31">
        <f>TIME(9,6, 0)</f>
        <v>0.37916666666666665</v>
      </c>
      <c r="C2207" t="str">
        <f>'Inventory as of 12th Aug 2024'!A33</f>
        <v>BB Bread 400g</v>
      </c>
      <c r="D2207" s="27">
        <v>2</v>
      </c>
      <c r="E2207" s="5">
        <f>Table4[[#This Row],[qty]]*(VLOOKUP(Table4[[#This Row],[item_sold]],Table1[],5,FALSE))</f>
        <v>130</v>
      </c>
      <c r="F2207" s="5">
        <f>(VLOOKUP(Table4[[#This Row],[item_sold]],Table1[],4,FALSE))*Table4[[#This Row],[qty]]</f>
        <v>120</v>
      </c>
      <c r="G2207">
        <f t="shared" si="185"/>
        <v>10</v>
      </c>
      <c r="H2207" t="s">
        <v>361</v>
      </c>
    </row>
    <row r="2208" spans="1:9" x14ac:dyDescent="0.25">
      <c r="A2208" s="1">
        <f t="shared" si="191"/>
        <v>45522</v>
      </c>
      <c r="B2208" s="31">
        <f t="shared" ref="B2208" si="193">TIME(9,6, 0)</f>
        <v>0.37916666666666665</v>
      </c>
      <c r="C2208" t="str">
        <f>'Inventory as of 12th Aug 2024'!A37</f>
        <v>Festive Bread 400g</v>
      </c>
      <c r="D2208" s="27">
        <v>1</v>
      </c>
      <c r="E2208" s="5">
        <f>Table4[[#This Row],[qty]]*(VLOOKUP(Table4[[#This Row],[item_sold]],Table1[],5,FALSE))</f>
        <v>65</v>
      </c>
      <c r="F2208" s="5">
        <f>(VLOOKUP(Table4[[#This Row],[item_sold]],Table1[],4,FALSE))*Table4[[#This Row],[qty]]</f>
        <v>60</v>
      </c>
      <c r="G2208">
        <f t="shared" si="185"/>
        <v>5</v>
      </c>
      <c r="H2208" t="s">
        <v>359</v>
      </c>
      <c r="I2208" t="s">
        <v>398</v>
      </c>
    </row>
    <row r="2209" spans="1:12" x14ac:dyDescent="0.25">
      <c r="A2209" s="1">
        <f t="shared" si="191"/>
        <v>45522</v>
      </c>
      <c r="B2209" s="31">
        <f>TIME(12,4, 0)</f>
        <v>0.50277777777777777</v>
      </c>
      <c r="C2209" t="str">
        <f>'Inventory as of 12th Aug 2024'!A95</f>
        <v>waru</v>
      </c>
      <c r="D2209" s="27">
        <v>1</v>
      </c>
      <c r="E2209" s="5">
        <f>Table4[[#This Row],[qty]]*(VLOOKUP(Table4[[#This Row],[item_sold]],Table1[],5,FALSE))</f>
        <v>50</v>
      </c>
      <c r="F2209" s="5">
        <f>(VLOOKUP(Table4[[#This Row],[item_sold]],Table1[],4,FALSE))*Table4[[#This Row],[qty]]</f>
        <v>29.999999999999996</v>
      </c>
      <c r="G2209">
        <f t="shared" si="185"/>
        <v>20.000000000000004</v>
      </c>
      <c r="H2209" t="s">
        <v>361</v>
      </c>
    </row>
    <row r="2210" spans="1:12" x14ac:dyDescent="0.25">
      <c r="A2210" s="1">
        <f t="shared" si="191"/>
        <v>45522</v>
      </c>
      <c r="B2210" s="31">
        <f t="shared" ref="B2210:B2214" si="194">TIME(12,4, 0)</f>
        <v>0.50277777777777777</v>
      </c>
      <c r="C2210" t="str">
        <f>'Inventory as of 12th Aug 2024'!A59</f>
        <v>kabras sugar 1kg</v>
      </c>
      <c r="D2210" s="27">
        <v>1</v>
      </c>
      <c r="E2210" s="5">
        <f>Table4[[#This Row],[qty]]*(VLOOKUP(Table4[[#This Row],[item_sold]],Table1[],5,FALSE))</f>
        <v>180</v>
      </c>
      <c r="F2210" s="5">
        <f>(VLOOKUP(Table4[[#This Row],[item_sold]],Table1[],4,FALSE))*Table4[[#This Row],[qty]]</f>
        <v>140</v>
      </c>
      <c r="G2210">
        <f t="shared" si="185"/>
        <v>40</v>
      </c>
      <c r="H2210" t="s">
        <v>361</v>
      </c>
    </row>
    <row r="2211" spans="1:12" x14ac:dyDescent="0.25">
      <c r="A2211" s="1">
        <f t="shared" si="191"/>
        <v>45522</v>
      </c>
      <c r="B2211" s="31">
        <f t="shared" si="194"/>
        <v>0.50277777777777777</v>
      </c>
      <c r="C2211" t="str">
        <f>'Inventory as of 12th Aug 2024'!A50</f>
        <v>Pishori rice</v>
      </c>
      <c r="D2211" s="27">
        <v>1</v>
      </c>
      <c r="E2211" s="5">
        <f>Table4[[#This Row],[qty]]*(VLOOKUP(Table4[[#This Row],[item_sold]],Table1[],5,FALSE))</f>
        <v>220</v>
      </c>
      <c r="F2211" s="5">
        <f>(VLOOKUP(Table4[[#This Row],[item_sold]],Table1[],4,FALSE))*Table4[[#This Row],[qty]]</f>
        <v>180</v>
      </c>
      <c r="G2211">
        <f t="shared" si="185"/>
        <v>40</v>
      </c>
      <c r="H2211" t="s">
        <v>361</v>
      </c>
    </row>
    <row r="2212" spans="1:12" x14ac:dyDescent="0.25">
      <c r="A2212" s="1">
        <f t="shared" si="191"/>
        <v>45522</v>
      </c>
      <c r="B2212" s="31">
        <f t="shared" si="194"/>
        <v>0.50277777777777777</v>
      </c>
      <c r="C2212" t="str">
        <f>'Inventory as of 12th Aug 2024'!A90</f>
        <v>Onion</v>
      </c>
      <c r="D2212" s="27">
        <v>5</v>
      </c>
      <c r="E2212" s="5">
        <f>Table4[[#This Row],[qty]]*(VLOOKUP(Table4[[#This Row],[item_sold]],Table1[],5,FALSE))</f>
        <v>50</v>
      </c>
      <c r="F2212" s="5">
        <f>(VLOOKUP(Table4[[#This Row],[item_sold]],Table1[],4,FALSE))*Table4[[#This Row],[qty]]</f>
        <v>40</v>
      </c>
      <c r="G2212">
        <f t="shared" si="185"/>
        <v>10</v>
      </c>
      <c r="H2212" t="s">
        <v>361</v>
      </c>
    </row>
    <row r="2213" spans="1:12" x14ac:dyDescent="0.25">
      <c r="A2213" s="1">
        <f t="shared" si="191"/>
        <v>45522</v>
      </c>
      <c r="B2213" s="31">
        <f t="shared" si="194"/>
        <v>0.50277777777777777</v>
      </c>
      <c r="C2213" t="str">
        <f>'Inventory as of 12th Aug 2024'!A91</f>
        <v>Tomatoes</v>
      </c>
      <c r="D2213" s="27">
        <v>5</v>
      </c>
      <c r="E2213" s="5">
        <f>Table4[[#This Row],[qty]]*(VLOOKUP(Table4[[#This Row],[item_sold]],Table1[],5,FALSE))</f>
        <v>50</v>
      </c>
      <c r="F2213" s="5">
        <f>(VLOOKUP(Table4[[#This Row],[item_sold]],Table1[],4,FALSE))*Table4[[#This Row],[qty]]</f>
        <v>25</v>
      </c>
      <c r="G2213">
        <f t="shared" si="185"/>
        <v>25</v>
      </c>
      <c r="H2213" t="s">
        <v>361</v>
      </c>
    </row>
    <row r="2214" spans="1:12" x14ac:dyDescent="0.25">
      <c r="A2214" s="1">
        <f t="shared" si="191"/>
        <v>45522</v>
      </c>
      <c r="B2214" s="31">
        <f t="shared" si="194"/>
        <v>0.50277777777777777</v>
      </c>
      <c r="C2214" t="str">
        <f>'Inventory as of 12th Aug 2024'!A93</f>
        <v>Dhania</v>
      </c>
      <c r="D2214" s="27">
        <v>4</v>
      </c>
      <c r="E2214" s="5">
        <f>Table4[[#This Row],[qty]]*(VLOOKUP(Table4[[#This Row],[item_sold]],Table1[],5,FALSE))</f>
        <v>20</v>
      </c>
      <c r="F2214" s="5">
        <f>(VLOOKUP(Table4[[#This Row],[item_sold]],Table1[],4,FALSE))*Table4[[#This Row],[qty]]</f>
        <v>13.333333333333334</v>
      </c>
      <c r="G2214">
        <f t="shared" si="185"/>
        <v>6.6666666666666661</v>
      </c>
      <c r="H2214" t="s">
        <v>361</v>
      </c>
    </row>
    <row r="2215" spans="1:12" x14ac:dyDescent="0.25">
      <c r="A2215" s="1">
        <f t="shared" si="191"/>
        <v>45522</v>
      </c>
      <c r="B2215" s="31">
        <f>TIME(13,29, 0)</f>
        <v>0.56180555555555556</v>
      </c>
      <c r="C2215" t="str">
        <f>'Inventory as of 12th Aug 2024'!A57</f>
        <v>Sportsman</v>
      </c>
      <c r="D2215" s="27">
        <v>2</v>
      </c>
      <c r="E2215" s="5">
        <f>Table4[[#This Row],[qty]]*(VLOOKUP(Table4[[#This Row],[item_sold]],Table1[],5,FALSE))</f>
        <v>40</v>
      </c>
      <c r="F2215" s="5">
        <f>(VLOOKUP(Table4[[#This Row],[item_sold]],Table1[],4,FALSE))*Table4[[#This Row],[qty]]</f>
        <v>26</v>
      </c>
      <c r="G2215">
        <f t="shared" si="185"/>
        <v>14</v>
      </c>
      <c r="H2215" t="s">
        <v>247</v>
      </c>
    </row>
    <row r="2216" spans="1:12" x14ac:dyDescent="0.25">
      <c r="A2216" s="1">
        <f t="shared" si="191"/>
        <v>45522</v>
      </c>
      <c r="B2216" s="31">
        <f>TIME(8,30, 0)</f>
        <v>0.35416666666666669</v>
      </c>
      <c r="C2216" t="str">
        <f>'Inventory as of 12th Aug 2024'!A86</f>
        <v>Downy sunrise fresh</v>
      </c>
      <c r="D2216" s="27">
        <v>1</v>
      </c>
      <c r="E2216" s="5">
        <f>Table4[[#This Row],[qty]]*(VLOOKUP(Table4[[#This Row],[item_sold]],Table1[],5,FALSE))</f>
        <v>20</v>
      </c>
      <c r="F2216" s="5">
        <f>(VLOOKUP(Table4[[#This Row],[item_sold]],Table1[],4,FALSE))*Table4[[#This Row],[qty]]</f>
        <v>17.333333333333332</v>
      </c>
      <c r="G2216">
        <f t="shared" si="185"/>
        <v>2.6666666666666679</v>
      </c>
      <c r="H2216" t="s">
        <v>247</v>
      </c>
    </row>
    <row r="2217" spans="1:12" x14ac:dyDescent="0.25">
      <c r="A2217" s="1">
        <f t="shared" si="191"/>
        <v>45522</v>
      </c>
      <c r="B2217" s="31">
        <f t="shared" ref="B2217" si="195">TIME(8,30, 0)</f>
        <v>0.35416666666666669</v>
      </c>
      <c r="C2217" t="str">
        <f>'Inventory as of 12th Aug 2024'!A190</f>
        <v>Goodday Cookies</v>
      </c>
      <c r="D2217" s="27">
        <v>2</v>
      </c>
      <c r="E2217" s="5">
        <f>Table4[[#This Row],[qty]]*(VLOOKUP(Table4[[#This Row],[item_sold]],Table1[],5,FALSE))</f>
        <v>30</v>
      </c>
      <c r="F2217" s="5">
        <f>(VLOOKUP(Table4[[#This Row],[item_sold]],Table1[],4,FALSE))*Table4[[#This Row],[qty]]</f>
        <v>18.666666666666668</v>
      </c>
      <c r="G2217">
        <f t="shared" si="185"/>
        <v>11.333333333333332</v>
      </c>
      <c r="H2217" t="s">
        <v>247</v>
      </c>
    </row>
    <row r="2218" spans="1:12" x14ac:dyDescent="0.25">
      <c r="A2218" s="1">
        <f t="shared" si="191"/>
        <v>45522</v>
      </c>
      <c r="B2218" s="31">
        <f>TIME(14,0, 0)</f>
        <v>0.58333333333333337</v>
      </c>
      <c r="C2218" t="str">
        <f>'Inventory as of 12th Aug 2024'!A212</f>
        <v>soda 300ml glass</v>
      </c>
      <c r="D2218" s="27">
        <v>1</v>
      </c>
      <c r="E2218" s="5">
        <f>Table4[[#This Row],[qty]]*(VLOOKUP(Table4[[#This Row],[item_sold]],Table1[],5,FALSE))</f>
        <v>40</v>
      </c>
      <c r="F2218" s="5">
        <f>(VLOOKUP(Table4[[#This Row],[item_sold]],Table1[],4,FALSE))*Table4[[#This Row],[qty]]</f>
        <v>32.5</v>
      </c>
      <c r="G2218">
        <f t="shared" si="185"/>
        <v>7.5</v>
      </c>
      <c r="H2218" t="s">
        <v>361</v>
      </c>
    </row>
    <row r="2219" spans="1:12" x14ac:dyDescent="0.25">
      <c r="A2219" s="1">
        <f t="shared" si="191"/>
        <v>45522</v>
      </c>
      <c r="B2219" s="31">
        <f>TIME(14,0, 0)</f>
        <v>0.58333333333333337</v>
      </c>
      <c r="C2219" t="str">
        <f>'Inventory as of 12th Aug 2024'!A33</f>
        <v>BB Bread 400g</v>
      </c>
      <c r="D2219" s="27">
        <v>1</v>
      </c>
      <c r="E2219" s="5">
        <f>Table4[[#This Row],[qty]]*(VLOOKUP(Table4[[#This Row],[item_sold]],Table1[],5,FALSE))</f>
        <v>65</v>
      </c>
      <c r="F2219" s="5">
        <f>(VLOOKUP(Table4[[#This Row],[item_sold]],Table1[],4,FALSE))*Table4[[#This Row],[qty]]</f>
        <v>60</v>
      </c>
      <c r="G2219">
        <f t="shared" si="185"/>
        <v>5</v>
      </c>
      <c r="H2219" t="s">
        <v>361</v>
      </c>
      <c r="I2219" t="s">
        <v>395</v>
      </c>
      <c r="J2219" t="s">
        <v>395</v>
      </c>
      <c r="K2219">
        <v>385</v>
      </c>
      <c r="L2219" t="s">
        <v>361</v>
      </c>
    </row>
    <row r="2220" spans="1:12" x14ac:dyDescent="0.25">
      <c r="A2220" s="1">
        <f t="shared" si="191"/>
        <v>45522</v>
      </c>
      <c r="B2220" s="31">
        <f>TIME(14,1, 0)</f>
        <v>0.58402777777777781</v>
      </c>
      <c r="C2220" t="str">
        <f>'Inventory as of 12th Aug 2024'!A58</f>
        <v>Safari</v>
      </c>
      <c r="D2220" s="27">
        <v>2</v>
      </c>
      <c r="E2220" s="5">
        <f>Table4[[#This Row],[qty]]*(VLOOKUP(Table4[[#This Row],[item_sold]],Table1[],5,FALSE))</f>
        <v>30</v>
      </c>
      <c r="F2220" s="5">
        <f>(VLOOKUP(Table4[[#This Row],[item_sold]],Table1[],4,FALSE))*Table4[[#This Row],[qty]]</f>
        <v>17</v>
      </c>
      <c r="G2220">
        <f t="shared" si="185"/>
        <v>13</v>
      </c>
      <c r="H2220" t="s">
        <v>247</v>
      </c>
    </row>
    <row r="2221" spans="1:12" x14ac:dyDescent="0.25">
      <c r="A2221" s="1">
        <f t="shared" si="191"/>
        <v>45522</v>
      </c>
      <c r="B2221" s="31">
        <f t="shared" ref="B2221" si="196">TIME(14,1, 0)</f>
        <v>0.58402777777777781</v>
      </c>
      <c r="C2221" t="str">
        <f>'Inventory as of 12th Aug 2024'!A33</f>
        <v>BB Bread 400g</v>
      </c>
      <c r="D2221" s="27">
        <v>1</v>
      </c>
      <c r="E2221" s="5">
        <f>Table4[[#This Row],[qty]]*(VLOOKUP(Table4[[#This Row],[item_sold]],Table1[],5,FALSE))</f>
        <v>65</v>
      </c>
      <c r="F2221" s="5">
        <f>(VLOOKUP(Table4[[#This Row],[item_sold]],Table1[],4,FALSE))*Table4[[#This Row],[qty]]</f>
        <v>60</v>
      </c>
      <c r="G2221">
        <f t="shared" si="185"/>
        <v>5</v>
      </c>
      <c r="H2221" t="s">
        <v>359</v>
      </c>
      <c r="I2221" t="s">
        <v>392</v>
      </c>
    </row>
    <row r="2222" spans="1:12" x14ac:dyDescent="0.25">
      <c r="A2222" s="1">
        <f t="shared" si="191"/>
        <v>45522</v>
      </c>
      <c r="B2222" s="31">
        <f>TIME(14,54, 0)</f>
        <v>0.62083333333333335</v>
      </c>
      <c r="C2222" t="str">
        <f>'Inventory as of 12th Aug 2024'!A42</f>
        <v>Indomie chicken</v>
      </c>
      <c r="D2222" s="27">
        <v>3</v>
      </c>
      <c r="E2222" s="5">
        <f>Table4[[#This Row],[qty]]*(VLOOKUP(Table4[[#This Row],[item_sold]],Table1[],5,FALSE))</f>
        <v>150</v>
      </c>
      <c r="F2222" s="5">
        <f>(VLOOKUP(Table4[[#This Row],[item_sold]],Table1[],4,FALSE))*Table4[[#This Row],[qty]]</f>
        <v>112.5</v>
      </c>
      <c r="G2222">
        <f t="shared" si="185"/>
        <v>37.5</v>
      </c>
      <c r="H2222" t="s">
        <v>361</v>
      </c>
    </row>
    <row r="2223" spans="1:12" x14ac:dyDescent="0.25">
      <c r="A2223" s="1">
        <f t="shared" si="191"/>
        <v>45522</v>
      </c>
      <c r="B2223" s="31">
        <f>TIME(14,55, 0)</f>
        <v>0.62152777777777779</v>
      </c>
      <c r="C2223" t="str">
        <f>'Inventory as of 12th Aug 2024'!A187</f>
        <v>Njugu</v>
      </c>
      <c r="D2223" s="27">
        <v>1</v>
      </c>
      <c r="E2223" s="5">
        <f>Table4[[#This Row],[qty]]*(VLOOKUP(Table4[[#This Row],[item_sold]],Table1[],5,FALSE))</f>
        <v>20</v>
      </c>
      <c r="F2223" s="5">
        <f>(VLOOKUP(Table4[[#This Row],[item_sold]],Table1[],4,FALSE))*Table4[[#This Row],[qty]]</f>
        <v>10.666666666666666</v>
      </c>
      <c r="G2223">
        <f t="shared" si="185"/>
        <v>9.3333333333333339</v>
      </c>
      <c r="H2223" t="s">
        <v>247</v>
      </c>
    </row>
    <row r="2224" spans="1:12" x14ac:dyDescent="0.25">
      <c r="A2224" s="1">
        <f t="shared" si="191"/>
        <v>45522</v>
      </c>
      <c r="B2224" s="31">
        <f>TIME(17,14, 0)</f>
        <v>0.71805555555555556</v>
      </c>
      <c r="C2224" t="str">
        <f>'Inventory as of 12th Aug 2024'!A4</f>
        <v>Safaricom 50 Credit</v>
      </c>
      <c r="D2224" s="27">
        <v>1</v>
      </c>
      <c r="E2224" s="5">
        <f>Table4[[#This Row],[qty]]*(VLOOKUP(Table4[[#This Row],[item_sold]],Table1[],5,FALSE))</f>
        <v>50</v>
      </c>
      <c r="F2224" s="5">
        <f>(VLOOKUP(Table4[[#This Row],[item_sold]],Table1[],4,FALSE))*Table4[[#This Row],[qty]]</f>
        <v>47</v>
      </c>
      <c r="G2224">
        <f t="shared" si="185"/>
        <v>3</v>
      </c>
      <c r="H2224" t="s">
        <v>247</v>
      </c>
    </row>
    <row r="2225" spans="1:9" x14ac:dyDescent="0.25">
      <c r="A2225" s="1">
        <f t="shared" si="191"/>
        <v>45522</v>
      </c>
      <c r="B2225" s="31">
        <f>TIME(17,14, 0)</f>
        <v>0.71805555555555556</v>
      </c>
      <c r="C2225" t="str">
        <f>'Inventory as of 12th Aug 2024'!A183</f>
        <v>T.Heat Potato crisps Tomato 25g</v>
      </c>
      <c r="D2225" s="27">
        <v>2</v>
      </c>
      <c r="E2225" s="5">
        <f>Table4[[#This Row],[qty]]*(VLOOKUP(Table4[[#This Row],[item_sold]],Table1[],5,FALSE))</f>
        <v>60</v>
      </c>
      <c r="F2225" s="5">
        <f>(VLOOKUP(Table4[[#This Row],[item_sold]],Table1[],4,FALSE))*Table4[[#This Row],[qty]]</f>
        <v>45.833333333333336</v>
      </c>
      <c r="G2225">
        <f t="shared" si="185"/>
        <v>14.166666666666664</v>
      </c>
      <c r="H2225" t="s">
        <v>359</v>
      </c>
      <c r="I2225" t="s">
        <v>389</v>
      </c>
    </row>
    <row r="2226" spans="1:9" x14ac:dyDescent="0.25">
      <c r="A2226" s="1">
        <f t="shared" si="191"/>
        <v>45522</v>
      </c>
      <c r="B2226" s="31">
        <f>TIME(17,30, 0)</f>
        <v>0.72916666666666663</v>
      </c>
      <c r="C2226" t="str">
        <f>'Inventory as of 12th Aug 2024'!A232</f>
        <v>coo</v>
      </c>
      <c r="D2226" s="27">
        <v>2</v>
      </c>
      <c r="E2226" s="5">
        <f>Table4[[#This Row],[qty]]*(VLOOKUP(Table4[[#This Row],[item_sold]],Table1[],5,FALSE))</f>
        <v>5</v>
      </c>
      <c r="F2226" s="5">
        <f>(VLOOKUP(Table4[[#This Row],[item_sold]],Table1[],4,FALSE))*Table4[[#This Row],[qty]]</f>
        <v>2.4</v>
      </c>
      <c r="G2226">
        <f t="shared" si="185"/>
        <v>2.6</v>
      </c>
      <c r="H2226" t="s">
        <v>247</v>
      </c>
    </row>
    <row r="2227" spans="1:9" x14ac:dyDescent="0.25">
      <c r="A2227" s="1">
        <f t="shared" si="191"/>
        <v>45522</v>
      </c>
      <c r="B2227" s="31">
        <f>TIME(18,15, 0)</f>
        <v>0.76041666666666663</v>
      </c>
      <c r="C2227" t="str">
        <f>'Inventory as of 12th Aug 2024'!A5</f>
        <v>Airtel 20 Credit</v>
      </c>
      <c r="D2227" s="27">
        <v>3</v>
      </c>
      <c r="E2227" s="5">
        <f>Table4[[#This Row],[qty]]*(VLOOKUP(Table4[[#This Row],[item_sold]],Table1[],5,FALSE))</f>
        <v>60</v>
      </c>
      <c r="F2227" s="5">
        <f>(VLOOKUP(Table4[[#This Row],[item_sold]],Table1[],4,FALSE))*Table4[[#This Row],[qty]]</f>
        <v>54</v>
      </c>
      <c r="G2227">
        <f t="shared" si="185"/>
        <v>6</v>
      </c>
      <c r="H2227" t="s">
        <v>359</v>
      </c>
      <c r="I2227" t="s">
        <v>391</v>
      </c>
    </row>
    <row r="2228" spans="1:9" x14ac:dyDescent="0.25">
      <c r="A2228" s="1">
        <f t="shared" si="191"/>
        <v>45522</v>
      </c>
      <c r="B2228" s="31">
        <f>TIME(18,15, 0)</f>
        <v>0.76041666666666663</v>
      </c>
      <c r="C2228" t="str">
        <f>'Inventory as of 12th Aug 2024'!A58</f>
        <v>Safari</v>
      </c>
      <c r="D2228" s="27">
        <v>2</v>
      </c>
      <c r="E2228" s="5">
        <f>Table4[[#This Row],[qty]]*(VLOOKUP(Table4[[#This Row],[item_sold]],Table1[],5,FALSE))</f>
        <v>30</v>
      </c>
      <c r="F2228" s="5">
        <f>(VLOOKUP(Table4[[#This Row],[item_sold]],Table1[],4,FALSE))*Table4[[#This Row],[qty]]</f>
        <v>17</v>
      </c>
      <c r="G2228">
        <f t="shared" si="185"/>
        <v>13</v>
      </c>
      <c r="H2228" t="s">
        <v>359</v>
      </c>
      <c r="I2228" t="s">
        <v>391</v>
      </c>
    </row>
    <row r="2229" spans="1:9" x14ac:dyDescent="0.25">
      <c r="A2229" s="1">
        <f t="shared" si="191"/>
        <v>45522</v>
      </c>
      <c r="B2229" s="31">
        <f>TIME(18,20, 0)</f>
        <v>0.76388888888888884</v>
      </c>
      <c r="C2229" t="str">
        <f>'Inventory as of 12th Aug 2024'!A167</f>
        <v>Handkerchief</v>
      </c>
      <c r="D2229" s="27">
        <v>1</v>
      </c>
      <c r="E2229" s="5">
        <f>Table4[[#This Row],[qty]]*(VLOOKUP(Table4[[#This Row],[item_sold]],Table1[],5,FALSE))</f>
        <v>20</v>
      </c>
      <c r="F2229" s="5">
        <f>(VLOOKUP(Table4[[#This Row],[item_sold]],Table1[],4,FALSE))*Table4[[#This Row],[qty]]</f>
        <v>12</v>
      </c>
      <c r="G2229">
        <f t="shared" si="185"/>
        <v>8</v>
      </c>
      <c r="H2229" t="s">
        <v>359</v>
      </c>
      <c r="I2229" t="s">
        <v>390</v>
      </c>
    </row>
    <row r="2230" spans="1:9" x14ac:dyDescent="0.25">
      <c r="A2230" s="1">
        <f t="shared" si="191"/>
        <v>45522</v>
      </c>
      <c r="B2230" s="31">
        <f>TIME(18,39, 0)</f>
        <v>0.77708333333333324</v>
      </c>
      <c r="C2230" t="str">
        <f>'Inventory as of 12th Aug 2024'!A41</f>
        <v>Indomie beef</v>
      </c>
      <c r="D2230" s="27">
        <v>1</v>
      </c>
      <c r="E2230" s="5">
        <f>Table4[[#This Row],[qty]]*(VLOOKUP(Table4[[#This Row],[item_sold]],Table1[],5,FALSE))</f>
        <v>50</v>
      </c>
      <c r="F2230" s="5">
        <f>(VLOOKUP(Table4[[#This Row],[item_sold]],Table1[],4,FALSE))*Table4[[#This Row],[qty]]</f>
        <v>38</v>
      </c>
      <c r="G2230">
        <f t="shared" si="185"/>
        <v>12</v>
      </c>
      <c r="H2230" t="s">
        <v>361</v>
      </c>
    </row>
    <row r="2231" spans="1:9" x14ac:dyDescent="0.25">
      <c r="A2231" s="1">
        <f t="shared" si="191"/>
        <v>45522</v>
      </c>
      <c r="B2231" s="31">
        <f>TIME(18,39, 0)</f>
        <v>0.77708333333333324</v>
      </c>
      <c r="C2231" t="str">
        <f>'Inventory as of 12th Aug 2024'!A8</f>
        <v>eggs</v>
      </c>
      <c r="D2231" s="27">
        <v>2</v>
      </c>
      <c r="E2231" s="5">
        <f>Table4[[#This Row],[qty]]*(VLOOKUP(Table4[[#This Row],[item_sold]],Table1[],5,FALSE))</f>
        <v>40</v>
      </c>
      <c r="F2231" s="5">
        <f>(VLOOKUP(Table4[[#This Row],[item_sold]],Table1[],4,FALSE))*Table4[[#This Row],[qty]]</f>
        <v>28.666666666666668</v>
      </c>
      <c r="G2231">
        <f t="shared" si="185"/>
        <v>11.333333333333332</v>
      </c>
      <c r="H2231" t="s">
        <v>361</v>
      </c>
    </row>
    <row r="2232" spans="1:9" x14ac:dyDescent="0.25">
      <c r="A2232" s="1">
        <f t="shared" si="191"/>
        <v>45522</v>
      </c>
      <c r="B2232" s="31">
        <f>TIME(18,35, 0)</f>
        <v>0.77430555555555547</v>
      </c>
      <c r="C2232" t="str">
        <f>'Inventory as of 12th Aug 2024'!A42</f>
        <v>Indomie chicken</v>
      </c>
      <c r="D2232" s="27">
        <v>1</v>
      </c>
      <c r="E2232" s="5">
        <f>Table4[[#This Row],[qty]]*(VLOOKUP(Table4[[#This Row],[item_sold]],Table1[],5,FALSE))</f>
        <v>50</v>
      </c>
      <c r="F2232" s="5">
        <f>(VLOOKUP(Table4[[#This Row],[item_sold]],Table1[],4,FALSE))*Table4[[#This Row],[qty]]</f>
        <v>37.5</v>
      </c>
      <c r="G2232">
        <f t="shared" si="185"/>
        <v>12.5</v>
      </c>
      <c r="H2232" t="s">
        <v>361</v>
      </c>
    </row>
    <row r="2233" spans="1:9" x14ac:dyDescent="0.25">
      <c r="A2233" s="1">
        <f t="shared" si="191"/>
        <v>45522</v>
      </c>
      <c r="B2233" s="31">
        <f>TIME(18,50, 0)</f>
        <v>0.78472222222222221</v>
      </c>
      <c r="C2233" t="str">
        <f>'Inventory as of 12th Aug 2024'!A120</f>
        <v>Maramoja</v>
      </c>
      <c r="D2233" s="27">
        <v>2</v>
      </c>
      <c r="E2233" s="5">
        <f>Table4[[#This Row],[qty]]*(VLOOKUP(Table4[[#This Row],[item_sold]],Table1[],5,FALSE))</f>
        <v>20</v>
      </c>
      <c r="F2233" s="5">
        <f>(VLOOKUP(Table4[[#This Row],[item_sold]],Table1[],4,FALSE))*Table4[[#This Row],[qty]]</f>
        <v>14</v>
      </c>
      <c r="G2233">
        <f t="shared" si="185"/>
        <v>6</v>
      </c>
      <c r="H2233" t="s">
        <v>361</v>
      </c>
    </row>
    <row r="2234" spans="1:9" x14ac:dyDescent="0.25">
      <c r="A2234" s="1">
        <f t="shared" si="191"/>
        <v>45522</v>
      </c>
      <c r="B2234" s="31">
        <f>TIME(19,0, 0)</f>
        <v>0.79166666666666663</v>
      </c>
      <c r="C2234" t="str">
        <f>'Inventory as of 12th Aug 2024'!A50</f>
        <v>Pishori rice</v>
      </c>
      <c r="D2234" s="27">
        <v>1</v>
      </c>
      <c r="E2234" s="5">
        <f>Table4[[#This Row],[qty]]*(VLOOKUP(Table4[[#This Row],[item_sold]],Table1[],5,FALSE))</f>
        <v>220</v>
      </c>
      <c r="F2234" s="5">
        <f>(VLOOKUP(Table4[[#This Row],[item_sold]],Table1[],4,FALSE))*Table4[[#This Row],[qty]]</f>
        <v>180</v>
      </c>
      <c r="G2234">
        <f t="shared" si="185"/>
        <v>40</v>
      </c>
      <c r="H2234" t="s">
        <v>359</v>
      </c>
      <c r="I2234" t="s">
        <v>406</v>
      </c>
    </row>
    <row r="2235" spans="1:9" x14ac:dyDescent="0.25">
      <c r="A2235" s="1">
        <f t="shared" si="191"/>
        <v>45522</v>
      </c>
      <c r="B2235" s="31">
        <f>TIME(19,4, 0)</f>
        <v>0.7944444444444444</v>
      </c>
      <c r="C2235" t="str">
        <f>'Inventory as of 12th Aug 2024'!A190</f>
        <v>Goodday Cookies</v>
      </c>
      <c r="D2235" s="27">
        <v>1</v>
      </c>
      <c r="E2235" s="5">
        <f>Table4[[#This Row],[qty]]*(VLOOKUP(Table4[[#This Row],[item_sold]],Table1[],5,FALSE))</f>
        <v>15</v>
      </c>
      <c r="F2235" s="5">
        <f>(VLOOKUP(Table4[[#This Row],[item_sold]],Table1[],4,FALSE))*Table4[[#This Row],[qty]]</f>
        <v>9.3333333333333339</v>
      </c>
      <c r="G2235">
        <f t="shared" si="185"/>
        <v>5.6666666666666661</v>
      </c>
      <c r="H2235" t="s">
        <v>247</v>
      </c>
    </row>
    <row r="2236" spans="1:9" x14ac:dyDescent="0.25">
      <c r="A2236" s="1">
        <f t="shared" si="191"/>
        <v>45522</v>
      </c>
      <c r="B2236" s="31">
        <f t="shared" ref="B2236" si="197">TIME(19,4, 0)</f>
        <v>0.7944444444444444</v>
      </c>
      <c r="C2236" t="str">
        <f>'Inventory as of 12th Aug 2024'!A91</f>
        <v>Tomatoes</v>
      </c>
      <c r="D2236" s="27">
        <v>1</v>
      </c>
      <c r="E2236" s="5">
        <f>Table4[[#This Row],[qty]]*(VLOOKUP(Table4[[#This Row],[item_sold]],Table1[],5,FALSE))</f>
        <v>10</v>
      </c>
      <c r="F2236" s="5">
        <f>(VLOOKUP(Table4[[#This Row],[item_sold]],Table1[],4,FALSE))*Table4[[#This Row],[qty]]</f>
        <v>5</v>
      </c>
      <c r="G2236">
        <f t="shared" si="185"/>
        <v>5</v>
      </c>
      <c r="H2236" t="s">
        <v>359</v>
      </c>
      <c r="I2236" t="s">
        <v>423</v>
      </c>
    </row>
    <row r="2237" spans="1:9" x14ac:dyDescent="0.25">
      <c r="A2237" s="1">
        <f t="shared" si="191"/>
        <v>45522</v>
      </c>
      <c r="B2237" s="31">
        <f>TIME(19,13, 0)</f>
        <v>0.80069444444444438</v>
      </c>
      <c r="C2237" t="str">
        <f>'Inventory as of 12th Aug 2024'!A141</f>
        <v>Colgate 35g</v>
      </c>
      <c r="D2237" s="27">
        <v>1</v>
      </c>
      <c r="E2237" s="5">
        <f>Table4[[#This Row],[qty]]*(VLOOKUP(Table4[[#This Row],[item_sold]],Table1[],5,FALSE))</f>
        <v>80</v>
      </c>
      <c r="F2237" s="5">
        <f>(VLOOKUP(Table4[[#This Row],[item_sold]],Table1[],4,FALSE))*Table4[[#This Row],[qty]]</f>
        <v>62.5</v>
      </c>
      <c r="G2237">
        <f t="shared" si="185"/>
        <v>17.5</v>
      </c>
      <c r="H2237" t="s">
        <v>361</v>
      </c>
    </row>
    <row r="2238" spans="1:9" x14ac:dyDescent="0.25">
      <c r="A2238" s="1">
        <f t="shared" si="191"/>
        <v>45522</v>
      </c>
      <c r="B2238" s="31">
        <f t="shared" ref="B2238:B2247" si="198">TIME(19,13, 0)</f>
        <v>0.80069444444444438</v>
      </c>
      <c r="C2238" t="str">
        <f>'Inventory as of 12th Aug 2024'!A215</f>
        <v>Blueband 100g</v>
      </c>
      <c r="D2238" s="27">
        <v>1</v>
      </c>
      <c r="E2238" s="5">
        <f>Table4[[#This Row],[qty]]*(VLOOKUP(Table4[[#This Row],[item_sold]],Table1[],5,FALSE))</f>
        <v>70</v>
      </c>
      <c r="F2238" s="5">
        <f>(VLOOKUP(Table4[[#This Row],[item_sold]],Table1[],4,FALSE))*Table4[[#This Row],[qty]]</f>
        <v>58.333333333333336</v>
      </c>
      <c r="G2238">
        <f t="shared" si="185"/>
        <v>11.666666666666664</v>
      </c>
      <c r="H2238" t="s">
        <v>361</v>
      </c>
    </row>
    <row r="2239" spans="1:9" x14ac:dyDescent="0.25">
      <c r="A2239" s="1">
        <f t="shared" si="191"/>
        <v>45522</v>
      </c>
      <c r="B2239" s="31">
        <f t="shared" si="198"/>
        <v>0.80069444444444438</v>
      </c>
      <c r="C2239" t="str">
        <f>'Inventory as of 12th Aug 2024'!A75</f>
        <v>Cooking Oil Measured</v>
      </c>
      <c r="D2239" s="27">
        <v>0.25</v>
      </c>
      <c r="E2239" s="5">
        <f>Table4[[#This Row],[qty]]*(VLOOKUP(Table4[[#This Row],[item_sold]],Table1[],5,FALSE))</f>
        <v>70</v>
      </c>
      <c r="F2239" s="5">
        <f>(VLOOKUP(Table4[[#This Row],[item_sold]],Table1[],4,FALSE))*Table4[[#This Row],[qty]]</f>
        <v>50</v>
      </c>
      <c r="G2239">
        <f t="shared" si="185"/>
        <v>20</v>
      </c>
      <c r="H2239" t="s">
        <v>361</v>
      </c>
    </row>
    <row r="2240" spans="1:9" x14ac:dyDescent="0.25">
      <c r="A2240" s="1">
        <f t="shared" si="191"/>
        <v>45522</v>
      </c>
      <c r="B2240" s="31">
        <f t="shared" si="198"/>
        <v>0.80069444444444438</v>
      </c>
      <c r="C2240" t="str">
        <f>'Inventory as of 12th Aug 2024'!A51</f>
        <v>Sindano rice</v>
      </c>
      <c r="D2240" s="27">
        <v>0.5</v>
      </c>
      <c r="E2240" s="5">
        <f>Table4[[#This Row],[qty]]*(VLOOKUP(Table4[[#This Row],[item_sold]],Table1[],5,FALSE))</f>
        <v>75</v>
      </c>
      <c r="F2240" s="5">
        <f>(VLOOKUP(Table4[[#This Row],[item_sold]],Table1[],4,FALSE))*Table4[[#This Row],[qty]]</f>
        <v>60</v>
      </c>
      <c r="G2240">
        <f t="shared" si="185"/>
        <v>15</v>
      </c>
      <c r="H2240" t="s">
        <v>361</v>
      </c>
    </row>
    <row r="2241" spans="1:12" x14ac:dyDescent="0.25">
      <c r="A2241" s="1">
        <f t="shared" si="191"/>
        <v>45522</v>
      </c>
      <c r="B2241" s="31">
        <f t="shared" si="198"/>
        <v>0.80069444444444438</v>
      </c>
      <c r="C2241" t="str">
        <f>'Inventory as of 12th Aug 2024'!A31</f>
        <v>Drinking Chocolate 20g</v>
      </c>
      <c r="D2241" s="27">
        <v>1</v>
      </c>
      <c r="E2241" s="5">
        <f>Table4[[#This Row],[qty]]*(VLOOKUP(Table4[[#This Row],[item_sold]],Table1[],5,FALSE))</f>
        <v>20</v>
      </c>
      <c r="F2241" s="5">
        <f>(VLOOKUP(Table4[[#This Row],[item_sold]],Table1[],4,FALSE))*Table4[[#This Row],[qty]]</f>
        <v>10.416666666666666</v>
      </c>
      <c r="G2241">
        <f t="shared" si="185"/>
        <v>9.5833333333333339</v>
      </c>
      <c r="H2241" t="s">
        <v>361</v>
      </c>
    </row>
    <row r="2242" spans="1:12" x14ac:dyDescent="0.25">
      <c r="A2242" s="1">
        <f t="shared" si="191"/>
        <v>45522</v>
      </c>
      <c r="B2242" s="31">
        <f t="shared" si="198"/>
        <v>0.80069444444444438</v>
      </c>
      <c r="C2242" t="str">
        <f>'Inventory as of 12th Aug 2024'!A138</f>
        <v>Softcare pads</v>
      </c>
      <c r="D2242" s="27">
        <v>1</v>
      </c>
      <c r="E2242" s="5">
        <f>Table4[[#This Row],[qty]]*(VLOOKUP(Table4[[#This Row],[item_sold]],Table1[],5,FALSE))</f>
        <v>85</v>
      </c>
      <c r="F2242" s="5">
        <f>(VLOOKUP(Table4[[#This Row],[item_sold]],Table1[],4,FALSE))*Table4[[#This Row],[qty]]</f>
        <v>66</v>
      </c>
      <c r="G2242">
        <f t="shared" si="185"/>
        <v>19</v>
      </c>
      <c r="H2242" t="s">
        <v>361</v>
      </c>
    </row>
    <row r="2243" spans="1:12" x14ac:dyDescent="0.25">
      <c r="A2243" s="1">
        <f t="shared" si="191"/>
        <v>45522</v>
      </c>
      <c r="B2243" s="31">
        <f t="shared" si="198"/>
        <v>0.80069444444444438</v>
      </c>
      <c r="C2243" t="str">
        <f>'Inventory as of 12th Aug 2024'!A213</f>
        <v>soda 500ml glass</v>
      </c>
      <c r="D2243" s="27">
        <v>1</v>
      </c>
      <c r="E2243" s="5">
        <f>Table4[[#This Row],[qty]]*(VLOOKUP(Table4[[#This Row],[item_sold]],Table1[],5,FALSE))</f>
        <v>55</v>
      </c>
      <c r="F2243" s="5">
        <f>(VLOOKUP(Table4[[#This Row],[item_sold]],Table1[],4,FALSE))*Table4[[#This Row],[qty]]</f>
        <v>50</v>
      </c>
      <c r="G2243">
        <f t="shared" si="185"/>
        <v>5</v>
      </c>
      <c r="H2243" t="s">
        <v>361</v>
      </c>
    </row>
    <row r="2244" spans="1:12" x14ac:dyDescent="0.25">
      <c r="A2244" s="1">
        <f t="shared" si="191"/>
        <v>45522</v>
      </c>
      <c r="B2244" s="31">
        <f t="shared" si="198"/>
        <v>0.80069444444444438</v>
      </c>
      <c r="C2244" t="str">
        <f>'Inventory as of 12th Aug 2024'!A79</f>
        <v xml:space="preserve">Whitewash </v>
      </c>
      <c r="D2244" s="27">
        <v>1</v>
      </c>
      <c r="E2244" s="5">
        <f>Table4[[#This Row],[qty]]*(VLOOKUP(Table4[[#This Row],[item_sold]],Table1[],5,FALSE))</f>
        <v>50</v>
      </c>
      <c r="F2244" s="5">
        <f>(VLOOKUP(Table4[[#This Row],[item_sold]],Table1[],4,FALSE))*Table4[[#This Row],[qty]]</f>
        <v>33.75</v>
      </c>
      <c r="G2244">
        <f t="shared" si="185"/>
        <v>16.25</v>
      </c>
      <c r="H2244" t="s">
        <v>361</v>
      </c>
    </row>
    <row r="2245" spans="1:12" x14ac:dyDescent="0.25">
      <c r="A2245" s="1">
        <f t="shared" si="191"/>
        <v>45522</v>
      </c>
      <c r="B2245" s="31">
        <f t="shared" si="198"/>
        <v>0.80069444444444438</v>
      </c>
      <c r="C2245" t="str">
        <f>'Inventory as of 12th Aug 2024'!A81</f>
        <v>ariel 75g</v>
      </c>
      <c r="D2245" s="27">
        <v>1</v>
      </c>
      <c r="E2245" s="5">
        <f>Table4[[#This Row],[qty]]*(VLOOKUP(Table4[[#This Row],[item_sold]],Table1[],5,FALSE))</f>
        <v>35</v>
      </c>
      <c r="F2245" s="5">
        <f>(VLOOKUP(Table4[[#This Row],[item_sold]],Table1[],4,FALSE))*Table4[[#This Row],[qty]]</f>
        <v>27.5</v>
      </c>
      <c r="G2245">
        <f t="shared" ref="G2245:G2248" si="199">E2245-F2245</f>
        <v>7.5</v>
      </c>
      <c r="H2245" t="s">
        <v>361</v>
      </c>
    </row>
    <row r="2246" spans="1:12" x14ac:dyDescent="0.25">
      <c r="A2246" s="1">
        <f t="shared" si="191"/>
        <v>45522</v>
      </c>
      <c r="B2246" s="31">
        <f t="shared" si="198"/>
        <v>0.80069444444444438</v>
      </c>
      <c r="C2246" t="str">
        <f>'Inventory as of 12th Aug 2024'!A90</f>
        <v>Onion</v>
      </c>
      <c r="D2246" s="27">
        <v>3</v>
      </c>
      <c r="E2246" s="5">
        <f>Table4[[#This Row],[qty]]*(VLOOKUP(Table4[[#This Row],[item_sold]],Table1[],5,FALSE))</f>
        <v>30</v>
      </c>
      <c r="F2246" s="5">
        <f>(VLOOKUP(Table4[[#This Row],[item_sold]],Table1[],4,FALSE))*Table4[[#This Row],[qty]]</f>
        <v>24</v>
      </c>
      <c r="G2246">
        <f t="shared" si="199"/>
        <v>6</v>
      </c>
      <c r="H2246" t="s">
        <v>361</v>
      </c>
    </row>
    <row r="2247" spans="1:12" x14ac:dyDescent="0.25">
      <c r="A2247" s="1">
        <f t="shared" si="191"/>
        <v>45522</v>
      </c>
      <c r="B2247" s="31">
        <f t="shared" si="198"/>
        <v>0.80069444444444438</v>
      </c>
      <c r="C2247" t="str">
        <f>'Inventory as of 12th Aug 2024'!A149</f>
        <v>Arimis small</v>
      </c>
      <c r="D2247" s="27">
        <v>1</v>
      </c>
      <c r="E2247" s="5">
        <f>Table4[[#This Row],[qty]]*(VLOOKUP(Table4[[#This Row],[item_sold]],Table1[],5,FALSE))</f>
        <v>35</v>
      </c>
      <c r="F2247" s="5">
        <f>(VLOOKUP(Table4[[#This Row],[item_sold]],Table1[],4,FALSE))*Table4[[#This Row],[qty]]</f>
        <v>23.333333333333332</v>
      </c>
      <c r="G2247">
        <f t="shared" si="199"/>
        <v>11.666666666666668</v>
      </c>
      <c r="H2247" t="s">
        <v>361</v>
      </c>
    </row>
    <row r="2248" spans="1:12" x14ac:dyDescent="0.25">
      <c r="A2248" s="1">
        <f t="shared" si="191"/>
        <v>45522</v>
      </c>
      <c r="B2248" s="31">
        <f>TIME(19,16, 0)</f>
        <v>0.8027777777777777</v>
      </c>
      <c r="C2248" t="str">
        <f>'Inventory as of 12th Aug 2024'!A16</f>
        <v>Mt kenya milk 500ml</v>
      </c>
      <c r="D2248" s="27">
        <v>2</v>
      </c>
      <c r="E2248" s="5">
        <f>Table4[[#This Row],[qty]]*(VLOOKUP(Table4[[#This Row],[item_sold]],Table1[],5,FALSE))</f>
        <v>130</v>
      </c>
      <c r="F2248" s="5">
        <f>(VLOOKUP(Table4[[#This Row],[item_sold]],Table1[],4,FALSE))*Table4[[#This Row],[qty]]</f>
        <v>96.666666666666671</v>
      </c>
      <c r="G2248">
        <f t="shared" si="199"/>
        <v>33.333333333333329</v>
      </c>
      <c r="H2248" t="s">
        <v>361</v>
      </c>
    </row>
    <row r="2249" spans="1:12" x14ac:dyDescent="0.25">
      <c r="A2249" s="1">
        <f t="shared" si="191"/>
        <v>45522</v>
      </c>
      <c r="B2249" s="31">
        <f t="shared" ref="B2249" si="200">TIME(19,16, 0)</f>
        <v>0.8027777777777777</v>
      </c>
      <c r="C2249" t="str">
        <f>'Inventory as of 12th Aug 2024'!A8</f>
        <v>eggs</v>
      </c>
      <c r="D2249" s="27">
        <v>4</v>
      </c>
      <c r="E2249" s="5">
        <f>Table4[[#This Row],[qty]]*(VLOOKUP(Table4[[#This Row],[item_sold]],Table1[],5,FALSE))</f>
        <v>80</v>
      </c>
      <c r="F2249" s="5">
        <f>(VLOOKUP(Table4[[#This Row],[item_sold]],Table1[],4,FALSE))*Table4[[#This Row],[qty]]</f>
        <v>57.333333333333336</v>
      </c>
      <c r="G2249">
        <f t="shared" ref="G2249:G2262" si="201">E2249-F2249</f>
        <v>22.666666666666664</v>
      </c>
      <c r="H2249" t="s">
        <v>361</v>
      </c>
    </row>
    <row r="2250" spans="1:12" x14ac:dyDescent="0.25">
      <c r="A2250" s="1">
        <f t="shared" si="191"/>
        <v>45522</v>
      </c>
      <c r="B2250" s="31">
        <f>TIME(15,28, 0)</f>
        <v>0.64444444444444449</v>
      </c>
      <c r="C2250" t="str">
        <f>'Inventory as of 12th Aug 2024'!A21</f>
        <v>kinangop250g youghurt</v>
      </c>
      <c r="D2250" s="27">
        <v>1</v>
      </c>
      <c r="E2250" s="5">
        <f>Table4[[#This Row],[qty]]*(VLOOKUP(Table4[[#This Row],[item_sold]],Table1[],5,FALSE))</f>
        <v>60</v>
      </c>
      <c r="F2250" s="5">
        <f>(VLOOKUP(Table4[[#This Row],[item_sold]],Table1[],4,FALSE))*Table4[[#This Row],[qty]]</f>
        <v>48.333333333333336</v>
      </c>
      <c r="G2250">
        <f t="shared" si="201"/>
        <v>11.666666666666664</v>
      </c>
      <c r="H2250" t="s">
        <v>361</v>
      </c>
    </row>
    <row r="2251" spans="1:12" x14ac:dyDescent="0.25">
      <c r="A2251" s="1">
        <f t="shared" si="191"/>
        <v>45522</v>
      </c>
      <c r="B2251" s="31">
        <f t="shared" ref="B2251" si="202">TIME(15,28, 0)</f>
        <v>0.64444444444444449</v>
      </c>
      <c r="C2251" t="str">
        <f>'Inventory as of 12th Aug 2024'!A116</f>
        <v>laundry brush</v>
      </c>
      <c r="D2251" s="27">
        <v>1</v>
      </c>
      <c r="E2251" s="5">
        <f>Table4[[#This Row],[qty]]*(VLOOKUP(Table4[[#This Row],[item_sold]],Table1[],5,FALSE))</f>
        <v>50</v>
      </c>
      <c r="F2251" s="5">
        <f>(VLOOKUP(Table4[[#This Row],[item_sold]],Table1[],4,FALSE))*Table4[[#This Row],[qty]]</f>
        <v>40</v>
      </c>
      <c r="G2251">
        <f t="shared" si="201"/>
        <v>10</v>
      </c>
      <c r="H2251" t="s">
        <v>361</v>
      </c>
    </row>
    <row r="2252" spans="1:12" x14ac:dyDescent="0.25">
      <c r="A2252" s="1">
        <f t="shared" si="191"/>
        <v>45522</v>
      </c>
      <c r="B2252" s="31">
        <f>TIME(19,34, 0)</f>
        <v>0.81527777777777777</v>
      </c>
      <c r="C2252" t="str">
        <f>'Inventory as of 12th Aug 2024'!A195</f>
        <v>Ring Cake</v>
      </c>
      <c r="D2252" s="27">
        <v>1</v>
      </c>
      <c r="E2252" s="5">
        <f>Table4[[#This Row],[qty]]*(VLOOKUP(Table4[[#This Row],[item_sold]],Table1[],5,FALSE))</f>
        <v>50</v>
      </c>
      <c r="F2252" s="5">
        <f>(VLOOKUP(Table4[[#This Row],[item_sold]],Table1[],4,FALSE))*Table4[[#This Row],[qty]]</f>
        <v>45</v>
      </c>
      <c r="G2252">
        <f t="shared" si="201"/>
        <v>5</v>
      </c>
      <c r="H2252" t="s">
        <v>361</v>
      </c>
    </row>
    <row r="2253" spans="1:12" x14ac:dyDescent="0.25">
      <c r="A2253" s="1">
        <f t="shared" si="191"/>
        <v>45522</v>
      </c>
      <c r="B2253" s="31">
        <f t="shared" ref="B2253" si="203">TIME(19,34, 0)</f>
        <v>0.81527777777777777</v>
      </c>
      <c r="C2253" t="str">
        <f>'Inventory as of 12th Aug 2024'!A17</f>
        <v>Brookside milk 500ml</v>
      </c>
      <c r="D2253" s="27">
        <v>1</v>
      </c>
      <c r="E2253" s="5">
        <f>Table4[[#This Row],[qty]]*(VLOOKUP(Table4[[#This Row],[item_sold]],Table1[],5,FALSE))</f>
        <v>70</v>
      </c>
      <c r="F2253" s="5">
        <f>(VLOOKUP(Table4[[#This Row],[item_sold]],Table1[],4,FALSE))*Table4[[#This Row],[qty]]</f>
        <v>59</v>
      </c>
      <c r="G2253">
        <f t="shared" si="201"/>
        <v>11</v>
      </c>
      <c r="H2253" t="s">
        <v>361</v>
      </c>
    </row>
    <row r="2254" spans="1:12" x14ac:dyDescent="0.25">
      <c r="A2254" s="1">
        <f t="shared" si="191"/>
        <v>45522</v>
      </c>
      <c r="B2254" s="31">
        <f>TIME(19,37, 0)</f>
        <v>0.81736111111111109</v>
      </c>
      <c r="C2254" t="str">
        <f>'Inventory as of 12th Aug 2024'!A9</f>
        <v>Kinangop Fresh Milk 500ml</v>
      </c>
      <c r="D2254" s="27">
        <v>1</v>
      </c>
      <c r="E2254" s="5">
        <f>Table4[[#This Row],[qty]]*(VLOOKUP(Table4[[#This Row],[item_sold]],Table1[],5,FALSE))</f>
        <v>60</v>
      </c>
      <c r="F2254" s="5">
        <f>(VLOOKUP(Table4[[#This Row],[item_sold]],Table1[],4,FALSE))*Table4[[#This Row],[qty]]</f>
        <v>55</v>
      </c>
      <c r="G2254">
        <f t="shared" si="201"/>
        <v>5</v>
      </c>
      <c r="H2254" t="s">
        <v>359</v>
      </c>
      <c r="I2254" t="s">
        <v>390</v>
      </c>
    </row>
    <row r="2255" spans="1:12" x14ac:dyDescent="0.25">
      <c r="A2255" s="1">
        <f t="shared" si="191"/>
        <v>45522</v>
      </c>
      <c r="B2255" s="31">
        <f>TIME(19,28, 0)</f>
        <v>0.81111111111111101</v>
      </c>
      <c r="C2255" t="str">
        <f>'Inventory as of 12th Aug 2024'!A248</f>
        <v>Soko Maize meal</v>
      </c>
      <c r="D2255" s="27">
        <v>1</v>
      </c>
      <c r="E2255" s="5">
        <f>Table4[[#This Row],[qty]]*(VLOOKUP(Table4[[#This Row],[item_sold]],Table1[],5,FALSE))</f>
        <v>160</v>
      </c>
      <c r="F2255" s="5">
        <f>(VLOOKUP(Table4[[#This Row],[item_sold]],Table1[],4,FALSE))*Table4[[#This Row],[qty]]</f>
        <v>125</v>
      </c>
      <c r="G2255">
        <f t="shared" si="201"/>
        <v>35</v>
      </c>
      <c r="H2255" t="s">
        <v>359</v>
      </c>
      <c r="I2255" t="s">
        <v>418</v>
      </c>
    </row>
    <row r="2256" spans="1:12" x14ac:dyDescent="0.25">
      <c r="A2256" s="1">
        <f t="shared" si="191"/>
        <v>45522</v>
      </c>
      <c r="B2256" s="31">
        <f t="shared" ref="B2256:B2259" si="204">TIME(19,28, 0)</f>
        <v>0.81111111111111101</v>
      </c>
      <c r="C2256" t="str">
        <f>'Inventory as of 12th Aug 2024'!A138</f>
        <v>Softcare pads</v>
      </c>
      <c r="D2256" s="27">
        <v>1</v>
      </c>
      <c r="E2256" s="5">
        <f>Table4[[#This Row],[qty]]*(VLOOKUP(Table4[[#This Row],[item_sold]],Table1[],5,FALSE))</f>
        <v>85</v>
      </c>
      <c r="F2256" s="5">
        <f>(VLOOKUP(Table4[[#This Row],[item_sold]],Table1[],4,FALSE))*Table4[[#This Row],[qty]]</f>
        <v>66</v>
      </c>
      <c r="G2256">
        <f t="shared" si="201"/>
        <v>19</v>
      </c>
      <c r="H2256" t="s">
        <v>359</v>
      </c>
      <c r="I2256" t="s">
        <v>418</v>
      </c>
      <c r="J2256" t="s">
        <v>418</v>
      </c>
      <c r="K2256">
        <v>200</v>
      </c>
      <c r="L2256" t="s">
        <v>361</v>
      </c>
    </row>
    <row r="2257" spans="1:9" x14ac:dyDescent="0.25">
      <c r="A2257" s="1">
        <f t="shared" si="191"/>
        <v>45522</v>
      </c>
      <c r="B2257" s="31">
        <f t="shared" si="204"/>
        <v>0.81111111111111101</v>
      </c>
      <c r="C2257" t="str">
        <f>'Inventory as of 12th Aug 2024'!A188</f>
        <v>Choc-chip Cookies</v>
      </c>
      <c r="D2257" s="27">
        <v>1</v>
      </c>
      <c r="E2257" s="5">
        <f>Table4[[#This Row],[qty]]*(VLOOKUP(Table4[[#This Row],[item_sold]],Table1[],5,FALSE))</f>
        <v>35</v>
      </c>
      <c r="F2257" s="5">
        <f>(VLOOKUP(Table4[[#This Row],[item_sold]],Table1[],4,FALSE))*Table4[[#This Row],[qty]]</f>
        <v>25</v>
      </c>
      <c r="G2257">
        <f t="shared" si="201"/>
        <v>10</v>
      </c>
      <c r="H2257" t="s">
        <v>359</v>
      </c>
      <c r="I2257" t="s">
        <v>418</v>
      </c>
    </row>
    <row r="2258" spans="1:9" x14ac:dyDescent="0.25">
      <c r="A2258" s="1">
        <f t="shared" si="191"/>
        <v>45522</v>
      </c>
      <c r="B2258" s="31">
        <f t="shared" si="204"/>
        <v>0.81111111111111101</v>
      </c>
      <c r="C2258" t="str">
        <f>'Inventory as of 12th Aug 2024'!A24</f>
        <v>Brookside Lala Natural</v>
      </c>
      <c r="D2258" s="27">
        <v>1</v>
      </c>
      <c r="E2258" s="5">
        <f>Table4[[#This Row],[qty]]*(VLOOKUP(Table4[[#This Row],[item_sold]],Table1[],5,FALSE))</f>
        <v>100</v>
      </c>
      <c r="F2258" s="5">
        <f>(VLOOKUP(Table4[[#This Row],[item_sold]],Table1[],4,FALSE))*Table4[[#This Row],[qty]]</f>
        <v>87</v>
      </c>
      <c r="G2258">
        <f t="shared" si="201"/>
        <v>13</v>
      </c>
      <c r="H2258" t="s">
        <v>359</v>
      </c>
      <c r="I2258" t="s">
        <v>385</v>
      </c>
    </row>
    <row r="2259" spans="1:9" x14ac:dyDescent="0.25">
      <c r="A2259" s="1">
        <f t="shared" si="191"/>
        <v>45522</v>
      </c>
      <c r="B2259" s="31">
        <f t="shared" si="204"/>
        <v>0.81111111111111101</v>
      </c>
      <c r="C2259" t="str">
        <f>'Inventory as of 12th Aug 2024'!A9</f>
        <v>Kinangop Fresh Milk 500ml</v>
      </c>
      <c r="D2259" s="27">
        <v>1</v>
      </c>
      <c r="E2259" s="5">
        <f>Table4[[#This Row],[qty]]*(VLOOKUP(Table4[[#This Row],[item_sold]],Table1[],5,FALSE))</f>
        <v>60</v>
      </c>
      <c r="F2259" s="5">
        <f>(VLOOKUP(Table4[[#This Row],[item_sold]],Table1[],4,FALSE))*Table4[[#This Row],[qty]]</f>
        <v>55</v>
      </c>
      <c r="G2259">
        <f t="shared" si="201"/>
        <v>5</v>
      </c>
      <c r="H2259" t="s">
        <v>359</v>
      </c>
      <c r="I2259" t="s">
        <v>385</v>
      </c>
    </row>
    <row r="2260" spans="1:9" x14ac:dyDescent="0.25">
      <c r="A2260" s="1">
        <f>DATE(2024,8,19)</f>
        <v>45523</v>
      </c>
      <c r="B2260" s="31">
        <f>TIME(7,50, 0)</f>
        <v>0.3263888888888889</v>
      </c>
      <c r="C2260" t="str">
        <f>'Inventory as of 12th Aug 2024'!A9</f>
        <v>Kinangop Fresh Milk 500ml</v>
      </c>
      <c r="D2260" s="27">
        <v>1</v>
      </c>
      <c r="E2260" s="5">
        <f>Table4[[#This Row],[qty]]*(VLOOKUP(Table4[[#This Row],[item_sold]],Table1[],5,FALSE))</f>
        <v>60</v>
      </c>
      <c r="F2260" s="5">
        <f>(VLOOKUP(Table4[[#This Row],[item_sold]],Table1[],4,FALSE))*Table4[[#This Row],[qty]]</f>
        <v>55</v>
      </c>
      <c r="G2260">
        <f t="shared" si="201"/>
        <v>5</v>
      </c>
      <c r="H2260" t="s">
        <v>359</v>
      </c>
      <c r="I2260" t="s">
        <v>390</v>
      </c>
    </row>
    <row r="2261" spans="1:9" x14ac:dyDescent="0.25">
      <c r="A2261" s="1">
        <f t="shared" ref="A2261:A2324" si="205">DATE(2024,8,19)</f>
        <v>45523</v>
      </c>
      <c r="B2261" s="31">
        <f>TIME(7,55, 0)</f>
        <v>0.3298611111111111</v>
      </c>
      <c r="C2261" t="str">
        <f>'Inventory as of 12th Aug 2024'!A8</f>
        <v>eggs</v>
      </c>
      <c r="D2261" s="27">
        <v>3</v>
      </c>
      <c r="E2261" s="5">
        <f>Table4[[#This Row],[qty]]*(VLOOKUP(Table4[[#This Row],[item_sold]],Table1[],5,FALSE))</f>
        <v>60</v>
      </c>
      <c r="F2261" s="5">
        <f>(VLOOKUP(Table4[[#This Row],[item_sold]],Table1[],4,FALSE))*Table4[[#This Row],[qty]]</f>
        <v>43</v>
      </c>
      <c r="G2261">
        <f t="shared" si="201"/>
        <v>17</v>
      </c>
      <c r="H2261" t="s">
        <v>359</v>
      </c>
      <c r="I2261" t="s">
        <v>390</v>
      </c>
    </row>
    <row r="2262" spans="1:9" x14ac:dyDescent="0.25">
      <c r="A2262" s="1">
        <f t="shared" si="205"/>
        <v>45523</v>
      </c>
      <c r="B2262" s="31">
        <f>TIME(8,45, 0)</f>
        <v>0.36458333333333331</v>
      </c>
      <c r="C2262" t="str">
        <f>'Inventory as of 12th Aug 2024'!A37</f>
        <v>Festive Bread 400g</v>
      </c>
      <c r="D2262" s="27">
        <v>2</v>
      </c>
      <c r="E2262" s="5">
        <f>Table4[[#This Row],[qty]]*(VLOOKUP(Table4[[#This Row],[item_sold]],Table1[],5,FALSE))</f>
        <v>130</v>
      </c>
      <c r="F2262" s="5">
        <f>(VLOOKUP(Table4[[#This Row],[item_sold]],Table1[],4,FALSE))*Table4[[#This Row],[qty]]</f>
        <v>120</v>
      </c>
      <c r="G2262">
        <f t="shared" si="201"/>
        <v>10</v>
      </c>
      <c r="H2262" t="s">
        <v>247</v>
      </c>
    </row>
    <row r="2263" spans="1:9" x14ac:dyDescent="0.25">
      <c r="A2263" s="1">
        <f t="shared" si="205"/>
        <v>45523</v>
      </c>
      <c r="B2263" s="31">
        <f>TIME(8,50, 0)</f>
        <v>0.36805555555555558</v>
      </c>
      <c r="C2263" t="str">
        <f>'Inventory as of 12th Aug 2024'!A37</f>
        <v>Festive Bread 400g</v>
      </c>
      <c r="D2263" s="27">
        <v>1</v>
      </c>
      <c r="E2263" s="5">
        <f>Table4[[#This Row],[qty]]*(VLOOKUP(Table4[[#This Row],[item_sold]],Table1[],5,FALSE))</f>
        <v>65</v>
      </c>
      <c r="F2263" s="5">
        <f>(VLOOKUP(Table4[[#This Row],[item_sold]],Table1[],4,FALSE))*Table4[[#This Row],[qty]]</f>
        <v>60</v>
      </c>
      <c r="G2263">
        <f t="shared" ref="G2263:G2326" si="206">E2263-F2263</f>
        <v>5</v>
      </c>
      <c r="H2263" t="s">
        <v>359</v>
      </c>
      <c r="I2263" t="s">
        <v>390</v>
      </c>
    </row>
    <row r="2264" spans="1:9" x14ac:dyDescent="0.25">
      <c r="A2264" s="1">
        <f t="shared" si="205"/>
        <v>45523</v>
      </c>
      <c r="B2264" s="31">
        <f t="shared" ref="B2264" si="207">TIME(8,50, 0)</f>
        <v>0.36805555555555558</v>
      </c>
      <c r="C2264" t="str">
        <f>'Inventory as of 12th Aug 2024'!A194</f>
        <v>Half pound cake</v>
      </c>
      <c r="D2264" s="27">
        <v>1</v>
      </c>
      <c r="E2264" s="5">
        <f>Table4[[#This Row],[qty]]*(VLOOKUP(Table4[[#This Row],[item_sold]],Table1[],5,FALSE))</f>
        <v>100</v>
      </c>
      <c r="F2264" s="5">
        <f>(VLOOKUP(Table4[[#This Row],[item_sold]],Table1[],4,FALSE))*Table4[[#This Row],[qty]]</f>
        <v>90</v>
      </c>
      <c r="G2264">
        <f t="shared" si="206"/>
        <v>10</v>
      </c>
      <c r="H2264" t="s">
        <v>359</v>
      </c>
      <c r="I2264" t="s">
        <v>390</v>
      </c>
    </row>
    <row r="2265" spans="1:9" x14ac:dyDescent="0.25">
      <c r="A2265" s="1">
        <f t="shared" si="205"/>
        <v>45523</v>
      </c>
      <c r="B2265" s="31">
        <f>TIME(8,55, 0)</f>
        <v>0.37152777777777773</v>
      </c>
      <c r="C2265" t="str">
        <f>'Inventory as of 12th Aug 2024'!A189</f>
        <v>Peanut Cookies</v>
      </c>
      <c r="D2265" s="27">
        <v>1</v>
      </c>
      <c r="E2265" s="5">
        <f>Table4[[#This Row],[qty]]*(VLOOKUP(Table4[[#This Row],[item_sold]],Table1[],5,FALSE))</f>
        <v>35</v>
      </c>
      <c r="F2265" s="5">
        <f>(VLOOKUP(Table4[[#This Row],[item_sold]],Table1[],4,FALSE))*Table4[[#This Row],[qty]]</f>
        <v>25</v>
      </c>
      <c r="G2265">
        <f t="shared" si="206"/>
        <v>10</v>
      </c>
      <c r="H2265" t="s">
        <v>247</v>
      </c>
    </row>
    <row r="2266" spans="1:9" x14ac:dyDescent="0.25">
      <c r="A2266" s="1">
        <f t="shared" si="205"/>
        <v>45523</v>
      </c>
      <c r="B2266" s="31">
        <f t="shared" ref="B2266" si="208">TIME(8,55, 0)</f>
        <v>0.37152777777777773</v>
      </c>
      <c r="C2266" t="str">
        <f>'Inventory as of 12th Aug 2024'!A120</f>
        <v>Maramoja</v>
      </c>
      <c r="D2266" s="27">
        <v>1</v>
      </c>
      <c r="E2266" s="5">
        <f>Table4[[#This Row],[qty]]*(VLOOKUP(Table4[[#This Row],[item_sold]],Table1[],5,FALSE))</f>
        <v>10</v>
      </c>
      <c r="F2266" s="5">
        <f>(VLOOKUP(Table4[[#This Row],[item_sold]],Table1[],4,FALSE))*Table4[[#This Row],[qty]]</f>
        <v>7</v>
      </c>
      <c r="G2266">
        <f t="shared" si="206"/>
        <v>3</v>
      </c>
      <c r="H2266" t="s">
        <v>247</v>
      </c>
    </row>
    <row r="2267" spans="1:9" x14ac:dyDescent="0.25">
      <c r="A2267" s="1">
        <f t="shared" si="205"/>
        <v>45523</v>
      </c>
      <c r="B2267" s="31">
        <f>TIME(9,20, 0)</f>
        <v>0.3888888888888889</v>
      </c>
      <c r="C2267" t="str">
        <f>'Inventory as of 12th Aug 2024'!A12</f>
        <v>Kienyeji  Eggs</v>
      </c>
      <c r="D2267" s="27">
        <v>8</v>
      </c>
      <c r="E2267" s="5">
        <f>Table4[[#This Row],[qty]]*(VLOOKUP(Table4[[#This Row],[item_sold]],Table1[],5,FALSE))</f>
        <v>240</v>
      </c>
      <c r="F2267" s="5">
        <f>(VLOOKUP(Table4[[#This Row],[item_sold]],Table1[],4,FALSE))*Table4[[#This Row],[qty]]</f>
        <v>160</v>
      </c>
      <c r="G2267">
        <f t="shared" si="206"/>
        <v>80</v>
      </c>
      <c r="H2267" t="s">
        <v>359</v>
      </c>
      <c r="I2267" t="s">
        <v>404</v>
      </c>
    </row>
    <row r="2268" spans="1:9" x14ac:dyDescent="0.25">
      <c r="A2268" s="1">
        <f t="shared" si="205"/>
        <v>45523</v>
      </c>
      <c r="B2268" s="31">
        <f t="shared" ref="B2268:B2274" si="209">TIME(9,20, 0)</f>
        <v>0.3888888888888889</v>
      </c>
      <c r="C2268" t="str">
        <f>'Inventory as of 12th Aug 2024'!A68</f>
        <v>Royco cubes</v>
      </c>
      <c r="D2268" s="27">
        <v>6</v>
      </c>
      <c r="E2268" s="5">
        <f>Table4[[#This Row],[qty]]*(VLOOKUP(Table4[[#This Row],[item_sold]],Table1[],5,FALSE))</f>
        <v>30</v>
      </c>
      <c r="F2268" s="5">
        <f>(VLOOKUP(Table4[[#This Row],[item_sold]],Table1[],4,FALSE))*Table4[[#This Row],[qty]]</f>
        <v>18</v>
      </c>
      <c r="G2268">
        <f t="shared" si="206"/>
        <v>12</v>
      </c>
      <c r="H2268" t="s">
        <v>359</v>
      </c>
      <c r="I2268" t="s">
        <v>404</v>
      </c>
    </row>
    <row r="2269" spans="1:9" x14ac:dyDescent="0.25">
      <c r="A2269" s="1">
        <f t="shared" si="205"/>
        <v>45523</v>
      </c>
      <c r="B2269" s="31">
        <f t="shared" si="209"/>
        <v>0.3888888888888889</v>
      </c>
      <c r="C2269" t="str">
        <f>'Inventory as of 12th Aug 2024'!A33</f>
        <v>BB Bread 400g</v>
      </c>
      <c r="D2269" s="27">
        <v>1</v>
      </c>
      <c r="E2269" s="5">
        <f>Table4[[#This Row],[qty]]*(VLOOKUP(Table4[[#This Row],[item_sold]],Table1[],5,FALSE))</f>
        <v>65</v>
      </c>
      <c r="F2269" s="5">
        <f>(VLOOKUP(Table4[[#This Row],[item_sold]],Table1[],4,FALSE))*Table4[[#This Row],[qty]]</f>
        <v>60</v>
      </c>
      <c r="G2269">
        <f t="shared" si="206"/>
        <v>5</v>
      </c>
      <c r="H2269" t="s">
        <v>359</v>
      </c>
      <c r="I2269" t="s">
        <v>404</v>
      </c>
    </row>
    <row r="2270" spans="1:9" x14ac:dyDescent="0.25">
      <c r="A2270" s="1">
        <f t="shared" si="205"/>
        <v>45523</v>
      </c>
      <c r="B2270" s="31">
        <f t="shared" si="209"/>
        <v>0.3888888888888889</v>
      </c>
      <c r="C2270" t="str">
        <f>'Inventory as of 12th Aug 2024'!A70</f>
        <v>Sugar 1/2 kg</v>
      </c>
      <c r="D2270" s="27">
        <v>1</v>
      </c>
      <c r="E2270" s="5">
        <f>Table4[[#This Row],[qty]]*(VLOOKUP(Table4[[#This Row],[item_sold]],Table1[],5,FALSE))</f>
        <v>90</v>
      </c>
      <c r="F2270" s="5">
        <f>(VLOOKUP(Table4[[#This Row],[item_sold]],Table1[],4,FALSE))*Table4[[#This Row],[qty]]</f>
        <v>60</v>
      </c>
      <c r="G2270">
        <f t="shared" si="206"/>
        <v>30</v>
      </c>
      <c r="H2270" t="s">
        <v>359</v>
      </c>
      <c r="I2270" t="s">
        <v>404</v>
      </c>
    </row>
    <row r="2271" spans="1:9" x14ac:dyDescent="0.25">
      <c r="A2271" s="1">
        <f t="shared" si="205"/>
        <v>45523</v>
      </c>
      <c r="B2271" s="31">
        <f t="shared" si="209"/>
        <v>0.3888888888888889</v>
      </c>
      <c r="C2271" t="str">
        <f>'Inventory as of 12th Aug 2024'!A91</f>
        <v>Tomatoes</v>
      </c>
      <c r="D2271" s="27">
        <v>2</v>
      </c>
      <c r="E2271" s="5">
        <f>Table4[[#This Row],[qty]]*(VLOOKUP(Table4[[#This Row],[item_sold]],Table1[],5,FALSE))</f>
        <v>20</v>
      </c>
      <c r="F2271" s="5">
        <f>(VLOOKUP(Table4[[#This Row],[item_sold]],Table1[],4,FALSE))*Table4[[#This Row],[qty]]</f>
        <v>10</v>
      </c>
      <c r="G2271">
        <f t="shared" si="206"/>
        <v>10</v>
      </c>
      <c r="H2271" t="s">
        <v>359</v>
      </c>
      <c r="I2271" t="s">
        <v>404</v>
      </c>
    </row>
    <row r="2272" spans="1:9" x14ac:dyDescent="0.25">
      <c r="A2272" s="1">
        <f t="shared" si="205"/>
        <v>45523</v>
      </c>
      <c r="B2272" s="31">
        <f t="shared" si="209"/>
        <v>0.3888888888888889</v>
      </c>
      <c r="C2272" t="str">
        <f>'Inventory as of 12th Aug 2024'!A90</f>
        <v>Onion</v>
      </c>
      <c r="D2272" s="27">
        <v>2</v>
      </c>
      <c r="E2272" s="5">
        <f>Table4[[#This Row],[qty]]*(VLOOKUP(Table4[[#This Row],[item_sold]],Table1[],5,FALSE))</f>
        <v>20</v>
      </c>
      <c r="F2272" s="5">
        <f>(VLOOKUP(Table4[[#This Row],[item_sold]],Table1[],4,FALSE))*Table4[[#This Row],[qty]]</f>
        <v>16</v>
      </c>
      <c r="G2272">
        <f t="shared" si="206"/>
        <v>4</v>
      </c>
      <c r="H2272" t="s">
        <v>359</v>
      </c>
      <c r="I2272" t="s">
        <v>404</v>
      </c>
    </row>
    <row r="2273" spans="1:9" x14ac:dyDescent="0.25">
      <c r="A2273" s="1">
        <f t="shared" si="205"/>
        <v>45523</v>
      </c>
      <c r="B2273" s="31">
        <f t="shared" si="209"/>
        <v>0.3888888888888889</v>
      </c>
      <c r="C2273" t="str">
        <f>'Inventory as of 12th Aug 2024'!A66</f>
        <v>Blueband 250g</v>
      </c>
      <c r="D2273" s="27">
        <v>1</v>
      </c>
      <c r="E2273" s="5">
        <f>Table4[[#This Row],[qty]]*(VLOOKUP(Table4[[#This Row],[item_sold]],Table1[],5,FALSE))</f>
        <v>190</v>
      </c>
      <c r="F2273" s="5">
        <f>(VLOOKUP(Table4[[#This Row],[item_sold]],Table1[],4,FALSE))*Table4[[#This Row],[qty]]</f>
        <v>140</v>
      </c>
      <c r="G2273">
        <f t="shared" si="206"/>
        <v>50</v>
      </c>
      <c r="H2273" t="s">
        <v>359</v>
      </c>
      <c r="I2273" t="s">
        <v>404</v>
      </c>
    </row>
    <row r="2274" spans="1:9" x14ac:dyDescent="0.25">
      <c r="A2274" s="1">
        <f t="shared" si="205"/>
        <v>45523</v>
      </c>
      <c r="B2274" s="31">
        <f t="shared" si="209"/>
        <v>0.3888888888888889</v>
      </c>
      <c r="C2274" t="str">
        <f>'Inventory as of 12th Aug 2024'!A42</f>
        <v>Indomie chicken</v>
      </c>
      <c r="D2274" s="27">
        <v>1</v>
      </c>
      <c r="E2274" s="5">
        <f>Table4[[#This Row],[qty]]*(VLOOKUP(Table4[[#This Row],[item_sold]],Table1[],5,FALSE))</f>
        <v>50</v>
      </c>
      <c r="F2274" s="5">
        <f>(VLOOKUP(Table4[[#This Row],[item_sold]],Table1[],4,FALSE))*Table4[[#This Row],[qty]]</f>
        <v>37.5</v>
      </c>
      <c r="G2274">
        <f t="shared" si="206"/>
        <v>12.5</v>
      </c>
      <c r="H2274" t="s">
        <v>359</v>
      </c>
      <c r="I2274" t="s">
        <v>404</v>
      </c>
    </row>
    <row r="2275" spans="1:9" x14ac:dyDescent="0.25">
      <c r="A2275" s="1">
        <f t="shared" si="205"/>
        <v>45523</v>
      </c>
      <c r="B2275" s="31">
        <f>TIME(9,34, 0)</f>
        <v>0.39861111111111108</v>
      </c>
      <c r="C2275" t="str">
        <f>'Inventory as of 12th Aug 2024'!A211</f>
        <v>predator</v>
      </c>
      <c r="D2275" s="27">
        <v>2</v>
      </c>
      <c r="E2275" s="5">
        <f>Table4[[#This Row],[qty]]*(VLOOKUP(Table4[[#This Row],[item_sold]],Table1[],5,FALSE))</f>
        <v>140</v>
      </c>
      <c r="F2275" s="5">
        <f>(VLOOKUP(Table4[[#This Row],[item_sold]],Table1[],4,FALSE))*Table4[[#This Row],[qty]]</f>
        <v>108.33333333333333</v>
      </c>
      <c r="G2275">
        <f t="shared" si="206"/>
        <v>31.666666666666671</v>
      </c>
      <c r="H2275" t="s">
        <v>359</v>
      </c>
      <c r="I2275" t="s">
        <v>401</v>
      </c>
    </row>
    <row r="2276" spans="1:9" x14ac:dyDescent="0.25">
      <c r="A2276" s="1">
        <f t="shared" si="205"/>
        <v>45523</v>
      </c>
      <c r="B2276" s="31">
        <f t="shared" ref="B2276:B2277" si="210">TIME(9,34, 0)</f>
        <v>0.39861111111111108</v>
      </c>
      <c r="C2276" t="str">
        <f>'Inventory as of 12th Aug 2024'!A83</f>
        <v>omo 75g</v>
      </c>
      <c r="D2276" s="27">
        <v>1</v>
      </c>
      <c r="E2276" s="5">
        <f>Table4[[#This Row],[qty]]*(VLOOKUP(Table4[[#This Row],[item_sold]],Table1[],5,FALSE))</f>
        <v>35</v>
      </c>
      <c r="F2276" s="5">
        <f>(VLOOKUP(Table4[[#This Row],[item_sold]],Table1[],4,FALSE))*Table4[[#This Row],[qty]]</f>
        <v>27.5</v>
      </c>
      <c r="G2276">
        <f t="shared" si="206"/>
        <v>7.5</v>
      </c>
      <c r="H2276" t="s">
        <v>247</v>
      </c>
    </row>
    <row r="2277" spans="1:9" x14ac:dyDescent="0.25">
      <c r="A2277" s="1">
        <f t="shared" si="205"/>
        <v>45523</v>
      </c>
      <c r="B2277" s="31">
        <f t="shared" si="210"/>
        <v>0.39861111111111108</v>
      </c>
      <c r="C2277" t="str">
        <f>'Inventory as of 12th Aug 2024'!A236</f>
        <v>Gomba</v>
      </c>
      <c r="D2277" s="27">
        <v>1</v>
      </c>
      <c r="E2277" s="5">
        <f>Table4[[#This Row],[qty]]*(VLOOKUP(Table4[[#This Row],[item_sold]],Table1[],5,FALSE))</f>
        <v>2.5</v>
      </c>
      <c r="F2277" s="5">
        <f>(VLOOKUP(Table4[[#This Row],[item_sold]],Table1[],4,FALSE))*Table4[[#This Row],[qty]]</f>
        <v>1.8</v>
      </c>
      <c r="G2277">
        <f t="shared" si="206"/>
        <v>0.7</v>
      </c>
      <c r="H2277" t="s">
        <v>247</v>
      </c>
    </row>
    <row r="2278" spans="1:9" x14ac:dyDescent="0.25">
      <c r="A2278" s="1">
        <f t="shared" si="205"/>
        <v>45523</v>
      </c>
      <c r="B2278" s="31">
        <f>TIME(9,41, 0)</f>
        <v>0.40347222222222223</v>
      </c>
      <c r="C2278" t="str">
        <f>'Inventory as of 12th Aug 2024'!A8</f>
        <v>eggs</v>
      </c>
      <c r="D2278" s="27">
        <v>7</v>
      </c>
      <c r="E2278" s="5">
        <f>Table4[[#This Row],[qty]]*(VLOOKUP(Table4[[#This Row],[item_sold]],Table1[],5,FALSE))</f>
        <v>140</v>
      </c>
      <c r="F2278" s="5">
        <f>(VLOOKUP(Table4[[#This Row],[item_sold]],Table1[],4,FALSE))*Table4[[#This Row],[qty]]</f>
        <v>100.33333333333334</v>
      </c>
      <c r="G2278">
        <f t="shared" si="206"/>
        <v>39.666666666666657</v>
      </c>
      <c r="H2278" t="s">
        <v>361</v>
      </c>
    </row>
    <row r="2279" spans="1:9" x14ac:dyDescent="0.25">
      <c r="A2279" s="1">
        <f t="shared" si="205"/>
        <v>45523</v>
      </c>
      <c r="B2279" s="31">
        <f>TIME(9,45, 0)</f>
        <v>0.40625</v>
      </c>
      <c r="C2279" t="str">
        <f>'Inventory as of 12th Aug 2024'!A18</f>
        <v>Crown Gold Milk 500ml</v>
      </c>
      <c r="D2279" s="27">
        <v>1</v>
      </c>
      <c r="E2279" s="5">
        <f>Table4[[#This Row],[qty]]*(VLOOKUP(Table4[[#This Row],[item_sold]],Table1[],5,FALSE))</f>
        <v>65</v>
      </c>
      <c r="F2279" s="5">
        <f>(VLOOKUP(Table4[[#This Row],[item_sold]],Table1[],4,FALSE))*Table4[[#This Row],[qty]]</f>
        <v>54.166666666666664</v>
      </c>
      <c r="G2279">
        <f t="shared" si="206"/>
        <v>10.833333333333336</v>
      </c>
      <c r="H2279" t="s">
        <v>247</v>
      </c>
    </row>
    <row r="2280" spans="1:9" x14ac:dyDescent="0.25">
      <c r="A2280" s="1">
        <f t="shared" si="205"/>
        <v>45523</v>
      </c>
      <c r="B2280" s="31">
        <f t="shared" ref="B2280:B2281" si="211">TIME(9,45, 0)</f>
        <v>0.40625</v>
      </c>
      <c r="C2280" t="str">
        <f>'Inventory as of 12th Aug 2024'!A211</f>
        <v>predator</v>
      </c>
      <c r="D2280" s="27">
        <v>1</v>
      </c>
      <c r="E2280" s="5">
        <f>Table4[[#This Row],[qty]]*(VLOOKUP(Table4[[#This Row],[item_sold]],Table1[],5,FALSE))</f>
        <v>70</v>
      </c>
      <c r="F2280" s="5">
        <f>(VLOOKUP(Table4[[#This Row],[item_sold]],Table1[],4,FALSE))*Table4[[#This Row],[qty]]</f>
        <v>54.166666666666664</v>
      </c>
      <c r="G2280">
        <f t="shared" si="206"/>
        <v>15.833333333333336</v>
      </c>
      <c r="H2280" t="s">
        <v>247</v>
      </c>
    </row>
    <row r="2281" spans="1:9" x14ac:dyDescent="0.25">
      <c r="A2281" s="1">
        <f t="shared" si="205"/>
        <v>45523</v>
      </c>
      <c r="B2281" s="31">
        <f t="shared" si="211"/>
        <v>0.40625</v>
      </c>
      <c r="C2281" t="str">
        <f>'Inventory as of 12th Aug 2024'!A33</f>
        <v>BB Bread 400g</v>
      </c>
      <c r="D2281" s="27">
        <v>2</v>
      </c>
      <c r="E2281" s="5">
        <f>Table4[[#This Row],[qty]]*(VLOOKUP(Table4[[#This Row],[item_sold]],Table1[],5,FALSE))</f>
        <v>130</v>
      </c>
      <c r="F2281" s="5">
        <f>(VLOOKUP(Table4[[#This Row],[item_sold]],Table1[],4,FALSE))*Table4[[#This Row],[qty]]</f>
        <v>120</v>
      </c>
      <c r="G2281">
        <f t="shared" si="206"/>
        <v>10</v>
      </c>
      <c r="H2281" t="s">
        <v>361</v>
      </c>
    </row>
    <row r="2282" spans="1:9" x14ac:dyDescent="0.25">
      <c r="A2282" s="1">
        <f t="shared" si="205"/>
        <v>45523</v>
      </c>
      <c r="B2282" s="31">
        <f>TIME(10,11, 0)</f>
        <v>0.42430555555555555</v>
      </c>
      <c r="C2282" t="str">
        <f>'Inventory as of 12th Aug 2024'!A35</f>
        <v>Festive 600g</v>
      </c>
      <c r="D2282" s="27">
        <v>1</v>
      </c>
      <c r="E2282" s="5">
        <f>Table4[[#This Row],[qty]]*(VLOOKUP(Table4[[#This Row],[item_sold]],Table1[],5,FALSE))</f>
        <v>100</v>
      </c>
      <c r="F2282" s="5">
        <f>(VLOOKUP(Table4[[#This Row],[item_sold]],Table1[],4,FALSE))*Table4[[#This Row],[qty]]</f>
        <v>90</v>
      </c>
      <c r="G2282">
        <f t="shared" si="206"/>
        <v>10</v>
      </c>
      <c r="H2282" t="s">
        <v>361</v>
      </c>
    </row>
    <row r="2283" spans="1:9" x14ac:dyDescent="0.25">
      <c r="A2283" s="1">
        <f t="shared" si="205"/>
        <v>45523</v>
      </c>
      <c r="B2283" s="31">
        <f t="shared" ref="B2283:B2284" si="212">TIME(10,11, 0)</f>
        <v>0.42430555555555555</v>
      </c>
      <c r="C2283" t="str">
        <f>'Inventory as of 12th Aug 2024'!A18</f>
        <v>Crown Gold Milk 500ml</v>
      </c>
      <c r="D2283" s="27">
        <v>1</v>
      </c>
      <c r="E2283" s="5">
        <f>Table4[[#This Row],[qty]]*(VLOOKUP(Table4[[#This Row],[item_sold]],Table1[],5,FALSE))</f>
        <v>65</v>
      </c>
      <c r="F2283" s="5">
        <f>(VLOOKUP(Table4[[#This Row],[item_sold]],Table1[],4,FALSE))*Table4[[#This Row],[qty]]</f>
        <v>54.166666666666664</v>
      </c>
      <c r="G2283">
        <f t="shared" si="206"/>
        <v>10.833333333333336</v>
      </c>
      <c r="H2283" t="s">
        <v>361</v>
      </c>
    </row>
    <row r="2284" spans="1:9" x14ac:dyDescent="0.25">
      <c r="A2284" s="1">
        <f t="shared" si="205"/>
        <v>45523</v>
      </c>
      <c r="B2284" s="31">
        <f t="shared" si="212"/>
        <v>0.42430555555555555</v>
      </c>
      <c r="C2284" t="str">
        <f>'Inventory as of 12th Aug 2024'!A207</f>
        <v>soda 350ml plastic</v>
      </c>
      <c r="D2284" s="27">
        <v>1</v>
      </c>
      <c r="E2284" s="5">
        <f>Table4[[#This Row],[qty]]*(VLOOKUP(Table4[[#This Row],[item_sold]],Table1[],5,FALSE))</f>
        <v>50</v>
      </c>
      <c r="F2284" s="5">
        <f>(VLOOKUP(Table4[[#This Row],[item_sold]],Table1[],4,FALSE))*Table4[[#This Row],[qty]]</f>
        <v>41.666666666666664</v>
      </c>
      <c r="G2284">
        <f t="shared" si="206"/>
        <v>8.3333333333333357</v>
      </c>
      <c r="H2284" t="s">
        <v>361</v>
      </c>
    </row>
    <row r="2285" spans="1:9" x14ac:dyDescent="0.25">
      <c r="A2285" s="1">
        <f t="shared" si="205"/>
        <v>45523</v>
      </c>
      <c r="B2285" s="31">
        <f>TIME(10,17, 0)</f>
        <v>0.4284722222222222</v>
      </c>
      <c r="C2285" t="str">
        <f>'Inventory as of 12th Aug 2024'!A193</f>
        <v>Ginger Bisquit</v>
      </c>
      <c r="D2285" s="27">
        <v>4</v>
      </c>
      <c r="E2285" s="5">
        <f>Table4[[#This Row],[qty]]*(VLOOKUP(Table4[[#This Row],[item_sold]],Table1[],5,FALSE))</f>
        <v>20</v>
      </c>
      <c r="F2285" s="5">
        <f>(VLOOKUP(Table4[[#This Row],[item_sold]],Table1[],4,FALSE))*Table4[[#This Row],[qty]]</f>
        <v>17.333333333333332</v>
      </c>
      <c r="G2285">
        <f t="shared" si="206"/>
        <v>2.6666666666666679</v>
      </c>
      <c r="H2285" t="s">
        <v>247</v>
      </c>
    </row>
    <row r="2286" spans="1:9" x14ac:dyDescent="0.25">
      <c r="A2286" s="1">
        <f t="shared" si="205"/>
        <v>45523</v>
      </c>
      <c r="B2286" s="31">
        <f t="shared" ref="B2286" si="213">TIME(10,17, 0)</f>
        <v>0.4284722222222222</v>
      </c>
      <c r="C2286" t="str">
        <f>'Inventory as of 12th Aug 2024'!A243</f>
        <v>Ballon</v>
      </c>
      <c r="D2286" s="27">
        <v>2</v>
      </c>
      <c r="E2286" s="5">
        <f>Table4[[#This Row],[qty]]*(VLOOKUP(Table4[[#This Row],[item_sold]],Table1[],5,FALSE))</f>
        <v>20</v>
      </c>
      <c r="F2286" s="5">
        <f>(VLOOKUP(Table4[[#This Row],[item_sold]],Table1[],4,FALSE))*Table4[[#This Row],[qty]]</f>
        <v>15</v>
      </c>
      <c r="G2286">
        <f t="shared" si="206"/>
        <v>5</v>
      </c>
      <c r="H2286" t="s">
        <v>247</v>
      </c>
    </row>
    <row r="2287" spans="1:9" x14ac:dyDescent="0.25">
      <c r="A2287" s="1">
        <f t="shared" si="205"/>
        <v>45523</v>
      </c>
      <c r="B2287" s="31">
        <f>TIME(10,33, 0)</f>
        <v>0.43958333333333338</v>
      </c>
      <c r="C2287" t="str">
        <f>'Inventory as of 12th Aug 2024'!A17</f>
        <v>Brookside milk 500ml</v>
      </c>
      <c r="D2287" s="27">
        <v>1</v>
      </c>
      <c r="E2287" s="5">
        <f>Table4[[#This Row],[qty]]*(VLOOKUP(Table4[[#This Row],[item_sold]],Table1[],5,FALSE))</f>
        <v>70</v>
      </c>
      <c r="F2287" s="5">
        <f>(VLOOKUP(Table4[[#This Row],[item_sold]],Table1[],4,FALSE))*Table4[[#This Row],[qty]]</f>
        <v>59</v>
      </c>
      <c r="G2287">
        <f t="shared" si="206"/>
        <v>11</v>
      </c>
      <c r="H2287" t="s">
        <v>359</v>
      </c>
      <c r="I2287" t="s">
        <v>403</v>
      </c>
    </row>
    <row r="2288" spans="1:9" x14ac:dyDescent="0.25">
      <c r="A2288" s="1">
        <f t="shared" si="205"/>
        <v>45523</v>
      </c>
      <c r="B2288" s="31">
        <f>TIME(10,50, 0)</f>
        <v>0.4513888888888889</v>
      </c>
      <c r="C2288" t="str">
        <f>'Inventory as of 12th Aug 2024'!A212</f>
        <v>soda 300ml glass</v>
      </c>
      <c r="D2288" s="27">
        <v>2</v>
      </c>
      <c r="E2288" s="5">
        <f>Table4[[#This Row],[qty]]*(VLOOKUP(Table4[[#This Row],[item_sold]],Table1[],5,FALSE))</f>
        <v>80</v>
      </c>
      <c r="F2288" s="5">
        <f>(VLOOKUP(Table4[[#This Row],[item_sold]],Table1[],4,FALSE))*Table4[[#This Row],[qty]]</f>
        <v>65</v>
      </c>
      <c r="G2288">
        <f t="shared" si="206"/>
        <v>15</v>
      </c>
      <c r="H2288" t="s">
        <v>359</v>
      </c>
      <c r="I2288" t="s">
        <v>395</v>
      </c>
    </row>
    <row r="2289" spans="1:9" x14ac:dyDescent="0.25">
      <c r="A2289" s="1">
        <f t="shared" si="205"/>
        <v>45523</v>
      </c>
      <c r="B2289" s="31">
        <f t="shared" ref="B2289" si="214">TIME(10,50, 0)</f>
        <v>0.4513888888888889</v>
      </c>
      <c r="C2289" t="str">
        <f>'Inventory as of 12th Aug 2024'!A33</f>
        <v>BB Bread 400g</v>
      </c>
      <c r="D2289" s="27">
        <v>1</v>
      </c>
      <c r="E2289" s="5">
        <f>Table4[[#This Row],[qty]]*(VLOOKUP(Table4[[#This Row],[item_sold]],Table1[],5,FALSE))</f>
        <v>65</v>
      </c>
      <c r="F2289" s="5">
        <f>(VLOOKUP(Table4[[#This Row],[item_sold]],Table1[],4,FALSE))*Table4[[#This Row],[qty]]</f>
        <v>60</v>
      </c>
      <c r="G2289">
        <f t="shared" si="206"/>
        <v>5</v>
      </c>
      <c r="H2289" t="s">
        <v>359</v>
      </c>
      <c r="I2289" t="s">
        <v>395</v>
      </c>
    </row>
    <row r="2290" spans="1:9" x14ac:dyDescent="0.25">
      <c r="A2290" s="1">
        <f t="shared" si="205"/>
        <v>45523</v>
      </c>
      <c r="B2290" s="31">
        <f>TIME(11,2, 0)</f>
        <v>0.4597222222222222</v>
      </c>
      <c r="C2290" t="str">
        <f>'Inventory as of 12th Aug 2024'!A233</f>
        <v>Lollipop</v>
      </c>
      <c r="D2290" s="27">
        <v>3</v>
      </c>
      <c r="E2290" s="5">
        <f>Table4[[#This Row],[qty]]*(VLOOKUP(Table4[[#This Row],[item_sold]],Table1[],5,FALSE))</f>
        <v>15</v>
      </c>
      <c r="F2290" s="5">
        <f>(VLOOKUP(Table4[[#This Row],[item_sold]],Table1[],4,FALSE))*Table4[[#This Row],[qty]]</f>
        <v>7.1999999999999993</v>
      </c>
      <c r="G2290">
        <f t="shared" si="206"/>
        <v>7.8000000000000007</v>
      </c>
      <c r="H2290" t="s">
        <v>247</v>
      </c>
    </row>
    <row r="2291" spans="1:9" x14ac:dyDescent="0.25">
      <c r="A2291" s="1">
        <f t="shared" si="205"/>
        <v>45523</v>
      </c>
      <c r="B2291" s="31">
        <f>TIME(11,45, 0)</f>
        <v>0.48958333333333331</v>
      </c>
      <c r="C2291" t="str">
        <f>'Inventory as of 12th Aug 2024'!A138</f>
        <v>Softcare pads</v>
      </c>
      <c r="D2291" s="27">
        <v>1</v>
      </c>
      <c r="E2291" s="5">
        <f>Table4[[#This Row],[qty]]*(VLOOKUP(Table4[[#This Row],[item_sold]],Table1[],5,FALSE))</f>
        <v>85</v>
      </c>
      <c r="F2291" s="5">
        <f>(VLOOKUP(Table4[[#This Row],[item_sold]],Table1[],4,FALSE))*Table4[[#This Row],[qty]]</f>
        <v>66</v>
      </c>
      <c r="G2291">
        <f t="shared" si="206"/>
        <v>19</v>
      </c>
      <c r="H2291" t="s">
        <v>359</v>
      </c>
      <c r="I2291" t="s">
        <v>403</v>
      </c>
    </row>
    <row r="2292" spans="1:9" x14ac:dyDescent="0.25">
      <c r="A2292" s="1">
        <f t="shared" si="205"/>
        <v>45523</v>
      </c>
      <c r="B2292" s="31">
        <f>TIME(12,32, 0)</f>
        <v>0.52222222222222225</v>
      </c>
      <c r="C2292" t="str">
        <f>'Inventory as of 12th Aug 2024'!A50</f>
        <v>Pishori rice</v>
      </c>
      <c r="D2292" s="27">
        <v>1</v>
      </c>
      <c r="E2292" s="5">
        <f>Table4[[#This Row],[qty]]*(VLOOKUP(Table4[[#This Row],[item_sold]],Table1[],5,FALSE))</f>
        <v>220</v>
      </c>
      <c r="F2292" s="5">
        <f>(VLOOKUP(Table4[[#This Row],[item_sold]],Table1[],4,FALSE))*Table4[[#This Row],[qty]]</f>
        <v>180</v>
      </c>
      <c r="G2292">
        <f t="shared" si="206"/>
        <v>40</v>
      </c>
      <c r="H2292" t="s">
        <v>359</v>
      </c>
      <c r="I2292" t="s">
        <v>389</v>
      </c>
    </row>
    <row r="2293" spans="1:9" x14ac:dyDescent="0.25">
      <c r="A2293" s="1">
        <f t="shared" si="205"/>
        <v>45523</v>
      </c>
      <c r="B2293" s="31">
        <f>TIME(1,46, 0)</f>
        <v>7.3611111111111113E-2</v>
      </c>
      <c r="C2293" t="str">
        <f>'Inventory as of 12th Aug 2024'!A42</f>
        <v>Indomie chicken</v>
      </c>
      <c r="D2293" s="27">
        <v>3</v>
      </c>
      <c r="E2293" s="5">
        <f>Table4[[#This Row],[qty]]*(VLOOKUP(Table4[[#This Row],[item_sold]],Table1[],5,FALSE))</f>
        <v>150</v>
      </c>
      <c r="F2293" s="5">
        <f>(VLOOKUP(Table4[[#This Row],[item_sold]],Table1[],4,FALSE))*Table4[[#This Row],[qty]]</f>
        <v>112.5</v>
      </c>
      <c r="G2293">
        <f t="shared" si="206"/>
        <v>37.5</v>
      </c>
      <c r="H2293" t="s">
        <v>361</v>
      </c>
    </row>
    <row r="2294" spans="1:9" x14ac:dyDescent="0.25">
      <c r="A2294" s="1">
        <f t="shared" si="205"/>
        <v>45523</v>
      </c>
      <c r="B2294" s="31">
        <f t="shared" ref="B2294" si="215">TIME(1,46, 0)</f>
        <v>7.3611111111111113E-2</v>
      </c>
      <c r="C2294" t="str">
        <f>'Inventory as of 12th Aug 2024'!A135</f>
        <v>Bella Tissue</v>
      </c>
      <c r="D2294" s="27">
        <v>1</v>
      </c>
      <c r="E2294" s="5">
        <f>Table4[[#This Row],[qty]]*(VLOOKUP(Table4[[#This Row],[item_sold]],Table1[],5,FALSE))</f>
        <v>50</v>
      </c>
      <c r="F2294" s="5">
        <f>(VLOOKUP(Table4[[#This Row],[item_sold]],Table1[],4,FALSE))*Table4[[#This Row],[qty]]</f>
        <v>35</v>
      </c>
      <c r="G2294">
        <f t="shared" si="206"/>
        <v>15</v>
      </c>
      <c r="H2294" t="s">
        <v>361</v>
      </c>
    </row>
    <row r="2295" spans="1:9" x14ac:dyDescent="0.25">
      <c r="A2295" s="1">
        <f t="shared" si="205"/>
        <v>45523</v>
      </c>
      <c r="B2295" s="31">
        <f>TIME(1,41, 0)</f>
        <v>7.013888888888889E-2</v>
      </c>
      <c r="C2295" t="str">
        <f>'Inventory as of 12th Aug 2024'!A213</f>
        <v>soda 500ml glass</v>
      </c>
      <c r="D2295" s="27">
        <v>1</v>
      </c>
      <c r="E2295" s="5">
        <f>Table4[[#This Row],[qty]]*(VLOOKUP(Table4[[#This Row],[item_sold]],Table1[],5,FALSE))</f>
        <v>55</v>
      </c>
      <c r="F2295" s="5">
        <f>(VLOOKUP(Table4[[#This Row],[item_sold]],Table1[],4,FALSE))*Table4[[#This Row],[qty]]</f>
        <v>50</v>
      </c>
      <c r="G2295">
        <f t="shared" si="206"/>
        <v>5</v>
      </c>
      <c r="H2295" t="s">
        <v>361</v>
      </c>
    </row>
    <row r="2296" spans="1:9" x14ac:dyDescent="0.25">
      <c r="A2296" s="1">
        <f t="shared" si="205"/>
        <v>45523</v>
      </c>
      <c r="B2296" s="31">
        <f>TIME(1,41, 0)</f>
        <v>7.013888888888889E-2</v>
      </c>
      <c r="C2296" t="str">
        <f>'Inventory as of 12th Aug 2024'!A194</f>
        <v>Half pound cake</v>
      </c>
      <c r="D2296" s="27">
        <v>1</v>
      </c>
      <c r="E2296" s="5">
        <f>Table4[[#This Row],[qty]]*(VLOOKUP(Table4[[#This Row],[item_sold]],Table1[],5,FALSE))</f>
        <v>100</v>
      </c>
      <c r="F2296" s="5">
        <f>(VLOOKUP(Table4[[#This Row],[item_sold]],Table1[],4,FALSE))*Table4[[#This Row],[qty]]</f>
        <v>90</v>
      </c>
      <c r="G2296">
        <f t="shared" si="206"/>
        <v>10</v>
      </c>
      <c r="H2296" t="s">
        <v>361</v>
      </c>
    </row>
    <row r="2297" spans="1:9" x14ac:dyDescent="0.25">
      <c r="A2297" s="1">
        <f t="shared" si="205"/>
        <v>45523</v>
      </c>
      <c r="B2297" s="31">
        <f>TIME(14,20, 0)</f>
        <v>0.59722222222222221</v>
      </c>
      <c r="C2297" t="str">
        <f>'Inventory as of 12th Aug 2024'!A16</f>
        <v>Mt kenya milk 500ml</v>
      </c>
      <c r="D2297" s="27">
        <v>1</v>
      </c>
      <c r="E2297" s="5">
        <f>Table4[[#This Row],[qty]]*(VLOOKUP(Table4[[#This Row],[item_sold]],Table1[],5,FALSE))</f>
        <v>65</v>
      </c>
      <c r="F2297" s="5">
        <f>(VLOOKUP(Table4[[#This Row],[item_sold]],Table1[],4,FALSE))*Table4[[#This Row],[qty]]</f>
        <v>48.333333333333336</v>
      </c>
      <c r="G2297">
        <f t="shared" si="206"/>
        <v>16.666666666666664</v>
      </c>
      <c r="H2297" t="s">
        <v>247</v>
      </c>
    </row>
    <row r="2298" spans="1:9" x14ac:dyDescent="0.25">
      <c r="A2298" s="1">
        <f t="shared" si="205"/>
        <v>45523</v>
      </c>
      <c r="B2298" s="31">
        <f>TIME(15,20, 0)</f>
        <v>0.63888888888888895</v>
      </c>
      <c r="C2298" t="str">
        <f>'Inventory as of 12th Aug 2024'!A188</f>
        <v>Choc-chip Cookies</v>
      </c>
      <c r="D2298" s="27">
        <v>1</v>
      </c>
      <c r="E2298" s="5">
        <f>Table4[[#This Row],[qty]]*(VLOOKUP(Table4[[#This Row],[item_sold]],Table1[],5,FALSE))</f>
        <v>35</v>
      </c>
      <c r="F2298" s="5">
        <f>(VLOOKUP(Table4[[#This Row],[item_sold]],Table1[],4,FALSE))*Table4[[#This Row],[qty]]</f>
        <v>25</v>
      </c>
      <c r="G2298">
        <f t="shared" si="206"/>
        <v>10</v>
      </c>
      <c r="H2298" t="s">
        <v>359</v>
      </c>
      <c r="I2298" t="s">
        <v>418</v>
      </c>
    </row>
    <row r="2299" spans="1:9" x14ac:dyDescent="0.25">
      <c r="A2299" s="1">
        <f t="shared" si="205"/>
        <v>45523</v>
      </c>
      <c r="B2299" s="31">
        <f>TIME(15,23, 0)</f>
        <v>0.64097222222222217</v>
      </c>
      <c r="C2299" t="str">
        <f>'Inventory as of 12th Aug 2024'!A44</f>
        <v>Ajab 2kg</v>
      </c>
      <c r="D2299" s="27">
        <v>1</v>
      </c>
      <c r="E2299" s="5">
        <f>Table4[[#This Row],[qty]]*(VLOOKUP(Table4[[#This Row],[item_sold]],Table1[],5,FALSE))</f>
        <v>220</v>
      </c>
      <c r="F2299" s="5">
        <f>(VLOOKUP(Table4[[#This Row],[item_sold]],Table1[],4,FALSE))*Table4[[#This Row],[qty]]</f>
        <v>175</v>
      </c>
      <c r="G2299">
        <f t="shared" si="206"/>
        <v>45</v>
      </c>
      <c r="H2299" t="s">
        <v>359</v>
      </c>
      <c r="I2299" t="s">
        <v>412</v>
      </c>
    </row>
    <row r="2300" spans="1:9" x14ac:dyDescent="0.25">
      <c r="A2300" s="1">
        <f t="shared" si="205"/>
        <v>45523</v>
      </c>
      <c r="B2300" s="31">
        <f t="shared" ref="B2300:B2301" si="216">TIME(15,23, 0)</f>
        <v>0.64097222222222217</v>
      </c>
      <c r="C2300" t="str">
        <f>'Inventory as of 12th Aug 2024'!A242</f>
        <v>Icepop</v>
      </c>
      <c r="D2300" s="27">
        <v>3</v>
      </c>
      <c r="E2300" s="5">
        <f>Table4[[#This Row],[qty]]*(VLOOKUP(Table4[[#This Row],[item_sold]],Table1[],5,FALSE))</f>
        <v>45</v>
      </c>
      <c r="F2300" s="5">
        <f>(VLOOKUP(Table4[[#This Row],[item_sold]],Table1[],4,FALSE))*Table4[[#This Row],[qty]]</f>
        <v>22.5</v>
      </c>
      <c r="G2300">
        <f t="shared" si="206"/>
        <v>22.5</v>
      </c>
      <c r="H2300" t="s">
        <v>359</v>
      </c>
      <c r="I2300" t="s">
        <v>412</v>
      </c>
    </row>
    <row r="2301" spans="1:9" x14ac:dyDescent="0.25">
      <c r="A2301" s="1">
        <f t="shared" si="205"/>
        <v>45523</v>
      </c>
      <c r="B2301" s="31">
        <f t="shared" si="216"/>
        <v>0.64097222222222217</v>
      </c>
      <c r="C2301" t="str">
        <f>'Inventory as of 12th Aug 2024'!A21</f>
        <v>kinangop250g youghurt</v>
      </c>
      <c r="D2301" s="27">
        <v>1</v>
      </c>
      <c r="E2301" s="5">
        <f>Table4[[#This Row],[qty]]*(VLOOKUP(Table4[[#This Row],[item_sold]],Table1[],5,FALSE))</f>
        <v>60</v>
      </c>
      <c r="F2301" s="5">
        <f>(VLOOKUP(Table4[[#This Row],[item_sold]],Table1[],4,FALSE))*Table4[[#This Row],[qty]]</f>
        <v>48.333333333333336</v>
      </c>
      <c r="G2301">
        <f t="shared" si="206"/>
        <v>11.666666666666664</v>
      </c>
      <c r="H2301" t="s">
        <v>359</v>
      </c>
      <c r="I2301" t="s">
        <v>412</v>
      </c>
    </row>
    <row r="2302" spans="1:9" x14ac:dyDescent="0.25">
      <c r="A2302" s="1">
        <f t="shared" si="205"/>
        <v>45523</v>
      </c>
      <c r="B2302" s="31">
        <f>TIME(16,21, 0)</f>
        <v>0.68125000000000002</v>
      </c>
      <c r="C2302" t="str">
        <f>'Inventory as of 12th Aug 2024'!A75</f>
        <v>Cooking Oil Measured</v>
      </c>
      <c r="D2302" s="27">
        <v>0.5</v>
      </c>
      <c r="E2302" s="5">
        <f>Table4[[#This Row],[qty]]*(VLOOKUP(Table4[[#This Row],[item_sold]],Table1[],5,FALSE))</f>
        <v>140</v>
      </c>
      <c r="F2302" s="5">
        <f>(VLOOKUP(Table4[[#This Row],[item_sold]],Table1[],4,FALSE))*Table4[[#This Row],[qty]]</f>
        <v>100</v>
      </c>
      <c r="G2302">
        <f t="shared" si="206"/>
        <v>40</v>
      </c>
      <c r="H2302" t="s">
        <v>361</v>
      </c>
    </row>
    <row r="2303" spans="1:9" x14ac:dyDescent="0.25">
      <c r="A2303" s="1">
        <f t="shared" si="205"/>
        <v>45523</v>
      </c>
      <c r="B2303" s="31">
        <f t="shared" ref="B2303:B2304" si="217">TIME(16,21, 0)</f>
        <v>0.68125000000000002</v>
      </c>
      <c r="C2303" t="str">
        <f>'Inventory as of 12th Aug 2024'!A90</f>
        <v>Onion</v>
      </c>
      <c r="D2303" s="27">
        <v>1</v>
      </c>
      <c r="E2303" s="5">
        <f>Table4[[#This Row],[qty]]*(VLOOKUP(Table4[[#This Row],[item_sold]],Table1[],5,FALSE))</f>
        <v>10</v>
      </c>
      <c r="F2303" s="5">
        <f>(VLOOKUP(Table4[[#This Row],[item_sold]],Table1[],4,FALSE))*Table4[[#This Row],[qty]]</f>
        <v>8</v>
      </c>
      <c r="G2303">
        <f t="shared" si="206"/>
        <v>2</v>
      </c>
      <c r="H2303" t="s">
        <v>361</v>
      </c>
    </row>
    <row r="2304" spans="1:9" x14ac:dyDescent="0.25">
      <c r="A2304" s="1">
        <f t="shared" si="205"/>
        <v>45523</v>
      </c>
      <c r="B2304" s="31">
        <f t="shared" si="217"/>
        <v>0.68125000000000002</v>
      </c>
      <c r="C2304" t="str">
        <f>'Inventory as of 12th Aug 2024'!A87</f>
        <v>Menengai Bar 1kg</v>
      </c>
      <c r="D2304" s="27">
        <v>0.2</v>
      </c>
      <c r="E2304" s="5">
        <f>Table4[[#This Row],[qty]]*(VLOOKUP(Table4[[#This Row],[item_sold]],Table1[],5,FALSE))</f>
        <v>50</v>
      </c>
      <c r="F2304" s="5">
        <f>(VLOOKUP(Table4[[#This Row],[item_sold]],Table1[],4,FALSE))*Table4[[#This Row],[qty]]</f>
        <v>38</v>
      </c>
      <c r="G2304">
        <f t="shared" si="206"/>
        <v>12</v>
      </c>
      <c r="H2304" t="s">
        <v>361</v>
      </c>
    </row>
    <row r="2305" spans="1:9" x14ac:dyDescent="0.25">
      <c r="A2305" s="1">
        <f t="shared" si="205"/>
        <v>45523</v>
      </c>
      <c r="B2305" s="31">
        <f>TIME(16,22, 0)</f>
        <v>0.68194444444444446</v>
      </c>
      <c r="C2305" t="str">
        <f>'Inventory as of 12th Aug 2024'!A49</f>
        <v>Ndengu</v>
      </c>
      <c r="D2305" s="27">
        <v>1</v>
      </c>
      <c r="E2305" s="5">
        <f>Table4[[#This Row],[qty]]*(VLOOKUP(Table4[[#This Row],[item_sold]],Table1[],5,FALSE))</f>
        <v>160</v>
      </c>
      <c r="F2305" s="5">
        <f>(VLOOKUP(Table4[[#This Row],[item_sold]],Table1[],4,FALSE))*Table4[[#This Row],[qty]]</f>
        <v>120</v>
      </c>
      <c r="G2305">
        <f t="shared" si="206"/>
        <v>40</v>
      </c>
      <c r="H2305" t="s">
        <v>359</v>
      </c>
      <c r="I2305" t="s">
        <v>403</v>
      </c>
    </row>
    <row r="2306" spans="1:9" x14ac:dyDescent="0.25">
      <c r="A2306" s="1">
        <f t="shared" si="205"/>
        <v>45523</v>
      </c>
      <c r="B2306" s="31">
        <f>TIME(16,58, 0)</f>
        <v>0.70694444444444438</v>
      </c>
      <c r="C2306" t="str">
        <f>'Inventory as of 12th Aug 2024'!A138</f>
        <v>Softcare pads</v>
      </c>
      <c r="D2306" s="27">
        <v>1</v>
      </c>
      <c r="E2306" s="5">
        <f>Table4[[#This Row],[qty]]*(VLOOKUP(Table4[[#This Row],[item_sold]],Table1[],5,FALSE))</f>
        <v>85</v>
      </c>
      <c r="F2306" s="5">
        <f>(VLOOKUP(Table4[[#This Row],[item_sold]],Table1[],4,FALSE))*Table4[[#This Row],[qty]]</f>
        <v>66</v>
      </c>
      <c r="G2306">
        <f t="shared" si="206"/>
        <v>19</v>
      </c>
      <c r="H2306" t="s">
        <v>359</v>
      </c>
      <c r="I2306" t="s">
        <v>422</v>
      </c>
    </row>
    <row r="2307" spans="1:9" x14ac:dyDescent="0.25">
      <c r="A2307" s="1">
        <f t="shared" si="205"/>
        <v>45523</v>
      </c>
      <c r="B2307" s="31">
        <f>TIME(17,15, 0)</f>
        <v>0.71875</v>
      </c>
      <c r="C2307" t="str">
        <f>'Inventory as of 12th Aug 2024'!A70</f>
        <v>Sugar 1/2 kg</v>
      </c>
      <c r="D2307" s="27">
        <v>1</v>
      </c>
      <c r="E2307" s="5">
        <f>Table4[[#This Row],[qty]]*(VLOOKUP(Table4[[#This Row],[item_sold]],Table1[],5,FALSE))</f>
        <v>90</v>
      </c>
      <c r="F2307" s="5">
        <f>(VLOOKUP(Table4[[#This Row],[item_sold]],Table1[],4,FALSE))*Table4[[#This Row],[qty]]</f>
        <v>60</v>
      </c>
      <c r="G2307">
        <f t="shared" si="206"/>
        <v>30</v>
      </c>
      <c r="H2307" t="s">
        <v>359</v>
      </c>
      <c r="I2307" t="s">
        <v>394</v>
      </c>
    </row>
    <row r="2308" spans="1:9" x14ac:dyDescent="0.25">
      <c r="A2308" s="1">
        <f t="shared" si="205"/>
        <v>45523</v>
      </c>
      <c r="B2308" s="31">
        <f>TIME(17,16, 0)</f>
        <v>0.71944444444444444</v>
      </c>
      <c r="C2308" t="str">
        <f>'Inventory as of 12th Aug 2024'!A241</f>
        <v>scooter cans</v>
      </c>
      <c r="D2308" s="27">
        <v>1</v>
      </c>
      <c r="E2308" s="5">
        <f>Table4[[#This Row],[qty]]*(VLOOKUP(Table4[[#This Row],[item_sold]],Table1[],5,FALSE))</f>
        <v>20</v>
      </c>
      <c r="F2308" s="5">
        <f>(VLOOKUP(Table4[[#This Row],[item_sold]],Table1[],4,FALSE))*Table4[[#This Row],[qty]]</f>
        <v>15</v>
      </c>
      <c r="G2308">
        <f t="shared" si="206"/>
        <v>5</v>
      </c>
      <c r="H2308" t="s">
        <v>247</v>
      </c>
    </row>
    <row r="2309" spans="1:9" x14ac:dyDescent="0.25">
      <c r="A2309" s="1">
        <f t="shared" si="205"/>
        <v>45523</v>
      </c>
      <c r="B2309" s="31">
        <f t="shared" ref="B2309" si="218">TIME(17,16, 0)</f>
        <v>0.71944444444444444</v>
      </c>
      <c r="C2309" t="str">
        <f>'Inventory as of 12th Aug 2024'!A191</f>
        <v>Nuvita Bisquit</v>
      </c>
      <c r="D2309" s="27">
        <v>2</v>
      </c>
      <c r="E2309" s="5">
        <f>Table4[[#This Row],[qty]]*(VLOOKUP(Table4[[#This Row],[item_sold]],Table1[],5,FALSE))</f>
        <v>10</v>
      </c>
      <c r="F2309" s="5">
        <f>(VLOOKUP(Table4[[#This Row],[item_sold]],Table1[],4,FALSE))*Table4[[#This Row],[qty]]</f>
        <v>8.3333333333333339</v>
      </c>
      <c r="G2309">
        <f t="shared" si="206"/>
        <v>1.6666666666666661</v>
      </c>
      <c r="H2309" t="s">
        <v>247</v>
      </c>
    </row>
    <row r="2310" spans="1:9" x14ac:dyDescent="0.25">
      <c r="A2310" s="1">
        <f t="shared" si="205"/>
        <v>45523</v>
      </c>
      <c r="B2310" s="31">
        <f>TIME(17,30, 0)</f>
        <v>0.72916666666666663</v>
      </c>
      <c r="C2310" t="str">
        <f>'Inventory as of 12th Aug 2024'!A242</f>
        <v>Icepop</v>
      </c>
      <c r="D2310" s="27">
        <v>1</v>
      </c>
      <c r="E2310" s="5">
        <f>Table4[[#This Row],[qty]]*(VLOOKUP(Table4[[#This Row],[item_sold]],Table1[],5,FALSE))</f>
        <v>15</v>
      </c>
      <c r="F2310" s="5">
        <f>(VLOOKUP(Table4[[#This Row],[item_sold]],Table1[],4,FALSE))*Table4[[#This Row],[qty]]</f>
        <v>7.5</v>
      </c>
      <c r="G2310">
        <f t="shared" si="206"/>
        <v>7.5</v>
      </c>
      <c r="H2310" t="s">
        <v>361</v>
      </c>
    </row>
    <row r="2311" spans="1:9" x14ac:dyDescent="0.25">
      <c r="A2311" s="1">
        <f t="shared" si="205"/>
        <v>45523</v>
      </c>
      <c r="B2311" s="31">
        <f t="shared" ref="B2311" si="219">TIME(18,10, 0)</f>
        <v>0.75694444444444453</v>
      </c>
      <c r="C2311" t="str">
        <f>'Inventory as of 12th Aug 2024'!A75</f>
        <v>Cooking Oil Measured</v>
      </c>
      <c r="D2311" s="27">
        <v>0.5</v>
      </c>
      <c r="E2311" s="5">
        <f>Table4[[#This Row],[qty]]*(VLOOKUP(Table4[[#This Row],[item_sold]],Table1[],5,FALSE))</f>
        <v>140</v>
      </c>
      <c r="F2311" s="5">
        <f>(VLOOKUP(Table4[[#This Row],[item_sold]],Table1[],4,FALSE))*Table4[[#This Row],[qty]]</f>
        <v>100</v>
      </c>
      <c r="G2311">
        <f t="shared" si="206"/>
        <v>40</v>
      </c>
      <c r="H2311" t="s">
        <v>361</v>
      </c>
    </row>
    <row r="2312" spans="1:9" x14ac:dyDescent="0.25">
      <c r="A2312" s="1">
        <f t="shared" si="205"/>
        <v>45523</v>
      </c>
      <c r="B2312" s="31">
        <f>TIME(18,29, 0)</f>
        <v>0.77013888888888893</v>
      </c>
      <c r="C2312" t="str">
        <f>'Inventory as of 12th Aug 2024'!A208</f>
        <v>minutemaid 400ml</v>
      </c>
      <c r="D2312" s="27">
        <v>1</v>
      </c>
      <c r="E2312" s="5">
        <f>Table4[[#This Row],[qty]]*(VLOOKUP(Table4[[#This Row],[item_sold]],Table1[],5,FALSE))</f>
        <v>85</v>
      </c>
      <c r="F2312" s="5">
        <f>(VLOOKUP(Table4[[#This Row],[item_sold]],Table1[],4,FALSE))*Table4[[#This Row],[qty]]</f>
        <v>62.5</v>
      </c>
      <c r="G2312">
        <f t="shared" si="206"/>
        <v>22.5</v>
      </c>
      <c r="H2312" t="s">
        <v>361</v>
      </c>
    </row>
    <row r="2313" spans="1:9" x14ac:dyDescent="0.25">
      <c r="A2313" s="1">
        <f t="shared" si="205"/>
        <v>45523</v>
      </c>
      <c r="B2313" s="31">
        <f>TIME(18,32, 0)</f>
        <v>0.77222222222222225</v>
      </c>
      <c r="C2313" t="str">
        <f>'Inventory as of 12th Aug 2024'!A205</f>
        <v xml:space="preserve"> soda 1.25lts</v>
      </c>
      <c r="D2313" s="27">
        <v>1</v>
      </c>
      <c r="E2313" s="5">
        <f>Table4[[#This Row],[qty]]*(VLOOKUP(Table4[[#This Row],[item_sold]],Table1[],5,FALSE))</f>
        <v>130</v>
      </c>
      <c r="F2313" s="5">
        <f>(VLOOKUP(Table4[[#This Row],[item_sold]],Table1[],4,FALSE))*Table4[[#This Row],[qty]]</f>
        <v>112.5</v>
      </c>
      <c r="G2313">
        <f t="shared" si="206"/>
        <v>17.5</v>
      </c>
      <c r="H2313" t="s">
        <v>361</v>
      </c>
    </row>
    <row r="2314" spans="1:9" x14ac:dyDescent="0.25">
      <c r="A2314" s="1">
        <f t="shared" si="205"/>
        <v>45523</v>
      </c>
      <c r="B2314" s="31">
        <f>TIME(18,33, 0)</f>
        <v>0.7729166666666667</v>
      </c>
      <c r="C2314" t="str">
        <f>'Inventory as of 12th Aug 2024'!A191</f>
        <v>Nuvita Bisquit</v>
      </c>
      <c r="D2314" s="27">
        <v>1</v>
      </c>
      <c r="E2314" s="5">
        <f>Table4[[#This Row],[qty]]*(VLOOKUP(Table4[[#This Row],[item_sold]],Table1[],5,FALSE))</f>
        <v>5</v>
      </c>
      <c r="F2314" s="5">
        <f>(VLOOKUP(Table4[[#This Row],[item_sold]],Table1[],4,FALSE))*Table4[[#This Row],[qty]]</f>
        <v>4.166666666666667</v>
      </c>
      <c r="G2314">
        <f t="shared" si="206"/>
        <v>0.83333333333333304</v>
      </c>
      <c r="H2314" t="s">
        <v>247</v>
      </c>
    </row>
    <row r="2315" spans="1:9" x14ac:dyDescent="0.25">
      <c r="A2315" s="1">
        <f t="shared" si="205"/>
        <v>45523</v>
      </c>
      <c r="B2315" s="31">
        <f t="shared" ref="B2315" si="220">TIME(18,33, 0)</f>
        <v>0.7729166666666667</v>
      </c>
      <c r="C2315" t="str">
        <f>'Inventory as of 12th Aug 2024'!A242</f>
        <v>Icepop</v>
      </c>
      <c r="D2315" s="27">
        <v>1</v>
      </c>
      <c r="E2315" s="5">
        <f>Table4[[#This Row],[qty]]*(VLOOKUP(Table4[[#This Row],[item_sold]],Table1[],5,FALSE))</f>
        <v>15</v>
      </c>
      <c r="F2315" s="5">
        <f>(VLOOKUP(Table4[[#This Row],[item_sold]],Table1[],4,FALSE))*Table4[[#This Row],[qty]]</f>
        <v>7.5</v>
      </c>
      <c r="G2315">
        <f t="shared" si="206"/>
        <v>7.5</v>
      </c>
      <c r="H2315" t="s">
        <v>247</v>
      </c>
    </row>
    <row r="2316" spans="1:9" x14ac:dyDescent="0.25">
      <c r="A2316" s="1">
        <f t="shared" si="205"/>
        <v>45523</v>
      </c>
      <c r="B2316" s="31">
        <f>TIME(19,2, 0)</f>
        <v>0.79305555555555562</v>
      </c>
      <c r="C2316" t="str">
        <f>'Inventory as of 12th Aug 2024'!A191</f>
        <v>Nuvita Bisquit</v>
      </c>
      <c r="D2316" s="27">
        <v>1</v>
      </c>
      <c r="E2316" s="5">
        <f>Table4[[#This Row],[qty]]*(VLOOKUP(Table4[[#This Row],[item_sold]],Table1[],5,FALSE))</f>
        <v>5</v>
      </c>
      <c r="F2316" s="5">
        <f>(VLOOKUP(Table4[[#This Row],[item_sold]],Table1[],4,FALSE))*Table4[[#This Row],[qty]]</f>
        <v>4.166666666666667</v>
      </c>
      <c r="G2316">
        <f t="shared" si="206"/>
        <v>0.83333333333333304</v>
      </c>
      <c r="H2316" t="s">
        <v>247</v>
      </c>
    </row>
    <row r="2317" spans="1:9" x14ac:dyDescent="0.25">
      <c r="A2317" s="1">
        <f t="shared" si="205"/>
        <v>45523</v>
      </c>
      <c r="B2317" s="31">
        <f t="shared" ref="B2317" si="221">TIME(19,2, 0)</f>
        <v>0.79305555555555562</v>
      </c>
      <c r="C2317" t="str">
        <f>'Inventory as of 12th Aug 2024'!A234</f>
        <v>Bigdaddy</v>
      </c>
      <c r="D2317" s="27">
        <v>1</v>
      </c>
      <c r="E2317" s="5">
        <f>Table4[[#This Row],[qty]]*(VLOOKUP(Table4[[#This Row],[item_sold]],Table1[],5,FALSE))</f>
        <v>10</v>
      </c>
      <c r="F2317" s="5">
        <f>(VLOOKUP(Table4[[#This Row],[item_sold]],Table1[],4,FALSE))*Table4[[#This Row],[qty]]</f>
        <v>6</v>
      </c>
      <c r="G2317">
        <f t="shared" si="206"/>
        <v>4</v>
      </c>
      <c r="H2317" t="s">
        <v>247</v>
      </c>
    </row>
    <row r="2318" spans="1:9" x14ac:dyDescent="0.25">
      <c r="A2318" s="1">
        <f t="shared" si="205"/>
        <v>45523</v>
      </c>
      <c r="B2318" s="31">
        <f>TIME(19,19, 0)</f>
        <v>0.80486111111111114</v>
      </c>
      <c r="C2318" t="str">
        <f>'Inventory as of 12th Aug 2024'!A16</f>
        <v>Mt kenya milk 500ml</v>
      </c>
      <c r="D2318" s="27">
        <v>1</v>
      </c>
      <c r="E2318" s="5">
        <f>Table4[[#This Row],[qty]]*(VLOOKUP(Table4[[#This Row],[item_sold]],Table1[],5,FALSE))</f>
        <v>65</v>
      </c>
      <c r="F2318" s="5">
        <f>(VLOOKUP(Table4[[#This Row],[item_sold]],Table1[],4,FALSE))*Table4[[#This Row],[qty]]</f>
        <v>48.333333333333336</v>
      </c>
      <c r="G2318">
        <f t="shared" si="206"/>
        <v>16.666666666666664</v>
      </c>
      <c r="H2318" t="s">
        <v>361</v>
      </c>
    </row>
    <row r="2319" spans="1:9" x14ac:dyDescent="0.25">
      <c r="A2319" s="1">
        <f t="shared" si="205"/>
        <v>45523</v>
      </c>
      <c r="B2319" s="31">
        <f t="shared" ref="B2319" si="222">TIME(19,19, 0)</f>
        <v>0.80486111111111114</v>
      </c>
      <c r="C2319" t="str">
        <f>'Inventory as of 12th Aug 2024'!A191</f>
        <v>Nuvita Bisquit</v>
      </c>
      <c r="D2319" s="27">
        <v>4</v>
      </c>
      <c r="E2319" s="5">
        <f>Table4[[#This Row],[qty]]*(VLOOKUP(Table4[[#This Row],[item_sold]],Table1[],5,FALSE))</f>
        <v>20</v>
      </c>
      <c r="F2319" s="5">
        <f>(VLOOKUP(Table4[[#This Row],[item_sold]],Table1[],4,FALSE))*Table4[[#This Row],[qty]]</f>
        <v>16.666666666666668</v>
      </c>
      <c r="G2319">
        <f t="shared" si="206"/>
        <v>3.3333333333333321</v>
      </c>
      <c r="H2319" t="s">
        <v>361</v>
      </c>
    </row>
    <row r="2320" spans="1:9" x14ac:dyDescent="0.25">
      <c r="A2320" s="1">
        <f t="shared" si="205"/>
        <v>45523</v>
      </c>
      <c r="B2320" s="31">
        <f>TIME(19,51, 0)</f>
        <v>0.82708333333333339</v>
      </c>
      <c r="C2320" t="str">
        <f>'Inventory as of 12th Aug 2024'!A24</f>
        <v>Brookside Lala Natural</v>
      </c>
      <c r="D2320" s="27">
        <v>1</v>
      </c>
      <c r="E2320" s="5">
        <f>Table4[[#This Row],[qty]]*(VLOOKUP(Table4[[#This Row],[item_sold]],Table1[],5,FALSE))</f>
        <v>100</v>
      </c>
      <c r="F2320" s="5">
        <f>(VLOOKUP(Table4[[#This Row],[item_sold]],Table1[],4,FALSE))*Table4[[#This Row],[qty]]</f>
        <v>87</v>
      </c>
      <c r="G2320">
        <f t="shared" si="206"/>
        <v>13</v>
      </c>
      <c r="H2320" t="s">
        <v>361</v>
      </c>
    </row>
    <row r="2321" spans="1:12" x14ac:dyDescent="0.25">
      <c r="A2321" s="1">
        <f t="shared" si="205"/>
        <v>45523</v>
      </c>
      <c r="B2321" s="31">
        <f t="shared" ref="B2321:B2322" si="223">TIME(19,51, 0)</f>
        <v>0.82708333333333339</v>
      </c>
      <c r="C2321" t="str">
        <f>'Inventory as of 12th Aug 2024'!A33</f>
        <v>BB Bread 400g</v>
      </c>
      <c r="D2321" s="27">
        <v>1</v>
      </c>
      <c r="E2321" s="5">
        <f>Table4[[#This Row],[qty]]*(VLOOKUP(Table4[[#This Row],[item_sold]],Table1[],5,FALSE))</f>
        <v>65</v>
      </c>
      <c r="F2321" s="5">
        <f>(VLOOKUP(Table4[[#This Row],[item_sold]],Table1[],4,FALSE))*Table4[[#This Row],[qty]]</f>
        <v>60</v>
      </c>
      <c r="G2321">
        <f t="shared" si="206"/>
        <v>5</v>
      </c>
      <c r="H2321" t="s">
        <v>361</v>
      </c>
    </row>
    <row r="2322" spans="1:12" x14ac:dyDescent="0.25">
      <c r="A2322" s="1">
        <f t="shared" si="205"/>
        <v>45523</v>
      </c>
      <c r="B2322" s="31">
        <f t="shared" si="223"/>
        <v>0.82708333333333339</v>
      </c>
      <c r="C2322" t="str">
        <f>'Inventory as of 12th Aug 2024'!A16</f>
        <v>Mt kenya milk 500ml</v>
      </c>
      <c r="D2322" s="27">
        <v>1</v>
      </c>
      <c r="E2322" s="5">
        <f>Table4[[#This Row],[qty]]*(VLOOKUP(Table4[[#This Row],[item_sold]],Table1[],5,FALSE))</f>
        <v>65</v>
      </c>
      <c r="F2322" s="5">
        <f>(VLOOKUP(Table4[[#This Row],[item_sold]],Table1[],4,FALSE))*Table4[[#This Row],[qty]]</f>
        <v>48.333333333333336</v>
      </c>
      <c r="G2322">
        <f t="shared" si="206"/>
        <v>16.666666666666664</v>
      </c>
      <c r="H2322" t="s">
        <v>361</v>
      </c>
    </row>
    <row r="2323" spans="1:12" x14ac:dyDescent="0.25">
      <c r="A2323" s="1">
        <f t="shared" si="205"/>
        <v>45523</v>
      </c>
      <c r="B2323" s="31">
        <f>TIME(19,55, 0)</f>
        <v>0.82986111111111116</v>
      </c>
      <c r="C2323" t="str">
        <f>'Inventory as of 12th Aug 2024'!A59</f>
        <v>kabras sugar 1kg</v>
      </c>
      <c r="D2323" s="27">
        <v>1</v>
      </c>
      <c r="E2323" s="5">
        <f>Table4[[#This Row],[qty]]*(VLOOKUP(Table4[[#This Row],[item_sold]],Table1[],5,FALSE))</f>
        <v>180</v>
      </c>
      <c r="F2323" s="5">
        <f>(VLOOKUP(Table4[[#This Row],[item_sold]],Table1[],4,FALSE))*Table4[[#This Row],[qty]]</f>
        <v>140</v>
      </c>
      <c r="G2323">
        <f t="shared" si="206"/>
        <v>40</v>
      </c>
      <c r="H2323" t="s">
        <v>359</v>
      </c>
      <c r="I2323" t="s">
        <v>389</v>
      </c>
      <c r="J2323" t="s">
        <v>389</v>
      </c>
      <c r="K2323">
        <v>170</v>
      </c>
      <c r="L2323" t="s">
        <v>361</v>
      </c>
    </row>
    <row r="2324" spans="1:12" x14ac:dyDescent="0.25">
      <c r="A2324" s="1">
        <f t="shared" si="205"/>
        <v>45523</v>
      </c>
      <c r="B2324" s="31">
        <f>TIME(20,3, 0)</f>
        <v>0.8354166666666667</v>
      </c>
      <c r="C2324" t="str">
        <f>'Inventory as of 12th Aug 2024'!A91</f>
        <v>Tomatoes</v>
      </c>
      <c r="D2324" s="27">
        <v>20</v>
      </c>
      <c r="E2324" s="5">
        <f>Table4[[#This Row],[qty]]*(VLOOKUP(Table4[[#This Row],[item_sold]],Table1[],5,FALSE))</f>
        <v>200</v>
      </c>
      <c r="F2324" s="5">
        <f>(VLOOKUP(Table4[[#This Row],[item_sold]],Table1[],4,FALSE))*Table4[[#This Row],[qty]]</f>
        <v>100</v>
      </c>
      <c r="G2324">
        <f t="shared" si="206"/>
        <v>100</v>
      </c>
      <c r="H2324" t="s">
        <v>247</v>
      </c>
    </row>
    <row r="2325" spans="1:12" x14ac:dyDescent="0.25">
      <c r="A2325" s="1">
        <f t="shared" ref="A2325:A2334" si="224">DATE(2024,8,19)</f>
        <v>45523</v>
      </c>
      <c r="B2325" s="31">
        <f>TIME(20,34, 0)</f>
        <v>0.8569444444444444</v>
      </c>
      <c r="C2325" t="str">
        <f>'Inventory as of 12th Aug 2024'!A91</f>
        <v>Tomatoes</v>
      </c>
      <c r="D2325" s="27">
        <v>2</v>
      </c>
      <c r="E2325" s="5">
        <f>Table4[[#This Row],[qty]]*(VLOOKUP(Table4[[#This Row],[item_sold]],Table1[],5,FALSE))</f>
        <v>20</v>
      </c>
      <c r="F2325" s="5">
        <f>(VLOOKUP(Table4[[#This Row],[item_sold]],Table1[],4,FALSE))*Table4[[#This Row],[qty]]</f>
        <v>10</v>
      </c>
      <c r="G2325">
        <f t="shared" si="206"/>
        <v>10</v>
      </c>
      <c r="H2325" t="s">
        <v>359</v>
      </c>
      <c r="I2325" t="s">
        <v>390</v>
      </c>
    </row>
    <row r="2326" spans="1:12" x14ac:dyDescent="0.25">
      <c r="A2326" s="1">
        <f t="shared" si="224"/>
        <v>45523</v>
      </c>
      <c r="B2326" s="31">
        <f>TIME(20,34, 0)</f>
        <v>0.8569444444444444</v>
      </c>
      <c r="C2326" t="str">
        <f>'Inventory as of 12th Aug 2024'!A9</f>
        <v>Kinangop Fresh Milk 500ml</v>
      </c>
      <c r="D2326" s="27">
        <v>1</v>
      </c>
      <c r="E2326" s="5">
        <f>Table4[[#This Row],[qty]]*(VLOOKUP(Table4[[#This Row],[item_sold]],Table1[],5,FALSE))</f>
        <v>60</v>
      </c>
      <c r="F2326" s="5">
        <f>(VLOOKUP(Table4[[#This Row],[item_sold]],Table1[],4,FALSE))*Table4[[#This Row],[qty]]</f>
        <v>55</v>
      </c>
      <c r="G2326">
        <f t="shared" si="206"/>
        <v>5</v>
      </c>
      <c r="H2326" t="s">
        <v>359</v>
      </c>
      <c r="I2326" t="s">
        <v>390</v>
      </c>
    </row>
    <row r="2327" spans="1:12" x14ac:dyDescent="0.25">
      <c r="A2327" s="1">
        <f t="shared" si="224"/>
        <v>45523</v>
      </c>
      <c r="B2327" s="31">
        <f>TIME(20,35, 0)</f>
        <v>0.85763888888888884</v>
      </c>
      <c r="D2327" s="27"/>
      <c r="F2327" s="5"/>
      <c r="G2327"/>
      <c r="J2327" t="s">
        <v>403</v>
      </c>
      <c r="K2327">
        <f>425+70</f>
        <v>495</v>
      </c>
      <c r="L2327" t="s">
        <v>361</v>
      </c>
    </row>
    <row r="2328" spans="1:12" x14ac:dyDescent="0.25">
      <c r="A2328" s="1">
        <f t="shared" si="224"/>
        <v>45523</v>
      </c>
      <c r="B2328" s="31">
        <f>TIME(20,20, 0)</f>
        <v>0.84722222222222221</v>
      </c>
      <c r="C2328" t="str">
        <f>'Inventory as of 12th Aug 2024'!A98</f>
        <v>Ginger</v>
      </c>
      <c r="D2328" s="27">
        <v>1</v>
      </c>
      <c r="E2328" s="5">
        <f>Table4[[#This Row],[qty]]*(VLOOKUP(Table4[[#This Row],[item_sold]],Table1[],5,FALSE))</f>
        <v>20</v>
      </c>
      <c r="F2328" s="5">
        <f>(VLOOKUP(Table4[[#This Row],[item_sold]],Table1[],4,FALSE))*Table4[[#This Row],[qty]]</f>
        <v>10</v>
      </c>
      <c r="G2328">
        <f t="shared" ref="G2328:G2347" si="225">E2328-F2328</f>
        <v>10</v>
      </c>
      <c r="H2328" t="s">
        <v>361</v>
      </c>
    </row>
    <row r="2329" spans="1:12" x14ac:dyDescent="0.25">
      <c r="A2329" s="1">
        <f t="shared" si="224"/>
        <v>45523</v>
      </c>
      <c r="B2329" s="31">
        <f t="shared" ref="B2329" si="226">TIME(20,20, 0)</f>
        <v>0.84722222222222221</v>
      </c>
      <c r="C2329" t="str">
        <f>'Inventory as of 12th Aug 2024'!A96</f>
        <v>Ndimu</v>
      </c>
      <c r="D2329" s="27">
        <v>1</v>
      </c>
      <c r="E2329" s="5">
        <f>Table4[[#This Row],[qty]]*(VLOOKUP(Table4[[#This Row],[item_sold]],Table1[],5,FALSE))</f>
        <v>20</v>
      </c>
      <c r="F2329" s="5">
        <f>(VLOOKUP(Table4[[#This Row],[item_sold]],Table1[],4,FALSE))*Table4[[#This Row],[qty]]</f>
        <v>8.3333333333333339</v>
      </c>
      <c r="G2329">
        <f t="shared" si="225"/>
        <v>11.666666666666666</v>
      </c>
      <c r="H2329" t="s">
        <v>361</v>
      </c>
    </row>
    <row r="2330" spans="1:12" x14ac:dyDescent="0.25">
      <c r="A2330" s="1">
        <f t="shared" si="224"/>
        <v>45523</v>
      </c>
      <c r="B2330" s="31">
        <f>TIME(20,39, 0)</f>
        <v>0.86041666666666661</v>
      </c>
      <c r="C2330" t="str">
        <f>'Inventory as of 12th Aug 2024'!A234</f>
        <v>Bigdaddy</v>
      </c>
      <c r="D2330" s="27">
        <v>4</v>
      </c>
      <c r="E2330" s="5">
        <f>Table4[[#This Row],[qty]]*(VLOOKUP(Table4[[#This Row],[item_sold]],Table1[],5,FALSE))</f>
        <v>40</v>
      </c>
      <c r="F2330" s="5">
        <f>(VLOOKUP(Table4[[#This Row],[item_sold]],Table1[],4,FALSE))*Table4[[#This Row],[qty]]</f>
        <v>24</v>
      </c>
      <c r="G2330">
        <f t="shared" si="225"/>
        <v>16</v>
      </c>
      <c r="H2330" t="s">
        <v>361</v>
      </c>
    </row>
    <row r="2331" spans="1:12" x14ac:dyDescent="0.25">
      <c r="A2331" s="1">
        <f t="shared" si="224"/>
        <v>45523</v>
      </c>
      <c r="B2331" s="31">
        <f>TIME(20,51, 0)</f>
        <v>0.86875000000000002</v>
      </c>
      <c r="C2331" t="str">
        <f>'Inventory as of 12th Aug 2024'!A16</f>
        <v>Mt kenya milk 500ml</v>
      </c>
      <c r="D2331" s="27">
        <v>2</v>
      </c>
      <c r="E2331" s="5">
        <f>Table4[[#This Row],[qty]]*(VLOOKUP(Table4[[#This Row],[item_sold]],Table1[],5,FALSE))</f>
        <v>130</v>
      </c>
      <c r="F2331" s="5">
        <f>(VLOOKUP(Table4[[#This Row],[item_sold]],Table1[],4,FALSE))*Table4[[#This Row],[qty]]</f>
        <v>96.666666666666671</v>
      </c>
      <c r="G2331">
        <f t="shared" si="225"/>
        <v>33.333333333333329</v>
      </c>
      <c r="H2331" t="s">
        <v>361</v>
      </c>
    </row>
    <row r="2332" spans="1:12" x14ac:dyDescent="0.25">
      <c r="A2332" s="1">
        <f t="shared" si="224"/>
        <v>45523</v>
      </c>
      <c r="B2332" s="31">
        <f t="shared" ref="B2332:B2333" si="227">TIME(20,51, 0)</f>
        <v>0.86875000000000002</v>
      </c>
      <c r="C2332" t="str">
        <f>'Inventory as of 12th Aug 2024'!A91</f>
        <v>Tomatoes</v>
      </c>
      <c r="D2332" s="27">
        <v>2</v>
      </c>
      <c r="E2332" s="5">
        <f>Table4[[#This Row],[qty]]*(VLOOKUP(Table4[[#This Row],[item_sold]],Table1[],5,FALSE))</f>
        <v>20</v>
      </c>
      <c r="F2332" s="5">
        <f>(VLOOKUP(Table4[[#This Row],[item_sold]],Table1[],4,FALSE))*Table4[[#This Row],[qty]]</f>
        <v>10</v>
      </c>
      <c r="G2332">
        <f t="shared" si="225"/>
        <v>10</v>
      </c>
      <c r="H2332" t="s">
        <v>361</v>
      </c>
    </row>
    <row r="2333" spans="1:12" x14ac:dyDescent="0.25">
      <c r="A2333" s="1">
        <f t="shared" si="224"/>
        <v>45523</v>
      </c>
      <c r="B2333" s="31">
        <f t="shared" si="227"/>
        <v>0.86875000000000002</v>
      </c>
      <c r="C2333" t="str">
        <f>'Inventory as of 12th Aug 2024'!A134</f>
        <v>Hanaan Tissue</v>
      </c>
      <c r="D2333" s="27">
        <v>1</v>
      </c>
      <c r="E2333" s="5">
        <f>Table4[[#This Row],[qty]]*(VLOOKUP(Table4[[#This Row],[item_sold]],Table1[],5,FALSE))</f>
        <v>55</v>
      </c>
      <c r="F2333" s="5">
        <f>(VLOOKUP(Table4[[#This Row],[item_sold]],Table1[],4,FALSE))*Table4[[#This Row],[qty]]</f>
        <v>43</v>
      </c>
      <c r="G2333">
        <f t="shared" si="225"/>
        <v>12</v>
      </c>
      <c r="H2333" t="s">
        <v>361</v>
      </c>
    </row>
    <row r="2334" spans="1:12" x14ac:dyDescent="0.25">
      <c r="A2334" s="1">
        <f t="shared" si="224"/>
        <v>45523</v>
      </c>
      <c r="B2334" s="31">
        <f>TIME(21,17, 0)</f>
        <v>0.88680555555555562</v>
      </c>
      <c r="D2334" s="27"/>
      <c r="F2334" s="5"/>
      <c r="G2334"/>
      <c r="J2334" t="s">
        <v>418</v>
      </c>
      <c r="K2334">
        <v>70</v>
      </c>
      <c r="L2334" t="s">
        <v>361</v>
      </c>
    </row>
    <row r="2335" spans="1:12" x14ac:dyDescent="0.25">
      <c r="A2335" s="1">
        <f>DATE(2024,8,20)</f>
        <v>45524</v>
      </c>
      <c r="B2335" s="31">
        <f>TIME(8,2, 0)</f>
        <v>0.3347222222222222</v>
      </c>
      <c r="C2335" t="str">
        <f>'Inventory as of 12th Aug 2024'!A33</f>
        <v>BB Bread 400g</v>
      </c>
      <c r="D2335" s="27">
        <v>1</v>
      </c>
      <c r="E2335" s="5">
        <f>Table4[[#This Row],[qty]]*(VLOOKUP(Table4[[#This Row],[item_sold]],Table1[],5,FALSE))</f>
        <v>65</v>
      </c>
      <c r="F2335" s="5">
        <f>(VLOOKUP(Table4[[#This Row],[item_sold]],Table1[],4,FALSE))*Table4[[#This Row],[qty]]</f>
        <v>60</v>
      </c>
      <c r="G2335">
        <f t="shared" si="225"/>
        <v>5</v>
      </c>
      <c r="H2335" t="s">
        <v>361</v>
      </c>
    </row>
    <row r="2336" spans="1:12" x14ac:dyDescent="0.25">
      <c r="A2336" s="1">
        <f t="shared" ref="A2336:A2347" si="228">DATE(2024,8,20)</f>
        <v>45524</v>
      </c>
      <c r="B2336" s="31">
        <f>TIME(8,5, 0)</f>
        <v>0.33680555555555558</v>
      </c>
      <c r="C2336" t="str">
        <f>'Inventory as of 12th Aug 2024'!A33</f>
        <v>BB Bread 400g</v>
      </c>
      <c r="D2336" s="27">
        <v>2</v>
      </c>
      <c r="E2336" s="5">
        <f>Table4[[#This Row],[qty]]*(VLOOKUP(Table4[[#This Row],[item_sold]],Table1[],5,FALSE))</f>
        <v>130</v>
      </c>
      <c r="F2336" s="5">
        <f>(VLOOKUP(Table4[[#This Row],[item_sold]],Table1[],4,FALSE))*Table4[[#This Row],[qty]]</f>
        <v>120</v>
      </c>
      <c r="G2336">
        <f t="shared" si="225"/>
        <v>10</v>
      </c>
      <c r="H2336" t="s">
        <v>247</v>
      </c>
    </row>
    <row r="2337" spans="1:12" x14ac:dyDescent="0.25">
      <c r="A2337" s="1">
        <f t="shared" si="228"/>
        <v>45524</v>
      </c>
      <c r="B2337" s="31">
        <f>TIME(9,15, 0)</f>
        <v>0.38541666666666669</v>
      </c>
      <c r="C2337" t="str">
        <f>'Inventory as of 12th Aug 2024'!A37</f>
        <v>Festive Bread 400g</v>
      </c>
      <c r="D2337" s="27">
        <v>1</v>
      </c>
      <c r="E2337" s="5">
        <f>Table4[[#This Row],[qty]]*(VLOOKUP(Table4[[#This Row],[item_sold]],Table1[],5,FALSE))</f>
        <v>65</v>
      </c>
      <c r="F2337" s="5">
        <f>(VLOOKUP(Table4[[#This Row],[item_sold]],Table1[],4,FALSE))*Table4[[#This Row],[qty]]</f>
        <v>60</v>
      </c>
      <c r="G2337">
        <f t="shared" si="225"/>
        <v>5</v>
      </c>
      <c r="H2337" t="s">
        <v>361</v>
      </c>
    </row>
    <row r="2338" spans="1:12" x14ac:dyDescent="0.25">
      <c r="A2338" s="1">
        <f t="shared" si="228"/>
        <v>45524</v>
      </c>
      <c r="B2338" s="31">
        <f t="shared" ref="B2338" si="229">TIME(9,15, 0)</f>
        <v>0.38541666666666669</v>
      </c>
      <c r="C2338" t="str">
        <f>'Inventory as of 12th Aug 2024'!A16</f>
        <v>Mt kenya milk 500ml</v>
      </c>
      <c r="D2338" s="27">
        <v>1</v>
      </c>
      <c r="E2338" s="5">
        <f>Table4[[#This Row],[qty]]*(VLOOKUP(Table4[[#This Row],[item_sold]],Table1[],5,FALSE))</f>
        <v>65</v>
      </c>
      <c r="F2338" s="5">
        <f>(VLOOKUP(Table4[[#This Row],[item_sold]],Table1[],4,FALSE))*Table4[[#This Row],[qty]]</f>
        <v>48.333333333333336</v>
      </c>
      <c r="G2338">
        <f t="shared" si="225"/>
        <v>16.666666666666664</v>
      </c>
      <c r="H2338" t="s">
        <v>361</v>
      </c>
    </row>
    <row r="2339" spans="1:12" x14ac:dyDescent="0.25">
      <c r="A2339" s="1">
        <f t="shared" si="228"/>
        <v>45524</v>
      </c>
      <c r="B2339" s="31">
        <f>TIME(9,27, 0)</f>
        <v>0.39374999999999999</v>
      </c>
      <c r="C2339" t="str">
        <f>'Inventory as of 12th Aug 2024'!A2</f>
        <v>Safaricom 20 Credit</v>
      </c>
      <c r="D2339" s="27">
        <v>1</v>
      </c>
      <c r="E2339" s="5">
        <f>Table4[[#This Row],[qty]]*(VLOOKUP(Table4[[#This Row],[item_sold]],Table1[],5,FALSE))</f>
        <v>20</v>
      </c>
      <c r="F2339" s="5">
        <f>(VLOOKUP(Table4[[#This Row],[item_sold]],Table1[],4,FALSE))*Table4[[#This Row],[qty]]</f>
        <v>18</v>
      </c>
      <c r="G2339">
        <f t="shared" si="225"/>
        <v>2</v>
      </c>
      <c r="H2339" t="s">
        <v>247</v>
      </c>
    </row>
    <row r="2340" spans="1:12" x14ac:dyDescent="0.25">
      <c r="A2340" s="1">
        <f t="shared" si="228"/>
        <v>45524</v>
      </c>
      <c r="B2340" s="31">
        <f>TIME(9,41, 0)</f>
        <v>0.40347222222222223</v>
      </c>
      <c r="C2340" t="str">
        <f>'Inventory as of 12th Aug 2024'!A37</f>
        <v>Festive Bread 400g</v>
      </c>
      <c r="D2340" s="27">
        <v>1</v>
      </c>
      <c r="E2340" s="5">
        <f>Table4[[#This Row],[qty]]*(VLOOKUP(Table4[[#This Row],[item_sold]],Table1[],5,FALSE))</f>
        <v>65</v>
      </c>
      <c r="F2340" s="5">
        <f>(VLOOKUP(Table4[[#This Row],[item_sold]],Table1[],4,FALSE))*Table4[[#This Row],[qty]]</f>
        <v>60</v>
      </c>
      <c r="G2340">
        <f t="shared" si="225"/>
        <v>5</v>
      </c>
      <c r="H2340" t="s">
        <v>247</v>
      </c>
    </row>
    <row r="2341" spans="1:12" x14ac:dyDescent="0.25">
      <c r="A2341" s="1">
        <f t="shared" si="228"/>
        <v>45524</v>
      </c>
      <c r="B2341" s="31">
        <f>TIME(10,6, 0)</f>
        <v>0.42083333333333334</v>
      </c>
      <c r="C2341" t="str">
        <f>'Inventory as of 12th Aug 2024'!A5</f>
        <v>Airtel 20 Credit</v>
      </c>
      <c r="D2341" s="27">
        <v>2</v>
      </c>
      <c r="E2341" s="5">
        <f>Table4[[#This Row],[qty]]*(VLOOKUP(Table4[[#This Row],[item_sold]],Table1[],5,FALSE))</f>
        <v>40</v>
      </c>
      <c r="F2341" s="5">
        <f>(VLOOKUP(Table4[[#This Row],[item_sold]],Table1[],4,FALSE))*Table4[[#This Row],[qty]]</f>
        <v>36</v>
      </c>
      <c r="G2341">
        <f t="shared" si="225"/>
        <v>4</v>
      </c>
      <c r="H2341" t="s">
        <v>247</v>
      </c>
    </row>
    <row r="2342" spans="1:12" x14ac:dyDescent="0.25">
      <c r="A2342" s="1">
        <f t="shared" si="228"/>
        <v>45524</v>
      </c>
      <c r="B2342" s="31">
        <f>TIME(10,6, 0)</f>
        <v>0.42083333333333334</v>
      </c>
      <c r="C2342" t="str">
        <f>'Inventory as of 12th Aug 2024'!A189</f>
        <v>Peanut Cookies</v>
      </c>
      <c r="D2342" s="27">
        <v>1</v>
      </c>
      <c r="E2342" s="5">
        <f>Table4[[#This Row],[qty]]*(VLOOKUP(Table4[[#This Row],[item_sold]],Table1[],5,FALSE))</f>
        <v>35</v>
      </c>
      <c r="F2342" s="5">
        <f>(VLOOKUP(Table4[[#This Row],[item_sold]],Table1[],4,FALSE))*Table4[[#This Row],[qty]]</f>
        <v>25</v>
      </c>
      <c r="G2342">
        <f t="shared" si="225"/>
        <v>10</v>
      </c>
      <c r="H2342" t="s">
        <v>247</v>
      </c>
    </row>
    <row r="2343" spans="1:12" x14ac:dyDescent="0.25">
      <c r="A2343" s="1">
        <f t="shared" si="228"/>
        <v>45524</v>
      </c>
      <c r="B2343" s="31">
        <f>TIME(10,6, 0)</f>
        <v>0.42083333333333334</v>
      </c>
      <c r="C2343" t="str">
        <f>'Inventory as of 12th Aug 2024'!A233</f>
        <v>Lollipop</v>
      </c>
      <c r="D2343" s="27">
        <v>4</v>
      </c>
      <c r="E2343" s="5">
        <f>Table4[[#This Row],[qty]]*(VLOOKUP(Table4[[#This Row],[item_sold]],Table1[],5,FALSE))</f>
        <v>20</v>
      </c>
      <c r="F2343" s="5">
        <f>(VLOOKUP(Table4[[#This Row],[item_sold]],Table1[],4,FALSE))*Table4[[#This Row],[qty]]</f>
        <v>9.6</v>
      </c>
      <c r="G2343">
        <f t="shared" si="225"/>
        <v>10.4</v>
      </c>
      <c r="H2343" t="s">
        <v>247</v>
      </c>
    </row>
    <row r="2344" spans="1:12" x14ac:dyDescent="0.25">
      <c r="A2344" s="1">
        <f t="shared" si="228"/>
        <v>45524</v>
      </c>
      <c r="B2344" s="31">
        <f>TIME(11,41, 0)</f>
        <v>0.48680555555555555</v>
      </c>
      <c r="C2344" t="str">
        <f>'Inventory as of 12th Aug 2024'!A35</f>
        <v>Festive 600g</v>
      </c>
      <c r="D2344" s="27">
        <v>1</v>
      </c>
      <c r="E2344" s="5">
        <f>Table4[[#This Row],[qty]]*(VLOOKUP(Table4[[#This Row],[item_sold]],Table1[],5,FALSE))</f>
        <v>100</v>
      </c>
      <c r="F2344" s="5">
        <f>(VLOOKUP(Table4[[#This Row],[item_sold]],Table1[],4,FALSE))*Table4[[#This Row],[qty]]</f>
        <v>90</v>
      </c>
      <c r="G2344">
        <f t="shared" si="225"/>
        <v>10</v>
      </c>
      <c r="H2344" t="s">
        <v>361</v>
      </c>
    </row>
    <row r="2345" spans="1:12" x14ac:dyDescent="0.25">
      <c r="A2345" s="1">
        <f t="shared" si="228"/>
        <v>45524</v>
      </c>
      <c r="B2345" s="31">
        <f>TIME(10,54, 0)</f>
        <v>0.45416666666666666</v>
      </c>
      <c r="C2345" t="str">
        <f>'Inventory as of 12th Aug 2024'!A37</f>
        <v>Festive Bread 400g</v>
      </c>
      <c r="D2345" s="27">
        <v>1</v>
      </c>
      <c r="E2345" s="5">
        <f>Table4[[#This Row],[qty]]*(VLOOKUP(Table4[[#This Row],[item_sold]],Table1[],5,FALSE))</f>
        <v>65</v>
      </c>
      <c r="F2345" s="5">
        <f>(VLOOKUP(Table4[[#This Row],[item_sold]],Table1[],4,FALSE))*Table4[[#This Row],[qty]]</f>
        <v>60</v>
      </c>
      <c r="G2345">
        <f t="shared" si="225"/>
        <v>5</v>
      </c>
      <c r="H2345" t="s">
        <v>361</v>
      </c>
    </row>
    <row r="2346" spans="1:12" x14ac:dyDescent="0.25">
      <c r="A2346" s="1">
        <f t="shared" si="228"/>
        <v>45524</v>
      </c>
      <c r="B2346" s="31">
        <f>TIME(11,30, 0)</f>
        <v>0.47916666666666669</v>
      </c>
      <c r="C2346" t="str">
        <f>'Inventory as of 12th Aug 2024'!A37</f>
        <v>Festive Bread 400g</v>
      </c>
      <c r="D2346" s="27">
        <v>1</v>
      </c>
      <c r="E2346" s="5">
        <f>Table4[[#This Row],[qty]]*(VLOOKUP(Table4[[#This Row],[item_sold]],Table1[],5,FALSE))</f>
        <v>65</v>
      </c>
      <c r="F2346" s="5">
        <f>(VLOOKUP(Table4[[#This Row],[item_sold]],Table1[],4,FALSE))*Table4[[#This Row],[qty]]</f>
        <v>60</v>
      </c>
      <c r="G2346">
        <f t="shared" si="225"/>
        <v>5</v>
      </c>
      <c r="H2346" t="s">
        <v>359</v>
      </c>
      <c r="I2346" t="s">
        <v>390</v>
      </c>
    </row>
    <row r="2347" spans="1:12" x14ac:dyDescent="0.25">
      <c r="A2347" s="1">
        <f t="shared" si="228"/>
        <v>45524</v>
      </c>
      <c r="B2347" s="31">
        <f>TIME(11,30, 0)</f>
        <v>0.47916666666666669</v>
      </c>
      <c r="C2347" t="str">
        <f>'Inventory as of 12th Aug 2024'!A178</f>
        <v>Ringoz Paprika</v>
      </c>
      <c r="D2347" s="27">
        <v>1</v>
      </c>
      <c r="E2347" s="5">
        <f>Table4[[#This Row],[qty]]*(VLOOKUP(Table4[[#This Row],[item_sold]],Table1[],5,FALSE))</f>
        <v>15</v>
      </c>
      <c r="F2347" s="5">
        <f>(VLOOKUP(Table4[[#This Row],[item_sold]],Table1[],4,FALSE))*Table4[[#This Row],[qty]]</f>
        <v>8.8000000000000007</v>
      </c>
      <c r="G2347">
        <f t="shared" si="225"/>
        <v>6.1999999999999993</v>
      </c>
      <c r="H2347" t="s">
        <v>359</v>
      </c>
      <c r="I2347" t="s">
        <v>390</v>
      </c>
      <c r="J2347" t="s">
        <v>390</v>
      </c>
      <c r="K2347">
        <v>1260</v>
      </c>
      <c r="L2347" t="s">
        <v>247</v>
      </c>
    </row>
    <row r="2348" spans="1:12" x14ac:dyDescent="0.25">
      <c r="A2348" s="12" t="s">
        <v>424</v>
      </c>
      <c r="B2348" s="32">
        <v>0.51875000000000004</v>
      </c>
      <c r="C2348" s="12" t="s">
        <v>116</v>
      </c>
      <c r="D2348" s="28">
        <v>1</v>
      </c>
      <c r="E2348" s="5">
        <f>Table4[[#This Row],[qty]]*(VLOOKUP(Table4[[#This Row],[item_sold]],Table1[],5,FALSE))</f>
        <v>85</v>
      </c>
      <c r="F2348" s="5">
        <f>(VLOOKUP(Table4[[#This Row],[item_sold]],Table1[],4,FALSE))*Table4[[#This Row],[qty]]</f>
        <v>66</v>
      </c>
      <c r="G2348">
        <f t="shared" ref="G2348:G2411" si="230">E2348-F2348</f>
        <v>19</v>
      </c>
      <c r="H2348" s="12" t="s">
        <v>361</v>
      </c>
      <c r="I2348" s="12"/>
      <c r="J2348" s="12"/>
      <c r="K2348" s="12"/>
      <c r="L2348" s="12"/>
    </row>
    <row r="2349" spans="1:12" x14ac:dyDescent="0.25">
      <c r="A2349" s="14" t="s">
        <v>424</v>
      </c>
      <c r="B2349" s="33">
        <v>0.51875000000000004</v>
      </c>
      <c r="C2349" s="14" t="s">
        <v>95</v>
      </c>
      <c r="D2349" s="29">
        <v>5</v>
      </c>
      <c r="E2349" s="5">
        <f>Table4[[#This Row],[qty]]*(VLOOKUP(Table4[[#This Row],[item_sold]],Table1[],5,FALSE))</f>
        <v>100</v>
      </c>
      <c r="F2349" s="5">
        <f>(VLOOKUP(Table4[[#This Row],[item_sold]],Table1[],4,FALSE))*Table4[[#This Row],[qty]]</f>
        <v>71.666666666666671</v>
      </c>
      <c r="G2349">
        <f t="shared" si="230"/>
        <v>28.333333333333329</v>
      </c>
      <c r="H2349" s="14" t="s">
        <v>361</v>
      </c>
      <c r="I2349" s="14"/>
      <c r="J2349" s="14"/>
      <c r="K2349" s="14"/>
      <c r="L2349" s="14"/>
    </row>
    <row r="2350" spans="1:12" x14ac:dyDescent="0.25">
      <c r="A2350" s="12" t="s">
        <v>424</v>
      </c>
      <c r="B2350" s="32">
        <v>0.51875000000000004</v>
      </c>
      <c r="C2350" s="12" t="s">
        <v>144</v>
      </c>
      <c r="D2350" s="28">
        <v>1</v>
      </c>
      <c r="E2350" s="5">
        <f>Table4[[#This Row],[qty]]*(VLOOKUP(Table4[[#This Row],[item_sold]],Table1[],5,FALSE))</f>
        <v>35</v>
      </c>
      <c r="F2350" s="5">
        <f>(VLOOKUP(Table4[[#This Row],[item_sold]],Table1[],4,FALSE))*Table4[[#This Row],[qty]]</f>
        <v>24.285714285714285</v>
      </c>
      <c r="G2350">
        <f t="shared" si="230"/>
        <v>10.714285714285715</v>
      </c>
      <c r="H2350" s="12" t="s">
        <v>361</v>
      </c>
      <c r="I2350" s="12"/>
      <c r="J2350" s="12"/>
      <c r="K2350" s="12"/>
      <c r="L2350" s="12"/>
    </row>
    <row r="2351" spans="1:12" x14ac:dyDescent="0.25">
      <c r="A2351" s="14" t="s">
        <v>424</v>
      </c>
      <c r="B2351" s="33">
        <v>0.51875000000000004</v>
      </c>
      <c r="C2351" s="14" t="s">
        <v>57</v>
      </c>
      <c r="D2351" s="29">
        <v>1</v>
      </c>
      <c r="E2351" s="5">
        <f>Table4[[#This Row],[qty]]*(VLOOKUP(Table4[[#This Row],[item_sold]],Table1[],5,FALSE))</f>
        <v>5</v>
      </c>
      <c r="F2351" s="5">
        <f>(VLOOKUP(Table4[[#This Row],[item_sold]],Table1[],4,FALSE))*Table4[[#This Row],[qty]]</f>
        <v>4.166666666666667</v>
      </c>
      <c r="G2351">
        <f t="shared" si="230"/>
        <v>0.83333333333333304</v>
      </c>
      <c r="H2351" s="14" t="s">
        <v>361</v>
      </c>
      <c r="I2351" s="14"/>
      <c r="J2351" s="14"/>
      <c r="K2351" s="14"/>
      <c r="L2351" s="14"/>
    </row>
    <row r="2352" spans="1:12" x14ac:dyDescent="0.25">
      <c r="A2352" s="12" t="s">
        <v>424</v>
      </c>
      <c r="B2352" s="32">
        <v>0.57708333333333328</v>
      </c>
      <c r="C2352" s="12" t="s">
        <v>127</v>
      </c>
      <c r="D2352" s="28">
        <v>1</v>
      </c>
      <c r="E2352" s="5">
        <f>Table4[[#This Row],[qty]]*(VLOOKUP(Table4[[#This Row],[item_sold]],Table1[],5,FALSE))</f>
        <v>50</v>
      </c>
      <c r="F2352" s="5">
        <f>(VLOOKUP(Table4[[#This Row],[item_sold]],Table1[],4,FALSE))*Table4[[#This Row],[qty]]</f>
        <v>38.333333333333336</v>
      </c>
      <c r="G2352">
        <f t="shared" si="230"/>
        <v>11.666666666666664</v>
      </c>
      <c r="H2352" s="12" t="s">
        <v>359</v>
      </c>
      <c r="I2352" s="12" t="s">
        <v>390</v>
      </c>
      <c r="J2352" s="12"/>
      <c r="K2352" s="12"/>
      <c r="L2352" s="12"/>
    </row>
    <row r="2353" spans="1:12" x14ac:dyDescent="0.25">
      <c r="A2353" s="14" t="s">
        <v>424</v>
      </c>
      <c r="B2353" s="33">
        <v>0.57708333333333328</v>
      </c>
      <c r="C2353" s="14" t="s">
        <v>132</v>
      </c>
      <c r="D2353" s="29">
        <v>3</v>
      </c>
      <c r="E2353" s="5">
        <f>Table4[[#This Row],[qty]]*(VLOOKUP(Table4[[#This Row],[item_sold]],Table1[],5,FALSE))</f>
        <v>60</v>
      </c>
      <c r="F2353" s="5">
        <f>(VLOOKUP(Table4[[#This Row],[item_sold]],Table1[],4,FALSE))*Table4[[#This Row],[qty]]</f>
        <v>52</v>
      </c>
      <c r="G2353">
        <f t="shared" si="230"/>
        <v>8</v>
      </c>
      <c r="H2353" s="14" t="s">
        <v>359</v>
      </c>
      <c r="I2353" s="14" t="s">
        <v>390</v>
      </c>
      <c r="J2353" s="14"/>
      <c r="K2353" s="14"/>
      <c r="L2353" s="14"/>
    </row>
    <row r="2354" spans="1:12" x14ac:dyDescent="0.25">
      <c r="A2354" s="12" t="s">
        <v>424</v>
      </c>
      <c r="B2354" s="32">
        <v>0.60416666666666663</v>
      </c>
      <c r="C2354" s="12" t="s">
        <v>79</v>
      </c>
      <c r="D2354" s="28">
        <v>1</v>
      </c>
      <c r="E2354" s="5">
        <f>Table4[[#This Row],[qty]]*(VLOOKUP(Table4[[#This Row],[item_sold]],Table1[],5,FALSE))</f>
        <v>5</v>
      </c>
      <c r="F2354" s="5">
        <f>(VLOOKUP(Table4[[#This Row],[item_sold]],Table1[],4,FALSE))*Table4[[#This Row],[qty]]</f>
        <v>3.5</v>
      </c>
      <c r="G2354">
        <f t="shared" si="230"/>
        <v>1.5</v>
      </c>
      <c r="H2354" s="12" t="s">
        <v>247</v>
      </c>
      <c r="I2354" s="12"/>
      <c r="J2354" s="12"/>
      <c r="K2354" s="12"/>
      <c r="L2354" s="12"/>
    </row>
    <row r="2355" spans="1:12" x14ac:dyDescent="0.25">
      <c r="A2355" s="14" t="s">
        <v>424</v>
      </c>
      <c r="B2355" s="33">
        <v>0.60416666666666663</v>
      </c>
      <c r="C2355" s="14" t="s">
        <v>274</v>
      </c>
      <c r="D2355" s="29">
        <v>2</v>
      </c>
      <c r="E2355" s="5">
        <f>Table4[[#This Row],[qty]]*(VLOOKUP(Table4[[#This Row],[item_sold]],Table1[],5,FALSE))</f>
        <v>30</v>
      </c>
      <c r="F2355" s="5">
        <f>(VLOOKUP(Table4[[#This Row],[item_sold]],Table1[],4,FALSE))*Table4[[#This Row],[qty]]</f>
        <v>17.2</v>
      </c>
      <c r="G2355">
        <f t="shared" si="230"/>
        <v>12.8</v>
      </c>
      <c r="H2355" s="14" t="s">
        <v>247</v>
      </c>
      <c r="I2355" s="14"/>
      <c r="J2355" s="14"/>
      <c r="K2355" s="14"/>
      <c r="L2355" s="14"/>
    </row>
    <row r="2356" spans="1:12" x14ac:dyDescent="0.25">
      <c r="A2356" s="12" t="s">
        <v>424</v>
      </c>
      <c r="B2356" s="32">
        <v>0.60416666666666663</v>
      </c>
      <c r="C2356" s="12" t="s">
        <v>57</v>
      </c>
      <c r="D2356" s="28">
        <v>2</v>
      </c>
      <c r="E2356" s="5">
        <f>Table4[[#This Row],[qty]]*(VLOOKUP(Table4[[#This Row],[item_sold]],Table1[],5,FALSE))</f>
        <v>10</v>
      </c>
      <c r="F2356" s="5">
        <f>(VLOOKUP(Table4[[#This Row],[item_sold]],Table1[],4,FALSE))*Table4[[#This Row],[qty]]</f>
        <v>8.3333333333333339</v>
      </c>
      <c r="G2356">
        <f t="shared" si="230"/>
        <v>1.6666666666666661</v>
      </c>
      <c r="H2356" s="12" t="s">
        <v>247</v>
      </c>
      <c r="I2356" s="12"/>
      <c r="J2356" s="12"/>
      <c r="K2356" s="12"/>
      <c r="L2356" s="12"/>
    </row>
    <row r="2357" spans="1:12" x14ac:dyDescent="0.25">
      <c r="A2357" s="14" t="s">
        <v>424</v>
      </c>
      <c r="B2357" s="33">
        <v>0.62291666666666667</v>
      </c>
      <c r="C2357" s="14" t="s">
        <v>99</v>
      </c>
      <c r="D2357" s="29">
        <v>1</v>
      </c>
      <c r="E2357" s="5">
        <f>Table4[[#This Row],[qty]]*(VLOOKUP(Table4[[#This Row],[item_sold]],Table1[],5,FALSE))</f>
        <v>20</v>
      </c>
      <c r="F2357" s="5">
        <f>(VLOOKUP(Table4[[#This Row],[item_sold]],Table1[],4,FALSE))*Table4[[#This Row],[qty]]</f>
        <v>13</v>
      </c>
      <c r="G2357">
        <f t="shared" si="230"/>
        <v>7</v>
      </c>
      <c r="H2357" s="14" t="s">
        <v>247</v>
      </c>
      <c r="I2357" s="14"/>
      <c r="J2357" s="14"/>
      <c r="K2357" s="14"/>
      <c r="L2357" s="14"/>
    </row>
    <row r="2358" spans="1:12" x14ac:dyDescent="0.25">
      <c r="A2358" s="12" t="s">
        <v>424</v>
      </c>
      <c r="B2358" s="32">
        <v>0.6333333333333333</v>
      </c>
      <c r="C2358" s="12" t="s">
        <v>22</v>
      </c>
      <c r="D2358" s="28">
        <v>1</v>
      </c>
      <c r="E2358" s="5">
        <f>Table4[[#This Row],[qty]]*(VLOOKUP(Table4[[#This Row],[item_sold]],Table1[],5,FALSE))</f>
        <v>55</v>
      </c>
      <c r="F2358" s="5">
        <f>(VLOOKUP(Table4[[#This Row],[item_sold]],Table1[],4,FALSE))*Table4[[#This Row],[qty]]</f>
        <v>50</v>
      </c>
      <c r="G2358">
        <f t="shared" si="230"/>
        <v>5</v>
      </c>
      <c r="H2358" s="12" t="s">
        <v>361</v>
      </c>
      <c r="I2358" s="12"/>
      <c r="J2358" s="12"/>
      <c r="K2358" s="12"/>
      <c r="L2358" s="12"/>
    </row>
    <row r="2359" spans="1:12" x14ac:dyDescent="0.25">
      <c r="A2359" s="14" t="s">
        <v>424</v>
      </c>
      <c r="B2359" s="33">
        <v>0.6333333333333333</v>
      </c>
      <c r="C2359" s="14" t="s">
        <v>154</v>
      </c>
      <c r="D2359" s="29">
        <v>1</v>
      </c>
      <c r="E2359" s="5">
        <f>Table4[[#This Row],[qty]]*(VLOOKUP(Table4[[#This Row],[item_sold]],Table1[],5,FALSE))</f>
        <v>65</v>
      </c>
      <c r="F2359" s="5">
        <f>(VLOOKUP(Table4[[#This Row],[item_sold]],Table1[],4,FALSE))*Table4[[#This Row],[qty]]</f>
        <v>60</v>
      </c>
      <c r="G2359">
        <f t="shared" si="230"/>
        <v>5</v>
      </c>
      <c r="H2359" s="14" t="s">
        <v>361</v>
      </c>
      <c r="I2359" s="14"/>
      <c r="J2359" s="14"/>
      <c r="K2359" s="14"/>
      <c r="L2359" s="14"/>
    </row>
    <row r="2360" spans="1:12" x14ac:dyDescent="0.25">
      <c r="A2360" s="12" t="s">
        <v>424</v>
      </c>
      <c r="B2360" s="32">
        <v>0.65416666666666667</v>
      </c>
      <c r="C2360" s="12" t="s">
        <v>57</v>
      </c>
      <c r="D2360" s="28">
        <v>6</v>
      </c>
      <c r="E2360" s="5">
        <f>Table4[[#This Row],[qty]]*(VLOOKUP(Table4[[#This Row],[item_sold]],Table1[],5,FALSE))</f>
        <v>30</v>
      </c>
      <c r="F2360" s="5">
        <f>(VLOOKUP(Table4[[#This Row],[item_sold]],Table1[],4,FALSE))*Table4[[#This Row],[qty]]</f>
        <v>25</v>
      </c>
      <c r="G2360">
        <f t="shared" si="230"/>
        <v>5</v>
      </c>
      <c r="H2360" s="12" t="s">
        <v>247</v>
      </c>
      <c r="I2360" s="12"/>
      <c r="J2360" s="12"/>
      <c r="K2360" s="12"/>
      <c r="L2360" s="12"/>
    </row>
    <row r="2361" spans="1:12" x14ac:dyDescent="0.25">
      <c r="A2361" s="14" t="s">
        <v>424</v>
      </c>
      <c r="B2361" s="33">
        <v>0.6694444444444444</v>
      </c>
      <c r="C2361" s="14" t="s">
        <v>337</v>
      </c>
      <c r="D2361" s="29">
        <v>1</v>
      </c>
      <c r="E2361" s="5">
        <f>Table4[[#This Row],[qty]]*(VLOOKUP(Table4[[#This Row],[item_sold]],Table1[],5,FALSE))</f>
        <v>160</v>
      </c>
      <c r="F2361" s="5">
        <f>(VLOOKUP(Table4[[#This Row],[item_sold]],Table1[],4,FALSE))*Table4[[#This Row],[qty]]</f>
        <v>125</v>
      </c>
      <c r="G2361">
        <f t="shared" si="230"/>
        <v>35</v>
      </c>
      <c r="H2361" s="14" t="s">
        <v>361</v>
      </c>
      <c r="I2361" s="14"/>
      <c r="J2361" s="14"/>
      <c r="K2361" s="14"/>
      <c r="L2361" s="14"/>
    </row>
    <row r="2362" spans="1:12" x14ac:dyDescent="0.25">
      <c r="A2362" s="12" t="s">
        <v>424</v>
      </c>
      <c r="B2362" s="32">
        <v>0.67986111111111114</v>
      </c>
      <c r="C2362" s="12" t="s">
        <v>70</v>
      </c>
      <c r="D2362" s="28">
        <v>6</v>
      </c>
      <c r="E2362" s="5">
        <f>Table4[[#This Row],[qty]]*(VLOOKUP(Table4[[#This Row],[item_sold]],Table1[],5,FALSE))</f>
        <v>15</v>
      </c>
      <c r="F2362" s="5">
        <f>(VLOOKUP(Table4[[#This Row],[item_sold]],Table1[],4,FALSE))*Table4[[#This Row],[qty]]</f>
        <v>7.1999999999999993</v>
      </c>
      <c r="G2362">
        <f t="shared" si="230"/>
        <v>7.8000000000000007</v>
      </c>
      <c r="H2362" s="12" t="s">
        <v>361</v>
      </c>
      <c r="I2362" s="12"/>
      <c r="J2362" s="12"/>
      <c r="K2362" s="12"/>
      <c r="L2362" s="12"/>
    </row>
    <row r="2363" spans="1:12" x14ac:dyDescent="0.25">
      <c r="A2363" s="14" t="s">
        <v>424</v>
      </c>
      <c r="B2363" s="33">
        <v>0.68819444444444444</v>
      </c>
      <c r="C2363" s="14" t="s">
        <v>53</v>
      </c>
      <c r="D2363" s="29">
        <v>1</v>
      </c>
      <c r="E2363" s="5">
        <f>Table4[[#This Row],[qty]]*(VLOOKUP(Table4[[#This Row],[item_sold]],Table1[],5,FALSE))</f>
        <v>20</v>
      </c>
      <c r="F2363" s="5">
        <f>(VLOOKUP(Table4[[#This Row],[item_sold]],Table1[],4,FALSE))*Table4[[#This Row],[qty]]</f>
        <v>10.666666666666666</v>
      </c>
      <c r="G2363">
        <f t="shared" si="230"/>
        <v>9.3333333333333339</v>
      </c>
      <c r="H2363" s="14" t="s">
        <v>359</v>
      </c>
      <c r="I2363" s="14" t="s">
        <v>411</v>
      </c>
      <c r="J2363" s="14"/>
      <c r="K2363" s="14"/>
      <c r="L2363" s="14"/>
    </row>
    <row r="2364" spans="1:12" x14ac:dyDescent="0.25">
      <c r="A2364" s="12" t="s">
        <v>424</v>
      </c>
      <c r="B2364" s="32">
        <v>0.70416666666666672</v>
      </c>
      <c r="C2364" s="12" t="s">
        <v>179</v>
      </c>
      <c r="D2364" s="28">
        <v>0.75</v>
      </c>
      <c r="E2364" s="5">
        <f>Table4[[#This Row],[qty]]*(VLOOKUP(Table4[[#This Row],[item_sold]],Table1[],5,FALSE))</f>
        <v>165</v>
      </c>
      <c r="F2364" s="5">
        <f>(VLOOKUP(Table4[[#This Row],[item_sold]],Table1[],4,FALSE))*Table4[[#This Row],[qty]]</f>
        <v>135</v>
      </c>
      <c r="G2364">
        <f t="shared" si="230"/>
        <v>30</v>
      </c>
      <c r="H2364" s="12" t="s">
        <v>359</v>
      </c>
      <c r="I2364" s="12" t="s">
        <v>384</v>
      </c>
      <c r="J2364" s="12" t="s">
        <v>384</v>
      </c>
      <c r="K2364" s="12">
        <v>245</v>
      </c>
      <c r="L2364" s="12"/>
    </row>
    <row r="2365" spans="1:12" x14ac:dyDescent="0.25">
      <c r="A2365" s="14" t="s">
        <v>424</v>
      </c>
      <c r="B2365" s="33">
        <v>0.74027777777777781</v>
      </c>
      <c r="C2365" s="14" t="s">
        <v>166</v>
      </c>
      <c r="D2365" s="29">
        <v>0.5</v>
      </c>
      <c r="E2365" s="5">
        <f>Table4[[#This Row],[qty]]*(VLOOKUP(Table4[[#This Row],[item_sold]],Table1[],5,FALSE))</f>
        <v>80</v>
      </c>
      <c r="F2365" s="5">
        <f>(VLOOKUP(Table4[[#This Row],[item_sold]],Table1[],4,FALSE))*Table4[[#This Row],[qty]]</f>
        <v>60</v>
      </c>
      <c r="G2365">
        <f t="shared" si="230"/>
        <v>20</v>
      </c>
      <c r="H2365" s="14" t="s">
        <v>359</v>
      </c>
      <c r="I2365" s="14" t="s">
        <v>384</v>
      </c>
      <c r="J2365" s="14"/>
      <c r="K2365" s="14"/>
      <c r="L2365" s="14"/>
    </row>
    <row r="2366" spans="1:12" x14ac:dyDescent="0.25">
      <c r="A2366" s="12" t="s">
        <v>424</v>
      </c>
      <c r="B2366" s="32">
        <v>0.74097222222222225</v>
      </c>
      <c r="C2366" s="12" t="s">
        <v>74</v>
      </c>
      <c r="D2366" s="28">
        <v>2</v>
      </c>
      <c r="E2366" s="5">
        <f>Table4[[#This Row],[qty]]*(VLOOKUP(Table4[[#This Row],[item_sold]],Table1[],5,FALSE))</f>
        <v>10</v>
      </c>
      <c r="F2366" s="5">
        <f>(VLOOKUP(Table4[[#This Row],[item_sold]],Table1[],4,FALSE))*Table4[[#This Row],[qty]]</f>
        <v>8</v>
      </c>
      <c r="G2366">
        <f t="shared" si="230"/>
        <v>2</v>
      </c>
      <c r="H2366" s="12" t="s">
        <v>247</v>
      </c>
      <c r="I2366" s="12"/>
      <c r="J2366" s="12"/>
      <c r="K2366" s="12"/>
      <c r="L2366" s="12"/>
    </row>
    <row r="2367" spans="1:12" x14ac:dyDescent="0.25">
      <c r="A2367" s="14" t="s">
        <v>424</v>
      </c>
      <c r="B2367" s="33">
        <v>0.7416666666666667</v>
      </c>
      <c r="C2367" s="14" t="s">
        <v>58</v>
      </c>
      <c r="D2367" s="29">
        <v>6</v>
      </c>
      <c r="E2367" s="5">
        <f>Table4[[#This Row],[qty]]*(VLOOKUP(Table4[[#This Row],[item_sold]],Table1[],5,FALSE))</f>
        <v>30</v>
      </c>
      <c r="F2367" s="5">
        <f>(VLOOKUP(Table4[[#This Row],[item_sold]],Table1[],4,FALSE))*Table4[[#This Row],[qty]]</f>
        <v>26</v>
      </c>
      <c r="G2367">
        <f t="shared" si="230"/>
        <v>4</v>
      </c>
      <c r="H2367" s="14" t="s">
        <v>247</v>
      </c>
      <c r="I2367" s="14"/>
      <c r="J2367" s="14"/>
      <c r="K2367" s="14"/>
      <c r="L2367" s="14"/>
    </row>
    <row r="2368" spans="1:12" x14ac:dyDescent="0.25">
      <c r="A2368" s="12" t="s">
        <v>424</v>
      </c>
      <c r="B2368" s="32">
        <v>0.78749999999999998</v>
      </c>
      <c r="C2368" s="12" t="s">
        <v>26</v>
      </c>
      <c r="D2368" s="28">
        <v>1</v>
      </c>
      <c r="E2368" s="5">
        <f>Table4[[#This Row],[qty]]*(VLOOKUP(Table4[[#This Row],[item_sold]],Table1[],5,FALSE))</f>
        <v>60</v>
      </c>
      <c r="F2368" s="5">
        <f>(VLOOKUP(Table4[[#This Row],[item_sold]],Table1[],4,FALSE))*Table4[[#This Row],[qty]]</f>
        <v>48.333333333333336</v>
      </c>
      <c r="G2368">
        <f t="shared" si="230"/>
        <v>11.666666666666664</v>
      </c>
      <c r="H2368" s="12" t="s">
        <v>361</v>
      </c>
      <c r="I2368" s="12"/>
      <c r="J2368" s="12"/>
      <c r="K2368" s="12"/>
      <c r="L2368" s="12"/>
    </row>
    <row r="2369" spans="1:12" x14ac:dyDescent="0.25">
      <c r="A2369" s="14" t="s">
        <v>424</v>
      </c>
      <c r="B2369" s="33">
        <v>0.78749999999999998</v>
      </c>
      <c r="C2369" s="14" t="s">
        <v>61</v>
      </c>
      <c r="D2369" s="29">
        <v>1</v>
      </c>
      <c r="E2369" s="5">
        <f>Table4[[#This Row],[qty]]*(VLOOKUP(Table4[[#This Row],[item_sold]],Table1[],5,FALSE))</f>
        <v>50</v>
      </c>
      <c r="F2369" s="5">
        <f>(VLOOKUP(Table4[[#This Row],[item_sold]],Table1[],4,FALSE))*Table4[[#This Row],[qty]]</f>
        <v>45</v>
      </c>
      <c r="G2369">
        <f t="shared" si="230"/>
        <v>5</v>
      </c>
      <c r="H2369" s="14" t="s">
        <v>361</v>
      </c>
      <c r="I2369" s="14"/>
      <c r="J2369" s="14"/>
      <c r="K2369" s="14"/>
      <c r="L2369" s="14"/>
    </row>
    <row r="2370" spans="1:12" x14ac:dyDescent="0.25">
      <c r="A2370" s="12" t="s">
        <v>424</v>
      </c>
      <c r="B2370" s="32">
        <v>0.7895833333333333</v>
      </c>
      <c r="C2370" s="12" t="s">
        <v>39</v>
      </c>
      <c r="D2370" s="28">
        <v>1</v>
      </c>
      <c r="E2370" s="5">
        <f>Table4[[#This Row],[qty]]*(VLOOKUP(Table4[[#This Row],[item_sold]],Table1[],5,FALSE))</f>
        <v>65</v>
      </c>
      <c r="F2370" s="5">
        <f>(VLOOKUP(Table4[[#This Row],[item_sold]],Table1[],4,FALSE))*Table4[[#This Row],[qty]]</f>
        <v>60</v>
      </c>
      <c r="G2370">
        <f t="shared" si="230"/>
        <v>5</v>
      </c>
      <c r="H2370" s="12" t="s">
        <v>361</v>
      </c>
      <c r="I2370" s="12"/>
      <c r="J2370" s="12"/>
      <c r="K2370" s="12"/>
      <c r="L2370" s="12"/>
    </row>
    <row r="2371" spans="1:12" x14ac:dyDescent="0.25">
      <c r="A2371" s="14" t="s">
        <v>424</v>
      </c>
      <c r="B2371" s="33">
        <v>0.7895833333333333</v>
      </c>
      <c r="C2371" s="14" t="s">
        <v>33</v>
      </c>
      <c r="D2371" s="29">
        <v>2</v>
      </c>
      <c r="E2371" s="5">
        <f>Table4[[#This Row],[qty]]*(VLOOKUP(Table4[[#This Row],[item_sold]],Table1[],5,FALSE))</f>
        <v>140</v>
      </c>
      <c r="F2371" s="5">
        <f>(VLOOKUP(Table4[[#This Row],[item_sold]],Table1[],4,FALSE))*Table4[[#This Row],[qty]]</f>
        <v>118</v>
      </c>
      <c r="G2371">
        <f t="shared" si="230"/>
        <v>22</v>
      </c>
      <c r="H2371" s="14" t="s">
        <v>361</v>
      </c>
      <c r="I2371" s="14"/>
      <c r="J2371" s="14"/>
      <c r="K2371" s="14"/>
      <c r="L2371" s="14"/>
    </row>
    <row r="2372" spans="1:12" x14ac:dyDescent="0.25">
      <c r="A2372" s="12" t="s">
        <v>424</v>
      </c>
      <c r="B2372" s="32">
        <v>0.7895833333333333</v>
      </c>
      <c r="C2372" s="12" t="s">
        <v>100</v>
      </c>
      <c r="D2372" s="28">
        <v>6</v>
      </c>
      <c r="E2372" s="5">
        <f>Table4[[#This Row],[qty]]*(VLOOKUP(Table4[[#This Row],[item_sold]],Table1[],5,FALSE))</f>
        <v>90</v>
      </c>
      <c r="F2372" s="5">
        <f>(VLOOKUP(Table4[[#This Row],[item_sold]],Table1[],4,FALSE))*Table4[[#This Row],[qty]]</f>
        <v>51</v>
      </c>
      <c r="G2372">
        <f t="shared" si="230"/>
        <v>39</v>
      </c>
      <c r="H2372" s="12" t="s">
        <v>361</v>
      </c>
      <c r="I2372" s="12"/>
      <c r="J2372" s="12"/>
      <c r="K2372" s="12"/>
      <c r="L2372" s="12"/>
    </row>
    <row r="2373" spans="1:12" x14ac:dyDescent="0.25">
      <c r="A2373" s="14" t="s">
        <v>424</v>
      </c>
      <c r="B2373" s="33">
        <v>0.79722222222222228</v>
      </c>
      <c r="C2373" s="14" t="s">
        <v>13</v>
      </c>
      <c r="D2373" s="29">
        <v>1</v>
      </c>
      <c r="E2373" s="5">
        <f>Table4[[#This Row],[qty]]*(VLOOKUP(Table4[[#This Row],[item_sold]],Table1[],5,FALSE))</f>
        <v>130</v>
      </c>
      <c r="F2373" s="5">
        <f>(VLOOKUP(Table4[[#This Row],[item_sold]],Table1[],4,FALSE))*Table4[[#This Row],[qty]]</f>
        <v>112.5</v>
      </c>
      <c r="G2373">
        <f t="shared" si="230"/>
        <v>17.5</v>
      </c>
      <c r="H2373" s="14" t="s">
        <v>359</v>
      </c>
      <c r="I2373" s="14" t="s">
        <v>425</v>
      </c>
      <c r="J2373" s="14"/>
      <c r="K2373" s="14"/>
      <c r="L2373" s="14"/>
    </row>
    <row r="2374" spans="1:12" x14ac:dyDescent="0.25">
      <c r="A2374" s="12" t="s">
        <v>424</v>
      </c>
      <c r="B2374" s="32">
        <v>0.79722222222222228</v>
      </c>
      <c r="C2374" s="12" t="s">
        <v>59</v>
      </c>
      <c r="D2374" s="28">
        <v>6</v>
      </c>
      <c r="E2374" s="5">
        <f>Table4[[#This Row],[qty]]*(VLOOKUP(Table4[[#This Row],[item_sold]],Table1[],5,FALSE))</f>
        <v>30</v>
      </c>
      <c r="F2374" s="5">
        <f>(VLOOKUP(Table4[[#This Row],[item_sold]],Table1[],4,FALSE))*Table4[[#This Row],[qty]]</f>
        <v>26</v>
      </c>
      <c r="G2374">
        <f t="shared" si="230"/>
        <v>4</v>
      </c>
      <c r="H2374" s="12" t="s">
        <v>359</v>
      </c>
      <c r="I2374" s="12" t="s">
        <v>425</v>
      </c>
      <c r="J2374" s="12"/>
      <c r="K2374" s="12"/>
      <c r="L2374" s="12"/>
    </row>
    <row r="2375" spans="1:12" x14ac:dyDescent="0.25">
      <c r="A2375" s="14" t="s">
        <v>424</v>
      </c>
      <c r="B2375" s="33">
        <v>0.8041666666666667</v>
      </c>
      <c r="C2375" s="14" t="s">
        <v>27</v>
      </c>
      <c r="D2375" s="29">
        <v>1</v>
      </c>
      <c r="E2375" s="5">
        <f>Table4[[#This Row],[qty]]*(VLOOKUP(Table4[[#This Row],[item_sold]],Table1[],5,FALSE))</f>
        <v>160</v>
      </c>
      <c r="F2375" s="5">
        <f>(VLOOKUP(Table4[[#This Row],[item_sold]],Table1[],4,FALSE))*Table4[[#This Row],[qty]]</f>
        <v>137</v>
      </c>
      <c r="G2375">
        <f t="shared" si="230"/>
        <v>23</v>
      </c>
      <c r="H2375" s="14" t="s">
        <v>361</v>
      </c>
      <c r="I2375" s="14"/>
      <c r="J2375" s="14"/>
      <c r="K2375" s="14"/>
      <c r="L2375" s="14"/>
    </row>
    <row r="2376" spans="1:12" x14ac:dyDescent="0.25">
      <c r="A2376" s="12" t="s">
        <v>424</v>
      </c>
      <c r="B2376" s="32">
        <v>0.8041666666666667</v>
      </c>
      <c r="C2376" s="12" t="s">
        <v>198</v>
      </c>
      <c r="D2376" s="28">
        <v>1</v>
      </c>
      <c r="E2376" s="5">
        <f>Table4[[#This Row],[qty]]*(VLOOKUP(Table4[[#This Row],[item_sold]],Table1[],5,FALSE))</f>
        <v>20</v>
      </c>
      <c r="F2376" s="5">
        <f>(VLOOKUP(Table4[[#This Row],[item_sold]],Table1[],4,FALSE))*Table4[[#This Row],[qty]]</f>
        <v>10</v>
      </c>
      <c r="G2376">
        <f t="shared" si="230"/>
        <v>10</v>
      </c>
      <c r="H2376" s="12" t="s">
        <v>361</v>
      </c>
      <c r="I2376" s="12"/>
      <c r="J2376" s="12"/>
      <c r="K2376" s="12"/>
      <c r="L2376" s="12"/>
    </row>
    <row r="2377" spans="1:12" x14ac:dyDescent="0.25">
      <c r="A2377" s="14" t="s">
        <v>424</v>
      </c>
      <c r="B2377" s="33">
        <v>0.80763888888888891</v>
      </c>
      <c r="C2377" s="14" t="s">
        <v>293</v>
      </c>
      <c r="D2377" s="29">
        <v>1</v>
      </c>
      <c r="E2377" s="5">
        <f>Table4[[#This Row],[qty]]*(VLOOKUP(Table4[[#This Row],[item_sold]],Table1[],5,FALSE))</f>
        <v>100</v>
      </c>
      <c r="F2377" s="5">
        <f>(VLOOKUP(Table4[[#This Row],[item_sold]],Table1[],4,FALSE))*Table4[[#This Row],[qty]]</f>
        <v>69</v>
      </c>
      <c r="G2377">
        <f t="shared" si="230"/>
        <v>31</v>
      </c>
      <c r="H2377" s="14" t="s">
        <v>361</v>
      </c>
      <c r="I2377" s="14"/>
      <c r="J2377" s="14"/>
      <c r="K2377" s="14"/>
      <c r="L2377" s="14"/>
    </row>
    <row r="2378" spans="1:12" x14ac:dyDescent="0.25">
      <c r="A2378" s="12" t="s">
        <v>424</v>
      </c>
      <c r="B2378" s="32">
        <v>0.80555555555555558</v>
      </c>
      <c r="C2378" s="12" t="s">
        <v>138</v>
      </c>
      <c r="D2378" s="28">
        <v>0.25</v>
      </c>
      <c r="E2378" s="5">
        <f>Table4[[#This Row],[qty]]*(VLOOKUP(Table4[[#This Row],[item_sold]],Table1[],5,FALSE))</f>
        <v>70</v>
      </c>
      <c r="F2378" s="5">
        <f>(VLOOKUP(Table4[[#This Row],[item_sold]],Table1[],4,FALSE))*Table4[[#This Row],[qty]]</f>
        <v>50</v>
      </c>
      <c r="G2378">
        <f t="shared" si="230"/>
        <v>20</v>
      </c>
      <c r="H2378" s="12" t="s">
        <v>361</v>
      </c>
      <c r="I2378" s="12"/>
      <c r="J2378" s="12"/>
      <c r="K2378" s="12"/>
      <c r="L2378" s="12"/>
    </row>
    <row r="2379" spans="1:12" x14ac:dyDescent="0.25">
      <c r="A2379" s="14" t="s">
        <v>424</v>
      </c>
      <c r="B2379" s="33">
        <v>0.80555555555555558</v>
      </c>
      <c r="C2379" s="14" t="s">
        <v>59</v>
      </c>
      <c r="D2379" s="29">
        <v>1</v>
      </c>
      <c r="E2379" s="5">
        <f>Table4[[#This Row],[qty]]*(VLOOKUP(Table4[[#This Row],[item_sold]],Table1[],5,FALSE))</f>
        <v>5</v>
      </c>
      <c r="F2379" s="5">
        <f>(VLOOKUP(Table4[[#This Row],[item_sold]],Table1[],4,FALSE))*Table4[[#This Row],[qty]]</f>
        <v>4.333333333333333</v>
      </c>
      <c r="G2379">
        <f t="shared" si="230"/>
        <v>0.66666666666666696</v>
      </c>
      <c r="H2379" s="14" t="s">
        <v>247</v>
      </c>
      <c r="I2379" s="14"/>
      <c r="J2379" s="14"/>
      <c r="K2379" s="14"/>
      <c r="L2379" s="14"/>
    </row>
    <row r="2380" spans="1:12" x14ac:dyDescent="0.25">
      <c r="A2380" s="12" t="s">
        <v>424</v>
      </c>
      <c r="B2380" s="32">
        <v>0.80833333333333335</v>
      </c>
      <c r="C2380" s="12" t="s">
        <v>137</v>
      </c>
      <c r="D2380" s="28">
        <v>2</v>
      </c>
      <c r="E2380" s="5">
        <f>Table4[[#This Row],[qty]]*(VLOOKUP(Table4[[#This Row],[item_sold]],Table1[],5,FALSE))</f>
        <v>20</v>
      </c>
      <c r="F2380" s="5">
        <f>(VLOOKUP(Table4[[#This Row],[item_sold]],Table1[],4,FALSE))*Table4[[#This Row],[qty]]</f>
        <v>10</v>
      </c>
      <c r="G2380">
        <f t="shared" si="230"/>
        <v>10</v>
      </c>
      <c r="H2380" s="12" t="s">
        <v>359</v>
      </c>
      <c r="I2380" s="12" t="s">
        <v>390</v>
      </c>
      <c r="J2380" s="12"/>
      <c r="K2380" s="12"/>
      <c r="L2380" s="12"/>
    </row>
    <row r="2381" spans="1:12" x14ac:dyDescent="0.25">
      <c r="A2381" s="14" t="s">
        <v>424</v>
      </c>
      <c r="B2381" s="33">
        <v>0.80902777777777779</v>
      </c>
      <c r="C2381" s="14" t="s">
        <v>154</v>
      </c>
      <c r="D2381" s="29">
        <v>1</v>
      </c>
      <c r="E2381" s="5">
        <f>Table4[[#This Row],[qty]]*(VLOOKUP(Table4[[#This Row],[item_sold]],Table1[],5,FALSE))</f>
        <v>65</v>
      </c>
      <c r="F2381" s="5">
        <f>(VLOOKUP(Table4[[#This Row],[item_sold]],Table1[],4,FALSE))*Table4[[#This Row],[qty]]</f>
        <v>60</v>
      </c>
      <c r="G2381">
        <f t="shared" si="230"/>
        <v>5</v>
      </c>
      <c r="H2381" s="14" t="s">
        <v>247</v>
      </c>
      <c r="I2381" s="14"/>
      <c r="J2381" s="14"/>
      <c r="K2381" s="14"/>
      <c r="L2381" s="14"/>
    </row>
    <row r="2382" spans="1:12" x14ac:dyDescent="0.25">
      <c r="A2382" s="12" t="s">
        <v>424</v>
      </c>
      <c r="B2382" s="32">
        <v>0.80902777777777779</v>
      </c>
      <c r="C2382" s="12" t="s">
        <v>55</v>
      </c>
      <c r="D2382" s="28">
        <v>1</v>
      </c>
      <c r="E2382" s="5">
        <f>Table4[[#This Row],[qty]]*(VLOOKUP(Table4[[#This Row],[item_sold]],Table1[],5,FALSE))</f>
        <v>35</v>
      </c>
      <c r="F2382" s="5">
        <f>(VLOOKUP(Table4[[#This Row],[item_sold]],Table1[],4,FALSE))*Table4[[#This Row],[qty]]</f>
        <v>25</v>
      </c>
      <c r="G2382">
        <f t="shared" si="230"/>
        <v>10</v>
      </c>
      <c r="H2382" s="12" t="s">
        <v>247</v>
      </c>
      <c r="I2382" s="12"/>
      <c r="J2382" s="12"/>
      <c r="K2382" s="12"/>
      <c r="L2382" s="12"/>
    </row>
    <row r="2383" spans="1:12" x14ac:dyDescent="0.25">
      <c r="A2383" s="14" t="s">
        <v>424</v>
      </c>
      <c r="B2383" s="33">
        <v>0.81597222222222221</v>
      </c>
      <c r="C2383" s="14" t="s">
        <v>27</v>
      </c>
      <c r="D2383" s="29">
        <v>1</v>
      </c>
      <c r="E2383" s="5">
        <f>Table4[[#This Row],[qty]]*(VLOOKUP(Table4[[#This Row],[item_sold]],Table1[],5,FALSE))</f>
        <v>160</v>
      </c>
      <c r="F2383" s="5">
        <f>(VLOOKUP(Table4[[#This Row],[item_sold]],Table1[],4,FALSE))*Table4[[#This Row],[qty]]</f>
        <v>137</v>
      </c>
      <c r="G2383">
        <f t="shared" si="230"/>
        <v>23</v>
      </c>
      <c r="H2383" s="14" t="s">
        <v>361</v>
      </c>
      <c r="I2383" s="14"/>
      <c r="J2383" s="14"/>
      <c r="K2383" s="14"/>
      <c r="L2383" s="14"/>
    </row>
    <row r="2384" spans="1:12" x14ac:dyDescent="0.25">
      <c r="A2384" s="12" t="s">
        <v>424</v>
      </c>
      <c r="B2384" s="32">
        <v>0.81597222222222221</v>
      </c>
      <c r="C2384" s="12" t="s">
        <v>31</v>
      </c>
      <c r="D2384" s="28">
        <v>2</v>
      </c>
      <c r="E2384" s="5">
        <f>Table4[[#This Row],[qty]]*(VLOOKUP(Table4[[#This Row],[item_sold]],Table1[],5,FALSE))</f>
        <v>130</v>
      </c>
      <c r="F2384" s="5">
        <f>(VLOOKUP(Table4[[#This Row],[item_sold]],Table1[],4,FALSE))*Table4[[#This Row],[qty]]</f>
        <v>96.666666666666671</v>
      </c>
      <c r="G2384">
        <f t="shared" si="230"/>
        <v>33.333333333333329</v>
      </c>
      <c r="H2384" s="12" t="s">
        <v>361</v>
      </c>
      <c r="I2384" s="12"/>
      <c r="J2384" s="12"/>
      <c r="K2384" s="12"/>
      <c r="L2384" s="12"/>
    </row>
    <row r="2385" spans="1:12" x14ac:dyDescent="0.25">
      <c r="A2385" s="14" t="s">
        <v>424</v>
      </c>
      <c r="B2385" s="33">
        <v>0.81805555555555554</v>
      </c>
      <c r="C2385" s="14" t="s">
        <v>182</v>
      </c>
      <c r="D2385" s="29">
        <v>1</v>
      </c>
      <c r="E2385" s="5">
        <f>Table4[[#This Row],[qty]]*(VLOOKUP(Table4[[#This Row],[item_sold]],Table1[],5,FALSE))</f>
        <v>150</v>
      </c>
      <c r="F2385" s="5">
        <f>(VLOOKUP(Table4[[#This Row],[item_sold]],Table1[],4,FALSE))*Table4[[#This Row],[qty]]</f>
        <v>120</v>
      </c>
      <c r="G2385">
        <f t="shared" si="230"/>
        <v>30</v>
      </c>
      <c r="H2385" s="14" t="s">
        <v>361</v>
      </c>
      <c r="I2385" s="14"/>
      <c r="J2385" s="14"/>
      <c r="K2385" s="14"/>
      <c r="L2385" s="14"/>
    </row>
    <row r="2386" spans="1:12" x14ac:dyDescent="0.25">
      <c r="A2386" s="12" t="s">
        <v>424</v>
      </c>
      <c r="B2386" s="32">
        <v>0.81805555555555554</v>
      </c>
      <c r="C2386" s="12" t="s">
        <v>154</v>
      </c>
      <c r="D2386" s="28">
        <v>1</v>
      </c>
      <c r="E2386" s="5">
        <f>Table4[[#This Row],[qty]]*(VLOOKUP(Table4[[#This Row],[item_sold]],Table1[],5,FALSE))</f>
        <v>65</v>
      </c>
      <c r="F2386" s="5">
        <f>(VLOOKUP(Table4[[#This Row],[item_sold]],Table1[],4,FALSE))*Table4[[#This Row],[qty]]</f>
        <v>60</v>
      </c>
      <c r="G2386">
        <f t="shared" si="230"/>
        <v>5</v>
      </c>
      <c r="H2386" s="12" t="s">
        <v>361</v>
      </c>
      <c r="I2386" s="12"/>
      <c r="J2386" s="12"/>
      <c r="K2386" s="12"/>
      <c r="L2386" s="12"/>
    </row>
    <row r="2387" spans="1:12" x14ac:dyDescent="0.25">
      <c r="A2387" s="14" t="s">
        <v>364</v>
      </c>
      <c r="B2387" s="33">
        <v>0.33888888888888891</v>
      </c>
      <c r="C2387" s="14" t="s">
        <v>72</v>
      </c>
      <c r="D2387" s="29">
        <v>1</v>
      </c>
      <c r="E2387" s="5">
        <f>Table4[[#This Row],[qty]]*(VLOOKUP(Table4[[#This Row],[item_sold]],Table1[],5,FALSE))</f>
        <v>5</v>
      </c>
      <c r="F2387" s="5">
        <f>(VLOOKUP(Table4[[#This Row],[item_sold]],Table1[],4,FALSE))*Table4[[#This Row],[qty]]</f>
        <v>2.4</v>
      </c>
      <c r="G2387">
        <f t="shared" si="230"/>
        <v>2.6</v>
      </c>
      <c r="H2387" s="14" t="s">
        <v>247</v>
      </c>
      <c r="I2387" s="14"/>
      <c r="J2387" s="14"/>
      <c r="K2387" s="14"/>
      <c r="L2387" s="14"/>
    </row>
    <row r="2388" spans="1:12" x14ac:dyDescent="0.25">
      <c r="A2388" s="12" t="s">
        <v>364</v>
      </c>
      <c r="B2388" s="32">
        <v>0.33888888888888891</v>
      </c>
      <c r="C2388" s="12" t="s">
        <v>70</v>
      </c>
      <c r="D2388" s="28">
        <v>2</v>
      </c>
      <c r="E2388" s="5">
        <f>Table4[[#This Row],[qty]]*(VLOOKUP(Table4[[#This Row],[item_sold]],Table1[],5,FALSE))</f>
        <v>5</v>
      </c>
      <c r="F2388" s="5">
        <f>(VLOOKUP(Table4[[#This Row],[item_sold]],Table1[],4,FALSE))*Table4[[#This Row],[qty]]</f>
        <v>2.4</v>
      </c>
      <c r="G2388">
        <f t="shared" si="230"/>
        <v>2.6</v>
      </c>
      <c r="H2388" s="12" t="s">
        <v>247</v>
      </c>
      <c r="I2388" s="12"/>
      <c r="J2388" s="12"/>
      <c r="K2388" s="12"/>
      <c r="L2388" s="12"/>
    </row>
    <row r="2389" spans="1:12" x14ac:dyDescent="0.25">
      <c r="A2389" s="14" t="s">
        <v>364</v>
      </c>
      <c r="B2389" s="33">
        <v>0.33888888888888891</v>
      </c>
      <c r="C2389" s="14" t="s">
        <v>71</v>
      </c>
      <c r="D2389" s="29">
        <v>2</v>
      </c>
      <c r="E2389" s="5">
        <f>Table4[[#This Row],[qty]]*(VLOOKUP(Table4[[#This Row],[item_sold]],Table1[],5,FALSE))</f>
        <v>5</v>
      </c>
      <c r="F2389" s="5">
        <f>(VLOOKUP(Table4[[#This Row],[item_sold]],Table1[],4,FALSE))*Table4[[#This Row],[qty]]</f>
        <v>2.4</v>
      </c>
      <c r="G2389">
        <f t="shared" si="230"/>
        <v>2.6</v>
      </c>
      <c r="H2389" s="14" t="s">
        <v>247</v>
      </c>
      <c r="I2389" s="14"/>
      <c r="J2389" s="14"/>
      <c r="K2389" s="14"/>
      <c r="L2389" s="14"/>
    </row>
    <row r="2390" spans="1:12" x14ac:dyDescent="0.25">
      <c r="A2390" s="12" t="s">
        <v>364</v>
      </c>
      <c r="B2390" s="32">
        <v>0.33888888888888891</v>
      </c>
      <c r="C2390" s="12" t="s">
        <v>72</v>
      </c>
      <c r="D2390" s="28">
        <v>1</v>
      </c>
      <c r="E2390" s="5">
        <f>Table4[[#This Row],[qty]]*(VLOOKUP(Table4[[#This Row],[item_sold]],Table1[],5,FALSE))</f>
        <v>5</v>
      </c>
      <c r="F2390" s="5">
        <f>(VLOOKUP(Table4[[#This Row],[item_sold]],Table1[],4,FALSE))*Table4[[#This Row],[qty]]</f>
        <v>2.4</v>
      </c>
      <c r="G2390">
        <f t="shared" si="230"/>
        <v>2.6</v>
      </c>
      <c r="H2390" s="12" t="s">
        <v>247</v>
      </c>
      <c r="I2390" s="12"/>
      <c r="J2390" s="12"/>
      <c r="K2390" s="12"/>
      <c r="L2390" s="12"/>
    </row>
    <row r="2391" spans="1:12" x14ac:dyDescent="0.25">
      <c r="A2391" s="14" t="s">
        <v>364</v>
      </c>
      <c r="B2391" s="33">
        <v>0.33888888888888891</v>
      </c>
      <c r="C2391" s="14" t="s">
        <v>78</v>
      </c>
      <c r="D2391" s="29">
        <v>10</v>
      </c>
      <c r="E2391" s="5">
        <f>Table4[[#This Row],[qty]]*(VLOOKUP(Table4[[#This Row],[item_sold]],Table1[],5,FALSE))</f>
        <v>10</v>
      </c>
      <c r="F2391" s="5">
        <f>(VLOOKUP(Table4[[#This Row],[item_sold]],Table1[],4,FALSE))*Table4[[#This Row],[qty]]</f>
        <v>7</v>
      </c>
      <c r="G2391">
        <f t="shared" si="230"/>
        <v>3</v>
      </c>
      <c r="H2391" s="14" t="s">
        <v>247</v>
      </c>
      <c r="I2391" s="14"/>
      <c r="J2391" s="14"/>
      <c r="K2391" s="14"/>
      <c r="L2391" s="14"/>
    </row>
    <row r="2392" spans="1:12" x14ac:dyDescent="0.25">
      <c r="A2392" s="12" t="s">
        <v>364</v>
      </c>
      <c r="B2392" s="32">
        <v>0.34305555555555556</v>
      </c>
      <c r="C2392" s="12" t="s">
        <v>42</v>
      </c>
      <c r="D2392" s="28">
        <v>1</v>
      </c>
      <c r="E2392" s="5">
        <f>Table4[[#This Row],[qty]]*(VLOOKUP(Table4[[#This Row],[item_sold]],Table1[],5,FALSE))</f>
        <v>100</v>
      </c>
      <c r="F2392" s="5">
        <f>(VLOOKUP(Table4[[#This Row],[item_sold]],Table1[],4,FALSE))*Table4[[#This Row],[qty]]</f>
        <v>90</v>
      </c>
      <c r="G2392">
        <f t="shared" si="230"/>
        <v>10</v>
      </c>
      <c r="H2392" s="12" t="s">
        <v>361</v>
      </c>
      <c r="I2392" s="12"/>
      <c r="J2392" s="12"/>
      <c r="K2392" s="12"/>
      <c r="L2392" s="12"/>
    </row>
    <row r="2393" spans="1:12" x14ac:dyDescent="0.25">
      <c r="A2393" s="14" t="s">
        <v>364</v>
      </c>
      <c r="B2393" s="33">
        <v>0.37916666666666665</v>
      </c>
      <c r="C2393" s="14" t="s">
        <v>100</v>
      </c>
      <c r="D2393" s="29">
        <v>1</v>
      </c>
      <c r="E2393" s="5">
        <f>Table4[[#This Row],[qty]]*(VLOOKUP(Table4[[#This Row],[item_sold]],Table1[],5,FALSE))</f>
        <v>15</v>
      </c>
      <c r="F2393" s="5">
        <f>(VLOOKUP(Table4[[#This Row],[item_sold]],Table1[],4,FALSE))*Table4[[#This Row],[qty]]</f>
        <v>8.5</v>
      </c>
      <c r="G2393">
        <f t="shared" si="230"/>
        <v>6.5</v>
      </c>
      <c r="H2393" s="14" t="s">
        <v>247</v>
      </c>
      <c r="I2393" s="14"/>
      <c r="J2393" s="14"/>
      <c r="K2393" s="14"/>
      <c r="L2393" s="14"/>
    </row>
    <row r="2394" spans="1:12" x14ac:dyDescent="0.25">
      <c r="A2394" s="12" t="s">
        <v>364</v>
      </c>
      <c r="B2394" s="32">
        <v>0.39027777777777778</v>
      </c>
      <c r="C2394" s="12" t="s">
        <v>144</v>
      </c>
      <c r="D2394" s="28">
        <v>1</v>
      </c>
      <c r="E2394" s="5">
        <f>Table4[[#This Row],[qty]]*(VLOOKUP(Table4[[#This Row],[item_sold]],Table1[],5,FALSE))</f>
        <v>35</v>
      </c>
      <c r="F2394" s="5">
        <f>(VLOOKUP(Table4[[#This Row],[item_sold]],Table1[],4,FALSE))*Table4[[#This Row],[qty]]</f>
        <v>24.285714285714285</v>
      </c>
      <c r="G2394">
        <f t="shared" si="230"/>
        <v>10.714285714285715</v>
      </c>
      <c r="H2394" s="12" t="s">
        <v>359</v>
      </c>
      <c r="I2394" s="12" t="s">
        <v>387</v>
      </c>
      <c r="J2394" s="12"/>
      <c r="K2394" s="12"/>
      <c r="L2394" s="12"/>
    </row>
    <row r="2395" spans="1:12" x14ac:dyDescent="0.25">
      <c r="A2395" s="14" t="s">
        <v>364</v>
      </c>
      <c r="B2395" s="33">
        <v>0.39027777777777778</v>
      </c>
      <c r="C2395" s="14" t="s">
        <v>154</v>
      </c>
      <c r="D2395" s="29">
        <v>1</v>
      </c>
      <c r="E2395" s="5">
        <f>Table4[[#This Row],[qty]]*(VLOOKUP(Table4[[#This Row],[item_sold]],Table1[],5,FALSE))</f>
        <v>65</v>
      </c>
      <c r="F2395" s="5">
        <f>(VLOOKUP(Table4[[#This Row],[item_sold]],Table1[],4,FALSE))*Table4[[#This Row],[qty]]</f>
        <v>60</v>
      </c>
      <c r="G2395">
        <f t="shared" si="230"/>
        <v>5</v>
      </c>
      <c r="H2395" s="14" t="s">
        <v>359</v>
      </c>
      <c r="I2395" s="14"/>
      <c r="J2395" s="14"/>
      <c r="K2395" s="14"/>
      <c r="L2395" s="14"/>
    </row>
    <row r="2396" spans="1:12" x14ac:dyDescent="0.25">
      <c r="A2396" s="12" t="s">
        <v>364</v>
      </c>
      <c r="B2396" s="32">
        <v>0.40208333333333335</v>
      </c>
      <c r="C2396" s="12" t="s">
        <v>55</v>
      </c>
      <c r="D2396" s="28">
        <v>1</v>
      </c>
      <c r="E2396" s="5">
        <f>Table4[[#This Row],[qty]]*(VLOOKUP(Table4[[#This Row],[item_sold]],Table1[],5,FALSE))</f>
        <v>35</v>
      </c>
      <c r="F2396" s="5">
        <f>(VLOOKUP(Table4[[#This Row],[item_sold]],Table1[],4,FALSE))*Table4[[#This Row],[qty]]</f>
        <v>25</v>
      </c>
      <c r="G2396">
        <f t="shared" si="230"/>
        <v>10</v>
      </c>
      <c r="H2396" s="12" t="s">
        <v>361</v>
      </c>
      <c r="I2396" s="12"/>
      <c r="J2396" s="12"/>
      <c r="K2396" s="12"/>
      <c r="L2396" s="12"/>
    </row>
    <row r="2397" spans="1:12" x14ac:dyDescent="0.25">
      <c r="A2397" s="14" t="s">
        <v>364</v>
      </c>
      <c r="B2397" s="33">
        <v>0.40277777777777779</v>
      </c>
      <c r="C2397" s="14" t="s">
        <v>95</v>
      </c>
      <c r="D2397" s="29">
        <v>2</v>
      </c>
      <c r="E2397" s="5">
        <f>Table4[[#This Row],[qty]]*(VLOOKUP(Table4[[#This Row],[item_sold]],Table1[],5,FALSE))</f>
        <v>40</v>
      </c>
      <c r="F2397" s="5">
        <f>(VLOOKUP(Table4[[#This Row],[item_sold]],Table1[],4,FALSE))*Table4[[#This Row],[qty]]</f>
        <v>28.666666666666668</v>
      </c>
      <c r="G2397">
        <f t="shared" si="230"/>
        <v>11.333333333333332</v>
      </c>
      <c r="H2397" s="14" t="s">
        <v>361</v>
      </c>
      <c r="I2397" s="14"/>
      <c r="J2397" s="14"/>
      <c r="K2397" s="14"/>
      <c r="L2397" s="14"/>
    </row>
    <row r="2398" spans="1:12" x14ac:dyDescent="0.25">
      <c r="A2398" s="12" t="s">
        <v>364</v>
      </c>
      <c r="B2398" s="32">
        <v>0.40277777777777779</v>
      </c>
      <c r="C2398" s="12" t="s">
        <v>43</v>
      </c>
      <c r="D2398" s="28">
        <v>1</v>
      </c>
      <c r="E2398" s="5">
        <f>Table4[[#This Row],[qty]]*(VLOOKUP(Table4[[#This Row],[item_sold]],Table1[],5,FALSE))</f>
        <v>130</v>
      </c>
      <c r="F2398" s="5">
        <f>(VLOOKUP(Table4[[#This Row],[item_sold]],Table1[],4,FALSE))*Table4[[#This Row],[qty]]</f>
        <v>120</v>
      </c>
      <c r="G2398">
        <f t="shared" si="230"/>
        <v>10</v>
      </c>
      <c r="H2398" s="12" t="s">
        <v>361</v>
      </c>
      <c r="I2398" s="12"/>
      <c r="J2398" s="12"/>
      <c r="K2398" s="12"/>
      <c r="L2398" s="12"/>
    </row>
    <row r="2399" spans="1:12" x14ac:dyDescent="0.25">
      <c r="A2399" s="14" t="s">
        <v>364</v>
      </c>
      <c r="B2399" s="33">
        <v>0.40277777777777779</v>
      </c>
      <c r="C2399" s="14" t="s">
        <v>57</v>
      </c>
      <c r="D2399" s="29">
        <v>2</v>
      </c>
      <c r="E2399" s="5">
        <f>Table4[[#This Row],[qty]]*(VLOOKUP(Table4[[#This Row],[item_sold]],Table1[],5,FALSE))</f>
        <v>10</v>
      </c>
      <c r="F2399" s="5">
        <f>(VLOOKUP(Table4[[#This Row],[item_sold]],Table1[],4,FALSE))*Table4[[#This Row],[qty]]</f>
        <v>8.3333333333333339</v>
      </c>
      <c r="G2399">
        <f t="shared" si="230"/>
        <v>1.6666666666666661</v>
      </c>
      <c r="H2399" s="14" t="s">
        <v>361</v>
      </c>
      <c r="I2399" s="14"/>
      <c r="J2399" s="14"/>
      <c r="K2399" s="14"/>
      <c r="L2399" s="14"/>
    </row>
    <row r="2400" spans="1:12" x14ac:dyDescent="0.25">
      <c r="A2400" s="12" t="s">
        <v>364</v>
      </c>
      <c r="B2400" s="32">
        <v>0.49236111111111114</v>
      </c>
      <c r="C2400" s="12" t="s">
        <v>39</v>
      </c>
      <c r="D2400" s="28">
        <v>2</v>
      </c>
      <c r="E2400" s="5">
        <f>Table4[[#This Row],[qty]]*(VLOOKUP(Table4[[#This Row],[item_sold]],Table1[],5,FALSE))</f>
        <v>130</v>
      </c>
      <c r="F2400" s="5">
        <f>(VLOOKUP(Table4[[#This Row],[item_sold]],Table1[],4,FALSE))*Table4[[#This Row],[qty]]</f>
        <v>120</v>
      </c>
      <c r="G2400">
        <f t="shared" si="230"/>
        <v>10</v>
      </c>
      <c r="H2400" s="12" t="s">
        <v>361</v>
      </c>
      <c r="I2400" s="12"/>
      <c r="J2400" s="12"/>
      <c r="K2400" s="12"/>
      <c r="L2400" s="12"/>
    </row>
    <row r="2401" spans="1:12" x14ac:dyDescent="0.25">
      <c r="A2401" s="15" t="s">
        <v>364</v>
      </c>
      <c r="B2401" s="33">
        <v>0.51388888888888884</v>
      </c>
      <c r="C2401" s="14" t="s">
        <v>95</v>
      </c>
      <c r="D2401" s="29">
        <v>10</v>
      </c>
      <c r="E2401" s="5">
        <f>Table4[[#This Row],[qty]]*(VLOOKUP(Table4[[#This Row],[item_sold]],Table1[],5,FALSE))</f>
        <v>200</v>
      </c>
      <c r="F2401" s="5">
        <f>(VLOOKUP(Table4[[#This Row],[item_sold]],Table1[],4,FALSE))*Table4[[#This Row],[qty]]</f>
        <v>143.33333333333334</v>
      </c>
      <c r="G2401">
        <f t="shared" si="230"/>
        <v>56.666666666666657</v>
      </c>
      <c r="H2401" s="14" t="s">
        <v>361</v>
      </c>
      <c r="I2401" s="14"/>
      <c r="J2401" s="14"/>
      <c r="K2401" s="14"/>
      <c r="L2401" s="14"/>
    </row>
    <row r="2402" spans="1:12" x14ac:dyDescent="0.25">
      <c r="A2402" s="16" t="s">
        <v>364</v>
      </c>
      <c r="B2402" s="32">
        <v>0.51388888888888884</v>
      </c>
      <c r="C2402" s="12" t="s">
        <v>83</v>
      </c>
      <c r="D2402" s="28">
        <v>1</v>
      </c>
      <c r="E2402" s="5">
        <f>Table4[[#This Row],[qty]]*(VLOOKUP(Table4[[#This Row],[item_sold]],Table1[],5,FALSE))</f>
        <v>50</v>
      </c>
      <c r="F2402" s="5">
        <f>(VLOOKUP(Table4[[#This Row],[item_sold]],Table1[],4,FALSE))*Table4[[#This Row],[qty]]</f>
        <v>38</v>
      </c>
      <c r="G2402">
        <f t="shared" si="230"/>
        <v>12</v>
      </c>
      <c r="H2402" s="12" t="s">
        <v>361</v>
      </c>
      <c r="I2402" s="12"/>
      <c r="J2402" s="12"/>
      <c r="K2402" s="12"/>
      <c r="L2402" s="12"/>
    </row>
    <row r="2403" spans="1:12" x14ac:dyDescent="0.25">
      <c r="A2403" s="15" t="s">
        <v>364</v>
      </c>
      <c r="B2403" s="33">
        <v>0.51388888888888884</v>
      </c>
      <c r="C2403" s="14" t="s">
        <v>113</v>
      </c>
      <c r="D2403" s="29">
        <v>1</v>
      </c>
      <c r="E2403" s="5">
        <f>Table4[[#This Row],[qty]]*(VLOOKUP(Table4[[#This Row],[item_sold]],Table1[],5,FALSE))</f>
        <v>50</v>
      </c>
      <c r="F2403" s="5">
        <f>(VLOOKUP(Table4[[#This Row],[item_sold]],Table1[],4,FALSE))*Table4[[#This Row],[qty]]</f>
        <v>35</v>
      </c>
      <c r="G2403">
        <f t="shared" si="230"/>
        <v>15</v>
      </c>
      <c r="H2403" s="14" t="s">
        <v>361</v>
      </c>
      <c r="I2403" s="14"/>
      <c r="J2403" s="14"/>
      <c r="K2403" s="14"/>
      <c r="L2403" s="14"/>
    </row>
    <row r="2404" spans="1:12" x14ac:dyDescent="0.25">
      <c r="A2404" s="16" t="s">
        <v>364</v>
      </c>
      <c r="B2404" s="32">
        <v>0.51458333333333328</v>
      </c>
      <c r="C2404" s="12" t="s">
        <v>164</v>
      </c>
      <c r="D2404" s="28">
        <v>1</v>
      </c>
      <c r="E2404" s="5">
        <f>Table4[[#This Row],[qty]]*(VLOOKUP(Table4[[#This Row],[item_sold]],Table1[],5,FALSE))</f>
        <v>50</v>
      </c>
      <c r="F2404" s="5">
        <f>(VLOOKUP(Table4[[#This Row],[item_sold]],Table1[],4,FALSE))*Table4[[#This Row],[qty]]</f>
        <v>47</v>
      </c>
      <c r="G2404">
        <f t="shared" si="230"/>
        <v>3</v>
      </c>
      <c r="H2404" s="12" t="s">
        <v>247</v>
      </c>
      <c r="I2404" s="12"/>
      <c r="J2404" s="12"/>
      <c r="K2404" s="12"/>
      <c r="L2404" s="12"/>
    </row>
    <row r="2405" spans="1:12" x14ac:dyDescent="0.25">
      <c r="A2405" s="15" t="s">
        <v>364</v>
      </c>
      <c r="B2405" s="33">
        <v>0.51458333333333328</v>
      </c>
      <c r="C2405" s="14" t="s">
        <v>163</v>
      </c>
      <c r="D2405" s="29">
        <v>1</v>
      </c>
      <c r="E2405" s="5">
        <f>Table4[[#This Row],[qty]]*(VLOOKUP(Table4[[#This Row],[item_sold]],Table1[],5,FALSE))</f>
        <v>10</v>
      </c>
      <c r="F2405" s="5">
        <f>(VLOOKUP(Table4[[#This Row],[item_sold]],Table1[],4,FALSE))*Table4[[#This Row],[qty]]</f>
        <v>9</v>
      </c>
      <c r="G2405">
        <f t="shared" si="230"/>
        <v>1</v>
      </c>
      <c r="H2405" s="14" t="s">
        <v>247</v>
      </c>
      <c r="I2405" s="14"/>
      <c r="J2405" s="14"/>
      <c r="K2405" s="14"/>
      <c r="L2405" s="14"/>
    </row>
    <row r="2406" spans="1:12" x14ac:dyDescent="0.25">
      <c r="A2406" s="16" t="s">
        <v>364</v>
      </c>
      <c r="B2406" s="32">
        <v>0.52916666666666667</v>
      </c>
      <c r="C2406" s="12" t="s">
        <v>137</v>
      </c>
      <c r="D2406" s="28">
        <v>1</v>
      </c>
      <c r="E2406" s="5">
        <f>Table4[[#This Row],[qty]]*(VLOOKUP(Table4[[#This Row],[item_sold]],Table1[],5,FALSE))</f>
        <v>10</v>
      </c>
      <c r="F2406" s="5">
        <f>(VLOOKUP(Table4[[#This Row],[item_sold]],Table1[],4,FALSE))*Table4[[#This Row],[qty]]</f>
        <v>5</v>
      </c>
      <c r="G2406">
        <f t="shared" si="230"/>
        <v>5</v>
      </c>
      <c r="H2406" s="12" t="s">
        <v>247</v>
      </c>
      <c r="I2406" s="12"/>
      <c r="J2406" s="12"/>
      <c r="K2406" s="12"/>
      <c r="L2406" s="12"/>
    </row>
    <row r="2407" spans="1:12" x14ac:dyDescent="0.25">
      <c r="A2407" s="15" t="s">
        <v>364</v>
      </c>
      <c r="B2407" s="33">
        <v>0.55763888888888891</v>
      </c>
      <c r="C2407" s="14" t="s">
        <v>39</v>
      </c>
      <c r="D2407" s="29">
        <v>1</v>
      </c>
      <c r="E2407" s="5">
        <f>Table4[[#This Row],[qty]]*(VLOOKUP(Table4[[#This Row],[item_sold]],Table1[],5,FALSE))</f>
        <v>65</v>
      </c>
      <c r="F2407" s="5">
        <f>(VLOOKUP(Table4[[#This Row],[item_sold]],Table1[],4,FALSE))*Table4[[#This Row],[qty]]</f>
        <v>60</v>
      </c>
      <c r="G2407">
        <f t="shared" si="230"/>
        <v>5</v>
      </c>
      <c r="H2407" s="14" t="s">
        <v>361</v>
      </c>
      <c r="I2407" s="14"/>
      <c r="J2407" s="14"/>
      <c r="K2407" s="14"/>
      <c r="L2407" s="14"/>
    </row>
    <row r="2408" spans="1:12" x14ac:dyDescent="0.25">
      <c r="A2408" s="16" t="s">
        <v>364</v>
      </c>
      <c r="B2408" s="32">
        <v>0.55763888888888891</v>
      </c>
      <c r="C2408" s="12" t="s">
        <v>143</v>
      </c>
      <c r="D2408" s="28">
        <v>1</v>
      </c>
      <c r="E2408" s="5">
        <f>Table4[[#This Row],[qty]]*(VLOOKUP(Table4[[#This Row],[item_sold]],Table1[],5,FALSE))</f>
        <v>60</v>
      </c>
      <c r="F2408" s="5">
        <f>(VLOOKUP(Table4[[#This Row],[item_sold]],Table1[],4,FALSE))*Table4[[#This Row],[qty]]</f>
        <v>55</v>
      </c>
      <c r="G2408">
        <f t="shared" si="230"/>
        <v>5</v>
      </c>
      <c r="H2408" s="12" t="s">
        <v>361</v>
      </c>
      <c r="I2408" s="12"/>
      <c r="J2408" s="12"/>
      <c r="K2408" s="12"/>
      <c r="L2408" s="12"/>
    </row>
    <row r="2409" spans="1:12" x14ac:dyDescent="0.25">
      <c r="A2409" s="15" t="s">
        <v>364</v>
      </c>
      <c r="B2409" s="33">
        <v>0.56944444444444442</v>
      </c>
      <c r="C2409" s="14" t="s">
        <v>21</v>
      </c>
      <c r="D2409" s="29">
        <v>1</v>
      </c>
      <c r="E2409" s="5">
        <f>Table4[[#This Row],[qty]]*(VLOOKUP(Table4[[#This Row],[item_sold]],Table1[],5,FALSE))</f>
        <v>40</v>
      </c>
      <c r="F2409" s="5">
        <f>(VLOOKUP(Table4[[#This Row],[item_sold]],Table1[],4,FALSE))*Table4[[#This Row],[qty]]</f>
        <v>32.5</v>
      </c>
      <c r="G2409">
        <f t="shared" si="230"/>
        <v>7.5</v>
      </c>
      <c r="H2409" s="14" t="s">
        <v>247</v>
      </c>
      <c r="I2409" s="14"/>
      <c r="J2409" s="14"/>
      <c r="K2409" s="14"/>
      <c r="L2409" s="14"/>
    </row>
    <row r="2410" spans="1:12" x14ac:dyDescent="0.25">
      <c r="A2410" s="16" t="s">
        <v>364</v>
      </c>
      <c r="B2410" s="32">
        <v>0.56944444444444442</v>
      </c>
      <c r="C2410" s="12" t="s">
        <v>39</v>
      </c>
      <c r="D2410" s="28">
        <v>1</v>
      </c>
      <c r="E2410" s="5">
        <f>Table4[[#This Row],[qty]]*(VLOOKUP(Table4[[#This Row],[item_sold]],Table1[],5,FALSE))</f>
        <v>65</v>
      </c>
      <c r="F2410" s="5">
        <f>(VLOOKUP(Table4[[#This Row],[item_sold]],Table1[],4,FALSE))*Table4[[#This Row],[qty]]</f>
        <v>60</v>
      </c>
      <c r="G2410">
        <f t="shared" si="230"/>
        <v>5</v>
      </c>
      <c r="H2410" s="12" t="s">
        <v>247</v>
      </c>
      <c r="I2410" s="12"/>
      <c r="J2410" s="12"/>
      <c r="K2410" s="12"/>
      <c r="L2410" s="12"/>
    </row>
    <row r="2411" spans="1:12" x14ac:dyDescent="0.25">
      <c r="A2411" s="15" t="s">
        <v>364</v>
      </c>
      <c r="B2411" s="33">
        <v>0.57013888888888886</v>
      </c>
      <c r="C2411" s="14" t="s">
        <v>14</v>
      </c>
      <c r="D2411" s="29">
        <v>1</v>
      </c>
      <c r="E2411" s="5">
        <f>Table4[[#This Row],[qty]]*(VLOOKUP(Table4[[#This Row],[item_sold]],Table1[],5,FALSE))</f>
        <v>70</v>
      </c>
      <c r="F2411" s="5">
        <f>(VLOOKUP(Table4[[#This Row],[item_sold]],Table1[],4,FALSE))*Table4[[#This Row],[qty]]</f>
        <v>60.416666666666664</v>
      </c>
      <c r="G2411">
        <f t="shared" si="230"/>
        <v>9.5833333333333357</v>
      </c>
      <c r="H2411" s="14" t="s">
        <v>359</v>
      </c>
      <c r="I2411" s="14" t="s">
        <v>390</v>
      </c>
      <c r="J2411" s="14"/>
      <c r="K2411" s="14"/>
      <c r="L2411" s="14"/>
    </row>
    <row r="2412" spans="1:12" x14ac:dyDescent="0.25">
      <c r="A2412" s="16" t="s">
        <v>364</v>
      </c>
      <c r="B2412" s="32">
        <v>0.57152777777777775</v>
      </c>
      <c r="C2412" s="12" t="s">
        <v>73</v>
      </c>
      <c r="D2412" s="28">
        <v>4</v>
      </c>
      <c r="E2412" s="5">
        <f>Table4[[#This Row],[qty]]*(VLOOKUP(Table4[[#This Row],[item_sold]],Table1[],5,FALSE))</f>
        <v>40</v>
      </c>
      <c r="F2412" s="5">
        <f>(VLOOKUP(Table4[[#This Row],[item_sold]],Table1[],4,FALSE))*Table4[[#This Row],[qty]]</f>
        <v>24</v>
      </c>
      <c r="G2412">
        <f t="shared" ref="G2412:G2475" si="231">E2412-F2412</f>
        <v>16</v>
      </c>
      <c r="H2412" s="12" t="s">
        <v>247</v>
      </c>
      <c r="I2412" s="12"/>
      <c r="J2412" s="12"/>
      <c r="K2412" s="12"/>
      <c r="L2412" s="12"/>
    </row>
    <row r="2413" spans="1:12" x14ac:dyDescent="0.25">
      <c r="A2413" s="15" t="s">
        <v>364</v>
      </c>
      <c r="B2413" s="33">
        <v>0.57152777777777775</v>
      </c>
      <c r="C2413" s="14" t="s">
        <v>22</v>
      </c>
      <c r="D2413" s="29">
        <v>1</v>
      </c>
      <c r="E2413" s="5">
        <f>Table4[[#This Row],[qty]]*(VLOOKUP(Table4[[#This Row],[item_sold]],Table1[],5,FALSE))</f>
        <v>55</v>
      </c>
      <c r="F2413" s="5">
        <f>(VLOOKUP(Table4[[#This Row],[item_sold]],Table1[],4,FALSE))*Table4[[#This Row],[qty]]</f>
        <v>50</v>
      </c>
      <c r="G2413">
        <f t="shared" si="231"/>
        <v>5</v>
      </c>
      <c r="H2413" s="14" t="s">
        <v>359</v>
      </c>
      <c r="I2413" s="14" t="s">
        <v>401</v>
      </c>
      <c r="J2413" s="14"/>
      <c r="K2413" s="14"/>
      <c r="L2413" s="14"/>
    </row>
    <row r="2414" spans="1:12" x14ac:dyDescent="0.25">
      <c r="A2414" s="16" t="s">
        <v>364</v>
      </c>
      <c r="B2414" s="32">
        <v>0.57152777777777775</v>
      </c>
      <c r="C2414" s="12" t="s">
        <v>60</v>
      </c>
      <c r="D2414" s="28">
        <v>1</v>
      </c>
      <c r="E2414" s="5">
        <f>Table4[[#This Row],[qty]]*(VLOOKUP(Table4[[#This Row],[item_sold]],Table1[],5,FALSE))</f>
        <v>100</v>
      </c>
      <c r="F2414" s="5">
        <f>(VLOOKUP(Table4[[#This Row],[item_sold]],Table1[],4,FALSE))*Table4[[#This Row],[qty]]</f>
        <v>90</v>
      </c>
      <c r="G2414">
        <f t="shared" si="231"/>
        <v>10</v>
      </c>
      <c r="H2414" s="12" t="s">
        <v>247</v>
      </c>
      <c r="I2414" s="12"/>
      <c r="J2414" s="12"/>
      <c r="K2414" s="12"/>
      <c r="L2414" s="12"/>
    </row>
    <row r="2415" spans="1:12" x14ac:dyDescent="0.25">
      <c r="A2415" s="15" t="s">
        <v>364</v>
      </c>
      <c r="B2415" s="33">
        <v>0.57152777777777775</v>
      </c>
      <c r="C2415" s="14" t="s">
        <v>161</v>
      </c>
      <c r="D2415" s="29">
        <v>2</v>
      </c>
      <c r="E2415" s="5">
        <f>Table4[[#This Row],[qty]]*(VLOOKUP(Table4[[#This Row],[item_sold]],Table1[],5,FALSE))</f>
        <v>100</v>
      </c>
      <c r="F2415" s="5">
        <f>(VLOOKUP(Table4[[#This Row],[item_sold]],Table1[],4,FALSE))*Table4[[#This Row],[qty]]</f>
        <v>94</v>
      </c>
      <c r="G2415">
        <f t="shared" si="231"/>
        <v>6</v>
      </c>
      <c r="H2415" s="14" t="s">
        <v>247</v>
      </c>
      <c r="I2415" s="14"/>
      <c r="J2415" s="14"/>
      <c r="K2415" s="14"/>
      <c r="L2415" s="14"/>
    </row>
    <row r="2416" spans="1:12" x14ac:dyDescent="0.25">
      <c r="A2416" s="16" t="s">
        <v>364</v>
      </c>
      <c r="B2416" s="32">
        <v>0.6020833333333333</v>
      </c>
      <c r="C2416" s="12" t="s">
        <v>113</v>
      </c>
      <c r="D2416" s="28">
        <v>1</v>
      </c>
      <c r="E2416" s="5">
        <f>Table4[[#This Row],[qty]]*(VLOOKUP(Table4[[#This Row],[item_sold]],Table1[],5,FALSE))</f>
        <v>50</v>
      </c>
      <c r="F2416" s="5">
        <f>(VLOOKUP(Table4[[#This Row],[item_sold]],Table1[],4,FALSE))*Table4[[#This Row],[qty]]</f>
        <v>35</v>
      </c>
      <c r="G2416">
        <f t="shared" si="231"/>
        <v>15</v>
      </c>
      <c r="H2416" s="12" t="s">
        <v>361</v>
      </c>
      <c r="I2416" s="12"/>
      <c r="J2416" s="12"/>
      <c r="K2416" s="12"/>
      <c r="L2416" s="12"/>
    </row>
    <row r="2417" spans="1:12" x14ac:dyDescent="0.25">
      <c r="A2417" s="15" t="s">
        <v>364</v>
      </c>
      <c r="B2417" s="33">
        <v>0.61597222222222225</v>
      </c>
      <c r="C2417" s="14" t="s">
        <v>20</v>
      </c>
      <c r="D2417" s="29">
        <v>1</v>
      </c>
      <c r="E2417" s="5">
        <f>Table4[[#This Row],[qty]]*(VLOOKUP(Table4[[#This Row],[item_sold]],Table1[],5,FALSE))</f>
        <v>70</v>
      </c>
      <c r="F2417" s="5">
        <f>(VLOOKUP(Table4[[#This Row],[item_sold]],Table1[],4,FALSE))*Table4[[#This Row],[qty]]</f>
        <v>54.166666666666664</v>
      </c>
      <c r="G2417">
        <f t="shared" si="231"/>
        <v>15.833333333333336</v>
      </c>
      <c r="H2417" s="14" t="s">
        <v>359</v>
      </c>
      <c r="I2417" s="14" t="s">
        <v>401</v>
      </c>
      <c r="J2417" s="14"/>
      <c r="K2417" s="14"/>
      <c r="L2417" s="14"/>
    </row>
    <row r="2418" spans="1:12" x14ac:dyDescent="0.25">
      <c r="A2418" s="16" t="s">
        <v>364</v>
      </c>
      <c r="B2418" s="32">
        <v>0.61597222222222225</v>
      </c>
      <c r="C2418" s="12" t="s">
        <v>58</v>
      </c>
      <c r="D2418" s="28">
        <v>4</v>
      </c>
      <c r="E2418" s="5">
        <f>Table4[[#This Row],[qty]]*(VLOOKUP(Table4[[#This Row],[item_sold]],Table1[],5,FALSE))</f>
        <v>20</v>
      </c>
      <c r="F2418" s="5">
        <f>(VLOOKUP(Table4[[#This Row],[item_sold]],Table1[],4,FALSE))*Table4[[#This Row],[qty]]</f>
        <v>17.333333333333332</v>
      </c>
      <c r="G2418">
        <f t="shared" si="231"/>
        <v>2.6666666666666679</v>
      </c>
      <c r="H2418" s="12" t="s">
        <v>359</v>
      </c>
      <c r="I2418" s="12" t="s">
        <v>401</v>
      </c>
      <c r="J2418" s="12"/>
      <c r="K2418" s="12"/>
      <c r="L2418" s="12"/>
    </row>
    <row r="2419" spans="1:12" x14ac:dyDescent="0.25">
      <c r="A2419" s="15" t="s">
        <v>364</v>
      </c>
      <c r="B2419" s="33">
        <v>0.6166666666666667</v>
      </c>
      <c r="C2419" s="14" t="s">
        <v>144</v>
      </c>
      <c r="D2419" s="29">
        <v>1</v>
      </c>
      <c r="E2419" s="5">
        <f>Table4[[#This Row],[qty]]*(VLOOKUP(Table4[[#This Row],[item_sold]],Table1[],5,FALSE))</f>
        <v>35</v>
      </c>
      <c r="F2419" s="5">
        <f>(VLOOKUP(Table4[[#This Row],[item_sold]],Table1[],4,FALSE))*Table4[[#This Row],[qty]]</f>
        <v>24.285714285714285</v>
      </c>
      <c r="G2419">
        <f t="shared" si="231"/>
        <v>10.714285714285715</v>
      </c>
      <c r="H2419" s="14" t="s">
        <v>247</v>
      </c>
      <c r="I2419" s="14"/>
      <c r="J2419" s="14"/>
      <c r="K2419" s="14"/>
      <c r="L2419" s="14"/>
    </row>
    <row r="2420" spans="1:12" x14ac:dyDescent="0.25">
      <c r="A2420" s="16" t="s">
        <v>364</v>
      </c>
      <c r="B2420" s="32">
        <v>0.6166666666666667</v>
      </c>
      <c r="C2420" s="12" t="s">
        <v>39</v>
      </c>
      <c r="D2420" s="28">
        <v>1</v>
      </c>
      <c r="E2420" s="5">
        <f>Table4[[#This Row],[qty]]*(VLOOKUP(Table4[[#This Row],[item_sold]],Table1[],5,FALSE))</f>
        <v>65</v>
      </c>
      <c r="F2420" s="5">
        <f>(VLOOKUP(Table4[[#This Row],[item_sold]],Table1[],4,FALSE))*Table4[[#This Row],[qty]]</f>
        <v>60</v>
      </c>
      <c r="G2420">
        <f t="shared" si="231"/>
        <v>5</v>
      </c>
      <c r="H2420" s="12" t="s">
        <v>247</v>
      </c>
      <c r="I2420" s="12"/>
      <c r="J2420" s="12"/>
      <c r="K2420" s="12"/>
      <c r="L2420" s="12"/>
    </row>
    <row r="2421" spans="1:12" x14ac:dyDescent="0.25">
      <c r="A2421" s="15" t="s">
        <v>364</v>
      </c>
      <c r="B2421" s="33">
        <v>0.59375</v>
      </c>
      <c r="C2421" s="14" t="s">
        <v>21</v>
      </c>
      <c r="D2421" s="29">
        <v>1</v>
      </c>
      <c r="E2421" s="5">
        <f>Table4[[#This Row],[qty]]*(VLOOKUP(Table4[[#This Row],[item_sold]],Table1[],5,FALSE))</f>
        <v>40</v>
      </c>
      <c r="F2421" s="5">
        <f>(VLOOKUP(Table4[[#This Row],[item_sold]],Table1[],4,FALSE))*Table4[[#This Row],[qty]]</f>
        <v>32.5</v>
      </c>
      <c r="G2421">
        <f t="shared" si="231"/>
        <v>7.5</v>
      </c>
      <c r="H2421" s="14" t="s">
        <v>247</v>
      </c>
      <c r="I2421" s="14"/>
      <c r="J2421" s="14"/>
      <c r="K2421" s="14"/>
      <c r="L2421" s="14"/>
    </row>
    <row r="2422" spans="1:12" x14ac:dyDescent="0.25">
      <c r="A2422" s="16" t="s">
        <v>364</v>
      </c>
      <c r="B2422" s="32">
        <v>0.59375</v>
      </c>
      <c r="C2422" s="12" t="s">
        <v>31</v>
      </c>
      <c r="D2422" s="28">
        <v>1</v>
      </c>
      <c r="E2422" s="5">
        <f>Table4[[#This Row],[qty]]*(VLOOKUP(Table4[[#This Row],[item_sold]],Table1[],5,FALSE))</f>
        <v>65</v>
      </c>
      <c r="F2422" s="5">
        <f>(VLOOKUP(Table4[[#This Row],[item_sold]],Table1[],4,FALSE))*Table4[[#This Row],[qty]]</f>
        <v>48.333333333333336</v>
      </c>
      <c r="G2422">
        <f t="shared" si="231"/>
        <v>16.666666666666664</v>
      </c>
      <c r="H2422" s="12" t="s">
        <v>247</v>
      </c>
      <c r="I2422" s="12"/>
      <c r="J2422" s="12"/>
      <c r="K2422" s="12"/>
      <c r="L2422" s="12"/>
    </row>
    <row r="2423" spans="1:12" x14ac:dyDescent="0.25">
      <c r="A2423" s="15" t="s">
        <v>364</v>
      </c>
      <c r="B2423" s="33">
        <v>0.59375</v>
      </c>
      <c r="C2423" s="14" t="s">
        <v>39</v>
      </c>
      <c r="D2423" s="29">
        <v>1</v>
      </c>
      <c r="E2423" s="5">
        <f>Table4[[#This Row],[qty]]*(VLOOKUP(Table4[[#This Row],[item_sold]],Table1[],5,FALSE))</f>
        <v>65</v>
      </c>
      <c r="F2423" s="5">
        <f>(VLOOKUP(Table4[[#This Row],[item_sold]],Table1[],4,FALSE))*Table4[[#This Row],[qty]]</f>
        <v>60</v>
      </c>
      <c r="G2423">
        <f t="shared" si="231"/>
        <v>5</v>
      </c>
      <c r="H2423" s="14" t="s">
        <v>247</v>
      </c>
      <c r="I2423" s="14"/>
      <c r="J2423" s="14"/>
      <c r="K2423" s="14"/>
      <c r="L2423" s="14"/>
    </row>
    <row r="2424" spans="1:12" x14ac:dyDescent="0.25">
      <c r="A2424" s="16" t="s">
        <v>364</v>
      </c>
      <c r="B2424" s="32">
        <v>0.6020833333333333</v>
      </c>
      <c r="C2424" s="12" t="s">
        <v>153</v>
      </c>
      <c r="D2424" s="28">
        <v>2</v>
      </c>
      <c r="E2424" s="5">
        <f>Table4[[#This Row],[qty]]*(VLOOKUP(Table4[[#This Row],[item_sold]],Table1[],5,FALSE))</f>
        <v>100</v>
      </c>
      <c r="F2424" s="5">
        <f>(VLOOKUP(Table4[[#This Row],[item_sold]],Table1[],4,FALSE))*Table4[[#This Row],[qty]]</f>
        <v>56</v>
      </c>
      <c r="G2424">
        <f t="shared" si="231"/>
        <v>44</v>
      </c>
      <c r="H2424" s="12" t="s">
        <v>247</v>
      </c>
      <c r="I2424" s="12"/>
      <c r="J2424" s="12"/>
      <c r="K2424" s="12"/>
      <c r="L2424" s="12"/>
    </row>
    <row r="2425" spans="1:12" x14ac:dyDescent="0.25">
      <c r="A2425" s="15" t="s">
        <v>364</v>
      </c>
      <c r="B2425" s="33">
        <v>0.6020833333333333</v>
      </c>
      <c r="C2425" s="14" t="s">
        <v>79</v>
      </c>
      <c r="D2425" s="29">
        <v>4</v>
      </c>
      <c r="E2425" s="5">
        <f>Table4[[#This Row],[qty]]*(VLOOKUP(Table4[[#This Row],[item_sold]],Table1[],5,FALSE))</f>
        <v>20</v>
      </c>
      <c r="F2425" s="5">
        <f>(VLOOKUP(Table4[[#This Row],[item_sold]],Table1[],4,FALSE))*Table4[[#This Row],[qty]]</f>
        <v>14</v>
      </c>
      <c r="G2425">
        <f t="shared" si="231"/>
        <v>6</v>
      </c>
      <c r="H2425" s="14" t="s">
        <v>247</v>
      </c>
      <c r="I2425" s="14"/>
      <c r="J2425" s="14"/>
      <c r="K2425" s="14"/>
      <c r="L2425" s="14"/>
    </row>
    <row r="2426" spans="1:12" x14ac:dyDescent="0.25">
      <c r="A2426" s="16" t="s">
        <v>364</v>
      </c>
      <c r="B2426" s="32">
        <v>0.60972222222222228</v>
      </c>
      <c r="C2426" s="12" t="s">
        <v>100</v>
      </c>
      <c r="D2426" s="28">
        <v>2</v>
      </c>
      <c r="E2426" s="5">
        <f>Table4[[#This Row],[qty]]*(VLOOKUP(Table4[[#This Row],[item_sold]],Table1[],5,FALSE))</f>
        <v>30</v>
      </c>
      <c r="F2426" s="5">
        <f>(VLOOKUP(Table4[[#This Row],[item_sold]],Table1[],4,FALSE))*Table4[[#This Row],[qty]]</f>
        <v>17</v>
      </c>
      <c r="G2426">
        <f t="shared" si="231"/>
        <v>13</v>
      </c>
      <c r="H2426" s="12" t="s">
        <v>247</v>
      </c>
      <c r="I2426" s="12"/>
      <c r="J2426" s="12"/>
      <c r="K2426" s="12"/>
      <c r="L2426" s="12"/>
    </row>
    <row r="2427" spans="1:12" x14ac:dyDescent="0.25">
      <c r="A2427" s="15" t="s">
        <v>364</v>
      </c>
      <c r="B2427" s="33">
        <v>0.61250000000000004</v>
      </c>
      <c r="C2427" s="14" t="s">
        <v>72</v>
      </c>
      <c r="D2427" s="29">
        <v>1</v>
      </c>
      <c r="E2427" s="5">
        <f>Table4[[#This Row],[qty]]*(VLOOKUP(Table4[[#This Row],[item_sold]],Table1[],5,FALSE))</f>
        <v>5</v>
      </c>
      <c r="F2427" s="5">
        <f>(VLOOKUP(Table4[[#This Row],[item_sold]],Table1[],4,FALSE))*Table4[[#This Row],[qty]]</f>
        <v>2.4</v>
      </c>
      <c r="G2427">
        <f t="shared" si="231"/>
        <v>2.6</v>
      </c>
      <c r="H2427" s="14" t="s">
        <v>247</v>
      </c>
      <c r="I2427" s="14"/>
      <c r="J2427" s="14"/>
      <c r="K2427" s="14"/>
      <c r="L2427" s="14"/>
    </row>
    <row r="2428" spans="1:12" x14ac:dyDescent="0.25">
      <c r="A2428" s="16" t="s">
        <v>364</v>
      </c>
      <c r="B2428" s="32">
        <v>0.62222222222222223</v>
      </c>
      <c r="C2428" s="12" t="s">
        <v>220</v>
      </c>
      <c r="D2428" s="28">
        <v>1</v>
      </c>
      <c r="E2428" s="5">
        <f>Table4[[#This Row],[qty]]*(VLOOKUP(Table4[[#This Row],[item_sold]],Table1[],5,FALSE))</f>
        <v>15</v>
      </c>
      <c r="F2428" s="5">
        <f>(VLOOKUP(Table4[[#This Row],[item_sold]],Table1[],4,FALSE))*Table4[[#This Row],[qty]]</f>
        <v>9</v>
      </c>
      <c r="G2428">
        <f t="shared" si="231"/>
        <v>6</v>
      </c>
      <c r="H2428" s="12" t="s">
        <v>361</v>
      </c>
      <c r="I2428" s="12"/>
      <c r="J2428" s="12"/>
      <c r="K2428" s="12"/>
      <c r="L2428" s="12"/>
    </row>
    <row r="2429" spans="1:12" x14ac:dyDescent="0.25">
      <c r="A2429" s="15" t="s">
        <v>364</v>
      </c>
      <c r="B2429" s="33">
        <v>0.6479166666666667</v>
      </c>
      <c r="C2429" s="14" t="s">
        <v>139</v>
      </c>
      <c r="D2429" s="29">
        <v>2</v>
      </c>
      <c r="E2429" s="5">
        <f>Table4[[#This Row],[qty]]*(VLOOKUP(Table4[[#This Row],[item_sold]],Table1[],5,FALSE))</f>
        <v>40</v>
      </c>
      <c r="F2429" s="5">
        <f>(VLOOKUP(Table4[[#This Row],[item_sold]],Table1[],4,FALSE))*Table4[[#This Row],[qty]]</f>
        <v>26</v>
      </c>
      <c r="G2429">
        <f t="shared" si="231"/>
        <v>14</v>
      </c>
      <c r="H2429" s="14" t="s">
        <v>247</v>
      </c>
      <c r="I2429" s="14"/>
      <c r="J2429" s="14"/>
      <c r="K2429" s="14"/>
      <c r="L2429" s="14"/>
    </row>
    <row r="2430" spans="1:12" x14ac:dyDescent="0.25">
      <c r="A2430" s="16" t="s">
        <v>364</v>
      </c>
      <c r="B2430" s="32">
        <v>0.6479166666666667</v>
      </c>
      <c r="C2430" s="12" t="s">
        <v>79</v>
      </c>
      <c r="D2430" s="28">
        <v>2</v>
      </c>
      <c r="E2430" s="5">
        <f>Table4[[#This Row],[qty]]*(VLOOKUP(Table4[[#This Row],[item_sold]],Table1[],5,FALSE))</f>
        <v>10</v>
      </c>
      <c r="F2430" s="5">
        <f>(VLOOKUP(Table4[[#This Row],[item_sold]],Table1[],4,FALSE))*Table4[[#This Row],[qty]]</f>
        <v>7</v>
      </c>
      <c r="G2430">
        <f t="shared" si="231"/>
        <v>3</v>
      </c>
      <c r="H2430" s="12" t="s">
        <v>247</v>
      </c>
      <c r="I2430" s="12"/>
      <c r="J2430" s="12"/>
      <c r="K2430" s="12"/>
      <c r="L2430" s="12"/>
    </row>
    <row r="2431" spans="1:12" x14ac:dyDescent="0.25">
      <c r="A2431" s="15" t="s">
        <v>364</v>
      </c>
      <c r="B2431" s="33">
        <v>0.69930555555555551</v>
      </c>
      <c r="C2431" s="14" t="s">
        <v>14</v>
      </c>
      <c r="D2431" s="29">
        <v>1</v>
      </c>
      <c r="E2431" s="5">
        <f>Table4[[#This Row],[qty]]*(VLOOKUP(Table4[[#This Row],[item_sold]],Table1[],5,FALSE))</f>
        <v>70</v>
      </c>
      <c r="F2431" s="5">
        <f>(VLOOKUP(Table4[[#This Row],[item_sold]],Table1[],4,FALSE))*Table4[[#This Row],[qty]]</f>
        <v>60.416666666666664</v>
      </c>
      <c r="G2431">
        <f t="shared" si="231"/>
        <v>9.5833333333333357</v>
      </c>
      <c r="H2431" s="12" t="s">
        <v>361</v>
      </c>
      <c r="I2431" s="14"/>
      <c r="J2431" s="14"/>
      <c r="K2431" s="14"/>
      <c r="L2431" s="14"/>
    </row>
    <row r="2432" spans="1:12" x14ac:dyDescent="0.25">
      <c r="A2432" s="16" t="s">
        <v>364</v>
      </c>
      <c r="B2432" s="32">
        <v>0.69930555555555551</v>
      </c>
      <c r="C2432" s="12" t="s">
        <v>220</v>
      </c>
      <c r="D2432" s="28">
        <v>2</v>
      </c>
      <c r="E2432" s="5">
        <f>Table4[[#This Row],[qty]]*(VLOOKUP(Table4[[#This Row],[item_sold]],Table1[],5,FALSE))</f>
        <v>30</v>
      </c>
      <c r="F2432" s="5">
        <f>(VLOOKUP(Table4[[#This Row],[item_sold]],Table1[],4,FALSE))*Table4[[#This Row],[qty]]</f>
        <v>18</v>
      </c>
      <c r="G2432">
        <f t="shared" si="231"/>
        <v>12</v>
      </c>
      <c r="H2432" s="12" t="s">
        <v>361</v>
      </c>
      <c r="I2432" s="12"/>
      <c r="J2432" s="12"/>
      <c r="K2432" s="12"/>
      <c r="L2432" s="12"/>
    </row>
    <row r="2433" spans="1:12" x14ac:dyDescent="0.25">
      <c r="A2433" s="15" t="s">
        <v>364</v>
      </c>
      <c r="B2433" s="33">
        <v>0.7</v>
      </c>
      <c r="C2433" s="14" t="s">
        <v>135</v>
      </c>
      <c r="D2433" s="29">
        <v>5</v>
      </c>
      <c r="E2433" s="5">
        <f>Table4[[#This Row],[qty]]*(VLOOKUP(Table4[[#This Row],[item_sold]],Table1[],5,FALSE))</f>
        <v>50</v>
      </c>
      <c r="F2433" s="5">
        <f>(VLOOKUP(Table4[[#This Row],[item_sold]],Table1[],4,FALSE))*Table4[[#This Row],[qty]]</f>
        <v>40</v>
      </c>
      <c r="G2433">
        <f t="shared" si="231"/>
        <v>10</v>
      </c>
      <c r="H2433" s="14" t="s">
        <v>359</v>
      </c>
      <c r="I2433" s="14" t="s">
        <v>422</v>
      </c>
      <c r="J2433" s="14"/>
      <c r="K2433" s="14"/>
      <c r="L2433" s="14"/>
    </row>
    <row r="2434" spans="1:12" x14ac:dyDescent="0.25">
      <c r="A2434" s="16" t="s">
        <v>364</v>
      </c>
      <c r="B2434" s="32">
        <v>0.73958333333333337</v>
      </c>
      <c r="C2434" s="12" t="s">
        <v>116</v>
      </c>
      <c r="D2434" s="28">
        <v>1</v>
      </c>
      <c r="E2434" s="5">
        <f>Table4[[#This Row],[qty]]*(VLOOKUP(Table4[[#This Row],[item_sold]],Table1[],5,FALSE))</f>
        <v>85</v>
      </c>
      <c r="F2434" s="5">
        <f>(VLOOKUP(Table4[[#This Row],[item_sold]],Table1[],4,FALSE))*Table4[[#This Row],[qty]]</f>
        <v>66</v>
      </c>
      <c r="G2434">
        <f t="shared" si="231"/>
        <v>19</v>
      </c>
      <c r="H2434" s="12" t="s">
        <v>361</v>
      </c>
      <c r="I2434" s="12"/>
      <c r="J2434" s="12"/>
      <c r="K2434" s="12"/>
      <c r="L2434" s="12"/>
    </row>
    <row r="2435" spans="1:12" x14ac:dyDescent="0.25">
      <c r="A2435" s="15" t="s">
        <v>364</v>
      </c>
      <c r="B2435" s="33">
        <v>0.73958333333333337</v>
      </c>
      <c r="C2435" s="14" t="s">
        <v>54</v>
      </c>
      <c r="D2435" s="29">
        <v>1</v>
      </c>
      <c r="E2435" s="5">
        <f>Table4[[#This Row],[qty]]*(VLOOKUP(Table4[[#This Row],[item_sold]],Table1[],5,FALSE))</f>
        <v>35</v>
      </c>
      <c r="F2435" s="5">
        <f>(VLOOKUP(Table4[[#This Row],[item_sold]],Table1[],4,FALSE))*Table4[[#This Row],[qty]]</f>
        <v>25</v>
      </c>
      <c r="G2435">
        <f t="shared" si="231"/>
        <v>10</v>
      </c>
      <c r="H2435" s="14" t="s">
        <v>361</v>
      </c>
      <c r="I2435" s="14"/>
      <c r="J2435" s="14"/>
      <c r="K2435" s="14"/>
      <c r="L2435" s="14"/>
    </row>
    <row r="2436" spans="1:12" x14ac:dyDescent="0.25">
      <c r="A2436" s="16" t="s">
        <v>364</v>
      </c>
      <c r="B2436" s="32">
        <v>0.73958333333333337</v>
      </c>
      <c r="C2436" s="12" t="s">
        <v>150</v>
      </c>
      <c r="D2436" s="28">
        <v>1</v>
      </c>
      <c r="E2436" s="5">
        <f>Table4[[#This Row],[qty]]*(VLOOKUP(Table4[[#This Row],[item_sold]],Table1[],5,FALSE))</f>
        <v>10</v>
      </c>
      <c r="F2436" s="5">
        <f>(VLOOKUP(Table4[[#This Row],[item_sold]],Table1[],4,FALSE))*Table4[[#This Row],[qty]]</f>
        <v>3</v>
      </c>
      <c r="G2436">
        <f t="shared" si="231"/>
        <v>7</v>
      </c>
      <c r="H2436" s="12" t="s">
        <v>361</v>
      </c>
      <c r="I2436" s="12"/>
      <c r="J2436" s="12"/>
      <c r="K2436" s="12"/>
      <c r="L2436" s="12"/>
    </row>
    <row r="2437" spans="1:12" x14ac:dyDescent="0.25">
      <c r="A2437" s="15" t="s">
        <v>364</v>
      </c>
      <c r="B2437" s="33">
        <v>0.73958333333333337</v>
      </c>
      <c r="C2437" s="14" t="s">
        <v>11</v>
      </c>
      <c r="D2437" s="29">
        <v>1</v>
      </c>
      <c r="E2437" s="5">
        <f>Table4[[#This Row],[qty]]*(VLOOKUP(Table4[[#This Row],[item_sold]],Table1[],5,FALSE))</f>
        <v>30</v>
      </c>
      <c r="F2437" s="5">
        <f>(VLOOKUP(Table4[[#This Row],[item_sold]],Table1[],4,FALSE))*Table4[[#This Row],[qty]]</f>
        <v>12.5</v>
      </c>
      <c r="G2437">
        <f t="shared" si="231"/>
        <v>17.5</v>
      </c>
      <c r="H2437" s="14" t="s">
        <v>247</v>
      </c>
      <c r="I2437" s="14"/>
      <c r="J2437" s="14"/>
      <c r="K2437" s="14"/>
      <c r="L2437" s="14"/>
    </row>
    <row r="2438" spans="1:12" x14ac:dyDescent="0.25">
      <c r="A2438" s="16" t="s">
        <v>364</v>
      </c>
      <c r="B2438" s="32">
        <v>0.73958333333333337</v>
      </c>
      <c r="C2438" s="12" t="s">
        <v>100</v>
      </c>
      <c r="D2438" s="28">
        <v>3</v>
      </c>
      <c r="E2438" s="5">
        <f>Table4[[#This Row],[qty]]*(VLOOKUP(Table4[[#This Row],[item_sold]],Table1[],5,FALSE))</f>
        <v>45</v>
      </c>
      <c r="F2438" s="5">
        <f>(VLOOKUP(Table4[[#This Row],[item_sold]],Table1[],4,FALSE))*Table4[[#This Row],[qty]]</f>
        <v>25.5</v>
      </c>
      <c r="G2438">
        <f t="shared" si="231"/>
        <v>19.5</v>
      </c>
      <c r="H2438" s="12" t="s">
        <v>247</v>
      </c>
      <c r="I2438" s="12"/>
      <c r="J2438" s="12"/>
      <c r="K2438" s="12"/>
      <c r="L2438" s="12"/>
    </row>
    <row r="2439" spans="1:12" x14ac:dyDescent="0.25">
      <c r="A2439" s="15" t="s">
        <v>364</v>
      </c>
      <c r="B2439" s="33">
        <v>0.73958333333333337</v>
      </c>
      <c r="C2439" s="14" t="s">
        <v>229</v>
      </c>
      <c r="D2439" s="29">
        <v>1</v>
      </c>
      <c r="E2439" s="5">
        <f>Table4[[#This Row],[qty]]*(VLOOKUP(Table4[[#This Row],[item_sold]],Table1[],5,FALSE))</f>
        <v>50</v>
      </c>
      <c r="F2439" s="5">
        <f>(VLOOKUP(Table4[[#This Row],[item_sold]],Table1[],4,FALSE))*Table4[[#This Row],[qty]]</f>
        <v>37.5</v>
      </c>
      <c r="G2439">
        <f t="shared" si="231"/>
        <v>12.5</v>
      </c>
      <c r="H2439" s="14" t="s">
        <v>247</v>
      </c>
      <c r="I2439" s="14"/>
      <c r="J2439" s="14"/>
      <c r="K2439" s="14"/>
      <c r="L2439" s="14"/>
    </row>
    <row r="2440" spans="1:12" x14ac:dyDescent="0.25">
      <c r="A2440" s="16" t="s">
        <v>364</v>
      </c>
      <c r="B2440" s="32">
        <v>0.74097222222222225</v>
      </c>
      <c r="C2440" s="12" t="s">
        <v>69</v>
      </c>
      <c r="D2440" s="28">
        <v>2</v>
      </c>
      <c r="E2440" s="5">
        <f>Table4[[#This Row],[qty]]*(VLOOKUP(Table4[[#This Row],[item_sold]],Table1[],5,FALSE))</f>
        <v>20</v>
      </c>
      <c r="F2440" s="5">
        <f>(VLOOKUP(Table4[[#This Row],[item_sold]],Table1[],4,FALSE))*Table4[[#This Row],[qty]]</f>
        <v>10</v>
      </c>
      <c r="G2440">
        <f t="shared" si="231"/>
        <v>10</v>
      </c>
      <c r="H2440" s="12" t="s">
        <v>247</v>
      </c>
      <c r="I2440" s="12"/>
      <c r="J2440" s="12"/>
      <c r="K2440" s="12"/>
      <c r="L2440" s="12"/>
    </row>
    <row r="2441" spans="1:12" x14ac:dyDescent="0.25">
      <c r="A2441" s="15" t="s">
        <v>364</v>
      </c>
      <c r="B2441" s="33">
        <v>0.74097222222222225</v>
      </c>
      <c r="C2441" s="14" t="s">
        <v>198</v>
      </c>
      <c r="D2441" s="29">
        <v>2</v>
      </c>
      <c r="E2441" s="5">
        <f>Table4[[#This Row],[qty]]*(VLOOKUP(Table4[[#This Row],[item_sold]],Table1[],5,FALSE))</f>
        <v>40</v>
      </c>
      <c r="F2441" s="5">
        <f>(VLOOKUP(Table4[[#This Row],[item_sold]],Table1[],4,FALSE))*Table4[[#This Row],[qty]]</f>
        <v>20</v>
      </c>
      <c r="G2441">
        <f t="shared" si="231"/>
        <v>20</v>
      </c>
      <c r="H2441" s="14" t="s">
        <v>247</v>
      </c>
      <c r="I2441" s="14"/>
      <c r="J2441" s="14"/>
      <c r="K2441" s="14"/>
      <c r="L2441" s="14"/>
    </row>
    <row r="2442" spans="1:12" x14ac:dyDescent="0.25">
      <c r="A2442" s="16" t="s">
        <v>364</v>
      </c>
      <c r="B2442" s="32">
        <v>0.74513888888888891</v>
      </c>
      <c r="C2442" s="12" t="s">
        <v>126</v>
      </c>
      <c r="D2442" s="28">
        <v>1</v>
      </c>
      <c r="E2442" s="5">
        <f>Table4[[#This Row],[qty]]*(VLOOKUP(Table4[[#This Row],[item_sold]],Table1[],5,FALSE))</f>
        <v>50</v>
      </c>
      <c r="F2442" s="5">
        <f>(VLOOKUP(Table4[[#This Row],[item_sold]],Table1[],4,FALSE))*Table4[[#This Row],[qty]]</f>
        <v>33.75</v>
      </c>
      <c r="G2442">
        <f t="shared" si="231"/>
        <v>16.25</v>
      </c>
      <c r="H2442" s="12" t="s">
        <v>361</v>
      </c>
      <c r="I2442" s="12"/>
      <c r="J2442" s="12"/>
      <c r="K2442" s="12"/>
      <c r="L2442" s="12"/>
    </row>
    <row r="2443" spans="1:12" x14ac:dyDescent="0.25">
      <c r="A2443" s="15" t="s">
        <v>364</v>
      </c>
      <c r="B2443" s="33">
        <v>0.74513888888888891</v>
      </c>
      <c r="C2443" s="14" t="s">
        <v>188</v>
      </c>
      <c r="D2443" s="29">
        <v>1</v>
      </c>
      <c r="E2443" s="5">
        <f>Table4[[#This Row],[qty]]*(VLOOKUP(Table4[[#This Row],[item_sold]],Table1[],5,FALSE))</f>
        <v>5</v>
      </c>
      <c r="F2443" s="5">
        <f>(VLOOKUP(Table4[[#This Row],[item_sold]],Table1[],4,FALSE))*Table4[[#This Row],[qty]]</f>
        <v>2.3611111111111112</v>
      </c>
      <c r="G2443">
        <f t="shared" si="231"/>
        <v>2.6388888888888888</v>
      </c>
      <c r="H2443" s="14" t="s">
        <v>247</v>
      </c>
      <c r="I2443" s="14"/>
      <c r="J2443" s="14"/>
      <c r="K2443" s="14"/>
      <c r="L2443" s="14"/>
    </row>
    <row r="2444" spans="1:12" x14ac:dyDescent="0.25">
      <c r="A2444" s="16" t="s">
        <v>364</v>
      </c>
      <c r="B2444" s="32">
        <v>0.79513888888888884</v>
      </c>
      <c r="C2444" s="12" t="s">
        <v>231</v>
      </c>
      <c r="D2444" s="28">
        <v>2</v>
      </c>
      <c r="E2444" s="5">
        <f>Table4[[#This Row],[qty]]*(VLOOKUP(Table4[[#This Row],[item_sold]],Table1[],5,FALSE))</f>
        <v>40</v>
      </c>
      <c r="F2444" s="5">
        <f>(VLOOKUP(Table4[[#This Row],[item_sold]],Table1[],4,FALSE))*Table4[[#This Row],[qty]]</f>
        <v>22</v>
      </c>
      <c r="G2444">
        <f t="shared" si="231"/>
        <v>18</v>
      </c>
      <c r="H2444" s="12" t="s">
        <v>247</v>
      </c>
      <c r="I2444" s="12"/>
      <c r="J2444" s="12"/>
      <c r="K2444" s="12"/>
      <c r="L2444" s="12"/>
    </row>
    <row r="2445" spans="1:12" x14ac:dyDescent="0.25">
      <c r="A2445" s="15" t="s">
        <v>364</v>
      </c>
      <c r="B2445" s="33">
        <v>0.79513888888888884</v>
      </c>
      <c r="C2445" s="14" t="s">
        <v>133</v>
      </c>
      <c r="D2445" s="29">
        <v>1</v>
      </c>
      <c r="E2445" s="5">
        <f>Table4[[#This Row],[qty]]*(VLOOKUP(Table4[[#This Row],[item_sold]],Table1[],5,FALSE))</f>
        <v>10</v>
      </c>
      <c r="F2445" s="5">
        <f>(VLOOKUP(Table4[[#This Row],[item_sold]],Table1[],4,FALSE))*Table4[[#This Row],[qty]]</f>
        <v>7</v>
      </c>
      <c r="G2445">
        <f t="shared" si="231"/>
        <v>3</v>
      </c>
      <c r="H2445" s="14" t="s">
        <v>247</v>
      </c>
      <c r="I2445" s="14"/>
      <c r="J2445" s="14"/>
      <c r="K2445" s="14"/>
      <c r="L2445" s="14"/>
    </row>
    <row r="2446" spans="1:12" x14ac:dyDescent="0.25">
      <c r="A2446" s="16" t="s">
        <v>364</v>
      </c>
      <c r="B2446" s="32">
        <v>0.75763888888888886</v>
      </c>
      <c r="C2446" s="12" t="s">
        <v>100</v>
      </c>
      <c r="D2446" s="28">
        <v>2</v>
      </c>
      <c r="E2446" s="5">
        <f>Table4[[#This Row],[qty]]*(VLOOKUP(Table4[[#This Row],[item_sold]],Table1[],5,FALSE))</f>
        <v>30</v>
      </c>
      <c r="F2446" s="5">
        <f>(VLOOKUP(Table4[[#This Row],[item_sold]],Table1[],4,FALSE))*Table4[[#This Row],[qty]]</f>
        <v>17</v>
      </c>
      <c r="G2446">
        <f t="shared" si="231"/>
        <v>13</v>
      </c>
      <c r="H2446" s="12" t="s">
        <v>361</v>
      </c>
      <c r="I2446" s="12"/>
      <c r="J2446" s="12"/>
      <c r="K2446" s="12"/>
      <c r="L2446" s="12"/>
    </row>
    <row r="2447" spans="1:12" x14ac:dyDescent="0.25">
      <c r="A2447" s="15" t="s">
        <v>364</v>
      </c>
      <c r="B2447" s="33">
        <v>0.80763888888888891</v>
      </c>
      <c r="C2447" s="14" t="s">
        <v>106</v>
      </c>
      <c r="D2447" s="29">
        <v>1</v>
      </c>
      <c r="E2447" s="5">
        <f>Table4[[#This Row],[qty]]*(VLOOKUP(Table4[[#This Row],[item_sold]],Table1[],5,FALSE))</f>
        <v>90</v>
      </c>
      <c r="F2447" s="5">
        <f>(VLOOKUP(Table4[[#This Row],[item_sold]],Table1[],4,FALSE))*Table4[[#This Row],[qty]]</f>
        <v>61.25</v>
      </c>
      <c r="G2447">
        <f t="shared" si="231"/>
        <v>28.75</v>
      </c>
      <c r="H2447" s="14" t="s">
        <v>247</v>
      </c>
      <c r="I2447" s="14"/>
      <c r="J2447" s="14"/>
      <c r="K2447" s="14"/>
      <c r="L2447" s="14"/>
    </row>
    <row r="2448" spans="1:12" x14ac:dyDescent="0.25">
      <c r="A2448" s="16" t="s">
        <v>364</v>
      </c>
      <c r="B2448" s="32">
        <v>0.80763888888888891</v>
      </c>
      <c r="C2448" s="12" t="s">
        <v>137</v>
      </c>
      <c r="D2448" s="28">
        <v>1</v>
      </c>
      <c r="E2448" s="5">
        <f>Table4[[#This Row],[qty]]*(VLOOKUP(Table4[[#This Row],[item_sold]],Table1[],5,FALSE))</f>
        <v>10</v>
      </c>
      <c r="F2448" s="5">
        <f>(VLOOKUP(Table4[[#This Row],[item_sold]],Table1[],4,FALSE))*Table4[[#This Row],[qty]]</f>
        <v>5</v>
      </c>
      <c r="G2448">
        <f t="shared" si="231"/>
        <v>5</v>
      </c>
      <c r="H2448" s="12" t="s">
        <v>247</v>
      </c>
      <c r="I2448" s="12"/>
      <c r="J2448" s="12"/>
      <c r="K2448" s="12"/>
      <c r="L2448" s="12"/>
    </row>
    <row r="2449" spans="1:12" x14ac:dyDescent="0.25">
      <c r="A2449" s="15" t="s">
        <v>364</v>
      </c>
      <c r="B2449" s="33">
        <v>0.80763888888888891</v>
      </c>
      <c r="C2449" s="14" t="s">
        <v>135</v>
      </c>
      <c r="D2449" s="29">
        <v>1</v>
      </c>
      <c r="E2449" s="5">
        <f>Table4[[#This Row],[qty]]*(VLOOKUP(Table4[[#This Row],[item_sold]],Table1[],5,FALSE))</f>
        <v>10</v>
      </c>
      <c r="F2449" s="5">
        <f>(VLOOKUP(Table4[[#This Row],[item_sold]],Table1[],4,FALSE))*Table4[[#This Row],[qty]]</f>
        <v>8</v>
      </c>
      <c r="G2449">
        <f t="shared" si="231"/>
        <v>2</v>
      </c>
      <c r="H2449" s="14" t="s">
        <v>247</v>
      </c>
      <c r="I2449" s="14"/>
      <c r="J2449" s="14"/>
      <c r="K2449" s="14"/>
      <c r="L2449" s="14"/>
    </row>
    <row r="2450" spans="1:12" x14ac:dyDescent="0.25">
      <c r="A2450" s="16" t="s">
        <v>364</v>
      </c>
      <c r="B2450" s="32">
        <v>0.81736111111111109</v>
      </c>
      <c r="C2450" s="12" t="s">
        <v>103</v>
      </c>
      <c r="D2450" s="28">
        <v>1</v>
      </c>
      <c r="E2450" s="5">
        <f>Table4[[#This Row],[qty]]*(VLOOKUP(Table4[[#This Row],[item_sold]],Table1[],5,FALSE))</f>
        <v>40</v>
      </c>
      <c r="F2450" s="5">
        <f>(VLOOKUP(Table4[[#This Row],[item_sold]],Table1[],4,FALSE))*Table4[[#This Row],[qty]]</f>
        <v>25</v>
      </c>
      <c r="G2450">
        <f t="shared" si="231"/>
        <v>15</v>
      </c>
      <c r="H2450" s="12" t="s">
        <v>361</v>
      </c>
      <c r="I2450" s="12"/>
      <c r="J2450" s="12"/>
      <c r="K2450" s="12"/>
      <c r="L2450" s="12"/>
    </row>
    <row r="2451" spans="1:12" x14ac:dyDescent="0.25">
      <c r="A2451" s="15" t="s">
        <v>364</v>
      </c>
      <c r="B2451" s="33">
        <v>0.84166666666666667</v>
      </c>
      <c r="C2451" s="14" t="s">
        <v>277</v>
      </c>
      <c r="D2451" s="29">
        <v>3</v>
      </c>
      <c r="E2451" s="5">
        <f>Table4[[#This Row],[qty]]*(VLOOKUP(Table4[[#This Row],[item_sold]],Table1[],5,FALSE))</f>
        <v>90</v>
      </c>
      <c r="F2451" s="5">
        <f>(VLOOKUP(Table4[[#This Row],[item_sold]],Table1[],4,FALSE))*Table4[[#This Row],[qty]]</f>
        <v>68.75</v>
      </c>
      <c r="G2451">
        <f t="shared" si="231"/>
        <v>21.25</v>
      </c>
      <c r="H2451" s="14" t="s">
        <v>361</v>
      </c>
      <c r="I2451" s="14"/>
      <c r="J2451" s="14"/>
      <c r="K2451" s="14"/>
      <c r="L2451" s="14"/>
    </row>
    <row r="2452" spans="1:12" x14ac:dyDescent="0.25">
      <c r="A2452" s="16" t="s">
        <v>364</v>
      </c>
      <c r="B2452" s="32">
        <v>0.84166666666666667</v>
      </c>
      <c r="C2452" s="12" t="s">
        <v>221</v>
      </c>
      <c r="D2452" s="28">
        <v>1</v>
      </c>
      <c r="E2452" s="5">
        <f>Table4[[#This Row],[qty]]*(VLOOKUP(Table4[[#This Row],[item_sold]],Table1[],5,FALSE))</f>
        <v>70</v>
      </c>
      <c r="F2452" s="5">
        <f>(VLOOKUP(Table4[[#This Row],[item_sold]],Table1[],4,FALSE))*Table4[[#This Row],[qty]]</f>
        <v>50</v>
      </c>
      <c r="G2452">
        <f t="shared" si="231"/>
        <v>20</v>
      </c>
      <c r="H2452" s="12" t="s">
        <v>361</v>
      </c>
      <c r="I2452" s="12"/>
      <c r="J2452" s="12"/>
      <c r="K2452" s="12"/>
      <c r="L2452" s="12"/>
    </row>
    <row r="2453" spans="1:12" x14ac:dyDescent="0.25">
      <c r="A2453" s="15" t="s">
        <v>364</v>
      </c>
      <c r="B2453" s="33">
        <v>0.84166666666666667</v>
      </c>
      <c r="C2453" s="14" t="s">
        <v>44</v>
      </c>
      <c r="D2453" s="29">
        <v>2</v>
      </c>
      <c r="E2453" s="5">
        <f>Table4[[#This Row],[qty]]*(VLOOKUP(Table4[[#This Row],[item_sold]],Table1[],5,FALSE))</f>
        <v>30</v>
      </c>
      <c r="F2453" s="5">
        <f>(VLOOKUP(Table4[[#This Row],[item_sold]],Table1[],4,FALSE))*Table4[[#This Row],[qty]]</f>
        <v>17.600000000000001</v>
      </c>
      <c r="G2453">
        <f t="shared" si="231"/>
        <v>12.399999999999999</v>
      </c>
      <c r="H2453" s="14" t="s">
        <v>361</v>
      </c>
      <c r="I2453" s="14"/>
      <c r="J2453" s="14"/>
      <c r="K2453" s="14"/>
      <c r="L2453" s="14"/>
    </row>
    <row r="2454" spans="1:12" x14ac:dyDescent="0.25">
      <c r="A2454" s="16" t="s">
        <v>364</v>
      </c>
      <c r="B2454" s="32">
        <v>0.84166666666666667</v>
      </c>
      <c r="C2454" s="12" t="s">
        <v>47</v>
      </c>
      <c r="D2454" s="28">
        <v>2</v>
      </c>
      <c r="E2454" s="5">
        <f>Table4[[#This Row],[qty]]*(VLOOKUP(Table4[[#This Row],[item_sold]],Table1[],5,FALSE))</f>
        <v>30</v>
      </c>
      <c r="F2454" s="5">
        <f>(VLOOKUP(Table4[[#This Row],[item_sold]],Table1[],4,FALSE))*Table4[[#This Row],[qty]]</f>
        <v>17.2</v>
      </c>
      <c r="G2454">
        <f t="shared" si="231"/>
        <v>12.8</v>
      </c>
      <c r="H2454" s="12" t="s">
        <v>361</v>
      </c>
      <c r="I2454" s="12"/>
      <c r="J2454" s="12"/>
      <c r="K2454" s="12"/>
      <c r="L2454" s="12"/>
    </row>
    <row r="2455" spans="1:12" x14ac:dyDescent="0.25">
      <c r="A2455" s="15" t="s">
        <v>364</v>
      </c>
      <c r="B2455" s="33">
        <v>0.84166666666666667</v>
      </c>
      <c r="C2455" s="14" t="s">
        <v>79</v>
      </c>
      <c r="D2455" s="29">
        <v>4</v>
      </c>
      <c r="E2455" s="5">
        <f>Table4[[#This Row],[qty]]*(VLOOKUP(Table4[[#This Row],[item_sold]],Table1[],5,FALSE))</f>
        <v>20</v>
      </c>
      <c r="F2455" s="5">
        <f>(VLOOKUP(Table4[[#This Row],[item_sold]],Table1[],4,FALSE))*Table4[[#This Row],[qty]]</f>
        <v>14</v>
      </c>
      <c r="G2455">
        <f t="shared" si="231"/>
        <v>6</v>
      </c>
      <c r="H2455" s="14" t="s">
        <v>361</v>
      </c>
      <c r="I2455" s="14"/>
      <c r="J2455" s="14"/>
      <c r="K2455" s="14"/>
      <c r="L2455" s="14"/>
    </row>
    <row r="2456" spans="1:12" x14ac:dyDescent="0.25">
      <c r="A2456" s="16" t="s">
        <v>364</v>
      </c>
      <c r="B2456" s="32">
        <v>0.83958333333333335</v>
      </c>
      <c r="C2456" s="12" t="s">
        <v>95</v>
      </c>
      <c r="D2456" s="28">
        <v>10</v>
      </c>
      <c r="E2456" s="5">
        <f>Table4[[#This Row],[qty]]*(VLOOKUP(Table4[[#This Row],[item_sold]],Table1[],5,FALSE))</f>
        <v>200</v>
      </c>
      <c r="F2456" s="5">
        <f>(VLOOKUP(Table4[[#This Row],[item_sold]],Table1[],4,FALSE))*Table4[[#This Row],[qty]]</f>
        <v>143.33333333333334</v>
      </c>
      <c r="G2456">
        <f t="shared" si="231"/>
        <v>56.666666666666657</v>
      </c>
      <c r="H2456" s="12" t="s">
        <v>361</v>
      </c>
      <c r="I2456" s="12"/>
      <c r="J2456" s="12"/>
      <c r="K2456" s="12"/>
      <c r="L2456" s="12"/>
    </row>
    <row r="2457" spans="1:12" x14ac:dyDescent="0.25">
      <c r="A2457" s="15" t="s">
        <v>364</v>
      </c>
      <c r="B2457" s="33">
        <v>0.83958333333333335</v>
      </c>
      <c r="C2457" s="14" t="s">
        <v>137</v>
      </c>
      <c r="D2457" s="29">
        <v>3</v>
      </c>
      <c r="E2457" s="5">
        <f>Table4[[#This Row],[qty]]*(VLOOKUP(Table4[[#This Row],[item_sold]],Table1[],5,FALSE))</f>
        <v>30</v>
      </c>
      <c r="F2457" s="5">
        <f>(VLOOKUP(Table4[[#This Row],[item_sold]],Table1[],4,FALSE))*Table4[[#This Row],[qty]]</f>
        <v>15</v>
      </c>
      <c r="G2457">
        <f t="shared" si="231"/>
        <v>15</v>
      </c>
      <c r="H2457" s="14" t="s">
        <v>361</v>
      </c>
      <c r="I2457" s="14"/>
      <c r="J2457" s="14"/>
      <c r="K2457" s="14"/>
      <c r="L2457" s="14"/>
    </row>
    <row r="2458" spans="1:12" x14ac:dyDescent="0.25">
      <c r="A2458" s="16" t="s">
        <v>364</v>
      </c>
      <c r="B2458" s="32">
        <v>0.83958333333333335</v>
      </c>
      <c r="C2458" s="12" t="s">
        <v>31</v>
      </c>
      <c r="D2458" s="28">
        <v>2</v>
      </c>
      <c r="E2458" s="5">
        <f>Table4[[#This Row],[qty]]*(VLOOKUP(Table4[[#This Row],[item_sold]],Table1[],5,FALSE))</f>
        <v>130</v>
      </c>
      <c r="F2458" s="5">
        <f>(VLOOKUP(Table4[[#This Row],[item_sold]],Table1[],4,FALSE))*Table4[[#This Row],[qty]]</f>
        <v>96.666666666666671</v>
      </c>
      <c r="G2458">
        <f t="shared" si="231"/>
        <v>33.333333333333329</v>
      </c>
      <c r="H2458" s="12" t="s">
        <v>361</v>
      </c>
      <c r="I2458" s="12"/>
      <c r="J2458" s="12"/>
      <c r="K2458" s="12"/>
      <c r="L2458" s="12"/>
    </row>
    <row r="2459" spans="1:12" x14ac:dyDescent="0.25">
      <c r="A2459" s="15" t="s">
        <v>364</v>
      </c>
      <c r="B2459" s="33">
        <v>0.83958333333333335</v>
      </c>
      <c r="C2459" s="14" t="s">
        <v>73</v>
      </c>
      <c r="D2459" s="29">
        <v>2</v>
      </c>
      <c r="E2459" s="5">
        <f>Table4[[#This Row],[qty]]*(VLOOKUP(Table4[[#This Row],[item_sold]],Table1[],5,FALSE))</f>
        <v>20</v>
      </c>
      <c r="F2459" s="5">
        <f>(VLOOKUP(Table4[[#This Row],[item_sold]],Table1[],4,FALSE))*Table4[[#This Row],[qty]]</f>
        <v>12</v>
      </c>
      <c r="G2459">
        <f t="shared" si="231"/>
        <v>8</v>
      </c>
      <c r="H2459" s="14" t="s">
        <v>361</v>
      </c>
      <c r="I2459" s="14"/>
      <c r="J2459" s="14"/>
      <c r="K2459" s="14"/>
      <c r="L2459" s="14"/>
    </row>
    <row r="2460" spans="1:12" x14ac:dyDescent="0.25">
      <c r="A2460" s="16" t="s">
        <v>364</v>
      </c>
      <c r="B2460" s="32">
        <v>0.83958333333333335</v>
      </c>
      <c r="C2460" s="12" t="s">
        <v>79</v>
      </c>
      <c r="D2460" s="28">
        <v>2</v>
      </c>
      <c r="E2460" s="5">
        <f>Table4[[#This Row],[qty]]*(VLOOKUP(Table4[[#This Row],[item_sold]],Table1[],5,FALSE))</f>
        <v>10</v>
      </c>
      <c r="F2460" s="5">
        <f>(VLOOKUP(Table4[[#This Row],[item_sold]],Table1[],4,FALSE))*Table4[[#This Row],[qty]]</f>
        <v>7</v>
      </c>
      <c r="G2460">
        <f t="shared" si="231"/>
        <v>3</v>
      </c>
      <c r="H2460" s="12" t="s">
        <v>361</v>
      </c>
      <c r="I2460" s="12"/>
      <c r="J2460" s="12"/>
      <c r="K2460" s="12"/>
      <c r="L2460" s="12"/>
    </row>
    <row r="2461" spans="1:12" x14ac:dyDescent="0.25">
      <c r="A2461" s="15" t="s">
        <v>364</v>
      </c>
      <c r="B2461" s="33">
        <v>0.85763888888888884</v>
      </c>
      <c r="C2461" s="14" t="s">
        <v>70</v>
      </c>
      <c r="D2461" s="29">
        <v>8</v>
      </c>
      <c r="E2461" s="5">
        <f>Table4[[#This Row],[qty]]*(VLOOKUP(Table4[[#This Row],[item_sold]],Table1[],5,FALSE))</f>
        <v>20</v>
      </c>
      <c r="F2461" s="5">
        <f>(VLOOKUP(Table4[[#This Row],[item_sold]],Table1[],4,FALSE))*Table4[[#This Row],[qty]]</f>
        <v>9.6</v>
      </c>
      <c r="G2461">
        <f t="shared" si="231"/>
        <v>10.4</v>
      </c>
      <c r="H2461" s="14" t="s">
        <v>247</v>
      </c>
      <c r="I2461" s="14"/>
      <c r="J2461" s="14" t="s">
        <v>394</v>
      </c>
      <c r="K2461" s="14">
        <v>90</v>
      </c>
      <c r="L2461" s="12" t="s">
        <v>361</v>
      </c>
    </row>
    <row r="2462" spans="1:12" x14ac:dyDescent="0.25">
      <c r="A2462" s="16" t="s">
        <v>364</v>
      </c>
      <c r="B2462" s="32">
        <v>0.86111111111111116</v>
      </c>
      <c r="C2462" s="12" t="s">
        <v>143</v>
      </c>
      <c r="D2462" s="28">
        <v>1</v>
      </c>
      <c r="E2462" s="5">
        <f>Table4[[#This Row],[qty]]*(VLOOKUP(Table4[[#This Row],[item_sold]],Table1[],5,FALSE))</f>
        <v>60</v>
      </c>
      <c r="F2462" s="5">
        <f>(VLOOKUP(Table4[[#This Row],[item_sold]],Table1[],4,FALSE))*Table4[[#This Row],[qty]]</f>
        <v>55</v>
      </c>
      <c r="G2462">
        <f t="shared" si="231"/>
        <v>5</v>
      </c>
      <c r="H2462" s="12" t="s">
        <v>247</v>
      </c>
      <c r="I2462" s="12"/>
      <c r="J2462" s="12" t="s">
        <v>390</v>
      </c>
      <c r="K2462" s="12">
        <v>70</v>
      </c>
      <c r="L2462" s="12" t="s">
        <v>247</v>
      </c>
    </row>
    <row r="2463" spans="1:12" x14ac:dyDescent="0.25">
      <c r="A2463" s="15" t="s">
        <v>364</v>
      </c>
      <c r="B2463" s="33">
        <v>0.8666666666666667</v>
      </c>
      <c r="C2463" s="14" t="s">
        <v>31</v>
      </c>
      <c r="D2463" s="29">
        <v>1</v>
      </c>
      <c r="E2463" s="5">
        <f>Table4[[#This Row],[qty]]*(VLOOKUP(Table4[[#This Row],[item_sold]],Table1[],5,FALSE))</f>
        <v>65</v>
      </c>
      <c r="F2463" s="5">
        <f>(VLOOKUP(Table4[[#This Row],[item_sold]],Table1[],4,FALSE))*Table4[[#This Row],[qty]]</f>
        <v>48.333333333333336</v>
      </c>
      <c r="G2463">
        <f t="shared" si="231"/>
        <v>16.666666666666664</v>
      </c>
      <c r="H2463" s="14" t="s">
        <v>361</v>
      </c>
      <c r="I2463" s="14"/>
      <c r="J2463" s="14" t="s">
        <v>398</v>
      </c>
      <c r="K2463" s="14">
        <v>615</v>
      </c>
      <c r="L2463" s="14" t="s">
        <v>361</v>
      </c>
    </row>
    <row r="2464" spans="1:12" x14ac:dyDescent="0.25">
      <c r="A2464" s="16" t="s">
        <v>426</v>
      </c>
      <c r="B2464" s="32">
        <v>0.32916666666666666</v>
      </c>
      <c r="C2464" s="12" t="s">
        <v>186</v>
      </c>
      <c r="D2464" s="28">
        <v>1</v>
      </c>
      <c r="E2464" s="5">
        <f>Table4[[#This Row],[qty]]*(VLOOKUP(Table4[[#This Row],[item_sold]],Table1[],5,FALSE))</f>
        <v>120</v>
      </c>
      <c r="F2464" s="5">
        <f>(VLOOKUP(Table4[[#This Row],[item_sold]],Table1[],4,FALSE))*Table4[[#This Row],[qty]]</f>
        <v>95</v>
      </c>
      <c r="G2464">
        <f t="shared" si="231"/>
        <v>25</v>
      </c>
      <c r="H2464" s="12" t="s">
        <v>361</v>
      </c>
      <c r="I2464" s="12"/>
      <c r="J2464" s="12"/>
      <c r="K2464" s="12"/>
      <c r="L2464" s="12"/>
    </row>
    <row r="2465" spans="1:12" x14ac:dyDescent="0.25">
      <c r="A2465" s="15" t="s">
        <v>426</v>
      </c>
      <c r="B2465" s="33">
        <v>0.32916666666666666</v>
      </c>
      <c r="C2465" s="14" t="s">
        <v>31</v>
      </c>
      <c r="D2465" s="29">
        <v>1</v>
      </c>
      <c r="E2465" s="5">
        <f>Table4[[#This Row],[qty]]*(VLOOKUP(Table4[[#This Row],[item_sold]],Table1[],5,FALSE))</f>
        <v>65</v>
      </c>
      <c r="F2465" s="5">
        <f>(VLOOKUP(Table4[[#This Row],[item_sold]],Table1[],4,FALSE))*Table4[[#This Row],[qty]]</f>
        <v>48.333333333333336</v>
      </c>
      <c r="G2465">
        <f t="shared" si="231"/>
        <v>16.666666666666664</v>
      </c>
      <c r="H2465" s="14" t="s">
        <v>361</v>
      </c>
      <c r="I2465" s="14"/>
      <c r="J2465" s="14"/>
      <c r="K2465" s="14"/>
      <c r="L2465" s="14"/>
    </row>
    <row r="2466" spans="1:12" x14ac:dyDescent="0.25">
      <c r="A2466" s="16" t="s">
        <v>426</v>
      </c>
      <c r="B2466" s="32">
        <v>0.32916666666666666</v>
      </c>
      <c r="C2466" s="12" t="s">
        <v>154</v>
      </c>
      <c r="D2466" s="28">
        <v>1</v>
      </c>
      <c r="E2466" s="5">
        <f>Table4[[#This Row],[qty]]*(VLOOKUP(Table4[[#This Row],[item_sold]],Table1[],5,FALSE))</f>
        <v>65</v>
      </c>
      <c r="F2466" s="5">
        <f>(VLOOKUP(Table4[[#This Row],[item_sold]],Table1[],4,FALSE))*Table4[[#This Row],[qty]]</f>
        <v>60</v>
      </c>
      <c r="G2466">
        <f t="shared" si="231"/>
        <v>5</v>
      </c>
      <c r="H2466" s="12" t="s">
        <v>361</v>
      </c>
      <c r="I2466" s="12"/>
      <c r="J2466" s="12"/>
      <c r="K2466" s="12"/>
      <c r="L2466" s="12"/>
    </row>
    <row r="2467" spans="1:12" x14ac:dyDescent="0.25">
      <c r="A2467" s="15" t="s">
        <v>426</v>
      </c>
      <c r="B2467" s="33">
        <v>0.35902777777777778</v>
      </c>
      <c r="C2467" s="14" t="s">
        <v>186</v>
      </c>
      <c r="D2467" s="29">
        <v>1</v>
      </c>
      <c r="E2467" s="5">
        <f>Table4[[#This Row],[qty]]*(VLOOKUP(Table4[[#This Row],[item_sold]],Table1[],5,FALSE))</f>
        <v>120</v>
      </c>
      <c r="F2467" s="5">
        <f>(VLOOKUP(Table4[[#This Row],[item_sold]],Table1[],4,FALSE))*Table4[[#This Row],[qty]]</f>
        <v>95</v>
      </c>
      <c r="G2467">
        <f t="shared" si="231"/>
        <v>25</v>
      </c>
      <c r="H2467" s="14" t="s">
        <v>247</v>
      </c>
      <c r="I2467" s="14"/>
      <c r="J2467" s="14"/>
      <c r="K2467" s="14"/>
      <c r="L2467" s="14"/>
    </row>
    <row r="2468" spans="1:12" x14ac:dyDescent="0.25">
      <c r="A2468" s="16" t="s">
        <v>426</v>
      </c>
      <c r="B2468" s="32">
        <v>0.36875000000000002</v>
      </c>
      <c r="C2468" s="12" t="s">
        <v>39</v>
      </c>
      <c r="D2468" s="28">
        <v>1</v>
      </c>
      <c r="E2468" s="5">
        <f>Table4[[#This Row],[qty]]*(VLOOKUP(Table4[[#This Row],[item_sold]],Table1[],5,FALSE))</f>
        <v>65</v>
      </c>
      <c r="F2468" s="5">
        <f>(VLOOKUP(Table4[[#This Row],[item_sold]],Table1[],4,FALSE))*Table4[[#This Row],[qty]]</f>
        <v>60</v>
      </c>
      <c r="G2468">
        <f t="shared" si="231"/>
        <v>5</v>
      </c>
      <c r="H2468" s="12" t="s">
        <v>361</v>
      </c>
      <c r="I2468" s="12"/>
      <c r="J2468" s="12"/>
      <c r="K2468" s="12"/>
      <c r="L2468" s="12"/>
    </row>
    <row r="2469" spans="1:12" x14ac:dyDescent="0.25">
      <c r="A2469" s="15" t="s">
        <v>426</v>
      </c>
      <c r="B2469" s="33">
        <v>0.37569444444444444</v>
      </c>
      <c r="C2469" s="14" t="s">
        <v>100</v>
      </c>
      <c r="D2469" s="29">
        <v>1</v>
      </c>
      <c r="E2469" s="5">
        <f>Table4[[#This Row],[qty]]*(VLOOKUP(Table4[[#This Row],[item_sold]],Table1[],5,FALSE))</f>
        <v>15</v>
      </c>
      <c r="F2469" s="5">
        <f>(VLOOKUP(Table4[[#This Row],[item_sold]],Table1[],4,FALSE))*Table4[[#This Row],[qty]]</f>
        <v>8.5</v>
      </c>
      <c r="G2469">
        <f t="shared" si="231"/>
        <v>6.5</v>
      </c>
      <c r="H2469" s="14" t="s">
        <v>247</v>
      </c>
      <c r="I2469" s="14"/>
      <c r="J2469" s="14"/>
      <c r="K2469" s="14"/>
      <c r="L2469" s="14"/>
    </row>
    <row r="2470" spans="1:12" x14ac:dyDescent="0.25">
      <c r="A2470" s="16" t="s">
        <v>426</v>
      </c>
      <c r="B2470" s="32">
        <v>0.37569444444444444</v>
      </c>
      <c r="C2470" s="12" t="s">
        <v>337</v>
      </c>
      <c r="D2470" s="28">
        <v>1</v>
      </c>
      <c r="E2470" s="5">
        <f>Table4[[#This Row],[qty]]*(VLOOKUP(Table4[[#This Row],[item_sold]],Table1[],5,FALSE))</f>
        <v>160</v>
      </c>
      <c r="F2470" s="5">
        <f>(VLOOKUP(Table4[[#This Row],[item_sold]],Table1[],4,FALSE))*Table4[[#This Row],[qty]]</f>
        <v>125</v>
      </c>
      <c r="G2470">
        <f t="shared" si="231"/>
        <v>35</v>
      </c>
      <c r="H2470" s="12" t="s">
        <v>359</v>
      </c>
      <c r="I2470" s="12" t="s">
        <v>427</v>
      </c>
      <c r="J2470" s="12"/>
      <c r="K2470" s="12"/>
      <c r="L2470" s="12"/>
    </row>
    <row r="2471" spans="1:12" x14ac:dyDescent="0.25">
      <c r="A2471" s="15" t="s">
        <v>426</v>
      </c>
      <c r="B2471" s="33">
        <v>0.3888888888888889</v>
      </c>
      <c r="C2471" s="14" t="s">
        <v>42</v>
      </c>
      <c r="D2471" s="29">
        <v>1</v>
      </c>
      <c r="E2471" s="5">
        <f>Table4[[#This Row],[qty]]*(VLOOKUP(Table4[[#This Row],[item_sold]],Table1[],5,FALSE))</f>
        <v>100</v>
      </c>
      <c r="F2471" s="5">
        <f>(VLOOKUP(Table4[[#This Row],[item_sold]],Table1[],4,FALSE))*Table4[[#This Row],[qty]]</f>
        <v>90</v>
      </c>
      <c r="G2471">
        <f t="shared" si="231"/>
        <v>10</v>
      </c>
      <c r="H2471" s="14" t="s">
        <v>247</v>
      </c>
      <c r="I2471" s="14"/>
      <c r="J2471" s="14"/>
      <c r="K2471" s="14"/>
      <c r="L2471" s="14"/>
    </row>
    <row r="2472" spans="1:12" x14ac:dyDescent="0.25">
      <c r="A2472" s="16" t="s">
        <v>426</v>
      </c>
      <c r="B2472" s="32">
        <v>0.40138888888888891</v>
      </c>
      <c r="C2472" s="12" t="s">
        <v>73</v>
      </c>
      <c r="D2472" s="28">
        <v>1</v>
      </c>
      <c r="E2472" s="5">
        <f>Table4[[#This Row],[qty]]*(VLOOKUP(Table4[[#This Row],[item_sold]],Table1[],5,FALSE))</f>
        <v>10</v>
      </c>
      <c r="F2472" s="5">
        <f>(VLOOKUP(Table4[[#This Row],[item_sold]],Table1[],4,FALSE))*Table4[[#This Row],[qty]]</f>
        <v>6</v>
      </c>
      <c r="G2472">
        <f t="shared" si="231"/>
        <v>4</v>
      </c>
      <c r="H2472" s="12" t="s">
        <v>247</v>
      </c>
      <c r="I2472" s="12"/>
      <c r="J2472" s="12"/>
      <c r="K2472" s="12"/>
      <c r="L2472" s="12"/>
    </row>
    <row r="2473" spans="1:12" x14ac:dyDescent="0.25">
      <c r="A2473" s="15" t="s">
        <v>426</v>
      </c>
      <c r="B2473" s="33">
        <v>0.40277777777777779</v>
      </c>
      <c r="C2473" s="14" t="s">
        <v>43</v>
      </c>
      <c r="D2473" s="29">
        <v>1</v>
      </c>
      <c r="E2473" s="5">
        <f>Table4[[#This Row],[qty]]*(VLOOKUP(Table4[[#This Row],[item_sold]],Table1[],5,FALSE))</f>
        <v>130</v>
      </c>
      <c r="F2473" s="5">
        <f>(VLOOKUP(Table4[[#This Row],[item_sold]],Table1[],4,FALSE))*Table4[[#This Row],[qty]]</f>
        <v>120</v>
      </c>
      <c r="G2473">
        <f t="shared" si="231"/>
        <v>10</v>
      </c>
      <c r="H2473" s="14" t="s">
        <v>247</v>
      </c>
      <c r="I2473" s="14"/>
      <c r="J2473" s="14"/>
      <c r="K2473" s="14"/>
      <c r="L2473" s="14"/>
    </row>
    <row r="2474" spans="1:12" x14ac:dyDescent="0.25">
      <c r="A2474" s="16" t="s">
        <v>426</v>
      </c>
      <c r="B2474" s="32">
        <v>0.40972222222222221</v>
      </c>
      <c r="C2474" s="12" t="s">
        <v>100</v>
      </c>
      <c r="D2474" s="28">
        <v>4</v>
      </c>
      <c r="E2474" s="5">
        <f>Table4[[#This Row],[qty]]*(VLOOKUP(Table4[[#This Row],[item_sold]],Table1[],5,FALSE))</f>
        <v>60</v>
      </c>
      <c r="F2474" s="5">
        <f>(VLOOKUP(Table4[[#This Row],[item_sold]],Table1[],4,FALSE))*Table4[[#This Row],[qty]]</f>
        <v>34</v>
      </c>
      <c r="G2474">
        <f t="shared" si="231"/>
        <v>26</v>
      </c>
      <c r="H2474" s="12" t="s">
        <v>247</v>
      </c>
      <c r="I2474" s="12"/>
      <c r="J2474" s="12"/>
      <c r="K2474" s="12"/>
      <c r="L2474" s="12"/>
    </row>
    <row r="2475" spans="1:12" x14ac:dyDescent="0.25">
      <c r="A2475" s="15" t="s">
        <v>426</v>
      </c>
      <c r="B2475" s="33">
        <v>0.40972222222222221</v>
      </c>
      <c r="C2475" s="14" t="s">
        <v>57</v>
      </c>
      <c r="D2475" s="29">
        <v>2</v>
      </c>
      <c r="E2475" s="5">
        <f>Table4[[#This Row],[qty]]*(VLOOKUP(Table4[[#This Row],[item_sold]],Table1[],5,FALSE))</f>
        <v>10</v>
      </c>
      <c r="F2475" s="5">
        <f>(VLOOKUP(Table4[[#This Row],[item_sold]],Table1[],4,FALSE))*Table4[[#This Row],[qty]]</f>
        <v>8.3333333333333339</v>
      </c>
      <c r="G2475">
        <f t="shared" si="231"/>
        <v>1.6666666666666661</v>
      </c>
      <c r="H2475" s="14" t="s">
        <v>247</v>
      </c>
      <c r="I2475" s="14"/>
      <c r="J2475" s="14"/>
      <c r="K2475" s="14"/>
      <c r="L2475" s="14"/>
    </row>
    <row r="2476" spans="1:12" x14ac:dyDescent="0.25">
      <c r="A2476" s="16" t="s">
        <v>426</v>
      </c>
      <c r="B2476" s="32">
        <v>0.41666666666666669</v>
      </c>
      <c r="C2476" s="12" t="s">
        <v>42</v>
      </c>
      <c r="D2476" s="28">
        <v>1</v>
      </c>
      <c r="E2476" s="5">
        <f>Table4[[#This Row],[qty]]*(VLOOKUP(Table4[[#This Row],[item_sold]],Table1[],5,FALSE))</f>
        <v>100</v>
      </c>
      <c r="F2476" s="5">
        <f>(VLOOKUP(Table4[[#This Row],[item_sold]],Table1[],4,FALSE))*Table4[[#This Row],[qty]]</f>
        <v>90</v>
      </c>
      <c r="G2476">
        <f t="shared" ref="G2476:G2530" si="232">E2476-F2476</f>
        <v>10</v>
      </c>
      <c r="H2476" s="12" t="s">
        <v>247</v>
      </c>
      <c r="I2476" s="12"/>
      <c r="J2476" s="12"/>
      <c r="K2476" s="12"/>
      <c r="L2476" s="12"/>
    </row>
    <row r="2477" spans="1:12" x14ac:dyDescent="0.25">
      <c r="A2477" s="15" t="s">
        <v>426</v>
      </c>
      <c r="B2477" s="33">
        <v>0.41666666666666669</v>
      </c>
      <c r="C2477" s="14" t="s">
        <v>162</v>
      </c>
      <c r="D2477" s="29">
        <v>2</v>
      </c>
      <c r="E2477" s="5">
        <f>Table4[[#This Row],[qty]]*(VLOOKUP(Table4[[#This Row],[item_sold]],Table1[],5,FALSE))</f>
        <v>40</v>
      </c>
      <c r="F2477" s="5">
        <f>(VLOOKUP(Table4[[#This Row],[item_sold]],Table1[],4,FALSE))*Table4[[#This Row],[qty]]</f>
        <v>36</v>
      </c>
      <c r="G2477">
        <f t="shared" si="232"/>
        <v>4</v>
      </c>
      <c r="H2477" s="14" t="s">
        <v>247</v>
      </c>
      <c r="I2477" s="14"/>
      <c r="J2477" s="14"/>
      <c r="K2477" s="14"/>
      <c r="L2477" s="14"/>
    </row>
    <row r="2478" spans="1:12" x14ac:dyDescent="0.25">
      <c r="A2478" s="16" t="s">
        <v>426</v>
      </c>
      <c r="B2478" s="32">
        <v>0.43055555555555558</v>
      </c>
      <c r="C2478" s="12" t="s">
        <v>86</v>
      </c>
      <c r="D2478" s="28">
        <v>1</v>
      </c>
      <c r="E2478" s="5">
        <f>Table4[[#This Row],[qty]]*(VLOOKUP(Table4[[#This Row],[item_sold]],Table1[],5,FALSE))</f>
        <v>180</v>
      </c>
      <c r="F2478" s="5">
        <f>(VLOOKUP(Table4[[#This Row],[item_sold]],Table1[],4,FALSE))*Table4[[#This Row],[qty]]</f>
        <v>140</v>
      </c>
      <c r="G2478">
        <f t="shared" si="232"/>
        <v>40</v>
      </c>
      <c r="H2478" s="12" t="s">
        <v>359</v>
      </c>
      <c r="I2478" s="12" t="s">
        <v>428</v>
      </c>
      <c r="J2478" s="12"/>
      <c r="K2478" s="12"/>
      <c r="L2478" s="12"/>
    </row>
    <row r="2479" spans="1:12" x14ac:dyDescent="0.25">
      <c r="A2479" s="15" t="s">
        <v>426</v>
      </c>
      <c r="B2479" s="33">
        <v>0.43055555555555558</v>
      </c>
      <c r="C2479" s="14" t="s">
        <v>138</v>
      </c>
      <c r="D2479" s="29">
        <v>1</v>
      </c>
      <c r="E2479" s="5">
        <f>Table4[[#This Row],[qty]]*(VLOOKUP(Table4[[#This Row],[item_sold]],Table1[],5,FALSE))</f>
        <v>280</v>
      </c>
      <c r="F2479" s="5">
        <f>(VLOOKUP(Table4[[#This Row],[item_sold]],Table1[],4,FALSE))*Table4[[#This Row],[qty]]</f>
        <v>200</v>
      </c>
      <c r="G2479">
        <f t="shared" si="232"/>
        <v>80</v>
      </c>
      <c r="H2479" s="14" t="s">
        <v>359</v>
      </c>
      <c r="I2479" s="14" t="s">
        <v>428</v>
      </c>
      <c r="J2479" s="14"/>
      <c r="K2479" s="14"/>
      <c r="L2479" s="14"/>
    </row>
    <row r="2480" spans="1:12" x14ac:dyDescent="0.25">
      <c r="A2480" s="16" t="s">
        <v>426</v>
      </c>
      <c r="B2480" s="32">
        <v>0.43055555555555558</v>
      </c>
      <c r="C2480" s="12" t="s">
        <v>54</v>
      </c>
      <c r="D2480" s="28">
        <v>1</v>
      </c>
      <c r="E2480" s="5">
        <f>Table4[[#This Row],[qty]]*(VLOOKUP(Table4[[#This Row],[item_sold]],Table1[],5,FALSE))</f>
        <v>35</v>
      </c>
      <c r="F2480" s="5">
        <f>(VLOOKUP(Table4[[#This Row],[item_sold]],Table1[],4,FALSE))*Table4[[#This Row],[qty]]</f>
        <v>25</v>
      </c>
      <c r="G2480">
        <f t="shared" si="232"/>
        <v>10</v>
      </c>
      <c r="H2480" s="12" t="s">
        <v>359</v>
      </c>
      <c r="I2480" s="12" t="s">
        <v>428</v>
      </c>
      <c r="J2480" s="12"/>
      <c r="K2480" s="12"/>
      <c r="L2480" s="12"/>
    </row>
    <row r="2481" spans="1:12" x14ac:dyDescent="0.25">
      <c r="A2481" s="15" t="s">
        <v>426</v>
      </c>
      <c r="B2481" s="33">
        <v>0.43402777777777779</v>
      </c>
      <c r="C2481" s="14" t="s">
        <v>8</v>
      </c>
      <c r="D2481" s="29">
        <v>1</v>
      </c>
      <c r="E2481" s="5">
        <f>Table4[[#This Row],[qty]]*(VLOOKUP(Table4[[#This Row],[item_sold]],Table1[],5,FALSE))</f>
        <v>120</v>
      </c>
      <c r="F2481" s="5">
        <f>(VLOOKUP(Table4[[#This Row],[item_sold]],Table1[],4,FALSE))*Table4[[#This Row],[qty]]</f>
        <v>75</v>
      </c>
      <c r="G2481">
        <f t="shared" si="232"/>
        <v>45</v>
      </c>
      <c r="H2481" s="14" t="s">
        <v>361</v>
      </c>
      <c r="I2481" s="14"/>
      <c r="J2481" s="14"/>
      <c r="K2481" s="14"/>
      <c r="L2481" s="14"/>
    </row>
    <row r="2482" spans="1:12" x14ac:dyDescent="0.25">
      <c r="A2482" s="16" t="s">
        <v>426</v>
      </c>
      <c r="B2482" s="32">
        <v>0.43888888888888888</v>
      </c>
      <c r="C2482" s="12" t="s">
        <v>73</v>
      </c>
      <c r="D2482" s="28">
        <v>3</v>
      </c>
      <c r="E2482" s="5">
        <f>Table4[[#This Row],[qty]]*(VLOOKUP(Table4[[#This Row],[item_sold]],Table1[],5,FALSE))</f>
        <v>30</v>
      </c>
      <c r="F2482" s="5">
        <f>(VLOOKUP(Table4[[#This Row],[item_sold]],Table1[],4,FALSE))*Table4[[#This Row],[qty]]</f>
        <v>18</v>
      </c>
      <c r="G2482">
        <f t="shared" si="232"/>
        <v>12</v>
      </c>
      <c r="H2482" s="12" t="s">
        <v>247</v>
      </c>
      <c r="I2482" s="12"/>
      <c r="J2482" s="12"/>
      <c r="K2482" s="12"/>
      <c r="L2482" s="12"/>
    </row>
    <row r="2483" spans="1:12" x14ac:dyDescent="0.25">
      <c r="A2483" s="15" t="s">
        <v>426</v>
      </c>
      <c r="B2483" s="33">
        <v>0.44513888888888886</v>
      </c>
      <c r="C2483" s="14" t="s">
        <v>39</v>
      </c>
      <c r="D2483" s="29">
        <v>2</v>
      </c>
      <c r="E2483" s="5">
        <f>Table4[[#This Row],[qty]]*(VLOOKUP(Table4[[#This Row],[item_sold]],Table1[],5,FALSE))</f>
        <v>130</v>
      </c>
      <c r="F2483" s="5">
        <f>(VLOOKUP(Table4[[#This Row],[item_sold]],Table1[],4,FALSE))*Table4[[#This Row],[qty]]</f>
        <v>120</v>
      </c>
      <c r="G2483">
        <f t="shared" si="232"/>
        <v>10</v>
      </c>
      <c r="H2483" s="14" t="s">
        <v>361</v>
      </c>
      <c r="I2483" s="14"/>
      <c r="J2483" s="14"/>
      <c r="K2483" s="14"/>
      <c r="L2483" s="14"/>
    </row>
    <row r="2484" spans="1:12" x14ac:dyDescent="0.25">
      <c r="A2484" s="16" t="s">
        <v>426</v>
      </c>
      <c r="B2484" s="32">
        <v>0.46388888888888891</v>
      </c>
      <c r="C2484" s="12" t="s">
        <v>95</v>
      </c>
      <c r="D2484" s="28">
        <v>2</v>
      </c>
      <c r="E2484" s="5">
        <f>Table4[[#This Row],[qty]]*(VLOOKUP(Table4[[#This Row],[item_sold]],Table1[],5,FALSE))</f>
        <v>40</v>
      </c>
      <c r="F2484" s="5">
        <f>(VLOOKUP(Table4[[#This Row],[item_sold]],Table1[],4,FALSE))*Table4[[#This Row],[qty]]</f>
        <v>28.666666666666668</v>
      </c>
      <c r="G2484">
        <f t="shared" si="232"/>
        <v>11.333333333333332</v>
      </c>
      <c r="H2484" s="12" t="s">
        <v>359</v>
      </c>
      <c r="I2484" s="12" t="s">
        <v>394</v>
      </c>
      <c r="J2484" s="12" t="s">
        <v>394</v>
      </c>
      <c r="K2484" s="12">
        <v>40</v>
      </c>
      <c r="L2484" s="12" t="s">
        <v>361</v>
      </c>
    </row>
    <row r="2485" spans="1:12" x14ac:dyDescent="0.25">
      <c r="A2485" s="15" t="s">
        <v>426</v>
      </c>
      <c r="B2485" s="33">
        <v>0.47916666666666669</v>
      </c>
      <c r="C2485" s="14" t="s">
        <v>42</v>
      </c>
      <c r="D2485" s="29">
        <v>1</v>
      </c>
      <c r="E2485" s="5">
        <f>Table4[[#This Row],[qty]]*(VLOOKUP(Table4[[#This Row],[item_sold]],Table1[],5,FALSE))</f>
        <v>100</v>
      </c>
      <c r="F2485" s="5">
        <f>(VLOOKUP(Table4[[#This Row],[item_sold]],Table1[],4,FALSE))*Table4[[#This Row],[qty]]</f>
        <v>90</v>
      </c>
      <c r="G2485">
        <f t="shared" si="232"/>
        <v>10</v>
      </c>
      <c r="H2485" s="14" t="s">
        <v>361</v>
      </c>
      <c r="I2485" s="14"/>
      <c r="J2485" s="14"/>
      <c r="K2485" s="14"/>
      <c r="L2485" s="14"/>
    </row>
    <row r="2486" spans="1:12" x14ac:dyDescent="0.25">
      <c r="A2486" s="16" t="s">
        <v>426</v>
      </c>
      <c r="B2486" s="32">
        <v>0.47916666666666669</v>
      </c>
      <c r="C2486" s="12" t="s">
        <v>31</v>
      </c>
      <c r="D2486" s="28">
        <v>2</v>
      </c>
      <c r="E2486" s="5">
        <f>Table4[[#This Row],[qty]]*(VLOOKUP(Table4[[#This Row],[item_sold]],Table1[],5,FALSE))</f>
        <v>130</v>
      </c>
      <c r="F2486" s="5">
        <f>(VLOOKUP(Table4[[#This Row],[item_sold]],Table1[],4,FALSE))*Table4[[#This Row],[qty]]</f>
        <v>96.666666666666671</v>
      </c>
      <c r="G2486">
        <f t="shared" si="232"/>
        <v>33.333333333333329</v>
      </c>
      <c r="H2486" s="12" t="s">
        <v>361</v>
      </c>
      <c r="I2486" s="12"/>
      <c r="J2486" s="12"/>
      <c r="K2486" s="12"/>
      <c r="L2486" s="12"/>
    </row>
    <row r="2487" spans="1:12" x14ac:dyDescent="0.25">
      <c r="A2487" s="15" t="s">
        <v>426</v>
      </c>
      <c r="B2487" s="33">
        <v>0.49375000000000002</v>
      </c>
      <c r="C2487" s="14" t="s">
        <v>100</v>
      </c>
      <c r="D2487" s="29">
        <v>6</v>
      </c>
      <c r="E2487" s="5">
        <f>Table4[[#This Row],[qty]]*(VLOOKUP(Table4[[#This Row],[item_sold]],Table1[],5,FALSE))</f>
        <v>90</v>
      </c>
      <c r="F2487" s="5">
        <f>(VLOOKUP(Table4[[#This Row],[item_sold]],Table1[],4,FALSE))*Table4[[#This Row],[qty]]</f>
        <v>51</v>
      </c>
      <c r="G2487">
        <f t="shared" si="232"/>
        <v>39</v>
      </c>
      <c r="H2487" s="14" t="s">
        <v>361</v>
      </c>
      <c r="I2487" s="14"/>
      <c r="J2487" s="14"/>
      <c r="K2487" s="14"/>
      <c r="L2487" s="14"/>
    </row>
    <row r="2488" spans="1:12" x14ac:dyDescent="0.25">
      <c r="A2488" s="16" t="s">
        <v>426</v>
      </c>
      <c r="B2488" s="32">
        <v>0.49375000000000002</v>
      </c>
      <c r="C2488" s="12" t="s">
        <v>133</v>
      </c>
      <c r="D2488" s="28">
        <v>1</v>
      </c>
      <c r="E2488" s="5">
        <f>Table4[[#This Row],[qty]]*(VLOOKUP(Table4[[#This Row],[item_sold]],Table1[],5,FALSE))</f>
        <v>10</v>
      </c>
      <c r="F2488" s="5">
        <f>(VLOOKUP(Table4[[#This Row],[item_sold]],Table1[],4,FALSE))*Table4[[#This Row],[qty]]</f>
        <v>7</v>
      </c>
      <c r="G2488">
        <f t="shared" si="232"/>
        <v>3</v>
      </c>
      <c r="H2488" s="12" t="s">
        <v>361</v>
      </c>
      <c r="I2488" s="12"/>
      <c r="J2488" s="12"/>
      <c r="K2488" s="12"/>
      <c r="L2488" s="12"/>
    </row>
    <row r="2489" spans="1:12" x14ac:dyDescent="0.25">
      <c r="A2489" s="15" t="s">
        <v>426</v>
      </c>
      <c r="B2489" s="33">
        <v>0.51875000000000004</v>
      </c>
      <c r="C2489" s="14" t="s">
        <v>179</v>
      </c>
      <c r="D2489" s="29">
        <v>0.25</v>
      </c>
      <c r="E2489" s="5">
        <f>Table4[[#This Row],[qty]]*(VLOOKUP(Table4[[#This Row],[item_sold]],Table1[],5,FALSE))</f>
        <v>55</v>
      </c>
      <c r="F2489" s="5">
        <f>(VLOOKUP(Table4[[#This Row],[item_sold]],Table1[],4,FALSE))*Table4[[#This Row],[qty]]</f>
        <v>45</v>
      </c>
      <c r="G2489">
        <f t="shared" si="232"/>
        <v>10</v>
      </c>
      <c r="H2489" s="14" t="s">
        <v>247</v>
      </c>
      <c r="I2489" s="14"/>
      <c r="J2489" s="14"/>
      <c r="K2489" s="14"/>
      <c r="L2489" s="14"/>
    </row>
    <row r="2490" spans="1:12" x14ac:dyDescent="0.25">
      <c r="A2490" s="16" t="s">
        <v>426</v>
      </c>
      <c r="B2490" s="32">
        <v>0.51875000000000004</v>
      </c>
      <c r="C2490" s="12" t="s">
        <v>137</v>
      </c>
      <c r="D2490" s="28">
        <v>2</v>
      </c>
      <c r="E2490" s="5">
        <f>Table4[[#This Row],[qty]]*(VLOOKUP(Table4[[#This Row],[item_sold]],Table1[],5,FALSE))</f>
        <v>20</v>
      </c>
      <c r="F2490" s="5">
        <f>(VLOOKUP(Table4[[#This Row],[item_sold]],Table1[],4,FALSE))*Table4[[#This Row],[qty]]</f>
        <v>10</v>
      </c>
      <c r="G2490">
        <f t="shared" si="232"/>
        <v>10</v>
      </c>
      <c r="H2490" s="12" t="s">
        <v>247</v>
      </c>
      <c r="I2490" s="12"/>
      <c r="J2490" s="12"/>
      <c r="K2490" s="12"/>
      <c r="L2490" s="12"/>
    </row>
    <row r="2491" spans="1:12" x14ac:dyDescent="0.25">
      <c r="A2491" s="15" t="s">
        <v>426</v>
      </c>
      <c r="B2491" s="33">
        <v>0.54166666666666663</v>
      </c>
      <c r="C2491" s="14" t="s">
        <v>138</v>
      </c>
      <c r="D2491" s="29">
        <v>0.5</v>
      </c>
      <c r="E2491" s="5">
        <f>Table4[[#This Row],[qty]]*(VLOOKUP(Table4[[#This Row],[item_sold]],Table1[],5,FALSE))</f>
        <v>140</v>
      </c>
      <c r="F2491" s="5">
        <f>(VLOOKUP(Table4[[#This Row],[item_sold]],Table1[],4,FALSE))*Table4[[#This Row],[qty]]</f>
        <v>100</v>
      </c>
      <c r="G2491">
        <f t="shared" si="232"/>
        <v>40</v>
      </c>
      <c r="H2491" s="12" t="s">
        <v>361</v>
      </c>
      <c r="I2491" s="14"/>
      <c r="J2491" s="14"/>
      <c r="K2491" s="14"/>
      <c r="L2491" s="14"/>
    </row>
    <row r="2492" spans="1:12" x14ac:dyDescent="0.25">
      <c r="A2492" s="16" t="s">
        <v>426</v>
      </c>
      <c r="B2492" s="32">
        <v>0.54166666666666663</v>
      </c>
      <c r="C2492" s="12" t="s">
        <v>140</v>
      </c>
      <c r="D2492" s="28">
        <v>1</v>
      </c>
      <c r="E2492" s="5">
        <f>Table4[[#This Row],[qty]]*(VLOOKUP(Table4[[#This Row],[item_sold]],Table1[],5,FALSE))</f>
        <v>10</v>
      </c>
      <c r="F2492" s="5">
        <f>(VLOOKUP(Table4[[#This Row],[item_sold]],Table1[],4,FALSE))*Table4[[#This Row],[qty]]</f>
        <v>5</v>
      </c>
      <c r="G2492">
        <f t="shared" si="232"/>
        <v>5</v>
      </c>
      <c r="H2492" s="12" t="s">
        <v>361</v>
      </c>
      <c r="I2492" s="12"/>
      <c r="J2492" s="12"/>
      <c r="K2492" s="12"/>
      <c r="L2492" s="12"/>
    </row>
    <row r="2493" spans="1:12" x14ac:dyDescent="0.25">
      <c r="A2493" s="15" t="s">
        <v>426</v>
      </c>
      <c r="B2493" s="33">
        <v>0.5444444444444444</v>
      </c>
      <c r="C2493" s="14" t="s">
        <v>161</v>
      </c>
      <c r="D2493" s="29">
        <v>2</v>
      </c>
      <c r="E2493" s="5">
        <f>Table4[[#This Row],[qty]]*(VLOOKUP(Table4[[#This Row],[item_sold]],Table1[],5,FALSE))</f>
        <v>100</v>
      </c>
      <c r="F2493" s="5">
        <f>(VLOOKUP(Table4[[#This Row],[item_sold]],Table1[],4,FALSE))*Table4[[#This Row],[qty]]</f>
        <v>94</v>
      </c>
      <c r="G2493">
        <f t="shared" si="232"/>
        <v>6</v>
      </c>
      <c r="H2493" s="12" t="s">
        <v>247</v>
      </c>
      <c r="I2493" s="14"/>
      <c r="J2493" s="14"/>
      <c r="K2493" s="14"/>
      <c r="L2493" s="14"/>
    </row>
    <row r="2494" spans="1:12" x14ac:dyDescent="0.25">
      <c r="A2494" s="16" t="s">
        <v>426</v>
      </c>
      <c r="B2494" s="32">
        <v>0.5444444444444444</v>
      </c>
      <c r="C2494" s="12" t="s">
        <v>79</v>
      </c>
      <c r="D2494" s="28">
        <v>2</v>
      </c>
      <c r="E2494" s="5">
        <f>Table4[[#This Row],[qty]]*(VLOOKUP(Table4[[#This Row],[item_sold]],Table1[],5,FALSE))</f>
        <v>10</v>
      </c>
      <c r="F2494" s="5">
        <f>(VLOOKUP(Table4[[#This Row],[item_sold]],Table1[],4,FALSE))*Table4[[#This Row],[qty]]</f>
        <v>7</v>
      </c>
      <c r="G2494">
        <f t="shared" si="232"/>
        <v>3</v>
      </c>
      <c r="H2494" s="12" t="s">
        <v>247</v>
      </c>
      <c r="I2494" s="12"/>
      <c r="J2494" s="12"/>
      <c r="K2494" s="12"/>
      <c r="L2494" s="12"/>
    </row>
    <row r="2495" spans="1:12" x14ac:dyDescent="0.25">
      <c r="A2495" s="15" t="s">
        <v>426</v>
      </c>
      <c r="B2495" s="33">
        <v>0.54791666666666672</v>
      </c>
      <c r="C2495" s="14" t="s">
        <v>188</v>
      </c>
      <c r="D2495" s="29">
        <v>2</v>
      </c>
      <c r="E2495" s="5">
        <f>Table4[[#This Row],[qty]]*(VLOOKUP(Table4[[#This Row],[item_sold]],Table1[],5,FALSE))</f>
        <v>10</v>
      </c>
      <c r="F2495" s="5">
        <f>(VLOOKUP(Table4[[#This Row],[item_sold]],Table1[],4,FALSE))*Table4[[#This Row],[qty]]</f>
        <v>4.7222222222222223</v>
      </c>
      <c r="G2495">
        <f t="shared" si="232"/>
        <v>5.2777777777777777</v>
      </c>
      <c r="H2495" s="12" t="s">
        <v>361</v>
      </c>
      <c r="I2495" s="14"/>
      <c r="J2495" s="14"/>
      <c r="K2495" s="14"/>
      <c r="L2495" s="14"/>
    </row>
    <row r="2496" spans="1:12" x14ac:dyDescent="0.25">
      <c r="A2496" s="16" t="s">
        <v>426</v>
      </c>
      <c r="B2496" s="32">
        <v>0.54791666666666672</v>
      </c>
      <c r="C2496" s="12" t="s">
        <v>137</v>
      </c>
      <c r="D2496" s="28">
        <v>1</v>
      </c>
      <c r="E2496" s="5">
        <f>Table4[[#This Row],[qty]]*(VLOOKUP(Table4[[#This Row],[item_sold]],Table1[],5,FALSE))</f>
        <v>10</v>
      </c>
      <c r="F2496" s="5">
        <f>(VLOOKUP(Table4[[#This Row],[item_sold]],Table1[],4,FALSE))*Table4[[#This Row],[qty]]</f>
        <v>5</v>
      </c>
      <c r="G2496">
        <f t="shared" si="232"/>
        <v>5</v>
      </c>
      <c r="H2496" s="12" t="s">
        <v>361</v>
      </c>
      <c r="I2496" s="12"/>
      <c r="J2496" s="12"/>
      <c r="K2496" s="12"/>
      <c r="L2496" s="12"/>
    </row>
    <row r="2497" spans="1:12" x14ac:dyDescent="0.25">
      <c r="A2497" s="15" t="s">
        <v>426</v>
      </c>
      <c r="B2497" s="33">
        <v>0.54791666666666672</v>
      </c>
      <c r="C2497" s="14" t="s">
        <v>147</v>
      </c>
      <c r="D2497" s="29">
        <v>2</v>
      </c>
      <c r="E2497" s="5">
        <f>Table4[[#This Row],[qty]]*(VLOOKUP(Table4[[#This Row],[item_sold]],Table1[],5,FALSE))</f>
        <v>10</v>
      </c>
      <c r="F2497" s="5">
        <f>(VLOOKUP(Table4[[#This Row],[item_sold]],Table1[],4,FALSE))*Table4[[#This Row],[qty]]</f>
        <v>6</v>
      </c>
      <c r="G2497">
        <f t="shared" si="232"/>
        <v>4</v>
      </c>
      <c r="H2497" s="12" t="s">
        <v>361</v>
      </c>
      <c r="I2497" s="14"/>
      <c r="J2497" s="14"/>
      <c r="K2497" s="14"/>
      <c r="L2497" s="14"/>
    </row>
    <row r="2498" spans="1:12" x14ac:dyDescent="0.25">
      <c r="A2498" s="16" t="s">
        <v>426</v>
      </c>
      <c r="B2498" s="32">
        <v>0.58194444444444449</v>
      </c>
      <c r="C2498" s="12" t="s">
        <v>144</v>
      </c>
      <c r="D2498" s="28">
        <v>1</v>
      </c>
      <c r="E2498" s="5">
        <f>Table4[[#This Row],[qty]]*(VLOOKUP(Table4[[#This Row],[item_sold]],Table1[],5,FALSE))</f>
        <v>35</v>
      </c>
      <c r="F2498" s="5">
        <f>(VLOOKUP(Table4[[#This Row],[item_sold]],Table1[],4,FALSE))*Table4[[#This Row],[qty]]</f>
        <v>24.285714285714285</v>
      </c>
      <c r="G2498">
        <f t="shared" si="232"/>
        <v>10.714285714285715</v>
      </c>
      <c r="H2498" s="12" t="s">
        <v>247</v>
      </c>
      <c r="I2498" s="12"/>
      <c r="J2498" s="12"/>
      <c r="K2498" s="12"/>
      <c r="L2498" s="12"/>
    </row>
    <row r="2499" spans="1:12" x14ac:dyDescent="0.25">
      <c r="A2499" s="15" t="s">
        <v>426</v>
      </c>
      <c r="B2499" s="33">
        <v>0.58194444444444449</v>
      </c>
      <c r="C2499" s="14" t="s">
        <v>39</v>
      </c>
      <c r="D2499" s="29">
        <v>1</v>
      </c>
      <c r="E2499" s="5">
        <f>Table4[[#This Row],[qty]]*(VLOOKUP(Table4[[#This Row],[item_sold]],Table1[],5,FALSE))</f>
        <v>65</v>
      </c>
      <c r="F2499" s="5">
        <f>(VLOOKUP(Table4[[#This Row],[item_sold]],Table1[],4,FALSE))*Table4[[#This Row],[qty]]</f>
        <v>60</v>
      </c>
      <c r="G2499">
        <f t="shared" si="232"/>
        <v>5</v>
      </c>
      <c r="H2499" s="14" t="s">
        <v>361</v>
      </c>
      <c r="I2499" s="14"/>
      <c r="J2499" s="14"/>
      <c r="K2499" s="14"/>
      <c r="L2499" s="14"/>
    </row>
    <row r="2500" spans="1:12" x14ac:dyDescent="0.25">
      <c r="A2500" s="16" t="s">
        <v>426</v>
      </c>
      <c r="B2500" s="32">
        <v>0.58194444444444449</v>
      </c>
      <c r="C2500" s="12" t="s">
        <v>21</v>
      </c>
      <c r="D2500" s="28">
        <v>1</v>
      </c>
      <c r="E2500" s="5">
        <f>Table4[[#This Row],[qty]]*(VLOOKUP(Table4[[#This Row],[item_sold]],Table1[],5,FALSE))</f>
        <v>40</v>
      </c>
      <c r="F2500" s="5">
        <f>(VLOOKUP(Table4[[#This Row],[item_sold]],Table1[],4,FALSE))*Table4[[#This Row],[qty]]</f>
        <v>32.5</v>
      </c>
      <c r="G2500">
        <f t="shared" si="232"/>
        <v>7.5</v>
      </c>
      <c r="H2500" s="12" t="s">
        <v>361</v>
      </c>
      <c r="I2500" s="12"/>
      <c r="J2500" s="12"/>
      <c r="K2500" s="12"/>
      <c r="L2500" s="12"/>
    </row>
    <row r="2501" spans="1:12" x14ac:dyDescent="0.25">
      <c r="A2501" s="15" t="s">
        <v>426</v>
      </c>
      <c r="B2501" s="33">
        <v>0.58194444444444449</v>
      </c>
      <c r="C2501" s="14" t="s">
        <v>14</v>
      </c>
      <c r="D2501" s="29">
        <v>1</v>
      </c>
      <c r="E2501" s="5">
        <f>Table4[[#This Row],[qty]]*(VLOOKUP(Table4[[#This Row],[item_sold]],Table1[],5,FALSE))</f>
        <v>70</v>
      </c>
      <c r="F2501" s="5">
        <f>(VLOOKUP(Table4[[#This Row],[item_sold]],Table1[],4,FALSE))*Table4[[#This Row],[qty]]</f>
        <v>60.416666666666664</v>
      </c>
      <c r="G2501">
        <f t="shared" si="232"/>
        <v>9.5833333333333357</v>
      </c>
      <c r="H2501" s="14" t="s">
        <v>361</v>
      </c>
      <c r="I2501" s="14"/>
      <c r="J2501" s="14"/>
      <c r="K2501" s="14"/>
      <c r="L2501" s="14"/>
    </row>
    <row r="2502" spans="1:12" x14ac:dyDescent="0.25">
      <c r="A2502" s="16" t="s">
        <v>426</v>
      </c>
      <c r="B2502" s="32">
        <v>0.58472222222222225</v>
      </c>
      <c r="C2502" s="12" t="s">
        <v>100</v>
      </c>
      <c r="D2502" s="28">
        <v>1</v>
      </c>
      <c r="E2502" s="5">
        <f>Table4[[#This Row],[qty]]*(VLOOKUP(Table4[[#This Row],[item_sold]],Table1[],5,FALSE))</f>
        <v>15</v>
      </c>
      <c r="F2502" s="5">
        <f>(VLOOKUP(Table4[[#This Row],[item_sold]],Table1[],4,FALSE))*Table4[[#This Row],[qty]]</f>
        <v>8.5</v>
      </c>
      <c r="G2502">
        <f t="shared" si="232"/>
        <v>6.5</v>
      </c>
      <c r="H2502" s="12" t="s">
        <v>361</v>
      </c>
      <c r="I2502" s="12"/>
      <c r="J2502" s="12"/>
      <c r="K2502" s="12"/>
      <c r="L2502" s="12"/>
    </row>
    <row r="2503" spans="1:12" x14ac:dyDescent="0.25">
      <c r="A2503" s="15" t="s">
        <v>426</v>
      </c>
      <c r="B2503" s="33">
        <v>0.60416666666666663</v>
      </c>
      <c r="C2503" s="14" t="s">
        <v>83</v>
      </c>
      <c r="D2503" s="29">
        <v>4</v>
      </c>
      <c r="E2503" s="5">
        <f>Table4[[#This Row],[qty]]*(VLOOKUP(Table4[[#This Row],[item_sold]],Table1[],5,FALSE))</f>
        <v>200</v>
      </c>
      <c r="F2503" s="5">
        <f>(VLOOKUP(Table4[[#This Row],[item_sold]],Table1[],4,FALSE))*Table4[[#This Row],[qty]]</f>
        <v>152</v>
      </c>
      <c r="G2503">
        <f t="shared" si="232"/>
        <v>48</v>
      </c>
      <c r="H2503" s="14" t="s">
        <v>361</v>
      </c>
      <c r="I2503" s="14"/>
      <c r="J2503" s="14"/>
      <c r="K2503" s="14"/>
      <c r="L2503" s="14"/>
    </row>
    <row r="2504" spans="1:12" x14ac:dyDescent="0.25">
      <c r="A2504" s="16" t="s">
        <v>426</v>
      </c>
      <c r="B2504" s="32">
        <v>0.60416666666666663</v>
      </c>
      <c r="C2504" s="12" t="s">
        <v>95</v>
      </c>
      <c r="D2504" s="28">
        <v>1</v>
      </c>
      <c r="E2504" s="5">
        <f>Table4[[#This Row],[qty]]*(VLOOKUP(Table4[[#This Row],[item_sold]],Table1[],5,FALSE))</f>
        <v>20</v>
      </c>
      <c r="F2504" s="5">
        <f>(VLOOKUP(Table4[[#This Row],[item_sold]],Table1[],4,FALSE))*Table4[[#This Row],[qty]]</f>
        <v>14.333333333333334</v>
      </c>
      <c r="G2504">
        <f t="shared" si="232"/>
        <v>5.6666666666666661</v>
      </c>
      <c r="H2504" s="12" t="s">
        <v>361</v>
      </c>
      <c r="I2504" s="12"/>
      <c r="J2504" s="12"/>
      <c r="K2504" s="12"/>
      <c r="L2504" s="12"/>
    </row>
    <row r="2505" spans="1:12" x14ac:dyDescent="0.25">
      <c r="A2505" s="15" t="s">
        <v>426</v>
      </c>
      <c r="B2505" s="33">
        <v>0.62430555555555556</v>
      </c>
      <c r="C2505" s="14" t="s">
        <v>61</v>
      </c>
      <c r="D2505" s="29">
        <v>1</v>
      </c>
      <c r="E2505" s="5">
        <f>Table4[[#This Row],[qty]]*(VLOOKUP(Table4[[#This Row],[item_sold]],Table1[],5,FALSE))</f>
        <v>50</v>
      </c>
      <c r="F2505" s="5">
        <f>(VLOOKUP(Table4[[#This Row],[item_sold]],Table1[],4,FALSE))*Table4[[#This Row],[qty]]</f>
        <v>45</v>
      </c>
      <c r="G2505">
        <f t="shared" si="232"/>
        <v>5</v>
      </c>
      <c r="H2505" s="14" t="s">
        <v>361</v>
      </c>
      <c r="I2505" s="14"/>
      <c r="J2505" s="14"/>
      <c r="K2505" s="14"/>
      <c r="L2505" s="14"/>
    </row>
    <row r="2506" spans="1:12" x14ac:dyDescent="0.25">
      <c r="A2506" s="16" t="s">
        <v>426</v>
      </c>
      <c r="B2506" s="32">
        <v>0.64444444444444449</v>
      </c>
      <c r="C2506" s="12" t="s">
        <v>131</v>
      </c>
      <c r="D2506" s="28">
        <v>1</v>
      </c>
      <c r="E2506" s="5">
        <f>Table4[[#This Row],[qty]]*(VLOOKUP(Table4[[#This Row],[item_sold]],Table1[],5,FALSE))</f>
        <v>15</v>
      </c>
      <c r="F2506" s="5">
        <f>(VLOOKUP(Table4[[#This Row],[item_sold]],Table1[],4,FALSE))*Table4[[#This Row],[qty]]</f>
        <v>9.1666666666666661</v>
      </c>
      <c r="G2506">
        <f t="shared" si="232"/>
        <v>5.8333333333333339</v>
      </c>
      <c r="H2506" s="12" t="s">
        <v>361</v>
      </c>
      <c r="I2506" s="12"/>
      <c r="J2506" s="12"/>
      <c r="K2506" s="12"/>
      <c r="L2506" s="12"/>
    </row>
    <row r="2507" spans="1:12" x14ac:dyDescent="0.25">
      <c r="A2507" s="15" t="s">
        <v>426</v>
      </c>
      <c r="B2507" s="33">
        <v>0.67013888888888884</v>
      </c>
      <c r="C2507" s="14" t="s">
        <v>161</v>
      </c>
      <c r="D2507" s="29">
        <v>2</v>
      </c>
      <c r="E2507" s="5">
        <f>Table4[[#This Row],[qty]]*(VLOOKUP(Table4[[#This Row],[item_sold]],Table1[],5,FALSE))</f>
        <v>100</v>
      </c>
      <c r="F2507" s="5">
        <f>(VLOOKUP(Table4[[#This Row],[item_sold]],Table1[],4,FALSE))*Table4[[#This Row],[qty]]</f>
        <v>94</v>
      </c>
      <c r="G2507">
        <f t="shared" si="232"/>
        <v>6</v>
      </c>
      <c r="H2507" s="14" t="s">
        <v>247</v>
      </c>
      <c r="I2507" s="14"/>
      <c r="J2507" s="14"/>
      <c r="K2507" s="14"/>
      <c r="L2507" s="14"/>
    </row>
    <row r="2508" spans="1:12" x14ac:dyDescent="0.25">
      <c r="A2508" s="16" t="s">
        <v>426</v>
      </c>
      <c r="B2508" s="32">
        <v>0.69166666666666665</v>
      </c>
      <c r="C2508" s="12" t="s">
        <v>337</v>
      </c>
      <c r="D2508" s="28">
        <v>1</v>
      </c>
      <c r="E2508" s="5">
        <f>Table4[[#This Row],[qty]]*(VLOOKUP(Table4[[#This Row],[item_sold]],Table1[],5,FALSE))</f>
        <v>160</v>
      </c>
      <c r="F2508" s="5">
        <f>(VLOOKUP(Table4[[#This Row],[item_sold]],Table1[],4,FALSE))*Table4[[#This Row],[qty]]</f>
        <v>125</v>
      </c>
      <c r="G2508">
        <f t="shared" si="232"/>
        <v>35</v>
      </c>
      <c r="H2508" s="12" t="s">
        <v>361</v>
      </c>
      <c r="I2508" s="12"/>
      <c r="J2508" s="12"/>
      <c r="K2508" s="12"/>
      <c r="L2508" s="12"/>
    </row>
    <row r="2509" spans="1:12" x14ac:dyDescent="0.25">
      <c r="A2509" s="15" t="s">
        <v>426</v>
      </c>
      <c r="B2509" s="33">
        <v>0.75</v>
      </c>
      <c r="C2509" s="14" t="s">
        <v>100</v>
      </c>
      <c r="D2509" s="29">
        <v>1</v>
      </c>
      <c r="E2509" s="5">
        <f>Table4[[#This Row],[qty]]*(VLOOKUP(Table4[[#This Row],[item_sold]],Table1[],5,FALSE))</f>
        <v>15</v>
      </c>
      <c r="F2509" s="5">
        <f>(VLOOKUP(Table4[[#This Row],[item_sold]],Table1[],4,FALSE))*Table4[[#This Row],[qty]]</f>
        <v>8.5</v>
      </c>
      <c r="G2509">
        <f t="shared" si="232"/>
        <v>6.5</v>
      </c>
      <c r="H2509" s="14" t="s">
        <v>247</v>
      </c>
      <c r="I2509" s="14"/>
      <c r="J2509" s="14"/>
      <c r="K2509" s="14"/>
      <c r="L2509" s="14"/>
    </row>
    <row r="2510" spans="1:12" x14ac:dyDescent="0.25">
      <c r="A2510" s="16" t="s">
        <v>426</v>
      </c>
      <c r="B2510" s="32">
        <v>0.75069444444444444</v>
      </c>
      <c r="C2510" s="12" t="s">
        <v>58</v>
      </c>
      <c r="D2510" s="28">
        <v>1</v>
      </c>
      <c r="E2510" s="5">
        <f>Table4[[#This Row],[qty]]*(VLOOKUP(Table4[[#This Row],[item_sold]],Table1[],5,FALSE))</f>
        <v>5</v>
      </c>
      <c r="F2510" s="5">
        <f>(VLOOKUP(Table4[[#This Row],[item_sold]],Table1[],4,FALSE))*Table4[[#This Row],[qty]]</f>
        <v>4.333333333333333</v>
      </c>
      <c r="G2510">
        <f t="shared" si="232"/>
        <v>0.66666666666666696</v>
      </c>
      <c r="H2510" s="12" t="s">
        <v>247</v>
      </c>
      <c r="I2510" s="12"/>
      <c r="J2510" s="12"/>
      <c r="K2510" s="12"/>
      <c r="L2510" s="12"/>
    </row>
    <row r="2511" spans="1:12" x14ac:dyDescent="0.25">
      <c r="A2511" s="15" t="s">
        <v>426</v>
      </c>
      <c r="B2511" s="33">
        <v>0.75069444444444444</v>
      </c>
      <c r="C2511" s="14" t="s">
        <v>100</v>
      </c>
      <c r="D2511" s="29">
        <v>1</v>
      </c>
      <c r="E2511" s="5">
        <f>Table4[[#This Row],[qty]]*(VLOOKUP(Table4[[#This Row],[item_sold]],Table1[],5,FALSE))</f>
        <v>15</v>
      </c>
      <c r="F2511" s="5">
        <f>(VLOOKUP(Table4[[#This Row],[item_sold]],Table1[],4,FALSE))*Table4[[#This Row],[qty]]</f>
        <v>8.5</v>
      </c>
      <c r="G2511">
        <f t="shared" si="232"/>
        <v>6.5</v>
      </c>
      <c r="H2511" s="14" t="s">
        <v>247</v>
      </c>
      <c r="I2511" s="14"/>
      <c r="J2511" s="14"/>
      <c r="K2511" s="14"/>
      <c r="L2511" s="14"/>
    </row>
    <row r="2512" spans="1:12" x14ac:dyDescent="0.25">
      <c r="A2512" s="16" t="s">
        <v>426</v>
      </c>
      <c r="B2512" s="32">
        <v>0.75069444444444444</v>
      </c>
      <c r="C2512" s="12" t="s">
        <v>188</v>
      </c>
      <c r="D2512" s="28">
        <v>1</v>
      </c>
      <c r="E2512" s="5">
        <f>Table4[[#This Row],[qty]]*(VLOOKUP(Table4[[#This Row],[item_sold]],Table1[],5,FALSE))</f>
        <v>5</v>
      </c>
      <c r="F2512" s="5">
        <f>(VLOOKUP(Table4[[#This Row],[item_sold]],Table1[],4,FALSE))*Table4[[#This Row],[qty]]</f>
        <v>2.3611111111111112</v>
      </c>
      <c r="G2512">
        <f t="shared" si="232"/>
        <v>2.6388888888888888</v>
      </c>
      <c r="H2512" s="12" t="s">
        <v>247</v>
      </c>
      <c r="I2512" s="12"/>
      <c r="J2512" s="12"/>
      <c r="K2512" s="12"/>
      <c r="L2512" s="12"/>
    </row>
    <row r="2513" spans="1:12" x14ac:dyDescent="0.25">
      <c r="A2513" s="15" t="s">
        <v>426</v>
      </c>
      <c r="B2513" s="33">
        <v>0.75069444444444444</v>
      </c>
      <c r="C2513" s="14" t="s">
        <v>67</v>
      </c>
      <c r="D2513" s="29">
        <v>1</v>
      </c>
      <c r="E2513" s="5">
        <f>Table4[[#This Row],[qty]]*(VLOOKUP(Table4[[#This Row],[item_sold]],Table1[],5,FALSE))</f>
        <v>10</v>
      </c>
      <c r="F2513" s="5">
        <f>(VLOOKUP(Table4[[#This Row],[item_sold]],Table1[],4,FALSE))*Table4[[#This Row],[qty]]</f>
        <v>5</v>
      </c>
      <c r="G2513">
        <f t="shared" si="232"/>
        <v>5</v>
      </c>
      <c r="H2513" s="14" t="s">
        <v>247</v>
      </c>
      <c r="I2513" s="14"/>
      <c r="J2513" s="14"/>
      <c r="K2513" s="14"/>
      <c r="L2513" s="14"/>
    </row>
    <row r="2514" spans="1:12" x14ac:dyDescent="0.25">
      <c r="A2514" s="16" t="s">
        <v>426</v>
      </c>
      <c r="B2514" s="32">
        <v>0.78194444444444444</v>
      </c>
      <c r="C2514" s="12" t="s">
        <v>73</v>
      </c>
      <c r="D2514" s="28">
        <v>5</v>
      </c>
      <c r="E2514" s="5">
        <f>Table4[[#This Row],[qty]]*(VLOOKUP(Table4[[#This Row],[item_sold]],Table1[],5,FALSE))</f>
        <v>50</v>
      </c>
      <c r="F2514" s="5">
        <f>(VLOOKUP(Table4[[#This Row],[item_sold]],Table1[],4,FALSE))*Table4[[#This Row],[qty]]</f>
        <v>30</v>
      </c>
      <c r="G2514">
        <f t="shared" si="232"/>
        <v>20</v>
      </c>
      <c r="H2514" s="12" t="s">
        <v>361</v>
      </c>
      <c r="I2514" s="12"/>
      <c r="J2514" s="12"/>
      <c r="K2514" s="12"/>
      <c r="L2514" s="12"/>
    </row>
    <row r="2515" spans="1:12" x14ac:dyDescent="0.25">
      <c r="A2515" s="15" t="s">
        <v>426</v>
      </c>
      <c r="B2515" s="33">
        <v>0.78263888888888888</v>
      </c>
      <c r="C2515" s="14" t="s">
        <v>147</v>
      </c>
      <c r="D2515" s="29">
        <v>2</v>
      </c>
      <c r="E2515" s="5">
        <f>Table4[[#This Row],[qty]]*(VLOOKUP(Table4[[#This Row],[item_sold]],Table1[],5,FALSE))</f>
        <v>10</v>
      </c>
      <c r="F2515" s="5">
        <f>(VLOOKUP(Table4[[#This Row],[item_sold]],Table1[],4,FALSE))*Table4[[#This Row],[qty]]</f>
        <v>6</v>
      </c>
      <c r="G2515">
        <f t="shared" si="232"/>
        <v>4</v>
      </c>
      <c r="H2515" s="14" t="s">
        <v>359</v>
      </c>
      <c r="I2515" s="14" t="s">
        <v>384</v>
      </c>
      <c r="J2515" s="14"/>
      <c r="K2515" s="14"/>
      <c r="L2515" s="14"/>
    </row>
    <row r="2516" spans="1:12" x14ac:dyDescent="0.25">
      <c r="A2516" s="16" t="s">
        <v>426</v>
      </c>
      <c r="B2516" s="32">
        <v>0.78888888888888886</v>
      </c>
      <c r="C2516" s="12" t="s">
        <v>113</v>
      </c>
      <c r="D2516" s="28">
        <v>1</v>
      </c>
      <c r="E2516" s="5">
        <f>Table4[[#This Row],[qty]]*(VLOOKUP(Table4[[#This Row],[item_sold]],Table1[],5,FALSE))</f>
        <v>50</v>
      </c>
      <c r="F2516" s="5">
        <f>(VLOOKUP(Table4[[#This Row],[item_sold]],Table1[],4,FALSE))*Table4[[#This Row],[qty]]</f>
        <v>35</v>
      </c>
      <c r="G2516">
        <f t="shared" si="232"/>
        <v>15</v>
      </c>
      <c r="H2516" s="12" t="s">
        <v>361</v>
      </c>
      <c r="I2516" s="12"/>
      <c r="J2516" s="12"/>
      <c r="K2516" s="12"/>
      <c r="L2516" s="12"/>
    </row>
    <row r="2517" spans="1:12" x14ac:dyDescent="0.25">
      <c r="A2517" s="15" t="s">
        <v>426</v>
      </c>
      <c r="B2517" s="33">
        <v>0.7944444444444444</v>
      </c>
      <c r="C2517" s="14" t="s">
        <v>231</v>
      </c>
      <c r="D2517" s="29">
        <v>1</v>
      </c>
      <c r="E2517" s="5">
        <f>Table4[[#This Row],[qty]]*(VLOOKUP(Table4[[#This Row],[item_sold]],Table1[],5,FALSE))</f>
        <v>20</v>
      </c>
      <c r="F2517" s="5">
        <f>(VLOOKUP(Table4[[#This Row],[item_sold]],Table1[],4,FALSE))*Table4[[#This Row],[qty]]</f>
        <v>11</v>
      </c>
      <c r="G2517">
        <f t="shared" si="232"/>
        <v>9</v>
      </c>
      <c r="H2517" s="14" t="s">
        <v>247</v>
      </c>
      <c r="I2517" s="14"/>
      <c r="J2517" s="14"/>
      <c r="K2517" s="14"/>
      <c r="L2517" s="14"/>
    </row>
    <row r="2518" spans="1:12" x14ac:dyDescent="0.25">
      <c r="A2518" s="16" t="s">
        <v>426</v>
      </c>
      <c r="B2518" s="32">
        <v>0.7944444444444444</v>
      </c>
      <c r="C2518" s="12" t="s">
        <v>133</v>
      </c>
      <c r="D2518" s="28">
        <v>2</v>
      </c>
      <c r="E2518" s="5">
        <f>Table4[[#This Row],[qty]]*(VLOOKUP(Table4[[#This Row],[item_sold]],Table1[],5,FALSE))</f>
        <v>20</v>
      </c>
      <c r="F2518" s="5">
        <f>(VLOOKUP(Table4[[#This Row],[item_sold]],Table1[],4,FALSE))*Table4[[#This Row],[qty]]</f>
        <v>14</v>
      </c>
      <c r="G2518">
        <f t="shared" si="232"/>
        <v>6</v>
      </c>
      <c r="H2518" s="12" t="s">
        <v>247</v>
      </c>
      <c r="I2518" s="12"/>
      <c r="J2518" s="12"/>
      <c r="K2518" s="12"/>
      <c r="L2518" s="12"/>
    </row>
    <row r="2519" spans="1:12" x14ac:dyDescent="0.25">
      <c r="A2519" s="15" t="s">
        <v>426</v>
      </c>
      <c r="B2519" s="33">
        <v>0.80972222222222223</v>
      </c>
      <c r="C2519" s="14" t="s">
        <v>16</v>
      </c>
      <c r="D2519" s="29">
        <v>1</v>
      </c>
      <c r="E2519" s="5">
        <f>Table4[[#This Row],[qty]]*(VLOOKUP(Table4[[#This Row],[item_sold]],Table1[],5,FALSE))</f>
        <v>85</v>
      </c>
      <c r="F2519" s="5">
        <f>(VLOOKUP(Table4[[#This Row],[item_sold]],Table1[],4,FALSE))*Table4[[#This Row],[qty]]</f>
        <v>62.5</v>
      </c>
      <c r="G2519">
        <f t="shared" si="232"/>
        <v>22.5</v>
      </c>
      <c r="H2519" s="14" t="s">
        <v>361</v>
      </c>
      <c r="I2519" s="14"/>
      <c r="J2519" s="14"/>
      <c r="K2519" s="14"/>
      <c r="L2519" s="14"/>
    </row>
    <row r="2520" spans="1:12" x14ac:dyDescent="0.25">
      <c r="A2520" s="16" t="s">
        <v>426</v>
      </c>
      <c r="B2520" s="32">
        <v>0.7944444444444444</v>
      </c>
      <c r="C2520" s="12" t="s">
        <v>67</v>
      </c>
      <c r="D2520" s="28">
        <v>2</v>
      </c>
      <c r="E2520" s="5">
        <f>Table4[[#This Row],[qty]]*(VLOOKUP(Table4[[#This Row],[item_sold]],Table1[],5,FALSE))</f>
        <v>20</v>
      </c>
      <c r="F2520" s="5">
        <f>(VLOOKUP(Table4[[#This Row],[item_sold]],Table1[],4,FALSE))*Table4[[#This Row],[qty]]</f>
        <v>10</v>
      </c>
      <c r="G2520">
        <f t="shared" si="232"/>
        <v>10</v>
      </c>
      <c r="H2520" s="12" t="s">
        <v>361</v>
      </c>
      <c r="I2520" s="12"/>
      <c r="J2520" s="12"/>
      <c r="K2520" s="12"/>
      <c r="L2520" s="12"/>
    </row>
    <row r="2521" spans="1:12" x14ac:dyDescent="0.25">
      <c r="A2521" s="15" t="s">
        <v>426</v>
      </c>
      <c r="B2521" s="33">
        <v>0.81527777777777777</v>
      </c>
      <c r="C2521" s="14" t="s">
        <v>93</v>
      </c>
      <c r="D2521" s="29">
        <v>1</v>
      </c>
      <c r="E2521" s="5">
        <f>Table4[[#This Row],[qty]]*(VLOOKUP(Table4[[#This Row],[item_sold]],Table1[],5,FALSE))</f>
        <v>70</v>
      </c>
      <c r="F2521" s="5">
        <f>(VLOOKUP(Table4[[#This Row],[item_sold]],Table1[],4,FALSE))*Table4[[#This Row],[qty]]</f>
        <v>50</v>
      </c>
      <c r="G2521">
        <f t="shared" si="232"/>
        <v>20</v>
      </c>
      <c r="H2521" s="14" t="s">
        <v>361</v>
      </c>
      <c r="I2521" s="14"/>
      <c r="J2521" s="14"/>
      <c r="K2521" s="14"/>
      <c r="L2521" s="14"/>
    </row>
    <row r="2522" spans="1:12" x14ac:dyDescent="0.25">
      <c r="A2522" s="16" t="s">
        <v>426</v>
      </c>
      <c r="B2522" s="32">
        <v>0.7944444444444444</v>
      </c>
      <c r="C2522" s="12" t="s">
        <v>95</v>
      </c>
      <c r="D2522" s="28">
        <v>4</v>
      </c>
      <c r="E2522" s="5">
        <f>Table4[[#This Row],[qty]]*(VLOOKUP(Table4[[#This Row],[item_sold]],Table1[],5,FALSE))</f>
        <v>80</v>
      </c>
      <c r="F2522" s="5">
        <f>(VLOOKUP(Table4[[#This Row],[item_sold]],Table1[],4,FALSE))*Table4[[#This Row],[qty]]</f>
        <v>57.333333333333336</v>
      </c>
      <c r="G2522">
        <f t="shared" si="232"/>
        <v>22.666666666666664</v>
      </c>
      <c r="H2522" s="12" t="s">
        <v>361</v>
      </c>
      <c r="I2522" s="12"/>
      <c r="J2522" s="12"/>
      <c r="K2522" s="12"/>
      <c r="L2522" s="12"/>
    </row>
    <row r="2523" spans="1:12" x14ac:dyDescent="0.25">
      <c r="A2523" s="15" t="s">
        <v>426</v>
      </c>
      <c r="B2523" s="33">
        <v>0.82430555555555551</v>
      </c>
      <c r="C2523" s="14" t="s">
        <v>83</v>
      </c>
      <c r="D2523" s="29">
        <v>1</v>
      </c>
      <c r="E2523" s="5">
        <f>Table4[[#This Row],[qty]]*(VLOOKUP(Table4[[#This Row],[item_sold]],Table1[],5,FALSE))</f>
        <v>50</v>
      </c>
      <c r="F2523" s="5">
        <f>(VLOOKUP(Table4[[#This Row],[item_sold]],Table1[],4,FALSE))*Table4[[#This Row],[qty]]</f>
        <v>38</v>
      </c>
      <c r="G2523">
        <f t="shared" si="232"/>
        <v>12</v>
      </c>
      <c r="H2523" s="14" t="s">
        <v>361</v>
      </c>
      <c r="I2523" s="14"/>
      <c r="J2523" s="14"/>
      <c r="K2523" s="14"/>
      <c r="L2523" s="14"/>
    </row>
    <row r="2524" spans="1:12" x14ac:dyDescent="0.25">
      <c r="A2524" s="16" t="s">
        <v>426</v>
      </c>
      <c r="B2524" s="32">
        <v>0.82430555555555551</v>
      </c>
      <c r="C2524" s="12" t="s">
        <v>154</v>
      </c>
      <c r="D2524" s="28">
        <v>1</v>
      </c>
      <c r="E2524" s="5">
        <f>Table4[[#This Row],[qty]]*(VLOOKUP(Table4[[#This Row],[item_sold]],Table1[],5,FALSE))</f>
        <v>65</v>
      </c>
      <c r="F2524" s="5">
        <f>(VLOOKUP(Table4[[#This Row],[item_sold]],Table1[],4,FALSE))*Table4[[#This Row],[qty]]</f>
        <v>60</v>
      </c>
      <c r="G2524">
        <f t="shared" si="232"/>
        <v>5</v>
      </c>
      <c r="H2524" s="12" t="s">
        <v>361</v>
      </c>
      <c r="I2524" s="12"/>
      <c r="J2524" s="12"/>
      <c r="K2524" s="12"/>
      <c r="L2524" s="12"/>
    </row>
    <row r="2525" spans="1:12" x14ac:dyDescent="0.25">
      <c r="A2525" s="15" t="s">
        <v>426</v>
      </c>
      <c r="B2525" s="33">
        <v>0.82916666666666672</v>
      </c>
      <c r="C2525" s="14" t="s">
        <v>137</v>
      </c>
      <c r="D2525" s="29">
        <v>1</v>
      </c>
      <c r="E2525" s="5">
        <f>Table4[[#This Row],[qty]]*(VLOOKUP(Table4[[#This Row],[item_sold]],Table1[],5,FALSE))</f>
        <v>10</v>
      </c>
      <c r="F2525" s="5">
        <f>(VLOOKUP(Table4[[#This Row],[item_sold]],Table1[],4,FALSE))*Table4[[#This Row],[qty]]</f>
        <v>5</v>
      </c>
      <c r="G2525">
        <f t="shared" si="232"/>
        <v>5</v>
      </c>
      <c r="H2525" s="14" t="s">
        <v>359</v>
      </c>
      <c r="I2525" s="14" t="s">
        <v>385</v>
      </c>
      <c r="J2525" s="14" t="s">
        <v>385</v>
      </c>
      <c r="K2525" s="14">
        <v>100</v>
      </c>
      <c r="L2525" s="14" t="s">
        <v>361</v>
      </c>
    </row>
    <row r="2526" spans="1:12" x14ac:dyDescent="0.25">
      <c r="A2526" s="16" t="s">
        <v>426</v>
      </c>
      <c r="B2526" s="32">
        <v>0.82916666666666672</v>
      </c>
      <c r="C2526" s="12" t="s">
        <v>92</v>
      </c>
      <c r="D2526" s="28">
        <v>1</v>
      </c>
      <c r="E2526" s="5">
        <f>Table4[[#This Row],[qty]]*(VLOOKUP(Table4[[#This Row],[item_sold]],Table1[],5,FALSE))</f>
        <v>30</v>
      </c>
      <c r="F2526" s="5">
        <f>(VLOOKUP(Table4[[#This Row],[item_sold]],Table1[],4,FALSE))*Table4[[#This Row],[qty]]</f>
        <v>12.5</v>
      </c>
      <c r="G2526">
        <f t="shared" si="232"/>
        <v>17.5</v>
      </c>
      <c r="H2526" s="12" t="s">
        <v>359</v>
      </c>
      <c r="I2526" s="12" t="s">
        <v>385</v>
      </c>
      <c r="J2526" s="12"/>
      <c r="K2526" s="12"/>
      <c r="L2526" s="12"/>
    </row>
    <row r="2527" spans="1:12" x14ac:dyDescent="0.25">
      <c r="A2527" s="15" t="s">
        <v>426</v>
      </c>
      <c r="B2527" s="33">
        <v>0.83611111111111114</v>
      </c>
      <c r="C2527" s="14" t="s">
        <v>8</v>
      </c>
      <c r="D2527" s="29">
        <v>1</v>
      </c>
      <c r="E2527" s="5">
        <f>Table4[[#This Row],[qty]]*(VLOOKUP(Table4[[#This Row],[item_sold]],Table1[],5,FALSE))</f>
        <v>120</v>
      </c>
      <c r="F2527" s="5">
        <f>(VLOOKUP(Table4[[#This Row],[item_sold]],Table1[],4,FALSE))*Table4[[#This Row],[qty]]</f>
        <v>75</v>
      </c>
      <c r="G2527">
        <f t="shared" si="232"/>
        <v>45</v>
      </c>
      <c r="H2527" s="14" t="s">
        <v>359</v>
      </c>
      <c r="I2527" s="14" t="s">
        <v>389</v>
      </c>
      <c r="J2527" s="14"/>
      <c r="K2527" s="14"/>
      <c r="L2527" s="14"/>
    </row>
    <row r="2528" spans="1:12" x14ac:dyDescent="0.25">
      <c r="A2528" s="16" t="s">
        <v>426</v>
      </c>
      <c r="B2528" s="32">
        <v>0.83611111111111114</v>
      </c>
      <c r="C2528" s="12" t="s">
        <v>113</v>
      </c>
      <c r="D2528" s="28">
        <v>1</v>
      </c>
      <c r="E2528" s="5">
        <f>Table4[[#This Row],[qty]]*(VLOOKUP(Table4[[#This Row],[item_sold]],Table1[],5,FALSE))</f>
        <v>50</v>
      </c>
      <c r="F2528" s="5">
        <f>(VLOOKUP(Table4[[#This Row],[item_sold]],Table1[],4,FALSE))*Table4[[#This Row],[qty]]</f>
        <v>35</v>
      </c>
      <c r="G2528">
        <f t="shared" si="232"/>
        <v>15</v>
      </c>
      <c r="H2528" s="12" t="s">
        <v>247</v>
      </c>
      <c r="I2528" s="12"/>
      <c r="J2528" s="12"/>
      <c r="K2528" s="12"/>
      <c r="L2528" s="12"/>
    </row>
    <row r="2529" spans="1:12" x14ac:dyDescent="0.25">
      <c r="A2529" s="15" t="s">
        <v>365</v>
      </c>
      <c r="B2529" s="32">
        <v>0.83611111111111114</v>
      </c>
      <c r="C2529" s="14" t="str">
        <f>'Inventory as of 12th Aug 2024'!A33</f>
        <v>BB Bread 400g</v>
      </c>
      <c r="D2529" s="29">
        <v>1</v>
      </c>
      <c r="E2529" s="5">
        <f>Table4[[#This Row],[qty]]*(VLOOKUP(Table4[[#This Row],[item_sold]],Table1[],5,FALSE))</f>
        <v>65</v>
      </c>
      <c r="F2529" s="5">
        <f>(VLOOKUP(Table4[[#This Row],[item_sold]],Table1[],4,FALSE))*Table4[[#This Row],[qty]]</f>
        <v>60</v>
      </c>
      <c r="G2529">
        <f t="shared" si="232"/>
        <v>5</v>
      </c>
      <c r="H2529" s="14" t="s">
        <v>359</v>
      </c>
      <c r="I2529" s="14" t="s">
        <v>385</v>
      </c>
      <c r="J2529" s="14"/>
      <c r="K2529" s="14"/>
      <c r="L2529" s="14"/>
    </row>
    <row r="2530" spans="1:12" x14ac:dyDescent="0.25">
      <c r="A2530" s="15" t="s">
        <v>365</v>
      </c>
      <c r="B2530" s="32">
        <v>0.83611111111111114</v>
      </c>
      <c r="C2530" s="12" t="str">
        <f>'Inventory as of 12th Aug 2024'!A249</f>
        <v>Geisha small</v>
      </c>
      <c r="D2530" s="28">
        <v>1</v>
      </c>
      <c r="E2530" s="5">
        <f>Table4[[#This Row],[qty]]*(VLOOKUP(Table4[[#This Row],[item_sold]],Table1[],5,FALSE))</f>
        <v>70</v>
      </c>
      <c r="F2530" s="5">
        <f>(VLOOKUP(Table4[[#This Row],[item_sold]],Table1[],4,FALSE))*Table4[[#This Row],[qty]]</f>
        <v>50</v>
      </c>
      <c r="G2530">
        <f t="shared" si="232"/>
        <v>20</v>
      </c>
      <c r="H2530" s="12" t="s">
        <v>247</v>
      </c>
      <c r="I2530" s="12"/>
      <c r="J2530" s="12"/>
      <c r="K2530" s="12"/>
      <c r="L2530" s="12"/>
    </row>
    <row r="2531" spans="1:12" x14ac:dyDescent="0.25">
      <c r="A2531" s="15" t="s">
        <v>365</v>
      </c>
      <c r="B2531" s="32">
        <v>0.31597222222222221</v>
      </c>
      <c r="C2531" s="14" t="str">
        <f>'Inventory as of 12th Aug 2024'!A244</f>
        <v>5ltrs water</v>
      </c>
      <c r="D2531" s="29">
        <v>1</v>
      </c>
      <c r="E2531" s="5">
        <f>Table4[[#This Row],[qty]]*(VLOOKUP(Table4[[#This Row],[item_sold]],Table1[],5,FALSE))</f>
        <v>120</v>
      </c>
      <c r="F2531" s="5">
        <f>(VLOOKUP(Table4[[#This Row],[item_sold]],Table1[],4,FALSE))*Table4[[#This Row],[qty]]</f>
        <v>75</v>
      </c>
      <c r="G2531">
        <f t="shared" ref="G2531:G2594" si="233">E2531-F2531</f>
        <v>45</v>
      </c>
      <c r="H2531" s="14" t="s">
        <v>361</v>
      </c>
      <c r="I2531" s="14"/>
      <c r="J2531" s="14"/>
      <c r="K2531" s="14"/>
      <c r="L2531" s="14"/>
    </row>
    <row r="2532" spans="1:12" x14ac:dyDescent="0.25">
      <c r="A2532" s="15" t="s">
        <v>365</v>
      </c>
      <c r="B2532" s="32">
        <v>0.32361111111111113</v>
      </c>
      <c r="C2532" s="12" t="str">
        <f>'Inventory as of 12th Aug 2024'!A2</f>
        <v>Safaricom 20 Credit</v>
      </c>
      <c r="D2532" s="28">
        <v>1</v>
      </c>
      <c r="E2532" s="5">
        <f>Table4[[#This Row],[qty]]*(VLOOKUP(Table4[[#This Row],[item_sold]],Table1[],5,FALSE))</f>
        <v>20</v>
      </c>
      <c r="F2532" s="5">
        <f>(VLOOKUP(Table4[[#This Row],[item_sold]],Table1[],4,FALSE))*Table4[[#This Row],[qty]]</f>
        <v>18</v>
      </c>
      <c r="G2532">
        <f t="shared" si="233"/>
        <v>2</v>
      </c>
      <c r="H2532" s="12" t="s">
        <v>247</v>
      </c>
      <c r="I2532" s="12"/>
      <c r="J2532" s="12"/>
      <c r="K2532" s="12"/>
      <c r="L2532" s="12"/>
    </row>
    <row r="2533" spans="1:12" x14ac:dyDescent="0.25">
      <c r="A2533" s="15" t="s">
        <v>365</v>
      </c>
      <c r="B2533" s="32">
        <v>0.32361111111111113</v>
      </c>
      <c r="C2533" s="14" t="str">
        <f>'Inventory as of 12th Aug 2024'!A211</f>
        <v>predator</v>
      </c>
      <c r="D2533" s="29">
        <v>1</v>
      </c>
      <c r="E2533" s="5">
        <f>Table4[[#This Row],[qty]]*(VLOOKUP(Table4[[#This Row],[item_sold]],Table1[],5,FALSE))</f>
        <v>70</v>
      </c>
      <c r="F2533" s="5">
        <f>(VLOOKUP(Table4[[#This Row],[item_sold]],Table1[],4,FALSE))*Table4[[#This Row],[qty]]</f>
        <v>54.166666666666664</v>
      </c>
      <c r="G2533">
        <f t="shared" si="233"/>
        <v>15.833333333333336</v>
      </c>
      <c r="H2533" s="14" t="s">
        <v>361</v>
      </c>
      <c r="I2533" s="14"/>
      <c r="J2533" s="14"/>
      <c r="K2533" s="14"/>
      <c r="L2533" s="14"/>
    </row>
    <row r="2534" spans="1:12" x14ac:dyDescent="0.25">
      <c r="A2534" s="15" t="s">
        <v>365</v>
      </c>
      <c r="B2534" s="32">
        <v>0.34027777777777779</v>
      </c>
      <c r="C2534" s="12" t="str">
        <f>'Inventory as of 12th Aug 2024'!A188</f>
        <v>Choc-chip Cookies</v>
      </c>
      <c r="D2534" s="28">
        <v>1</v>
      </c>
      <c r="E2534" s="5">
        <f>Table4[[#This Row],[qty]]*(VLOOKUP(Table4[[#This Row],[item_sold]],Table1[],5,FALSE))</f>
        <v>35</v>
      </c>
      <c r="F2534" s="5">
        <f>(VLOOKUP(Table4[[#This Row],[item_sold]],Table1[],4,FALSE))*Table4[[#This Row],[qty]]</f>
        <v>25</v>
      </c>
      <c r="G2534">
        <f t="shared" si="233"/>
        <v>10</v>
      </c>
      <c r="H2534" s="12" t="s">
        <v>361</v>
      </c>
      <c r="I2534" s="12"/>
      <c r="J2534" s="12"/>
      <c r="K2534" s="12"/>
      <c r="L2534" s="12"/>
    </row>
    <row r="2535" spans="1:12" x14ac:dyDescent="0.25">
      <c r="A2535" s="15" t="s">
        <v>365</v>
      </c>
      <c r="B2535" s="32">
        <v>0.375</v>
      </c>
      <c r="C2535" s="14" t="str">
        <f>'Inventory as of 12th Aug 2024'!A35</f>
        <v>Festive 600g</v>
      </c>
      <c r="D2535" s="29">
        <v>1</v>
      </c>
      <c r="E2535" s="5">
        <f>Table4[[#This Row],[qty]]*(VLOOKUP(Table4[[#This Row],[item_sold]],Table1[],5,FALSE))</f>
        <v>100</v>
      </c>
      <c r="F2535" s="5">
        <f>(VLOOKUP(Table4[[#This Row],[item_sold]],Table1[],4,FALSE))*Table4[[#This Row],[qty]]</f>
        <v>90</v>
      </c>
      <c r="G2535">
        <f t="shared" si="233"/>
        <v>10</v>
      </c>
      <c r="H2535" s="14" t="s">
        <v>361</v>
      </c>
      <c r="I2535" s="14"/>
      <c r="J2535" s="14"/>
      <c r="K2535" s="14"/>
      <c r="L2535" s="14"/>
    </row>
    <row r="2536" spans="1:12" x14ac:dyDescent="0.25">
      <c r="A2536" s="15" t="s">
        <v>365</v>
      </c>
      <c r="B2536" s="32">
        <v>0.40416666666666667</v>
      </c>
      <c r="C2536" s="12" t="str">
        <f>'Inventory as of 12th Aug 2024'!A41</f>
        <v>Indomie beef</v>
      </c>
      <c r="D2536" s="28">
        <v>1</v>
      </c>
      <c r="E2536" s="5">
        <f>Table4[[#This Row],[qty]]*(VLOOKUP(Table4[[#This Row],[item_sold]],Table1[],5,FALSE))</f>
        <v>50</v>
      </c>
      <c r="F2536" s="5">
        <f>(VLOOKUP(Table4[[#This Row],[item_sold]],Table1[],4,FALSE))*Table4[[#This Row],[qty]]</f>
        <v>38</v>
      </c>
      <c r="G2536">
        <f t="shared" si="233"/>
        <v>12</v>
      </c>
      <c r="H2536" s="12" t="s">
        <v>361</v>
      </c>
      <c r="I2536" s="12"/>
      <c r="J2536" s="12"/>
      <c r="K2536" s="12"/>
      <c r="L2536" s="12"/>
    </row>
    <row r="2537" spans="1:12" x14ac:dyDescent="0.25">
      <c r="A2537" s="15" t="s">
        <v>365</v>
      </c>
      <c r="B2537" s="32">
        <v>0.40416666666666667</v>
      </c>
      <c r="C2537" s="14" t="str">
        <f>'Inventory as of 12th Aug 2024'!A8</f>
        <v>eggs</v>
      </c>
      <c r="D2537" s="29">
        <v>2</v>
      </c>
      <c r="E2537" s="5">
        <f>Table4[[#This Row],[qty]]*(VLOOKUP(Table4[[#This Row],[item_sold]],Table1[],5,FALSE))</f>
        <v>40</v>
      </c>
      <c r="F2537" s="5">
        <f>(VLOOKUP(Table4[[#This Row],[item_sold]],Table1[],4,FALSE))*Table4[[#This Row],[qty]]</f>
        <v>28.666666666666668</v>
      </c>
      <c r="G2537">
        <f t="shared" si="233"/>
        <v>11.333333333333332</v>
      </c>
      <c r="H2537" s="14" t="s">
        <v>361</v>
      </c>
      <c r="I2537" s="14"/>
      <c r="J2537" s="14"/>
      <c r="K2537" s="14"/>
      <c r="L2537" s="14"/>
    </row>
    <row r="2538" spans="1:12" x14ac:dyDescent="0.25">
      <c r="A2538" s="15" t="s">
        <v>365</v>
      </c>
      <c r="B2538" s="32">
        <v>0.40694444444444444</v>
      </c>
      <c r="C2538" s="12" t="str">
        <f>'Inventory as of 12th Aug 2024'!A202</f>
        <v>funtime snacks</v>
      </c>
      <c r="D2538" s="28">
        <v>2</v>
      </c>
      <c r="E2538" s="5">
        <f>Table4[[#This Row],[qty]]*(VLOOKUP(Table4[[#This Row],[item_sold]],Table1[],5,FALSE))</f>
        <v>30</v>
      </c>
      <c r="F2538" s="5">
        <f>(VLOOKUP(Table4[[#This Row],[item_sold]],Table1[],4,FALSE))*Table4[[#This Row],[qty]]</f>
        <v>18</v>
      </c>
      <c r="G2538">
        <f t="shared" si="233"/>
        <v>12</v>
      </c>
      <c r="H2538" s="12" t="s">
        <v>247</v>
      </c>
      <c r="I2538" s="12"/>
      <c r="J2538" s="12"/>
      <c r="K2538" s="12"/>
      <c r="L2538" s="12"/>
    </row>
    <row r="2539" spans="1:12" x14ac:dyDescent="0.25">
      <c r="A2539" s="16" t="s">
        <v>365</v>
      </c>
      <c r="B2539" s="32">
        <v>0.40694444444444444</v>
      </c>
      <c r="C2539" s="12" t="str">
        <f>'Inventory as of 12th Aug 2024'!A180</f>
        <v>Tamu  Tamu Green</v>
      </c>
      <c r="D2539" s="28">
        <v>2</v>
      </c>
      <c r="E2539" s="5">
        <f>Table4[[#This Row],[qty]]*(VLOOKUP(Table4[[#This Row],[item_sold]],Table1[],5,FALSE))</f>
        <v>30</v>
      </c>
      <c r="F2539" s="5">
        <f>(VLOOKUP(Table4[[#This Row],[item_sold]],Table1[],4,FALSE))*Table4[[#This Row],[qty]]</f>
        <v>17.2</v>
      </c>
      <c r="G2539">
        <f t="shared" si="233"/>
        <v>12.8</v>
      </c>
      <c r="H2539" s="12" t="s">
        <v>247</v>
      </c>
      <c r="I2539" s="12"/>
      <c r="J2539" s="12"/>
      <c r="K2539" s="12"/>
      <c r="L2539" s="12"/>
    </row>
    <row r="2540" spans="1:12" x14ac:dyDescent="0.25">
      <c r="A2540" s="16" t="s">
        <v>365</v>
      </c>
      <c r="B2540" s="32">
        <v>0.40694444444444444</v>
      </c>
      <c r="C2540" t="str">
        <f>'Inventory as of 12th Aug 2024'!A240</f>
        <v>Bigboss</v>
      </c>
      <c r="D2540" s="27">
        <v>6</v>
      </c>
      <c r="E2540" s="5">
        <f>Table4[[#This Row],[qty]]*(VLOOKUP(Table4[[#This Row],[item_sold]],Table1[],5,FALSE))</f>
        <v>30</v>
      </c>
      <c r="F2540" s="5">
        <f>(VLOOKUP(Table4[[#This Row],[item_sold]],Table1[],4,FALSE))*Table4[[#This Row],[qty]]</f>
        <v>21</v>
      </c>
      <c r="G2540">
        <f t="shared" si="233"/>
        <v>9</v>
      </c>
      <c r="H2540" t="s">
        <v>247</v>
      </c>
      <c r="L2540" s="12"/>
    </row>
    <row r="2541" spans="1:12" x14ac:dyDescent="0.25">
      <c r="A2541" s="16" t="s">
        <v>365</v>
      </c>
      <c r="B2541" s="32">
        <v>0.40694444444444444</v>
      </c>
      <c r="C2541" t="str">
        <f>'Inventory as of 12th Aug 2024'!A35</f>
        <v>Festive 600g</v>
      </c>
      <c r="D2541" s="27">
        <v>1</v>
      </c>
      <c r="E2541" s="5">
        <f>Table4[[#This Row],[qty]]*(VLOOKUP(Table4[[#This Row],[item_sold]],Table1[],5,FALSE))</f>
        <v>100</v>
      </c>
      <c r="F2541" s="5">
        <f>(VLOOKUP(Table4[[#This Row],[item_sold]],Table1[],4,FALSE))*Table4[[#This Row],[qty]]</f>
        <v>90</v>
      </c>
      <c r="G2541">
        <f t="shared" si="233"/>
        <v>10</v>
      </c>
      <c r="H2541" t="s">
        <v>247</v>
      </c>
      <c r="L2541" s="12"/>
    </row>
    <row r="2542" spans="1:12" x14ac:dyDescent="0.25">
      <c r="A2542" s="16" t="s">
        <v>365</v>
      </c>
      <c r="B2542" s="32">
        <v>0.43263888888888891</v>
      </c>
      <c r="C2542" t="str">
        <f>'Inventory as of 12th Aug 2024'!A33</f>
        <v>BB Bread 400g</v>
      </c>
      <c r="D2542" s="27">
        <v>2</v>
      </c>
      <c r="E2542" s="5">
        <f>Table4[[#This Row],[qty]]*(VLOOKUP(Table4[[#This Row],[item_sold]],Table1[],5,FALSE))</f>
        <v>130</v>
      </c>
      <c r="F2542" s="5">
        <f>(VLOOKUP(Table4[[#This Row],[item_sold]],Table1[],4,FALSE))*Table4[[#This Row],[qty]]</f>
        <v>120</v>
      </c>
      <c r="G2542">
        <f t="shared" si="233"/>
        <v>10</v>
      </c>
      <c r="H2542" t="s">
        <v>361</v>
      </c>
      <c r="L2542" s="12"/>
    </row>
    <row r="2543" spans="1:12" x14ac:dyDescent="0.25">
      <c r="A2543" s="16" t="s">
        <v>365</v>
      </c>
      <c r="B2543" s="32">
        <v>0.45</v>
      </c>
      <c r="C2543" t="str">
        <f>'Inventory as of 12th Aug 2024'!A239</f>
        <v>Gumballs</v>
      </c>
      <c r="D2543" s="27">
        <v>5</v>
      </c>
      <c r="E2543" s="5">
        <f>Table4[[#This Row],[qty]]*(VLOOKUP(Table4[[#This Row],[item_sold]],Table1[],5,FALSE))</f>
        <v>5</v>
      </c>
      <c r="F2543" s="5">
        <f>(VLOOKUP(Table4[[#This Row],[item_sold]],Table1[],4,FALSE))*Table4[[#This Row],[qty]]</f>
        <v>3.5</v>
      </c>
      <c r="G2543">
        <f t="shared" si="233"/>
        <v>1.5</v>
      </c>
      <c r="H2543" t="s">
        <v>247</v>
      </c>
      <c r="L2543" s="12"/>
    </row>
    <row r="2544" spans="1:12" x14ac:dyDescent="0.25">
      <c r="A2544" s="16" t="s">
        <v>365</v>
      </c>
      <c r="B2544" s="32">
        <v>0.45</v>
      </c>
      <c r="C2544" t="str">
        <f>'Inventory as of 12th Aug 2024'!A233</f>
        <v>Lollipop</v>
      </c>
      <c r="D2544" s="27">
        <v>2</v>
      </c>
      <c r="E2544" s="5">
        <f>Table4[[#This Row],[qty]]*(VLOOKUP(Table4[[#This Row],[item_sold]],Table1[],5,FALSE))</f>
        <v>10</v>
      </c>
      <c r="F2544" s="5">
        <f>(VLOOKUP(Table4[[#This Row],[item_sold]],Table1[],4,FALSE))*Table4[[#This Row],[qty]]</f>
        <v>4.8</v>
      </c>
      <c r="G2544">
        <f t="shared" si="233"/>
        <v>5.2</v>
      </c>
      <c r="H2544" t="s">
        <v>247</v>
      </c>
      <c r="L2544" s="12"/>
    </row>
    <row r="2545" spans="1:12" x14ac:dyDescent="0.25">
      <c r="A2545" s="15" t="s">
        <v>365</v>
      </c>
      <c r="B2545" s="32">
        <v>0.45</v>
      </c>
      <c r="C2545" t="str">
        <f>'Inventory as of 12th Aug 2024'!A240</f>
        <v>Bigboss</v>
      </c>
      <c r="D2545" s="27">
        <v>1</v>
      </c>
      <c r="E2545" s="5">
        <f>Table4[[#This Row],[qty]]*(VLOOKUP(Table4[[#This Row],[item_sold]],Table1[],5,FALSE))</f>
        <v>5</v>
      </c>
      <c r="F2545" s="5">
        <f>(VLOOKUP(Table4[[#This Row],[item_sold]],Table1[],4,FALSE))*Table4[[#This Row],[qty]]</f>
        <v>3.5</v>
      </c>
      <c r="G2545">
        <f t="shared" si="233"/>
        <v>1.5</v>
      </c>
      <c r="H2545" t="s">
        <v>247</v>
      </c>
    </row>
    <row r="2546" spans="1:12" x14ac:dyDescent="0.25">
      <c r="A2546" s="15" t="s">
        <v>365</v>
      </c>
      <c r="B2546" s="32">
        <v>0.45</v>
      </c>
      <c r="C2546" t="str">
        <f>'Inventory as of 12th Aug 2024'!A233</f>
        <v>Lollipop</v>
      </c>
      <c r="D2546" s="27">
        <v>1</v>
      </c>
      <c r="E2546" s="5">
        <f>Table4[[#This Row],[qty]]*(VLOOKUP(Table4[[#This Row],[item_sold]],Table1[],5,FALSE))</f>
        <v>5</v>
      </c>
      <c r="F2546" s="5">
        <f>(VLOOKUP(Table4[[#This Row],[item_sold]],Table1[],4,FALSE))*Table4[[#This Row],[qty]]</f>
        <v>2.4</v>
      </c>
      <c r="G2546">
        <f t="shared" si="233"/>
        <v>2.6</v>
      </c>
      <c r="H2546" t="s">
        <v>247</v>
      </c>
    </row>
    <row r="2547" spans="1:12" x14ac:dyDescent="0.25">
      <c r="A2547" s="15" t="s">
        <v>365</v>
      </c>
      <c r="B2547" s="32">
        <v>0.4513888888888889</v>
      </c>
      <c r="C2547" t="str">
        <f>'Inventory as of 12th Aug 2024'!A58</f>
        <v>Safari</v>
      </c>
      <c r="D2547" s="27">
        <v>2</v>
      </c>
      <c r="E2547" s="5">
        <f>Table4[[#This Row],[qty]]*(VLOOKUP(Table4[[#This Row],[item_sold]],Table1[],5,FALSE))</f>
        <v>30</v>
      </c>
      <c r="F2547" s="5">
        <f>(VLOOKUP(Table4[[#This Row],[item_sold]],Table1[],4,FALSE))*Table4[[#This Row],[qty]]</f>
        <v>17</v>
      </c>
      <c r="G2547">
        <f t="shared" si="233"/>
        <v>13</v>
      </c>
      <c r="H2547" t="s">
        <v>361</v>
      </c>
    </row>
    <row r="2548" spans="1:12" x14ac:dyDescent="0.25">
      <c r="A2548" s="15" t="s">
        <v>365</v>
      </c>
      <c r="B2548" s="32">
        <v>0.49583333333333335</v>
      </c>
      <c r="C2548" t="str">
        <f>'Inventory as of 12th Aug 2024'!A36</f>
        <v>Festive 800g</v>
      </c>
      <c r="D2548" s="27">
        <v>1</v>
      </c>
      <c r="E2548" s="5">
        <f>Table4[[#This Row],[qty]]*(VLOOKUP(Table4[[#This Row],[item_sold]],Table1[],5,FALSE))</f>
        <v>130</v>
      </c>
      <c r="F2548" s="5">
        <f>(VLOOKUP(Table4[[#This Row],[item_sold]],Table1[],4,FALSE))*Table4[[#This Row],[qty]]</f>
        <v>120</v>
      </c>
      <c r="G2548">
        <f t="shared" si="233"/>
        <v>10</v>
      </c>
      <c r="H2548" t="s">
        <v>359</v>
      </c>
      <c r="I2548" t="s">
        <v>429</v>
      </c>
    </row>
    <row r="2549" spans="1:12" x14ac:dyDescent="0.25">
      <c r="A2549" s="15" t="s">
        <v>365</v>
      </c>
      <c r="B2549" s="32">
        <v>0.49583333333333335</v>
      </c>
      <c r="C2549" t="str">
        <f>'Inventory as of 12th Aug 2024'!A240</f>
        <v>Bigboss</v>
      </c>
      <c r="D2549" s="27">
        <v>1</v>
      </c>
      <c r="E2549" s="5">
        <f>Table4[[#This Row],[qty]]*(VLOOKUP(Table4[[#This Row],[item_sold]],Table1[],5,FALSE))</f>
        <v>5</v>
      </c>
      <c r="F2549" s="5">
        <f>(VLOOKUP(Table4[[#This Row],[item_sold]],Table1[],4,FALSE))*Table4[[#This Row],[qty]]</f>
        <v>3.5</v>
      </c>
      <c r="G2549">
        <f t="shared" si="233"/>
        <v>1.5</v>
      </c>
      <c r="H2549" t="s">
        <v>359</v>
      </c>
      <c r="I2549" t="s">
        <v>429</v>
      </c>
    </row>
    <row r="2550" spans="1:12" x14ac:dyDescent="0.25">
      <c r="A2550" s="15" t="s">
        <v>365</v>
      </c>
      <c r="B2550" s="32">
        <v>0.49722222222222223</v>
      </c>
      <c r="C2550" t="str">
        <f>'Inventory as of 12th Aug 2024'!A211</f>
        <v>predator</v>
      </c>
      <c r="D2550" s="27">
        <v>1</v>
      </c>
      <c r="E2550" s="5">
        <f>Table4[[#This Row],[qty]]*(VLOOKUP(Table4[[#This Row],[item_sold]],Table1[],5,FALSE))</f>
        <v>70</v>
      </c>
      <c r="F2550" s="5">
        <f>(VLOOKUP(Table4[[#This Row],[item_sold]],Table1[],4,FALSE))*Table4[[#This Row],[qty]]</f>
        <v>54.166666666666664</v>
      </c>
      <c r="G2550">
        <f t="shared" si="233"/>
        <v>15.833333333333336</v>
      </c>
      <c r="H2550" t="s">
        <v>359</v>
      </c>
      <c r="I2550" t="s">
        <v>401</v>
      </c>
      <c r="J2550" t="s">
        <v>401</v>
      </c>
      <c r="K2550">
        <v>170</v>
      </c>
      <c r="L2550" t="s">
        <v>247</v>
      </c>
    </row>
    <row r="2551" spans="1:12" x14ac:dyDescent="0.25">
      <c r="A2551" s="15" t="s">
        <v>365</v>
      </c>
      <c r="B2551" s="32">
        <v>0.49722222222222223</v>
      </c>
      <c r="C2551" t="str">
        <f>'Inventory as of 12th Aug 2024'!A194</f>
        <v>Half pound cake</v>
      </c>
      <c r="D2551" s="27">
        <v>1</v>
      </c>
      <c r="E2551" s="5">
        <f>Table4[[#This Row],[qty]]*(VLOOKUP(Table4[[#This Row],[item_sold]],Table1[],5,FALSE))</f>
        <v>100</v>
      </c>
      <c r="F2551" s="5">
        <f>(VLOOKUP(Table4[[#This Row],[item_sold]],Table1[],4,FALSE))*Table4[[#This Row],[qty]]</f>
        <v>90</v>
      </c>
      <c r="G2551">
        <f t="shared" si="233"/>
        <v>10</v>
      </c>
      <c r="H2551" t="s">
        <v>359</v>
      </c>
      <c r="I2551" t="s">
        <v>401</v>
      </c>
      <c r="J2551" t="s">
        <v>401</v>
      </c>
    </row>
    <row r="2552" spans="1:12" x14ac:dyDescent="0.25">
      <c r="A2552" s="15" t="s">
        <v>365</v>
      </c>
      <c r="B2552" s="32">
        <v>0.49791666666666667</v>
      </c>
      <c r="C2552" t="str">
        <f>'Inventory as of 12th Aug 2024'!A195</f>
        <v>Ring Cake</v>
      </c>
      <c r="D2552" s="27">
        <v>1</v>
      </c>
      <c r="E2552" s="5">
        <f>Table4[[#This Row],[qty]]*(VLOOKUP(Table4[[#This Row],[item_sold]],Table1[],5,FALSE))</f>
        <v>50</v>
      </c>
      <c r="F2552" s="5">
        <f>(VLOOKUP(Table4[[#This Row],[item_sold]],Table1[],4,FALSE))*Table4[[#This Row],[qty]]</f>
        <v>45</v>
      </c>
      <c r="G2552">
        <f t="shared" si="233"/>
        <v>5</v>
      </c>
      <c r="H2552" t="s">
        <v>247</v>
      </c>
    </row>
    <row r="2553" spans="1:12" x14ac:dyDescent="0.25">
      <c r="A2553" s="15" t="s">
        <v>365</v>
      </c>
      <c r="B2553" s="32">
        <v>0.50763888888888886</v>
      </c>
      <c r="C2553" t="str">
        <f>'Inventory as of 12th Aug 2024'!A53</f>
        <v>Kamande</v>
      </c>
      <c r="D2553" s="27">
        <v>0.25</v>
      </c>
      <c r="E2553" s="5">
        <f>Table4[[#This Row],[qty]]*(VLOOKUP(Table4[[#This Row],[item_sold]],Table1[],5,FALSE))</f>
        <v>87.5</v>
      </c>
      <c r="F2553" s="5">
        <f>(VLOOKUP(Table4[[#This Row],[item_sold]],Table1[],4,FALSE))*Table4[[#This Row],[qty]]</f>
        <v>75</v>
      </c>
      <c r="G2553">
        <f t="shared" si="233"/>
        <v>12.5</v>
      </c>
      <c r="H2553" t="s">
        <v>361</v>
      </c>
    </row>
    <row r="2554" spans="1:12" x14ac:dyDescent="0.25">
      <c r="A2554" s="15" t="s">
        <v>365</v>
      </c>
      <c r="B2554" s="32">
        <v>0.50763888888888886</v>
      </c>
      <c r="C2554" t="str">
        <f>'Inventory as of 12th Aug 2024'!A50</f>
        <v>Pishori rice</v>
      </c>
      <c r="D2554" s="27">
        <v>1</v>
      </c>
      <c r="E2554" s="5">
        <f>Table4[[#This Row],[qty]]*(VLOOKUP(Table4[[#This Row],[item_sold]],Table1[],5,FALSE))</f>
        <v>220</v>
      </c>
      <c r="F2554" s="5">
        <f>(VLOOKUP(Table4[[#This Row],[item_sold]],Table1[],4,FALSE))*Table4[[#This Row],[qty]]</f>
        <v>180</v>
      </c>
      <c r="G2554">
        <f t="shared" si="233"/>
        <v>40</v>
      </c>
      <c r="H2554" t="s">
        <v>361</v>
      </c>
    </row>
    <row r="2555" spans="1:12" x14ac:dyDescent="0.25">
      <c r="A2555" s="15" t="s">
        <v>365</v>
      </c>
      <c r="B2555" s="32">
        <v>0.50763888888888886</v>
      </c>
      <c r="C2555" t="str">
        <f>'Inventory as of 12th Aug 2024'!A79</f>
        <v xml:space="preserve">Whitewash </v>
      </c>
      <c r="D2555" s="27">
        <v>1</v>
      </c>
      <c r="E2555" s="5">
        <f>Table4[[#This Row],[qty]]*(VLOOKUP(Table4[[#This Row],[item_sold]],Table1[],5,FALSE))</f>
        <v>50</v>
      </c>
      <c r="F2555" s="5">
        <f>(VLOOKUP(Table4[[#This Row],[item_sold]],Table1[],4,FALSE))*Table4[[#This Row],[qty]]</f>
        <v>33.75</v>
      </c>
      <c r="G2555">
        <f t="shared" si="233"/>
        <v>16.25</v>
      </c>
      <c r="H2555" t="s">
        <v>361</v>
      </c>
    </row>
    <row r="2556" spans="1:12" x14ac:dyDescent="0.25">
      <c r="A2556" s="15" t="s">
        <v>365</v>
      </c>
      <c r="B2556" s="32">
        <v>0.50763888888888886</v>
      </c>
      <c r="C2556" t="str">
        <f>'Inventory as of 12th Aug 2024'!A16</f>
        <v>Mt kenya milk 500ml</v>
      </c>
      <c r="D2556" s="27">
        <v>1</v>
      </c>
      <c r="E2556" s="5">
        <f>Table4[[#This Row],[qty]]*(VLOOKUP(Table4[[#This Row],[item_sold]],Table1[],5,FALSE))</f>
        <v>65</v>
      </c>
      <c r="F2556" s="5">
        <f>(VLOOKUP(Table4[[#This Row],[item_sold]],Table1[],4,FALSE))*Table4[[#This Row],[qty]]</f>
        <v>48.333333333333336</v>
      </c>
      <c r="G2556">
        <f t="shared" si="233"/>
        <v>16.666666666666664</v>
      </c>
      <c r="H2556" t="s">
        <v>361</v>
      </c>
    </row>
    <row r="2557" spans="1:12" x14ac:dyDescent="0.25">
      <c r="A2557" s="15" t="s">
        <v>365</v>
      </c>
      <c r="B2557" s="32">
        <v>0.50763888888888886</v>
      </c>
      <c r="C2557" t="str">
        <f>'Inventory as of 12th Aug 2024'!A8</f>
        <v>eggs</v>
      </c>
      <c r="D2557" s="27">
        <v>2</v>
      </c>
      <c r="E2557" s="5">
        <f>Table4[[#This Row],[qty]]*(VLOOKUP(Table4[[#This Row],[item_sold]],Table1[],5,FALSE))</f>
        <v>40</v>
      </c>
      <c r="F2557" s="5">
        <f>(VLOOKUP(Table4[[#This Row],[item_sold]],Table1[],4,FALSE))*Table4[[#This Row],[qty]]</f>
        <v>28.666666666666668</v>
      </c>
      <c r="G2557">
        <f t="shared" si="233"/>
        <v>11.333333333333332</v>
      </c>
      <c r="H2557" t="s">
        <v>361</v>
      </c>
    </row>
    <row r="2558" spans="1:12" x14ac:dyDescent="0.25">
      <c r="A2558" s="15" t="s">
        <v>365</v>
      </c>
      <c r="B2558" s="32">
        <v>0.5131944444444444</v>
      </c>
      <c r="C2558" t="str">
        <f>'Inventory as of 12th Aug 2024'!A240</f>
        <v>Bigboss</v>
      </c>
      <c r="D2558" s="27">
        <v>2</v>
      </c>
      <c r="E2558" s="5">
        <f>Table4[[#This Row],[qty]]*(VLOOKUP(Table4[[#This Row],[item_sold]],Table1[],5,FALSE))</f>
        <v>10</v>
      </c>
      <c r="F2558" s="5">
        <f>(VLOOKUP(Table4[[#This Row],[item_sold]],Table1[],4,FALSE))*Table4[[#This Row],[qty]]</f>
        <v>7</v>
      </c>
      <c r="G2558">
        <f t="shared" si="233"/>
        <v>3</v>
      </c>
      <c r="H2558" t="s">
        <v>247</v>
      </c>
    </row>
    <row r="2559" spans="1:12" x14ac:dyDescent="0.25">
      <c r="A2559" s="15" t="s">
        <v>365</v>
      </c>
      <c r="B2559" s="32">
        <v>0.5131944444444444</v>
      </c>
      <c r="C2559" t="str">
        <f>'Inventory as of 12th Aug 2024'!A231</f>
        <v>Patco</v>
      </c>
      <c r="D2559" s="27">
        <v>4</v>
      </c>
      <c r="E2559" s="5">
        <f>Table4[[#This Row],[qty]]*(VLOOKUP(Table4[[#This Row],[item_sold]],Table1[],5,FALSE))</f>
        <v>10</v>
      </c>
      <c r="F2559" s="5">
        <f>(VLOOKUP(Table4[[#This Row],[item_sold]],Table1[],4,FALSE))*Table4[[#This Row],[qty]]</f>
        <v>4.8</v>
      </c>
      <c r="G2559">
        <f t="shared" si="233"/>
        <v>5.2</v>
      </c>
      <c r="H2559" t="s">
        <v>247</v>
      </c>
    </row>
    <row r="2560" spans="1:12" x14ac:dyDescent="0.25">
      <c r="A2560" s="15" t="s">
        <v>365</v>
      </c>
      <c r="B2560" s="32">
        <v>0.5131944444444444</v>
      </c>
      <c r="C2560" t="str">
        <f>'Inventory as of 12th Aug 2024'!A229</f>
        <v>Fresh green</v>
      </c>
      <c r="D2560" s="27">
        <v>2</v>
      </c>
      <c r="E2560" s="5">
        <f>Table4[[#This Row],[qty]]*(VLOOKUP(Table4[[#This Row],[item_sold]],Table1[],5,FALSE))</f>
        <v>20</v>
      </c>
      <c r="F2560" s="5">
        <f>(VLOOKUP(Table4[[#This Row],[item_sold]],Table1[],4,FALSE))*Table4[[#This Row],[qty]]</f>
        <v>10</v>
      </c>
      <c r="G2560">
        <f t="shared" si="233"/>
        <v>10</v>
      </c>
      <c r="H2560" t="s">
        <v>361</v>
      </c>
    </row>
    <row r="2561" spans="1:9" x14ac:dyDescent="0.25">
      <c r="A2561" s="15" t="s">
        <v>365</v>
      </c>
      <c r="B2561" s="32">
        <v>0.54166666666666663</v>
      </c>
      <c r="C2561" t="str">
        <f>'Inventory as of 12th Aug 2024'!A58</f>
        <v>Safari</v>
      </c>
      <c r="D2561" s="27">
        <v>1</v>
      </c>
      <c r="E2561" s="5">
        <f>Table4[[#This Row],[qty]]*(VLOOKUP(Table4[[#This Row],[item_sold]],Table1[],5,FALSE))</f>
        <v>15</v>
      </c>
      <c r="F2561" s="5">
        <f>(VLOOKUP(Table4[[#This Row],[item_sold]],Table1[],4,FALSE))*Table4[[#This Row],[qty]]</f>
        <v>8.5</v>
      </c>
      <c r="G2561">
        <f t="shared" si="233"/>
        <v>6.5</v>
      </c>
      <c r="H2561" t="s">
        <v>361</v>
      </c>
    </row>
    <row r="2562" spans="1:9" x14ac:dyDescent="0.25">
      <c r="A2562" s="15" t="s">
        <v>365</v>
      </c>
      <c r="B2562" s="32">
        <v>0.54722222222222228</v>
      </c>
      <c r="C2562" t="str">
        <f>'Inventory as of 12th Aug 2024'!A136</f>
        <v>Poa Pekee Tissue</v>
      </c>
      <c r="D2562" s="27">
        <v>1</v>
      </c>
      <c r="E2562" s="5">
        <f>Table4[[#This Row],[qty]]*(VLOOKUP(Table4[[#This Row],[item_sold]],Table1[],5,FALSE))</f>
        <v>30</v>
      </c>
      <c r="F2562" s="5">
        <f>(VLOOKUP(Table4[[#This Row],[item_sold]],Table1[],4,FALSE))*Table4[[#This Row],[qty]]</f>
        <v>13.333333333333334</v>
      </c>
      <c r="G2562">
        <f t="shared" si="233"/>
        <v>16.666666666666664</v>
      </c>
      <c r="H2562" t="s">
        <v>247</v>
      </c>
    </row>
    <row r="2563" spans="1:9" x14ac:dyDescent="0.25">
      <c r="A2563" s="15" t="s">
        <v>365</v>
      </c>
      <c r="B2563" s="32">
        <v>0.55069444444444449</v>
      </c>
      <c r="C2563" t="str">
        <f>'Inventory as of 12th Aug 2024'!A58</f>
        <v>Safari</v>
      </c>
      <c r="D2563" s="27">
        <v>1</v>
      </c>
      <c r="E2563" s="5">
        <f>Table4[[#This Row],[qty]]*(VLOOKUP(Table4[[#This Row],[item_sold]],Table1[],5,FALSE))</f>
        <v>15</v>
      </c>
      <c r="F2563" s="5">
        <f>(VLOOKUP(Table4[[#This Row],[item_sold]],Table1[],4,FALSE))*Table4[[#This Row],[qty]]</f>
        <v>8.5</v>
      </c>
      <c r="G2563">
        <f t="shared" si="233"/>
        <v>6.5</v>
      </c>
      <c r="H2563" t="s">
        <v>247</v>
      </c>
    </row>
    <row r="2564" spans="1:9" x14ac:dyDescent="0.25">
      <c r="A2564" s="15" t="s">
        <v>365</v>
      </c>
      <c r="B2564" s="32">
        <v>0.55069444444444449</v>
      </c>
      <c r="C2564" t="str">
        <f>'Inventory as of 12th Aug 2024'!A193</f>
        <v>Ginger Bisquit</v>
      </c>
      <c r="D2564" s="27">
        <v>1</v>
      </c>
      <c r="E2564" s="5">
        <f>Table4[[#This Row],[qty]]*(VLOOKUP(Table4[[#This Row],[item_sold]],Table1[],5,FALSE))</f>
        <v>5</v>
      </c>
      <c r="F2564" s="5">
        <f>(VLOOKUP(Table4[[#This Row],[item_sold]],Table1[],4,FALSE))*Table4[[#This Row],[qty]]</f>
        <v>4.333333333333333</v>
      </c>
      <c r="G2564">
        <f t="shared" si="233"/>
        <v>0.66666666666666696</v>
      </c>
      <c r="H2564" t="s">
        <v>247</v>
      </c>
    </row>
    <row r="2565" spans="1:9" x14ac:dyDescent="0.25">
      <c r="A2565" s="15" t="s">
        <v>365</v>
      </c>
      <c r="B2565" s="32">
        <v>0.55833333333333335</v>
      </c>
      <c r="C2565" t="str">
        <f>'Inventory as of 12th Aug 2024'!A191</f>
        <v>Nuvita Bisquit</v>
      </c>
      <c r="D2565" s="27">
        <v>2</v>
      </c>
      <c r="E2565" s="5">
        <f>Table4[[#This Row],[qty]]*(VLOOKUP(Table4[[#This Row],[item_sold]],Table1[],5,FALSE))</f>
        <v>10</v>
      </c>
      <c r="F2565" s="5">
        <f>(VLOOKUP(Table4[[#This Row],[item_sold]],Table1[],4,FALSE))*Table4[[#This Row],[qty]]</f>
        <v>8.3333333333333339</v>
      </c>
      <c r="G2565">
        <f t="shared" si="233"/>
        <v>1.6666666666666661</v>
      </c>
      <c r="H2565" t="s">
        <v>247</v>
      </c>
    </row>
    <row r="2566" spans="1:9" x14ac:dyDescent="0.25">
      <c r="A2566" s="15" t="s">
        <v>365</v>
      </c>
      <c r="B2566" s="32">
        <v>0.55833333333333335</v>
      </c>
      <c r="C2566" t="str">
        <f>'Inventory as of 12th Aug 2024'!A58</f>
        <v>Safari</v>
      </c>
      <c r="D2566" s="27">
        <v>1</v>
      </c>
      <c r="E2566" s="5">
        <f>Table4[[#This Row],[qty]]*(VLOOKUP(Table4[[#This Row],[item_sold]],Table1[],5,FALSE))</f>
        <v>15</v>
      </c>
      <c r="F2566" s="5">
        <f>(VLOOKUP(Table4[[#This Row],[item_sold]],Table1[],4,FALSE))*Table4[[#This Row],[qty]]</f>
        <v>8.5</v>
      </c>
      <c r="G2566">
        <f t="shared" si="233"/>
        <v>6.5</v>
      </c>
      <c r="H2566" t="s">
        <v>247</v>
      </c>
    </row>
    <row r="2567" spans="1:9" x14ac:dyDescent="0.25">
      <c r="A2567" s="15" t="s">
        <v>365</v>
      </c>
      <c r="B2567" s="32">
        <v>0.56458333333333333</v>
      </c>
      <c r="C2567" t="str">
        <f>'Inventory as of 12th Aug 2024'!A58</f>
        <v>Safari</v>
      </c>
      <c r="D2567" s="27">
        <v>1</v>
      </c>
      <c r="E2567" s="5">
        <f>Table4[[#This Row],[qty]]*(VLOOKUP(Table4[[#This Row],[item_sold]],Table1[],5,FALSE))</f>
        <v>15</v>
      </c>
      <c r="F2567" s="5">
        <f>(VLOOKUP(Table4[[#This Row],[item_sold]],Table1[],4,FALSE))*Table4[[#This Row],[qty]]</f>
        <v>8.5</v>
      </c>
      <c r="G2567">
        <f t="shared" si="233"/>
        <v>6.5</v>
      </c>
      <c r="H2567" t="s">
        <v>361</v>
      </c>
    </row>
    <row r="2568" spans="1:9" x14ac:dyDescent="0.25">
      <c r="A2568" s="15" t="s">
        <v>365</v>
      </c>
      <c r="B2568" s="32">
        <v>0.5708333333333333</v>
      </c>
      <c r="C2568" t="str">
        <f>'Inventory as of 12th Aug 2024'!A8</f>
        <v>eggs</v>
      </c>
      <c r="D2568" s="27">
        <v>2</v>
      </c>
      <c r="E2568" s="5">
        <f>Table4[[#This Row],[qty]]*(VLOOKUP(Table4[[#This Row],[item_sold]],Table1[],5,FALSE))</f>
        <v>40</v>
      </c>
      <c r="F2568" s="5">
        <f>(VLOOKUP(Table4[[#This Row],[item_sold]],Table1[],4,FALSE))*Table4[[#This Row],[qty]]</f>
        <v>28.666666666666668</v>
      </c>
      <c r="G2568">
        <f t="shared" si="233"/>
        <v>11.333333333333332</v>
      </c>
      <c r="H2568" t="s">
        <v>361</v>
      </c>
    </row>
    <row r="2569" spans="1:9" x14ac:dyDescent="0.25">
      <c r="A2569" s="15" t="s">
        <v>365</v>
      </c>
      <c r="B2569" s="32">
        <v>0.57291666666666663</v>
      </c>
      <c r="C2569" t="str">
        <f>'Inventory as of 12th Aug 2024'!A4</f>
        <v>Safaricom 50 Credit</v>
      </c>
      <c r="D2569" s="27">
        <v>2</v>
      </c>
      <c r="E2569" s="5">
        <f>Table4[[#This Row],[qty]]*(VLOOKUP(Table4[[#This Row],[item_sold]],Table1[],5,FALSE))</f>
        <v>100</v>
      </c>
      <c r="F2569" s="5">
        <f>(VLOOKUP(Table4[[#This Row],[item_sold]],Table1[],4,FALSE))*Table4[[#This Row],[qty]]</f>
        <v>94</v>
      </c>
      <c r="G2569">
        <f t="shared" si="233"/>
        <v>6</v>
      </c>
      <c r="H2569" t="s">
        <v>247</v>
      </c>
    </row>
    <row r="2570" spans="1:9" x14ac:dyDescent="0.25">
      <c r="A2570" s="15" t="s">
        <v>365</v>
      </c>
      <c r="B2570" s="32">
        <v>0.58680555555555558</v>
      </c>
      <c r="C2570" t="str">
        <f>'Inventory as of 12th Aug 2024'!A33</f>
        <v>BB Bread 400g</v>
      </c>
      <c r="D2570" s="27">
        <v>1</v>
      </c>
      <c r="E2570" s="5">
        <f>Table4[[#This Row],[qty]]*(VLOOKUP(Table4[[#This Row],[item_sold]],Table1[],5,FALSE))</f>
        <v>65</v>
      </c>
      <c r="F2570" s="5">
        <f>(VLOOKUP(Table4[[#This Row],[item_sold]],Table1[],4,FALSE))*Table4[[#This Row],[qty]]</f>
        <v>60</v>
      </c>
      <c r="G2570">
        <f t="shared" si="233"/>
        <v>5</v>
      </c>
      <c r="H2570" t="s">
        <v>361</v>
      </c>
    </row>
    <row r="2571" spans="1:9" x14ac:dyDescent="0.25">
      <c r="A2571" s="15" t="s">
        <v>365</v>
      </c>
      <c r="B2571" s="32">
        <v>0.58680555555555558</v>
      </c>
      <c r="C2571" t="str">
        <f>'Inventory as of 12th Aug 2024'!A16</f>
        <v>Mt kenya milk 500ml</v>
      </c>
      <c r="D2571" s="27">
        <v>1</v>
      </c>
      <c r="E2571" s="5">
        <f>Table4[[#This Row],[qty]]*(VLOOKUP(Table4[[#This Row],[item_sold]],Table1[],5,FALSE))</f>
        <v>65</v>
      </c>
      <c r="F2571" s="5">
        <f>(VLOOKUP(Table4[[#This Row],[item_sold]],Table1[],4,FALSE))*Table4[[#This Row],[qty]]</f>
        <v>48.333333333333336</v>
      </c>
      <c r="G2571">
        <f t="shared" si="233"/>
        <v>16.666666666666664</v>
      </c>
      <c r="H2571" t="s">
        <v>361</v>
      </c>
    </row>
    <row r="2572" spans="1:9" x14ac:dyDescent="0.25">
      <c r="A2572" s="15" t="s">
        <v>365</v>
      </c>
      <c r="B2572" s="32">
        <v>0.62291666666666667</v>
      </c>
      <c r="C2572" t="str">
        <f>'Inventory as of 12th Aug 2024'!A83</f>
        <v>omo 75g</v>
      </c>
      <c r="D2572" s="27">
        <v>1</v>
      </c>
      <c r="E2572" s="5">
        <f>Table4[[#This Row],[qty]]*(VLOOKUP(Table4[[#This Row],[item_sold]],Table1[],5,FALSE))</f>
        <v>35</v>
      </c>
      <c r="F2572" s="5">
        <f>(VLOOKUP(Table4[[#This Row],[item_sold]],Table1[],4,FALSE))*Table4[[#This Row],[qty]]</f>
        <v>27.5</v>
      </c>
      <c r="G2572">
        <f t="shared" si="233"/>
        <v>7.5</v>
      </c>
      <c r="H2572" t="s">
        <v>359</v>
      </c>
      <c r="I2572" t="s">
        <v>386</v>
      </c>
    </row>
    <row r="2573" spans="1:9" x14ac:dyDescent="0.25">
      <c r="A2573" s="15" t="s">
        <v>365</v>
      </c>
      <c r="B2573" s="32">
        <v>0.62291666666666667</v>
      </c>
      <c r="C2573" t="str">
        <f>'Inventory as of 12th Aug 2024'!A158</f>
        <v>Vaseline</v>
      </c>
      <c r="D2573" s="27">
        <v>1</v>
      </c>
      <c r="E2573" s="5">
        <f>Table4[[#This Row],[qty]]*(VLOOKUP(Table4[[#This Row],[item_sold]],Table1[],5,FALSE))</f>
        <v>40</v>
      </c>
      <c r="F2573" s="5">
        <f>(VLOOKUP(Table4[[#This Row],[item_sold]],Table1[],4,FALSE))*Table4[[#This Row],[qty]]</f>
        <v>30</v>
      </c>
      <c r="G2573">
        <f t="shared" si="233"/>
        <v>10</v>
      </c>
      <c r="H2573" t="s">
        <v>359</v>
      </c>
      <c r="I2573" t="s">
        <v>386</v>
      </c>
    </row>
    <row r="2574" spans="1:9" x14ac:dyDescent="0.25">
      <c r="A2574" s="15" t="s">
        <v>365</v>
      </c>
      <c r="B2574" s="32">
        <v>0.63124999999999998</v>
      </c>
      <c r="C2574" t="str">
        <f>'Inventory as of 12th Aug 2024'!A231</f>
        <v>Patco</v>
      </c>
      <c r="D2574" s="27">
        <v>4</v>
      </c>
      <c r="E2574" s="5">
        <f>Table4[[#This Row],[qty]]*(VLOOKUP(Table4[[#This Row],[item_sold]],Table1[],5,FALSE))</f>
        <v>10</v>
      </c>
      <c r="F2574" s="5">
        <f>(VLOOKUP(Table4[[#This Row],[item_sold]],Table1[],4,FALSE))*Table4[[#This Row],[qty]]</f>
        <v>4.8</v>
      </c>
      <c r="G2574">
        <f t="shared" si="233"/>
        <v>5.2</v>
      </c>
      <c r="H2574" t="s">
        <v>247</v>
      </c>
    </row>
    <row r="2575" spans="1:9" x14ac:dyDescent="0.25">
      <c r="A2575" s="15" t="s">
        <v>365</v>
      </c>
      <c r="B2575" s="32">
        <v>0.63888888888888884</v>
      </c>
      <c r="C2575" t="str">
        <f>'Inventory as of 12th Aug 2024'!A193</f>
        <v>Ginger Bisquit</v>
      </c>
      <c r="D2575" s="27">
        <v>2</v>
      </c>
      <c r="E2575" s="5">
        <f>Table4[[#This Row],[qty]]*(VLOOKUP(Table4[[#This Row],[item_sold]],Table1[],5,FALSE))</f>
        <v>10</v>
      </c>
      <c r="F2575" s="5">
        <f>(VLOOKUP(Table4[[#This Row],[item_sold]],Table1[],4,FALSE))*Table4[[#This Row],[qty]]</f>
        <v>8.6666666666666661</v>
      </c>
      <c r="G2575">
        <f t="shared" si="233"/>
        <v>1.3333333333333339</v>
      </c>
      <c r="H2575" t="s">
        <v>247</v>
      </c>
    </row>
    <row r="2576" spans="1:9" x14ac:dyDescent="0.25">
      <c r="A2576" s="15" t="s">
        <v>365</v>
      </c>
      <c r="B2576" s="32">
        <v>0.64027777777777772</v>
      </c>
      <c r="C2576" t="str">
        <f>'Inventory as of 12th Aug 2024'!A58</f>
        <v>Safari</v>
      </c>
      <c r="D2576" s="27">
        <v>1</v>
      </c>
      <c r="E2576" s="5">
        <f>Table4[[#This Row],[qty]]*(VLOOKUP(Table4[[#This Row],[item_sold]],Table1[],5,FALSE))</f>
        <v>15</v>
      </c>
      <c r="F2576" s="5">
        <f>(VLOOKUP(Table4[[#This Row],[item_sold]],Table1[],4,FALSE))*Table4[[#This Row],[qty]]</f>
        <v>8.5</v>
      </c>
      <c r="G2576">
        <f t="shared" si="233"/>
        <v>6.5</v>
      </c>
      <c r="H2576" t="s">
        <v>361</v>
      </c>
    </row>
    <row r="2577" spans="1:12" x14ac:dyDescent="0.25">
      <c r="A2577" s="15" t="s">
        <v>365</v>
      </c>
      <c r="B2577" s="32">
        <v>0.66041666666666665</v>
      </c>
      <c r="C2577" t="str">
        <f>'Inventory as of 12th Aug 2024'!A33</f>
        <v>BB Bread 400g</v>
      </c>
      <c r="D2577" s="27">
        <v>1</v>
      </c>
      <c r="E2577" s="5">
        <f>Table4[[#This Row],[qty]]*(VLOOKUP(Table4[[#This Row],[item_sold]],Table1[],5,FALSE))</f>
        <v>65</v>
      </c>
      <c r="F2577" s="5">
        <f>(VLOOKUP(Table4[[#This Row],[item_sold]],Table1[],4,FALSE))*Table4[[#This Row],[qty]]</f>
        <v>60</v>
      </c>
      <c r="G2577">
        <f t="shared" si="233"/>
        <v>5</v>
      </c>
      <c r="H2577" t="s">
        <v>247</v>
      </c>
    </row>
    <row r="2578" spans="1:12" x14ac:dyDescent="0.25">
      <c r="A2578" s="15" t="s">
        <v>365</v>
      </c>
      <c r="B2578" s="32">
        <v>0.66041666666666665</v>
      </c>
      <c r="C2578" t="str">
        <f>'Inventory as of 12th Aug 2024'!A188</f>
        <v>Choc-chip Cookies</v>
      </c>
      <c r="D2578" s="27">
        <v>1</v>
      </c>
      <c r="E2578" s="5">
        <f>Table4[[#This Row],[qty]]*(VLOOKUP(Table4[[#This Row],[item_sold]],Table1[],5,FALSE))</f>
        <v>35</v>
      </c>
      <c r="F2578" s="5">
        <f>(VLOOKUP(Table4[[#This Row],[item_sold]],Table1[],4,FALSE))*Table4[[#This Row],[qty]]</f>
        <v>25</v>
      </c>
      <c r="G2578">
        <f t="shared" si="233"/>
        <v>10</v>
      </c>
      <c r="H2578" t="s">
        <v>247</v>
      </c>
    </row>
    <row r="2579" spans="1:12" x14ac:dyDescent="0.25">
      <c r="A2579" s="15" t="s">
        <v>365</v>
      </c>
      <c r="B2579" s="32">
        <v>0.67222222222222228</v>
      </c>
      <c r="C2579" t="str">
        <f>'Inventory as of 12th Aug 2024'!A242</f>
        <v>Icepop</v>
      </c>
      <c r="D2579" s="27">
        <v>1</v>
      </c>
      <c r="E2579" s="5">
        <f>Table4[[#This Row],[qty]]*(VLOOKUP(Table4[[#This Row],[item_sold]],Table1[],5,FALSE))</f>
        <v>15</v>
      </c>
      <c r="F2579" s="5">
        <f>(VLOOKUP(Table4[[#This Row],[item_sold]],Table1[],4,FALSE))*Table4[[#This Row],[qty]]</f>
        <v>7.5</v>
      </c>
      <c r="G2579">
        <f t="shared" si="233"/>
        <v>7.5</v>
      </c>
      <c r="H2579" t="s">
        <v>247</v>
      </c>
    </row>
    <row r="2580" spans="1:12" x14ac:dyDescent="0.25">
      <c r="A2580" s="15" t="s">
        <v>365</v>
      </c>
      <c r="B2580" s="32">
        <v>0.68194444444444446</v>
      </c>
      <c r="C2580" t="str">
        <f>'Inventory as of 12th Aug 2024'!A75</f>
        <v>Cooking Oil Measured</v>
      </c>
      <c r="D2580" s="27">
        <v>0.25</v>
      </c>
      <c r="E2580" s="5">
        <f>Table4[[#This Row],[qty]]*(VLOOKUP(Table4[[#This Row],[item_sold]],Table1[],5,FALSE))</f>
        <v>70</v>
      </c>
      <c r="F2580" s="5">
        <f>(VLOOKUP(Table4[[#This Row],[item_sold]],Table1[],4,FALSE))*Table4[[#This Row],[qty]]</f>
        <v>50</v>
      </c>
      <c r="G2580">
        <f t="shared" si="233"/>
        <v>20</v>
      </c>
      <c r="H2580" t="s">
        <v>361</v>
      </c>
    </row>
    <row r="2581" spans="1:12" x14ac:dyDescent="0.25">
      <c r="A2581" s="15" t="s">
        <v>365</v>
      </c>
      <c r="B2581" s="32">
        <v>0.68194444444444446</v>
      </c>
      <c r="C2581" t="str">
        <f>'Inventory as of 12th Aug 2024'!A234</f>
        <v>Bigdaddy</v>
      </c>
      <c r="D2581" s="27">
        <v>1</v>
      </c>
      <c r="E2581" s="5">
        <f>Table4[[#This Row],[qty]]*(VLOOKUP(Table4[[#This Row],[item_sold]],Table1[],5,FALSE))</f>
        <v>10</v>
      </c>
      <c r="F2581" s="5">
        <f>(VLOOKUP(Table4[[#This Row],[item_sold]],Table1[],4,FALSE))*Table4[[#This Row],[qty]]</f>
        <v>6</v>
      </c>
      <c r="G2581">
        <f t="shared" si="233"/>
        <v>4</v>
      </c>
      <c r="H2581" t="s">
        <v>247</v>
      </c>
    </row>
    <row r="2582" spans="1:12" x14ac:dyDescent="0.25">
      <c r="A2582" s="15" t="s">
        <v>365</v>
      </c>
      <c r="B2582" s="32">
        <v>0.68194444444444446</v>
      </c>
      <c r="C2582" t="str">
        <f>'Inventory as of 12th Aug 2024'!A235</f>
        <v>Cough drops</v>
      </c>
      <c r="D2582" s="27">
        <v>1</v>
      </c>
      <c r="E2582" s="5">
        <f>Table4[[#This Row],[qty]]*(VLOOKUP(Table4[[#This Row],[item_sold]],Table1[],5,FALSE))</f>
        <v>5</v>
      </c>
      <c r="F2582" s="5">
        <f>(VLOOKUP(Table4[[#This Row],[item_sold]],Table1[],4,FALSE))*Table4[[#This Row],[qty]]</f>
        <v>4</v>
      </c>
      <c r="G2582">
        <f t="shared" si="233"/>
        <v>1</v>
      </c>
      <c r="H2582" t="s">
        <v>247</v>
      </c>
    </row>
    <row r="2583" spans="1:12" x14ac:dyDescent="0.25">
      <c r="A2583" s="15" t="s">
        <v>365</v>
      </c>
      <c r="B2583" s="32">
        <v>0.71458333333333335</v>
      </c>
      <c r="C2583" t="str">
        <f>'Inventory as of 12th Aug 2024'!A50</f>
        <v>Pishori rice</v>
      </c>
      <c r="D2583" s="27">
        <v>1</v>
      </c>
      <c r="E2583" s="5">
        <f>Table4[[#This Row],[qty]]*(VLOOKUP(Table4[[#This Row],[item_sold]],Table1[],5,FALSE))</f>
        <v>220</v>
      </c>
      <c r="F2583" s="5">
        <f>(VLOOKUP(Table4[[#This Row],[item_sold]],Table1[],4,FALSE))*Table4[[#This Row],[qty]]</f>
        <v>180</v>
      </c>
      <c r="G2583">
        <f t="shared" si="233"/>
        <v>40</v>
      </c>
      <c r="H2583" t="s">
        <v>430</v>
      </c>
      <c r="I2583" t="s">
        <v>431</v>
      </c>
      <c r="J2583" t="s">
        <v>431</v>
      </c>
      <c r="K2583">
        <v>290</v>
      </c>
      <c r="L2583" t="s">
        <v>361</v>
      </c>
    </row>
    <row r="2584" spans="1:12" x14ac:dyDescent="0.25">
      <c r="A2584" s="15" t="s">
        <v>365</v>
      </c>
      <c r="B2584" s="32">
        <v>0.71458333333333335</v>
      </c>
      <c r="C2584" t="str">
        <f>'Inventory as of 12th Aug 2024'!A36</f>
        <v>Festive 800g</v>
      </c>
      <c r="D2584" s="27">
        <v>1</v>
      </c>
      <c r="E2584" s="5">
        <f>Table4[[#This Row],[qty]]*(VLOOKUP(Table4[[#This Row],[item_sold]],Table1[],5,FALSE))</f>
        <v>130</v>
      </c>
      <c r="F2584" s="5">
        <f>(VLOOKUP(Table4[[#This Row],[item_sold]],Table1[],4,FALSE))*Table4[[#This Row],[qty]]</f>
        <v>120</v>
      </c>
      <c r="G2584">
        <f t="shared" si="233"/>
        <v>10</v>
      </c>
      <c r="H2584" t="s">
        <v>359</v>
      </c>
      <c r="I2584" t="s">
        <v>431</v>
      </c>
    </row>
    <row r="2585" spans="1:12" x14ac:dyDescent="0.25">
      <c r="A2585" s="15" t="s">
        <v>365</v>
      </c>
      <c r="B2585" s="32">
        <v>0.71458333333333335</v>
      </c>
      <c r="C2585" t="str">
        <f>'Inventory as of 12th Aug 2024'!A16</f>
        <v>Mt kenya milk 500ml</v>
      </c>
      <c r="D2585" s="27">
        <v>1</v>
      </c>
      <c r="E2585" s="5">
        <f>Table4[[#This Row],[qty]]*(VLOOKUP(Table4[[#This Row],[item_sold]],Table1[],5,FALSE))</f>
        <v>65</v>
      </c>
      <c r="F2585" s="5">
        <f>(VLOOKUP(Table4[[#This Row],[item_sold]],Table1[],4,FALSE))*Table4[[#This Row],[qty]]</f>
        <v>48.333333333333336</v>
      </c>
      <c r="G2585">
        <f t="shared" si="233"/>
        <v>16.666666666666664</v>
      </c>
      <c r="H2585" t="s">
        <v>359</v>
      </c>
      <c r="I2585" t="s">
        <v>431</v>
      </c>
    </row>
    <row r="2586" spans="1:12" x14ac:dyDescent="0.25">
      <c r="A2586" s="15" t="s">
        <v>365</v>
      </c>
      <c r="B2586" s="32">
        <v>0.7416666666666667</v>
      </c>
      <c r="C2586" t="str">
        <f>'Inventory as of 12th Aug 2024'!A98</f>
        <v>Ginger</v>
      </c>
      <c r="D2586" s="27">
        <v>1</v>
      </c>
      <c r="E2586" s="5">
        <f>Table4[[#This Row],[qty]]*(VLOOKUP(Table4[[#This Row],[item_sold]],Table1[],5,FALSE))</f>
        <v>20</v>
      </c>
      <c r="F2586" s="5">
        <f>(VLOOKUP(Table4[[#This Row],[item_sold]],Table1[],4,FALSE))*Table4[[#This Row],[qty]]</f>
        <v>10</v>
      </c>
      <c r="G2586">
        <f t="shared" si="233"/>
        <v>10</v>
      </c>
      <c r="H2586" t="s">
        <v>247</v>
      </c>
    </row>
    <row r="2587" spans="1:12" x14ac:dyDescent="0.25">
      <c r="A2587" s="15" t="s">
        <v>365</v>
      </c>
      <c r="B2587" s="32">
        <v>0.7416666666666667</v>
      </c>
      <c r="C2587" t="str">
        <f>'Inventory as of 12th Aug 2024'!A242</f>
        <v>Icepop</v>
      </c>
      <c r="D2587" s="27">
        <v>1</v>
      </c>
      <c r="E2587" s="5">
        <f>Table4[[#This Row],[qty]]*(VLOOKUP(Table4[[#This Row],[item_sold]],Table1[],5,FALSE))</f>
        <v>15</v>
      </c>
      <c r="F2587" s="5">
        <f>(VLOOKUP(Table4[[#This Row],[item_sold]],Table1[],4,FALSE))*Table4[[#This Row],[qty]]</f>
        <v>7.5</v>
      </c>
      <c r="G2587">
        <f t="shared" si="233"/>
        <v>7.5</v>
      </c>
      <c r="H2587" t="s">
        <v>247</v>
      </c>
    </row>
    <row r="2588" spans="1:12" x14ac:dyDescent="0.25">
      <c r="A2588" s="15" t="s">
        <v>365</v>
      </c>
      <c r="B2588" s="32">
        <v>0.74930555555555556</v>
      </c>
      <c r="C2588" t="str">
        <f>'Inventory as of 12th Aug 2024'!A16</f>
        <v>Mt kenya milk 500ml</v>
      </c>
      <c r="D2588" s="27">
        <v>1</v>
      </c>
      <c r="E2588" s="5">
        <f>Table4[[#This Row],[qty]]*(VLOOKUP(Table4[[#This Row],[item_sold]],Table1[],5,FALSE))</f>
        <v>65</v>
      </c>
      <c r="F2588" s="5">
        <f>(VLOOKUP(Table4[[#This Row],[item_sold]],Table1[],4,FALSE))*Table4[[#This Row],[qty]]</f>
        <v>48.333333333333336</v>
      </c>
      <c r="G2588">
        <f t="shared" si="233"/>
        <v>16.666666666666664</v>
      </c>
      <c r="H2588" t="s">
        <v>361</v>
      </c>
    </row>
    <row r="2589" spans="1:12" x14ac:dyDescent="0.25">
      <c r="A2589" s="15" t="s">
        <v>365</v>
      </c>
      <c r="B2589" s="32">
        <v>0.77569444444444446</v>
      </c>
      <c r="C2589" t="str">
        <f>'Inventory as of 12th Aug 2024'!A205</f>
        <v xml:space="preserve"> soda 1.25lts</v>
      </c>
      <c r="D2589" s="27">
        <v>1</v>
      </c>
      <c r="E2589" s="5">
        <f>Table4[[#This Row],[qty]]*(VLOOKUP(Table4[[#This Row],[item_sold]],Table1[],5,FALSE))</f>
        <v>130</v>
      </c>
      <c r="F2589" s="5">
        <f>(VLOOKUP(Table4[[#This Row],[item_sold]],Table1[],4,FALSE))*Table4[[#This Row],[qty]]</f>
        <v>112.5</v>
      </c>
      <c r="G2589">
        <f t="shared" si="233"/>
        <v>17.5</v>
      </c>
      <c r="H2589" t="s">
        <v>359</v>
      </c>
      <c r="I2589" t="s">
        <v>403</v>
      </c>
    </row>
    <row r="2590" spans="1:12" x14ac:dyDescent="0.25">
      <c r="A2590" s="15" t="s">
        <v>365</v>
      </c>
      <c r="B2590" s="32">
        <v>0.77569444444444446</v>
      </c>
      <c r="C2590" t="str">
        <f>'Inventory as of 12th Aug 2024'!A211</f>
        <v>predator</v>
      </c>
      <c r="D2590" s="27">
        <v>1</v>
      </c>
      <c r="E2590" s="5">
        <f>Table4[[#This Row],[qty]]*(VLOOKUP(Table4[[#This Row],[item_sold]],Table1[],5,FALSE))</f>
        <v>70</v>
      </c>
      <c r="F2590" s="5">
        <f>(VLOOKUP(Table4[[#This Row],[item_sold]],Table1[],4,FALSE))*Table4[[#This Row],[qty]]</f>
        <v>54.166666666666664</v>
      </c>
      <c r="G2590">
        <f t="shared" si="233"/>
        <v>15.833333333333336</v>
      </c>
      <c r="H2590" t="s">
        <v>359</v>
      </c>
    </row>
    <row r="2591" spans="1:12" x14ac:dyDescent="0.25">
      <c r="A2591" s="15" t="s">
        <v>365</v>
      </c>
      <c r="B2591" s="32">
        <v>0.77569444444444446</v>
      </c>
      <c r="C2591" t="str">
        <f>'Inventory as of 12th Aug 2024'!A135</f>
        <v>Bella Tissue</v>
      </c>
      <c r="D2591" s="27">
        <v>1</v>
      </c>
      <c r="E2591" s="5">
        <f>Table4[[#This Row],[qty]]*(VLOOKUP(Table4[[#This Row],[item_sold]],Table1[],5,FALSE))</f>
        <v>50</v>
      </c>
      <c r="F2591" s="5">
        <f>(VLOOKUP(Table4[[#This Row],[item_sold]],Table1[],4,FALSE))*Table4[[#This Row],[qty]]</f>
        <v>35</v>
      </c>
      <c r="G2591">
        <f t="shared" si="233"/>
        <v>15</v>
      </c>
      <c r="H2591" t="s">
        <v>361</v>
      </c>
    </row>
    <row r="2592" spans="1:12" x14ac:dyDescent="0.25">
      <c r="A2592" s="15" t="s">
        <v>365</v>
      </c>
      <c r="B2592" s="32">
        <v>0.77569444444444446</v>
      </c>
      <c r="C2592" t="str">
        <f>'Inventory as of 12th Aug 2024'!A68</f>
        <v>Royco cubes</v>
      </c>
      <c r="D2592" s="27">
        <v>2</v>
      </c>
      <c r="E2592" s="5">
        <f>Table4[[#This Row],[qty]]*(VLOOKUP(Table4[[#This Row],[item_sold]],Table1[],5,FALSE))</f>
        <v>10</v>
      </c>
      <c r="F2592" s="5">
        <f>(VLOOKUP(Table4[[#This Row],[item_sold]],Table1[],4,FALSE))*Table4[[#This Row],[qty]]</f>
        <v>6</v>
      </c>
      <c r="G2592">
        <f t="shared" si="233"/>
        <v>4</v>
      </c>
      <c r="H2592" t="s">
        <v>361</v>
      </c>
    </row>
    <row r="2593" spans="1:9" x14ac:dyDescent="0.25">
      <c r="A2593" s="15" t="s">
        <v>365</v>
      </c>
      <c r="B2593" s="32">
        <v>0.78194444444444444</v>
      </c>
      <c r="C2593" t="str">
        <f>'Inventory as of 12th Aug 2024'!A244</f>
        <v>5ltrs water</v>
      </c>
      <c r="D2593" s="27">
        <v>2</v>
      </c>
      <c r="E2593" s="5">
        <f>Table4[[#This Row],[qty]]*(VLOOKUP(Table4[[#This Row],[item_sold]],Table1[],5,FALSE))</f>
        <v>240</v>
      </c>
      <c r="F2593" s="5">
        <f>(VLOOKUP(Table4[[#This Row],[item_sold]],Table1[],4,FALSE))*Table4[[#This Row],[qty]]</f>
        <v>150</v>
      </c>
      <c r="G2593">
        <f t="shared" si="233"/>
        <v>90</v>
      </c>
      <c r="H2593" t="s">
        <v>361</v>
      </c>
    </row>
    <row r="2594" spans="1:9" x14ac:dyDescent="0.25">
      <c r="A2594" s="15" t="s">
        <v>365</v>
      </c>
      <c r="B2594" s="32">
        <v>0.78194444444444444</v>
      </c>
      <c r="C2594" t="str">
        <f>'Inventory as of 12th Aug 2024'!A37</f>
        <v>Festive Bread 400g</v>
      </c>
      <c r="D2594" s="27">
        <v>2</v>
      </c>
      <c r="E2594" s="5">
        <f>Table4[[#This Row],[qty]]*(VLOOKUP(Table4[[#This Row],[item_sold]],Table1[],5,FALSE))</f>
        <v>130</v>
      </c>
      <c r="F2594" s="5">
        <f>(VLOOKUP(Table4[[#This Row],[item_sold]],Table1[],4,FALSE))*Table4[[#This Row],[qty]]</f>
        <v>120</v>
      </c>
      <c r="G2594">
        <f t="shared" si="233"/>
        <v>10</v>
      </c>
      <c r="H2594" t="s">
        <v>247</v>
      </c>
    </row>
    <row r="2595" spans="1:9" x14ac:dyDescent="0.25">
      <c r="A2595" s="15" t="s">
        <v>365</v>
      </c>
      <c r="B2595" s="32">
        <v>0.78263888888888888</v>
      </c>
      <c r="C2595" t="str">
        <f>'Inventory as of 12th Aug 2024'!A62</f>
        <v>kensalt 1kg</v>
      </c>
      <c r="D2595" s="27">
        <v>1</v>
      </c>
      <c r="E2595" s="5">
        <f>Table4[[#This Row],[qty]]*(VLOOKUP(Table4[[#This Row],[item_sold]],Table1[],5,FALSE))</f>
        <v>50</v>
      </c>
      <c r="F2595" s="5">
        <f>(VLOOKUP(Table4[[#This Row],[item_sold]],Table1[],4,FALSE))*Table4[[#This Row],[qty]]</f>
        <v>35</v>
      </c>
      <c r="G2595">
        <f t="shared" ref="G2595:G2658" si="234">E2595-F2595</f>
        <v>15</v>
      </c>
      <c r="H2595" t="s">
        <v>359</v>
      </c>
      <c r="I2595" t="s">
        <v>389</v>
      </c>
    </row>
    <row r="2596" spans="1:9" x14ac:dyDescent="0.25">
      <c r="A2596" s="15" t="s">
        <v>365</v>
      </c>
      <c r="B2596" s="32">
        <v>0.79374999999999996</v>
      </c>
      <c r="C2596" t="str">
        <f>'Inventory as of 12th Aug 2024'!A22</f>
        <v>Delamere 450g yoghurt</v>
      </c>
      <c r="D2596" s="27">
        <v>1</v>
      </c>
      <c r="E2596" s="5">
        <f>Table4[[#This Row],[qty]]*(VLOOKUP(Table4[[#This Row],[item_sold]],Table1[],5,FALSE))</f>
        <v>160</v>
      </c>
      <c r="F2596" s="5">
        <f>(VLOOKUP(Table4[[#This Row],[item_sold]],Table1[],4,FALSE))*Table4[[#This Row],[qty]]</f>
        <v>137</v>
      </c>
      <c r="G2596">
        <f t="shared" si="234"/>
        <v>23</v>
      </c>
      <c r="H2596" t="s">
        <v>361</v>
      </c>
    </row>
    <row r="2597" spans="1:9" x14ac:dyDescent="0.25">
      <c r="A2597" s="15" t="s">
        <v>365</v>
      </c>
      <c r="B2597" s="32">
        <v>0.79374999999999996</v>
      </c>
      <c r="C2597" t="str">
        <f>'Inventory as of 12th Aug 2024'!A97</f>
        <v>Garlic</v>
      </c>
      <c r="D2597" s="27">
        <v>1</v>
      </c>
      <c r="E2597" s="5">
        <f>Table4[[#This Row],[qty]]*(VLOOKUP(Table4[[#This Row],[item_sold]],Table1[],5,FALSE))</f>
        <v>30</v>
      </c>
      <c r="F2597" s="5">
        <f>(VLOOKUP(Table4[[#This Row],[item_sold]],Table1[],4,FALSE))*Table4[[#This Row],[qty]]</f>
        <v>20</v>
      </c>
      <c r="G2597">
        <f t="shared" si="234"/>
        <v>10</v>
      </c>
      <c r="H2597" t="s">
        <v>361</v>
      </c>
    </row>
    <row r="2598" spans="1:9" x14ac:dyDescent="0.25">
      <c r="A2598" s="15" t="s">
        <v>365</v>
      </c>
      <c r="B2598" s="32">
        <v>0.79374999999999996</v>
      </c>
      <c r="C2598" t="str">
        <f>'Inventory as of 12th Aug 2024'!A98</f>
        <v>Ginger</v>
      </c>
      <c r="D2598" s="27">
        <v>1</v>
      </c>
      <c r="E2598" s="5">
        <f>Table4[[#This Row],[qty]]*(VLOOKUP(Table4[[#This Row],[item_sold]],Table1[],5,FALSE))</f>
        <v>20</v>
      </c>
      <c r="F2598" s="5">
        <f>(VLOOKUP(Table4[[#This Row],[item_sold]],Table1[],4,FALSE))*Table4[[#This Row],[qty]]</f>
        <v>10</v>
      </c>
      <c r="G2598">
        <f t="shared" si="234"/>
        <v>10</v>
      </c>
      <c r="H2598" t="s">
        <v>361</v>
      </c>
    </row>
    <row r="2599" spans="1:9" x14ac:dyDescent="0.25">
      <c r="A2599" s="15" t="s">
        <v>365</v>
      </c>
      <c r="B2599" s="32">
        <v>0.80763888888888891</v>
      </c>
      <c r="C2599" t="str">
        <f>'Inventory as of 12th Aug 2024'!A190</f>
        <v>Goodday Cookies</v>
      </c>
      <c r="D2599" s="27">
        <v>4</v>
      </c>
      <c r="E2599" s="5">
        <f>Table4[[#This Row],[qty]]*(VLOOKUP(Table4[[#This Row],[item_sold]],Table1[],5,FALSE))</f>
        <v>60</v>
      </c>
      <c r="F2599" s="5">
        <f>(VLOOKUP(Table4[[#This Row],[item_sold]],Table1[],4,FALSE))*Table4[[#This Row],[qty]]</f>
        <v>37.333333333333336</v>
      </c>
      <c r="G2599">
        <f t="shared" si="234"/>
        <v>22.666666666666664</v>
      </c>
      <c r="H2599" t="s">
        <v>361</v>
      </c>
    </row>
    <row r="2600" spans="1:9" x14ac:dyDescent="0.25">
      <c r="A2600" s="15" t="s">
        <v>365</v>
      </c>
      <c r="B2600" s="32">
        <v>0.81458333333333333</v>
      </c>
      <c r="C2600" t="str">
        <f>'Inventory as of 12th Aug 2024'!A58</f>
        <v>Safari</v>
      </c>
      <c r="D2600" s="27">
        <v>4</v>
      </c>
      <c r="E2600" s="5">
        <f>Table4[[#This Row],[qty]]*(VLOOKUP(Table4[[#This Row],[item_sold]],Table1[],5,FALSE))</f>
        <v>60</v>
      </c>
      <c r="F2600" s="5">
        <f>(VLOOKUP(Table4[[#This Row],[item_sold]],Table1[],4,FALSE))*Table4[[#This Row],[qty]]</f>
        <v>34</v>
      </c>
      <c r="G2600">
        <f t="shared" si="234"/>
        <v>26</v>
      </c>
      <c r="H2600" t="s">
        <v>247</v>
      </c>
    </row>
    <row r="2601" spans="1:9" x14ac:dyDescent="0.25">
      <c r="A2601" s="15" t="s">
        <v>365</v>
      </c>
      <c r="B2601" s="32">
        <v>0.84375</v>
      </c>
      <c r="C2601" t="str">
        <f>'Inventory as of 12th Aug 2024'!A8</f>
        <v>eggs</v>
      </c>
      <c r="D2601" s="27">
        <v>2</v>
      </c>
      <c r="E2601" s="5">
        <f>Table4[[#This Row],[qty]]*(VLOOKUP(Table4[[#This Row],[item_sold]],Table1[],5,FALSE))</f>
        <v>40</v>
      </c>
      <c r="F2601" s="5">
        <f>(VLOOKUP(Table4[[#This Row],[item_sold]],Table1[],4,FALSE))*Table4[[#This Row],[qty]]</f>
        <v>28.666666666666668</v>
      </c>
      <c r="G2601">
        <f t="shared" si="234"/>
        <v>11.333333333333332</v>
      </c>
      <c r="H2601" t="s">
        <v>361</v>
      </c>
    </row>
    <row r="2602" spans="1:9" x14ac:dyDescent="0.25">
      <c r="A2602" s="15" t="s">
        <v>365</v>
      </c>
      <c r="B2602" s="32">
        <v>0.8520833333333333</v>
      </c>
      <c r="C2602" t="str">
        <f>'Inventory as of 12th Aug 2024'!A16</f>
        <v>Mt kenya milk 500ml</v>
      </c>
      <c r="D2602" s="27">
        <v>1</v>
      </c>
      <c r="E2602" s="5">
        <f>Table4[[#This Row],[qty]]*(VLOOKUP(Table4[[#This Row],[item_sold]],Table1[],5,FALSE))</f>
        <v>65</v>
      </c>
      <c r="F2602" s="5">
        <f>(VLOOKUP(Table4[[#This Row],[item_sold]],Table1[],4,FALSE))*Table4[[#This Row],[qty]]</f>
        <v>48.333333333333336</v>
      </c>
      <c r="G2602">
        <f t="shared" si="234"/>
        <v>16.666666666666664</v>
      </c>
      <c r="H2602" t="s">
        <v>361</v>
      </c>
    </row>
    <row r="2603" spans="1:9" x14ac:dyDescent="0.25">
      <c r="A2603" s="15" t="s">
        <v>432</v>
      </c>
      <c r="B2603" s="32">
        <v>0.31944444444444442</v>
      </c>
      <c r="C2603" t="str">
        <f>'Inventory as of 12th Aug 2024'!A92</f>
        <v>Banana</v>
      </c>
      <c r="D2603" s="27">
        <v>3</v>
      </c>
      <c r="E2603" s="5">
        <f>Table4[[#This Row],[qty]]*(VLOOKUP(Table4[[#This Row],[item_sold]],Table1[],5,FALSE))</f>
        <v>30</v>
      </c>
      <c r="F2603" s="5">
        <f>(VLOOKUP(Table4[[#This Row],[item_sold]],Table1[],4,FALSE))*Table4[[#This Row],[qty]]</f>
        <v>25</v>
      </c>
      <c r="G2603">
        <f t="shared" si="234"/>
        <v>5</v>
      </c>
      <c r="H2603" t="s">
        <v>361</v>
      </c>
    </row>
    <row r="2604" spans="1:9" x14ac:dyDescent="0.25">
      <c r="A2604" s="15" t="s">
        <v>432</v>
      </c>
      <c r="B2604" s="32">
        <v>0.31944444444444442</v>
      </c>
      <c r="C2604" t="str">
        <f>'Inventory as of 12th Aug 2024'!A33</f>
        <v>BB Bread 400g</v>
      </c>
      <c r="D2604" s="27">
        <v>1</v>
      </c>
      <c r="E2604" s="5">
        <f>Table4[[#This Row],[qty]]*(VLOOKUP(Table4[[#This Row],[item_sold]],Table1[],5,FALSE))</f>
        <v>65</v>
      </c>
      <c r="F2604" s="5">
        <f>(VLOOKUP(Table4[[#This Row],[item_sold]],Table1[],4,FALSE))*Table4[[#This Row],[qty]]</f>
        <v>60</v>
      </c>
      <c r="G2604">
        <f t="shared" si="234"/>
        <v>5</v>
      </c>
      <c r="H2604" t="s">
        <v>359</v>
      </c>
      <c r="I2604" t="s">
        <v>384</v>
      </c>
    </row>
    <row r="2605" spans="1:9" x14ac:dyDescent="0.25">
      <c r="A2605" s="15" t="s">
        <v>432</v>
      </c>
      <c r="B2605" s="32">
        <v>0.32222222222222224</v>
      </c>
      <c r="C2605" t="str">
        <f>'Inventory as of 12th Aug 2024'!A33</f>
        <v>BB Bread 400g</v>
      </c>
      <c r="D2605" s="27">
        <v>2</v>
      </c>
      <c r="E2605" s="5">
        <f>Table4[[#This Row],[qty]]*(VLOOKUP(Table4[[#This Row],[item_sold]],Table1[],5,FALSE))</f>
        <v>130</v>
      </c>
      <c r="F2605" s="5">
        <f>(VLOOKUP(Table4[[#This Row],[item_sold]],Table1[],4,FALSE))*Table4[[#This Row],[qty]]</f>
        <v>120</v>
      </c>
      <c r="G2605">
        <f t="shared" si="234"/>
        <v>10</v>
      </c>
      <c r="H2605" t="s">
        <v>359</v>
      </c>
      <c r="I2605" t="s">
        <v>385</v>
      </c>
    </row>
    <row r="2606" spans="1:9" x14ac:dyDescent="0.25">
      <c r="A2606" s="15" t="s">
        <v>432</v>
      </c>
      <c r="B2606" s="32">
        <v>0.32222222222222224</v>
      </c>
      <c r="C2606" t="str">
        <f>'Inventory as of 12th Aug 2024'!A16</f>
        <v>Mt kenya milk 500ml</v>
      </c>
      <c r="D2606" s="27">
        <v>1</v>
      </c>
      <c r="E2606" s="5">
        <f>Table4[[#This Row],[qty]]*(VLOOKUP(Table4[[#This Row],[item_sold]],Table1[],5,FALSE))</f>
        <v>65</v>
      </c>
      <c r="F2606" s="5">
        <f>(VLOOKUP(Table4[[#This Row],[item_sold]],Table1[],4,FALSE))*Table4[[#This Row],[qty]]</f>
        <v>48.333333333333336</v>
      </c>
      <c r="G2606">
        <f t="shared" si="234"/>
        <v>16.666666666666664</v>
      </c>
      <c r="H2606" t="s">
        <v>359</v>
      </c>
      <c r="I2606" t="s">
        <v>385</v>
      </c>
    </row>
    <row r="2607" spans="1:9" x14ac:dyDescent="0.25">
      <c r="A2607" s="15" t="s">
        <v>432</v>
      </c>
      <c r="B2607" s="32">
        <v>0.3611111111111111</v>
      </c>
      <c r="C2607" t="str">
        <f>'Inventory as of 12th Aug 2024'!A33</f>
        <v>BB Bread 400g</v>
      </c>
      <c r="D2607" s="27">
        <v>1</v>
      </c>
      <c r="E2607" s="5">
        <f>Table4[[#This Row],[qty]]*(VLOOKUP(Table4[[#This Row],[item_sold]],Table1[],5,FALSE))</f>
        <v>65</v>
      </c>
      <c r="F2607" s="5">
        <f>(VLOOKUP(Table4[[#This Row],[item_sold]],Table1[],4,FALSE))*Table4[[#This Row],[qty]]</f>
        <v>60</v>
      </c>
      <c r="G2607">
        <f t="shared" si="234"/>
        <v>5</v>
      </c>
      <c r="H2607" t="s">
        <v>359</v>
      </c>
      <c r="I2607" t="s">
        <v>392</v>
      </c>
    </row>
    <row r="2608" spans="1:9" x14ac:dyDescent="0.25">
      <c r="A2608" s="15" t="s">
        <v>432</v>
      </c>
      <c r="B2608" s="32">
        <v>0.38263888888888886</v>
      </c>
      <c r="C2608" t="str">
        <f>'Inventory as of 12th Aug 2024'!A244</f>
        <v>5ltrs water</v>
      </c>
      <c r="D2608" s="27">
        <v>1</v>
      </c>
      <c r="E2608" s="5">
        <f>Table4[[#This Row],[qty]]*(VLOOKUP(Table4[[#This Row],[item_sold]],Table1[],5,FALSE))</f>
        <v>120</v>
      </c>
      <c r="F2608" s="5">
        <f>(VLOOKUP(Table4[[#This Row],[item_sold]],Table1[],4,FALSE))*Table4[[#This Row],[qty]]</f>
        <v>75</v>
      </c>
      <c r="G2608">
        <f t="shared" si="234"/>
        <v>45</v>
      </c>
      <c r="H2608" t="s">
        <v>247</v>
      </c>
    </row>
    <row r="2609" spans="1:9" x14ac:dyDescent="0.25">
      <c r="A2609" s="15" t="s">
        <v>432</v>
      </c>
      <c r="B2609" s="32">
        <v>0.38263888888888886</v>
      </c>
      <c r="C2609" t="str">
        <f>'Inventory as of 12th Aug 2024'!A135</f>
        <v>Bella Tissue</v>
      </c>
      <c r="D2609" s="27">
        <v>2</v>
      </c>
      <c r="E2609" s="5">
        <f>Table4[[#This Row],[qty]]*(VLOOKUP(Table4[[#This Row],[item_sold]],Table1[],5,FALSE))</f>
        <v>100</v>
      </c>
      <c r="F2609" s="5">
        <f>(VLOOKUP(Table4[[#This Row],[item_sold]],Table1[],4,FALSE))*Table4[[#This Row],[qty]]</f>
        <v>70</v>
      </c>
      <c r="G2609">
        <f t="shared" si="234"/>
        <v>30</v>
      </c>
      <c r="H2609" t="s">
        <v>247</v>
      </c>
    </row>
    <row r="2610" spans="1:9" x14ac:dyDescent="0.25">
      <c r="A2610" s="15" t="s">
        <v>432</v>
      </c>
      <c r="B2610" s="32">
        <v>0.38263888888888886</v>
      </c>
      <c r="C2610" t="str">
        <f>'Inventory as of 12th Aug 2024'!A5</f>
        <v>Airtel 20 Credit</v>
      </c>
      <c r="D2610" s="27">
        <v>1</v>
      </c>
      <c r="E2610" s="5">
        <f>Table4[[#This Row],[qty]]*(VLOOKUP(Table4[[#This Row],[item_sold]],Table1[],5,FALSE))</f>
        <v>20</v>
      </c>
      <c r="F2610" s="5">
        <f>(VLOOKUP(Table4[[#This Row],[item_sold]],Table1[],4,FALSE))*Table4[[#This Row],[qty]]</f>
        <v>18</v>
      </c>
      <c r="G2610">
        <f t="shared" si="234"/>
        <v>2</v>
      </c>
      <c r="H2610" t="s">
        <v>247</v>
      </c>
    </row>
    <row r="2611" spans="1:9" x14ac:dyDescent="0.25">
      <c r="A2611" s="15" t="s">
        <v>432</v>
      </c>
      <c r="B2611" s="32">
        <v>0.40555555555555556</v>
      </c>
      <c r="C2611" t="str">
        <f>'Inventory as of 12th Aug 2024'!A33</f>
        <v>BB Bread 400g</v>
      </c>
      <c r="D2611" s="27">
        <v>2</v>
      </c>
      <c r="E2611" s="5">
        <f>Table4[[#This Row],[qty]]*(VLOOKUP(Table4[[#This Row],[item_sold]],Table1[],5,FALSE))</f>
        <v>130</v>
      </c>
      <c r="F2611" s="5">
        <f>(VLOOKUP(Table4[[#This Row],[item_sold]],Table1[],4,FALSE))*Table4[[#This Row],[qty]]</f>
        <v>120</v>
      </c>
      <c r="G2611">
        <f t="shared" si="234"/>
        <v>10</v>
      </c>
      <c r="H2611" t="s">
        <v>361</v>
      </c>
    </row>
    <row r="2612" spans="1:9" x14ac:dyDescent="0.25">
      <c r="A2612" s="15" t="s">
        <v>432</v>
      </c>
      <c r="B2612" s="32">
        <v>0.40555555555555556</v>
      </c>
      <c r="C2612" t="str">
        <f>'Inventory as of 12th Aug 2024'!A149</f>
        <v>Arimis small</v>
      </c>
      <c r="D2612" s="27">
        <v>1</v>
      </c>
      <c r="E2612" s="5">
        <f>Table4[[#This Row],[qty]]*(VLOOKUP(Table4[[#This Row],[item_sold]],Table1[],5,FALSE))</f>
        <v>35</v>
      </c>
      <c r="F2612" s="5">
        <f>(VLOOKUP(Table4[[#This Row],[item_sold]],Table1[],4,FALSE))*Table4[[#This Row],[qty]]</f>
        <v>23.333333333333332</v>
      </c>
      <c r="G2612">
        <f t="shared" si="234"/>
        <v>11.666666666666668</v>
      </c>
      <c r="H2612" t="s">
        <v>247</v>
      </c>
    </row>
    <row r="2613" spans="1:9" x14ac:dyDescent="0.25">
      <c r="A2613" s="15" t="s">
        <v>432</v>
      </c>
      <c r="B2613" s="32">
        <v>0.42152777777777778</v>
      </c>
      <c r="C2613" t="str">
        <f>'Inventory as of 12th Aug 2024'!A120</f>
        <v>Maramoja</v>
      </c>
      <c r="D2613" s="27">
        <v>3</v>
      </c>
      <c r="E2613" s="5">
        <f>Table4[[#This Row],[qty]]*(VLOOKUP(Table4[[#This Row],[item_sold]],Table1[],5,FALSE))</f>
        <v>30</v>
      </c>
      <c r="F2613" s="5">
        <f>(VLOOKUP(Table4[[#This Row],[item_sold]],Table1[],4,FALSE))*Table4[[#This Row],[qty]]</f>
        <v>21</v>
      </c>
      <c r="G2613">
        <f t="shared" si="234"/>
        <v>9</v>
      </c>
      <c r="H2613" t="s">
        <v>247</v>
      </c>
    </row>
    <row r="2614" spans="1:9" x14ac:dyDescent="0.25">
      <c r="A2614" s="15" t="s">
        <v>432</v>
      </c>
      <c r="B2614" s="32">
        <v>0.44444444444444442</v>
      </c>
      <c r="C2614" t="str">
        <f>'Inventory as of 12th Aug 2024'!A58</f>
        <v>Safari</v>
      </c>
      <c r="D2614" s="27">
        <v>1</v>
      </c>
      <c r="E2614" s="5">
        <f>Table4[[#This Row],[qty]]*(VLOOKUP(Table4[[#This Row],[item_sold]],Table1[],5,FALSE))</f>
        <v>15</v>
      </c>
      <c r="F2614" s="5">
        <f>(VLOOKUP(Table4[[#This Row],[item_sold]],Table1[],4,FALSE))*Table4[[#This Row],[qty]]</f>
        <v>8.5</v>
      </c>
      <c r="G2614">
        <f t="shared" si="234"/>
        <v>6.5</v>
      </c>
      <c r="H2614" t="s">
        <v>361</v>
      </c>
    </row>
    <row r="2615" spans="1:9" x14ac:dyDescent="0.25">
      <c r="A2615" s="15" t="s">
        <v>432</v>
      </c>
      <c r="B2615" s="32">
        <v>0.45416666666666666</v>
      </c>
      <c r="C2615" t="str">
        <f>'Inventory as of 12th Aug 2024'!A86</f>
        <v>Downy sunrise fresh</v>
      </c>
      <c r="D2615" s="27">
        <v>2</v>
      </c>
      <c r="E2615" s="5">
        <f>Table4[[#This Row],[qty]]*(VLOOKUP(Table4[[#This Row],[item_sold]],Table1[],5,FALSE))</f>
        <v>40</v>
      </c>
      <c r="F2615" s="5">
        <f>(VLOOKUP(Table4[[#This Row],[item_sold]],Table1[],4,FALSE))*Table4[[#This Row],[qty]]</f>
        <v>34.666666666666664</v>
      </c>
      <c r="G2615">
        <f t="shared" si="234"/>
        <v>5.3333333333333357</v>
      </c>
      <c r="H2615" t="s">
        <v>359</v>
      </c>
      <c r="I2615" t="s">
        <v>398</v>
      </c>
    </row>
    <row r="2616" spans="1:9" x14ac:dyDescent="0.25">
      <c r="A2616" s="15" t="s">
        <v>432</v>
      </c>
      <c r="B2616" s="32">
        <v>0.46666666666666667</v>
      </c>
      <c r="C2616" t="str">
        <f>'Inventory as of 12th Aug 2024'!A207</f>
        <v>soda 350ml plastic</v>
      </c>
      <c r="D2616" s="27">
        <v>1</v>
      </c>
      <c r="E2616" s="5">
        <f>Table4[[#This Row],[qty]]*(VLOOKUP(Table4[[#This Row],[item_sold]],Table1[],5,FALSE))</f>
        <v>50</v>
      </c>
      <c r="F2616" s="5">
        <f>(VLOOKUP(Table4[[#This Row],[item_sold]],Table1[],4,FALSE))*Table4[[#This Row],[qty]]</f>
        <v>41.666666666666664</v>
      </c>
      <c r="G2616">
        <f t="shared" si="234"/>
        <v>8.3333333333333357</v>
      </c>
      <c r="H2616" t="s">
        <v>247</v>
      </c>
    </row>
    <row r="2617" spans="1:9" x14ac:dyDescent="0.25">
      <c r="A2617" s="15" t="s">
        <v>432</v>
      </c>
      <c r="B2617" s="32">
        <v>0.46736111111111112</v>
      </c>
      <c r="C2617" t="str">
        <f>'Inventory as of 12th Aug 2024'!A83</f>
        <v>omo 75g</v>
      </c>
      <c r="D2617" s="27">
        <v>1</v>
      </c>
      <c r="E2617" s="5">
        <f>Table4[[#This Row],[qty]]*(VLOOKUP(Table4[[#This Row],[item_sold]],Table1[],5,FALSE))</f>
        <v>35</v>
      </c>
      <c r="F2617" s="5">
        <f>(VLOOKUP(Table4[[#This Row],[item_sold]],Table1[],4,FALSE))*Table4[[#This Row],[qty]]</f>
        <v>27.5</v>
      </c>
      <c r="G2617">
        <f t="shared" si="234"/>
        <v>7.5</v>
      </c>
      <c r="H2617" t="s">
        <v>247</v>
      </c>
    </row>
    <row r="2618" spans="1:9" x14ac:dyDescent="0.25">
      <c r="A2618" s="15" t="s">
        <v>432</v>
      </c>
      <c r="B2618" s="32">
        <v>0.46736111111111112</v>
      </c>
      <c r="C2618" t="str">
        <f>'Inventory as of 12th Aug 2024'!A86</f>
        <v>Downy sunrise fresh</v>
      </c>
      <c r="D2618" s="27">
        <v>2</v>
      </c>
      <c r="E2618" s="5">
        <f>Table4[[#This Row],[qty]]*(VLOOKUP(Table4[[#This Row],[item_sold]],Table1[],5,FALSE))</f>
        <v>40</v>
      </c>
      <c r="F2618" s="5">
        <f>(VLOOKUP(Table4[[#This Row],[item_sold]],Table1[],4,FALSE))*Table4[[#This Row],[qty]]</f>
        <v>34.666666666666664</v>
      </c>
      <c r="G2618">
        <f t="shared" si="234"/>
        <v>5.3333333333333357</v>
      </c>
      <c r="H2618" t="s">
        <v>247</v>
      </c>
    </row>
    <row r="2619" spans="1:9" x14ac:dyDescent="0.25">
      <c r="A2619" s="15" t="s">
        <v>432</v>
      </c>
      <c r="B2619" s="32">
        <v>0.46736111111111112</v>
      </c>
      <c r="C2619" t="str">
        <f>'Inventory as of 12th Aug 2024'!A200</f>
        <v>Ngumu</v>
      </c>
      <c r="D2619" s="27">
        <v>2</v>
      </c>
      <c r="E2619" s="5">
        <f>Table4[[#This Row],[qty]]*(VLOOKUP(Table4[[#This Row],[item_sold]],Table1[],5,FALSE))</f>
        <v>20</v>
      </c>
      <c r="F2619" s="5">
        <f>(VLOOKUP(Table4[[#This Row],[item_sold]],Table1[],4,FALSE))*Table4[[#This Row],[qty]]</f>
        <v>16.666666666666668</v>
      </c>
      <c r="G2619">
        <f t="shared" si="234"/>
        <v>3.3333333333333321</v>
      </c>
      <c r="H2619" t="s">
        <v>247</v>
      </c>
    </row>
    <row r="2620" spans="1:9" x14ac:dyDescent="0.25">
      <c r="A2620" s="15" t="s">
        <v>432</v>
      </c>
      <c r="B2620" s="32">
        <v>0.47708333333333336</v>
      </c>
      <c r="C2620" t="str">
        <f>'Inventory as of 12th Aug 2024'!A240</f>
        <v>Bigboss</v>
      </c>
      <c r="D2620" s="27">
        <v>2</v>
      </c>
      <c r="E2620" s="5">
        <f>Table4[[#This Row],[qty]]*(VLOOKUP(Table4[[#This Row],[item_sold]],Table1[],5,FALSE))</f>
        <v>10</v>
      </c>
      <c r="F2620" s="5">
        <f>(VLOOKUP(Table4[[#This Row],[item_sold]],Table1[],4,FALSE))*Table4[[#This Row],[qty]]</f>
        <v>7</v>
      </c>
      <c r="G2620">
        <f t="shared" si="234"/>
        <v>3</v>
      </c>
      <c r="H2620" t="s">
        <v>247</v>
      </c>
    </row>
    <row r="2621" spans="1:9" x14ac:dyDescent="0.25">
      <c r="A2621" s="15" t="s">
        <v>432</v>
      </c>
      <c r="B2621" s="32">
        <v>0.47708333333333336</v>
      </c>
      <c r="C2621" t="str">
        <f>'Inventory as of 12th Aug 2024'!A243</f>
        <v>Ballon</v>
      </c>
      <c r="D2621" s="27">
        <v>1</v>
      </c>
      <c r="E2621" s="5">
        <f>Table4[[#This Row],[qty]]*(VLOOKUP(Table4[[#This Row],[item_sold]],Table1[],5,FALSE))</f>
        <v>10</v>
      </c>
      <c r="F2621" s="5">
        <f>(VLOOKUP(Table4[[#This Row],[item_sold]],Table1[],4,FALSE))*Table4[[#This Row],[qty]]</f>
        <v>7.5</v>
      </c>
      <c r="G2621">
        <f t="shared" si="234"/>
        <v>2.5</v>
      </c>
      <c r="H2621" t="s">
        <v>247</v>
      </c>
    </row>
    <row r="2622" spans="1:9" x14ac:dyDescent="0.25">
      <c r="A2622" s="15" t="s">
        <v>432</v>
      </c>
      <c r="B2622" s="32">
        <v>0.5083333333333333</v>
      </c>
      <c r="C2622" t="str">
        <f>'Inventory as of 12th Aug 2024'!A7</f>
        <v>Airtel 50 Credit</v>
      </c>
      <c r="D2622" s="27">
        <v>2</v>
      </c>
      <c r="E2622" s="5">
        <f>Table4[[#This Row],[qty]]*(VLOOKUP(Table4[[#This Row],[item_sold]],Table1[],5,FALSE))</f>
        <v>100</v>
      </c>
      <c r="F2622" s="5">
        <f>(VLOOKUP(Table4[[#This Row],[item_sold]],Table1[],4,FALSE))*Table4[[#This Row],[qty]]</f>
        <v>94</v>
      </c>
      <c r="G2622">
        <f t="shared" si="234"/>
        <v>6</v>
      </c>
      <c r="H2622" t="s">
        <v>247</v>
      </c>
    </row>
    <row r="2623" spans="1:9" x14ac:dyDescent="0.25">
      <c r="A2623" s="15" t="s">
        <v>432</v>
      </c>
      <c r="B2623" s="32">
        <v>0.53263888888888888</v>
      </c>
      <c r="C2623" t="str">
        <f>'Inventory as of 12th Aug 2024'!A37</f>
        <v>Festive Bread 400g</v>
      </c>
      <c r="D2623" s="27">
        <v>1</v>
      </c>
      <c r="E2623" s="5">
        <f>Table4[[#This Row],[qty]]*(VLOOKUP(Table4[[#This Row],[item_sold]],Table1[],5,FALSE))</f>
        <v>65</v>
      </c>
      <c r="F2623" s="5">
        <f>(VLOOKUP(Table4[[#This Row],[item_sold]],Table1[],4,FALSE))*Table4[[#This Row],[qty]]</f>
        <v>60</v>
      </c>
      <c r="G2623">
        <f t="shared" si="234"/>
        <v>5</v>
      </c>
      <c r="H2623" t="s">
        <v>361</v>
      </c>
    </row>
    <row r="2624" spans="1:9" x14ac:dyDescent="0.25">
      <c r="A2624" s="15" t="s">
        <v>432</v>
      </c>
      <c r="B2624" s="32">
        <v>0.53263888888888888</v>
      </c>
      <c r="C2624" t="str">
        <f>'Inventory as of 12th Aug 2024'!A86</f>
        <v>Downy sunrise fresh</v>
      </c>
      <c r="D2624" s="27">
        <v>2</v>
      </c>
      <c r="E2624" s="5">
        <f>Table4[[#This Row],[qty]]*(VLOOKUP(Table4[[#This Row],[item_sold]],Table1[],5,FALSE))</f>
        <v>40</v>
      </c>
      <c r="F2624" s="5">
        <f>(VLOOKUP(Table4[[#This Row],[item_sold]],Table1[],4,FALSE))*Table4[[#This Row],[qty]]</f>
        <v>34.666666666666664</v>
      </c>
      <c r="G2624">
        <f t="shared" si="234"/>
        <v>5.3333333333333357</v>
      </c>
      <c r="H2624" t="s">
        <v>361</v>
      </c>
    </row>
    <row r="2625" spans="1:12" x14ac:dyDescent="0.25">
      <c r="A2625" s="15" t="s">
        <v>432</v>
      </c>
      <c r="B2625" s="32">
        <v>0.5444444444444444</v>
      </c>
      <c r="C2625" t="str">
        <f>'Inventory as of 12th Aug 2024'!A65</f>
        <v>Tomato sauce</v>
      </c>
      <c r="D2625" s="27">
        <v>1</v>
      </c>
      <c r="E2625" s="5">
        <f>Table4[[#This Row],[qty]]*(VLOOKUP(Table4[[#This Row],[item_sold]],Table1[],5,FALSE))</f>
        <v>70</v>
      </c>
      <c r="F2625" s="5">
        <f>(VLOOKUP(Table4[[#This Row],[item_sold]],Table1[],4,FALSE))*Table4[[#This Row],[qty]]</f>
        <v>50</v>
      </c>
      <c r="G2625">
        <f t="shared" si="234"/>
        <v>20</v>
      </c>
      <c r="H2625" t="s">
        <v>247</v>
      </c>
    </row>
    <row r="2626" spans="1:12" x14ac:dyDescent="0.25">
      <c r="A2626" s="15" t="s">
        <v>432</v>
      </c>
      <c r="B2626" s="32">
        <v>0.5444444444444444</v>
      </c>
      <c r="C2626" t="str">
        <f>'Inventory as of 12th Aug 2024'!A231</f>
        <v>Patco</v>
      </c>
      <c r="D2626" s="27">
        <v>10</v>
      </c>
      <c r="E2626" s="5">
        <f>Table4[[#This Row],[qty]]*(VLOOKUP(Table4[[#This Row],[item_sold]],Table1[],5,FALSE))</f>
        <v>25</v>
      </c>
      <c r="F2626" s="5">
        <f>(VLOOKUP(Table4[[#This Row],[item_sold]],Table1[],4,FALSE))*Table4[[#This Row],[qty]]</f>
        <v>12</v>
      </c>
      <c r="G2626">
        <f t="shared" si="234"/>
        <v>13</v>
      </c>
      <c r="H2626" t="s">
        <v>247</v>
      </c>
    </row>
    <row r="2627" spans="1:12" x14ac:dyDescent="0.25">
      <c r="A2627" s="15" t="s">
        <v>432</v>
      </c>
      <c r="B2627" s="32">
        <v>0.5444444444444444</v>
      </c>
      <c r="C2627" t="str">
        <f>'Inventory as of 12th Aug 2024'!A242</f>
        <v>Icepop</v>
      </c>
      <c r="D2627" s="27">
        <v>1</v>
      </c>
      <c r="E2627" s="5">
        <f>Table4[[#This Row],[qty]]*(VLOOKUP(Table4[[#This Row],[item_sold]],Table1[],5,FALSE))</f>
        <v>15</v>
      </c>
      <c r="F2627" s="5">
        <f>(VLOOKUP(Table4[[#This Row],[item_sold]],Table1[],4,FALSE))*Table4[[#This Row],[qty]]</f>
        <v>7.5</v>
      </c>
      <c r="G2627">
        <f t="shared" si="234"/>
        <v>7.5</v>
      </c>
      <c r="H2627" t="s">
        <v>247</v>
      </c>
    </row>
    <row r="2628" spans="1:12" x14ac:dyDescent="0.25">
      <c r="A2628" s="15" t="s">
        <v>432</v>
      </c>
      <c r="B2628" s="32">
        <v>0.5444444444444444</v>
      </c>
      <c r="C2628" t="str">
        <f>'Inventory as of 12th Aug 2024'!A16</f>
        <v>Mt kenya milk 500ml</v>
      </c>
      <c r="D2628" s="27">
        <v>1</v>
      </c>
      <c r="E2628" s="5">
        <f>Table4[[#This Row],[qty]]*(VLOOKUP(Table4[[#This Row],[item_sold]],Table1[],5,FALSE))</f>
        <v>65</v>
      </c>
      <c r="F2628" s="5">
        <f>(VLOOKUP(Table4[[#This Row],[item_sold]],Table1[],4,FALSE))*Table4[[#This Row],[qty]]</f>
        <v>48.333333333333336</v>
      </c>
      <c r="G2628">
        <f t="shared" si="234"/>
        <v>16.666666666666664</v>
      </c>
      <c r="H2628" t="s">
        <v>247</v>
      </c>
    </row>
    <row r="2629" spans="1:12" x14ac:dyDescent="0.25">
      <c r="A2629" s="15" t="s">
        <v>432</v>
      </c>
      <c r="B2629" s="32">
        <v>0.5444444444444444</v>
      </c>
      <c r="C2629" t="str">
        <f>'Inventory as of 12th Aug 2024'!A234</f>
        <v>Bigdaddy</v>
      </c>
      <c r="D2629" s="27">
        <v>1</v>
      </c>
      <c r="E2629" s="5">
        <f>Table4[[#This Row],[qty]]*(VLOOKUP(Table4[[#This Row],[item_sold]],Table1[],5,FALSE))</f>
        <v>10</v>
      </c>
      <c r="F2629" s="5">
        <f>(VLOOKUP(Table4[[#This Row],[item_sold]],Table1[],4,FALSE))*Table4[[#This Row],[qty]]</f>
        <v>6</v>
      </c>
      <c r="G2629">
        <f t="shared" si="234"/>
        <v>4</v>
      </c>
      <c r="H2629" t="s">
        <v>247</v>
      </c>
    </row>
    <row r="2630" spans="1:12" x14ac:dyDescent="0.25">
      <c r="A2630" s="15" t="s">
        <v>432</v>
      </c>
      <c r="B2630" s="32">
        <v>0.56111111111111112</v>
      </c>
      <c r="C2630" t="str">
        <f>'Inventory as of 12th Aug 2024'!A213</f>
        <v>soda 500ml glass</v>
      </c>
      <c r="D2630" s="27">
        <v>1</v>
      </c>
      <c r="E2630" s="5">
        <f>Table4[[#This Row],[qty]]*(VLOOKUP(Table4[[#This Row],[item_sold]],Table1[],5,FALSE))</f>
        <v>55</v>
      </c>
      <c r="F2630" s="5">
        <f>(VLOOKUP(Table4[[#This Row],[item_sold]],Table1[],4,FALSE))*Table4[[#This Row],[qty]]</f>
        <v>50</v>
      </c>
      <c r="G2630">
        <f t="shared" si="234"/>
        <v>5</v>
      </c>
      <c r="H2630" t="s">
        <v>430</v>
      </c>
      <c r="I2630" t="s">
        <v>386</v>
      </c>
      <c r="J2630" t="s">
        <v>386</v>
      </c>
      <c r="K2630">
        <v>75</v>
      </c>
      <c r="L2630" t="s">
        <v>361</v>
      </c>
    </row>
    <row r="2631" spans="1:12" x14ac:dyDescent="0.25">
      <c r="A2631" s="15" t="s">
        <v>432</v>
      </c>
      <c r="B2631" s="32">
        <v>0.56111111111111112</v>
      </c>
      <c r="C2631" t="str">
        <f>'Inventory as of 12th Aug 2024'!A37</f>
        <v>Festive Bread 400g</v>
      </c>
      <c r="D2631" s="27">
        <v>1</v>
      </c>
      <c r="E2631" s="5">
        <f>Table4[[#This Row],[qty]]*(VLOOKUP(Table4[[#This Row],[item_sold]],Table1[],5,FALSE))</f>
        <v>65</v>
      </c>
      <c r="F2631" s="5">
        <f>(VLOOKUP(Table4[[#This Row],[item_sold]],Table1[],4,FALSE))*Table4[[#This Row],[qty]]</f>
        <v>60</v>
      </c>
      <c r="G2631">
        <f t="shared" si="234"/>
        <v>5</v>
      </c>
      <c r="H2631" t="s">
        <v>430</v>
      </c>
      <c r="I2631" t="s">
        <v>386</v>
      </c>
    </row>
    <row r="2632" spans="1:12" x14ac:dyDescent="0.25">
      <c r="A2632" s="15" t="s">
        <v>432</v>
      </c>
      <c r="B2632" s="32">
        <v>0.56111111111111112</v>
      </c>
      <c r="C2632" t="str">
        <f>'Inventory as of 12th Aug 2024'!A213</f>
        <v>soda 500ml glass</v>
      </c>
      <c r="D2632" s="27">
        <v>1</v>
      </c>
      <c r="E2632" s="5">
        <f>Table4[[#This Row],[qty]]*(VLOOKUP(Table4[[#This Row],[item_sold]],Table1[],5,FALSE))</f>
        <v>55</v>
      </c>
      <c r="F2632" s="5">
        <f>(VLOOKUP(Table4[[#This Row],[item_sold]],Table1[],4,FALSE))*Table4[[#This Row],[qty]]</f>
        <v>50</v>
      </c>
      <c r="G2632">
        <f t="shared" si="234"/>
        <v>5</v>
      </c>
      <c r="H2632" t="s">
        <v>430</v>
      </c>
      <c r="I2632" t="s">
        <v>386</v>
      </c>
    </row>
    <row r="2633" spans="1:12" x14ac:dyDescent="0.25">
      <c r="A2633" s="15" t="s">
        <v>432</v>
      </c>
      <c r="B2633" s="32">
        <v>0.56111111111111112</v>
      </c>
      <c r="C2633" t="str">
        <f>'Inventory as of 12th Aug 2024'!A198</f>
        <v>Mandazi</v>
      </c>
      <c r="D2633" s="27">
        <v>4</v>
      </c>
      <c r="E2633" s="5">
        <f>Table4[[#This Row],[qty]]*(VLOOKUP(Table4[[#This Row],[item_sold]],Table1[],5,FALSE))</f>
        <v>20</v>
      </c>
      <c r="F2633" s="5">
        <f>(VLOOKUP(Table4[[#This Row],[item_sold]],Table1[],4,FALSE))*Table4[[#This Row],[qty]]</f>
        <v>16.666666666666668</v>
      </c>
      <c r="G2633">
        <f t="shared" si="234"/>
        <v>3.3333333333333321</v>
      </c>
      <c r="H2633" t="s">
        <v>430</v>
      </c>
      <c r="I2633" t="s">
        <v>386</v>
      </c>
    </row>
    <row r="2634" spans="1:12" x14ac:dyDescent="0.25">
      <c r="A2634" s="15" t="s">
        <v>432</v>
      </c>
      <c r="B2634" s="32">
        <v>0.56111111111111112</v>
      </c>
      <c r="C2634" t="str">
        <f>'Inventory as of 12th Aug 2024'!A213</f>
        <v>soda 500ml glass</v>
      </c>
      <c r="D2634" s="27">
        <v>1</v>
      </c>
      <c r="E2634" s="5">
        <f>Table4[[#This Row],[qty]]*(VLOOKUP(Table4[[#This Row],[item_sold]],Table1[],5,FALSE))</f>
        <v>55</v>
      </c>
      <c r="F2634" s="5">
        <f>(VLOOKUP(Table4[[#This Row],[item_sold]],Table1[],4,FALSE))*Table4[[#This Row],[qty]]</f>
        <v>50</v>
      </c>
      <c r="G2634">
        <f t="shared" si="234"/>
        <v>5</v>
      </c>
      <c r="H2634" t="s">
        <v>430</v>
      </c>
      <c r="I2634" t="s">
        <v>386</v>
      </c>
    </row>
    <row r="2635" spans="1:12" x14ac:dyDescent="0.25">
      <c r="A2635" s="15" t="s">
        <v>432</v>
      </c>
      <c r="B2635" s="32">
        <v>0.56597222222222221</v>
      </c>
      <c r="C2635" t="str">
        <f>'Inventory as of 12th Aug 2024'!A58</f>
        <v>Safari</v>
      </c>
      <c r="D2635" s="27">
        <v>1</v>
      </c>
      <c r="E2635" s="5">
        <f>Table4[[#This Row],[qty]]*(VLOOKUP(Table4[[#This Row],[item_sold]],Table1[],5,FALSE))</f>
        <v>15</v>
      </c>
      <c r="F2635" s="5">
        <f>(VLOOKUP(Table4[[#This Row],[item_sold]],Table1[],4,FALSE))*Table4[[#This Row],[qty]]</f>
        <v>8.5</v>
      </c>
      <c r="G2635">
        <f t="shared" si="234"/>
        <v>6.5</v>
      </c>
      <c r="H2635" t="s">
        <v>361</v>
      </c>
    </row>
    <row r="2636" spans="1:12" x14ac:dyDescent="0.25">
      <c r="A2636" s="15" t="s">
        <v>432</v>
      </c>
      <c r="B2636" s="32">
        <v>0.57638888888888884</v>
      </c>
      <c r="C2636" t="str">
        <f>'Inventory as of 12th Aug 2024'!A58</f>
        <v>Safari</v>
      </c>
      <c r="D2636" s="27">
        <v>1</v>
      </c>
      <c r="E2636" s="5">
        <f>Table4[[#This Row],[qty]]*(VLOOKUP(Table4[[#This Row],[item_sold]],Table1[],5,FALSE))</f>
        <v>15</v>
      </c>
      <c r="F2636" s="5">
        <f>(VLOOKUP(Table4[[#This Row],[item_sold]],Table1[],4,FALSE))*Table4[[#This Row],[qty]]</f>
        <v>8.5</v>
      </c>
      <c r="G2636">
        <f t="shared" si="234"/>
        <v>6.5</v>
      </c>
      <c r="H2636" t="s">
        <v>361</v>
      </c>
    </row>
    <row r="2637" spans="1:12" x14ac:dyDescent="0.25">
      <c r="A2637" s="15" t="s">
        <v>432</v>
      </c>
      <c r="B2637" s="32">
        <v>0.57916666666666672</v>
      </c>
      <c r="C2637" t="str">
        <f>'Inventory as of 12th Aug 2024'!A44</f>
        <v>Ajab 2kg</v>
      </c>
      <c r="D2637" s="27">
        <v>1</v>
      </c>
      <c r="E2637" s="5">
        <f>Table4[[#This Row],[qty]]*(VLOOKUP(Table4[[#This Row],[item_sold]],Table1[],5,FALSE))</f>
        <v>220</v>
      </c>
      <c r="F2637" s="5">
        <f>(VLOOKUP(Table4[[#This Row],[item_sold]],Table1[],4,FALSE))*Table4[[#This Row],[qty]]</f>
        <v>175</v>
      </c>
      <c r="G2637">
        <f t="shared" si="234"/>
        <v>45</v>
      </c>
      <c r="H2637" t="s">
        <v>361</v>
      </c>
    </row>
    <row r="2638" spans="1:12" x14ac:dyDescent="0.25">
      <c r="A2638" s="15" t="s">
        <v>432</v>
      </c>
      <c r="B2638" s="32">
        <v>0.57916666666666672</v>
      </c>
      <c r="C2638" t="str">
        <f>'Inventory as of 12th Aug 2024'!A16</f>
        <v>Mt kenya milk 500ml</v>
      </c>
      <c r="D2638" s="27">
        <v>2</v>
      </c>
      <c r="E2638" s="5">
        <f>Table4[[#This Row],[qty]]*(VLOOKUP(Table4[[#This Row],[item_sold]],Table1[],5,FALSE))</f>
        <v>130</v>
      </c>
      <c r="F2638" s="5">
        <f>(VLOOKUP(Table4[[#This Row],[item_sold]],Table1[],4,FALSE))*Table4[[#This Row],[qty]]</f>
        <v>96.666666666666671</v>
      </c>
      <c r="G2638">
        <f t="shared" si="234"/>
        <v>33.333333333333329</v>
      </c>
      <c r="H2638" t="s">
        <v>361</v>
      </c>
    </row>
    <row r="2639" spans="1:12" x14ac:dyDescent="0.25">
      <c r="A2639" s="15" t="s">
        <v>432</v>
      </c>
      <c r="B2639" s="32">
        <v>0.57916666666666672</v>
      </c>
      <c r="C2639" t="str">
        <f>'Inventory as of 12th Aug 2024'!A8</f>
        <v>eggs</v>
      </c>
      <c r="D2639" s="27">
        <v>1</v>
      </c>
      <c r="E2639" s="5">
        <f>Table4[[#This Row],[qty]]*(VLOOKUP(Table4[[#This Row],[item_sold]],Table1[],5,FALSE))</f>
        <v>20</v>
      </c>
      <c r="F2639" s="5">
        <f>(VLOOKUP(Table4[[#This Row],[item_sold]],Table1[],4,FALSE))*Table4[[#This Row],[qty]]</f>
        <v>14.333333333333334</v>
      </c>
      <c r="G2639">
        <f t="shared" si="234"/>
        <v>5.6666666666666661</v>
      </c>
      <c r="H2639" t="s">
        <v>361</v>
      </c>
    </row>
    <row r="2640" spans="1:12" x14ac:dyDescent="0.25">
      <c r="A2640" s="15" t="s">
        <v>432</v>
      </c>
      <c r="B2640" s="32">
        <v>0.57916666666666672</v>
      </c>
      <c r="C2640" t="str">
        <f>'Inventory as of 12th Aug 2024'!A77</f>
        <v>Toss 100g</v>
      </c>
      <c r="D2640" s="27">
        <v>1</v>
      </c>
      <c r="E2640" s="5">
        <f>Table4[[#This Row],[qty]]*(VLOOKUP(Table4[[#This Row],[item_sold]],Table1[],5,FALSE))</f>
        <v>60</v>
      </c>
      <c r="F2640" s="5">
        <f>(VLOOKUP(Table4[[#This Row],[item_sold]],Table1[],4,FALSE))*Table4[[#This Row],[qty]]</f>
        <v>36.666666666666664</v>
      </c>
      <c r="G2640">
        <f t="shared" si="234"/>
        <v>23.333333333333336</v>
      </c>
      <c r="H2640" t="s">
        <v>361</v>
      </c>
    </row>
    <row r="2641" spans="1:12" x14ac:dyDescent="0.25">
      <c r="A2641" s="15" t="s">
        <v>432</v>
      </c>
      <c r="B2641" s="32">
        <v>0.58194444444444449</v>
      </c>
      <c r="C2641" t="str">
        <f>'Inventory as of 12th Aug 2024'!A234</f>
        <v>Bigdaddy</v>
      </c>
      <c r="D2641" s="27">
        <v>3</v>
      </c>
      <c r="E2641" s="5">
        <f>Table4[[#This Row],[qty]]*(VLOOKUP(Table4[[#This Row],[item_sold]],Table1[],5,FALSE))</f>
        <v>30</v>
      </c>
      <c r="F2641" s="5">
        <f>(VLOOKUP(Table4[[#This Row],[item_sold]],Table1[],4,FALSE))*Table4[[#This Row],[qty]]</f>
        <v>18</v>
      </c>
      <c r="G2641">
        <f t="shared" si="234"/>
        <v>12</v>
      </c>
      <c r="H2641" t="s">
        <v>247</v>
      </c>
    </row>
    <row r="2642" spans="1:12" x14ac:dyDescent="0.25">
      <c r="A2642" s="15" t="s">
        <v>432</v>
      </c>
      <c r="B2642" s="32">
        <v>0.58958333333333335</v>
      </c>
      <c r="C2642" t="str">
        <f>'Inventory as of 12th Aug 2024'!A41</f>
        <v>Indomie beef</v>
      </c>
      <c r="D2642" s="27">
        <v>1</v>
      </c>
      <c r="E2642" s="5">
        <f>Table4[[#This Row],[qty]]*(VLOOKUP(Table4[[#This Row],[item_sold]],Table1[],5,FALSE))</f>
        <v>50</v>
      </c>
      <c r="F2642" s="5">
        <f>(VLOOKUP(Table4[[#This Row],[item_sold]],Table1[],4,FALSE))*Table4[[#This Row],[qty]]</f>
        <v>38</v>
      </c>
      <c r="G2642">
        <f t="shared" si="234"/>
        <v>12</v>
      </c>
      <c r="H2642" t="s">
        <v>361</v>
      </c>
    </row>
    <row r="2643" spans="1:12" x14ac:dyDescent="0.25">
      <c r="A2643" s="15" t="s">
        <v>432</v>
      </c>
      <c r="B2643" s="32">
        <v>0.58958333333333335</v>
      </c>
      <c r="C2643" t="str">
        <f>'Inventory as of 12th Aug 2024'!A92</f>
        <v>Banana</v>
      </c>
      <c r="D2643" s="27">
        <v>1</v>
      </c>
      <c r="E2643" s="5">
        <f>Table4[[#This Row],[qty]]*(VLOOKUP(Table4[[#This Row],[item_sold]],Table1[],5,FALSE))</f>
        <v>10</v>
      </c>
      <c r="F2643" s="5">
        <f>(VLOOKUP(Table4[[#This Row],[item_sold]],Table1[],4,FALSE))*Table4[[#This Row],[qty]]</f>
        <v>8.3333333333333339</v>
      </c>
      <c r="G2643">
        <f t="shared" si="234"/>
        <v>1.6666666666666661</v>
      </c>
      <c r="H2643" t="s">
        <v>361</v>
      </c>
    </row>
    <row r="2644" spans="1:12" x14ac:dyDescent="0.25">
      <c r="A2644" s="15" t="s">
        <v>432</v>
      </c>
      <c r="B2644" s="32">
        <v>0.58958333333333335</v>
      </c>
      <c r="C2644" t="str">
        <f>'Inventory as of 12th Aug 2024'!A51</f>
        <v>Sindano rice</v>
      </c>
      <c r="D2644" s="27">
        <v>0.25</v>
      </c>
      <c r="E2644" s="5">
        <f>Table4[[#This Row],[qty]]*(VLOOKUP(Table4[[#This Row],[item_sold]],Table1[],5,FALSE))</f>
        <v>37.5</v>
      </c>
      <c r="F2644" s="5">
        <f>(VLOOKUP(Table4[[#This Row],[item_sold]],Table1[],4,FALSE))*Table4[[#This Row],[qty]]</f>
        <v>30</v>
      </c>
      <c r="G2644">
        <f t="shared" si="234"/>
        <v>7.5</v>
      </c>
      <c r="H2644" t="s">
        <v>361</v>
      </c>
    </row>
    <row r="2645" spans="1:12" x14ac:dyDescent="0.25">
      <c r="A2645" s="15" t="s">
        <v>432</v>
      </c>
      <c r="B2645" s="32">
        <v>0.59791666666666665</v>
      </c>
      <c r="C2645" t="str">
        <f>'Inventory as of 12th Aug 2024'!A42</f>
        <v>Indomie chicken</v>
      </c>
      <c r="D2645" s="27">
        <v>3</v>
      </c>
      <c r="E2645" s="5">
        <f>Table4[[#This Row],[qty]]*(VLOOKUP(Table4[[#This Row],[item_sold]],Table1[],5,FALSE))</f>
        <v>150</v>
      </c>
      <c r="F2645" s="5">
        <f>(VLOOKUP(Table4[[#This Row],[item_sold]],Table1[],4,FALSE))*Table4[[#This Row],[qty]]</f>
        <v>112.5</v>
      </c>
      <c r="G2645">
        <f t="shared" si="234"/>
        <v>37.5</v>
      </c>
      <c r="H2645" t="s">
        <v>361</v>
      </c>
    </row>
    <row r="2646" spans="1:12" x14ac:dyDescent="0.25">
      <c r="A2646" s="15" t="s">
        <v>432</v>
      </c>
      <c r="B2646" s="32">
        <v>0.59791666666666665</v>
      </c>
      <c r="C2646" t="str">
        <f>'Inventory as of 12th Aug 2024'!A200</f>
        <v>Ngumu</v>
      </c>
      <c r="D2646" s="27">
        <v>10</v>
      </c>
      <c r="E2646" s="5">
        <f>Table4[[#This Row],[qty]]*(VLOOKUP(Table4[[#This Row],[item_sold]],Table1[],5,FALSE))</f>
        <v>100</v>
      </c>
      <c r="F2646" s="5">
        <f>(VLOOKUP(Table4[[#This Row],[item_sold]],Table1[],4,FALSE))*Table4[[#This Row],[qty]]</f>
        <v>83.333333333333343</v>
      </c>
      <c r="G2646">
        <f t="shared" si="234"/>
        <v>16.666666666666657</v>
      </c>
      <c r="H2646" t="s">
        <v>361</v>
      </c>
    </row>
    <row r="2647" spans="1:12" x14ac:dyDescent="0.25">
      <c r="A2647" s="15" t="s">
        <v>432</v>
      </c>
      <c r="B2647" s="32">
        <v>0.59861111111111109</v>
      </c>
      <c r="C2647" t="str">
        <f>'Inventory as of 12th Aug 2024'!A207</f>
        <v>soda 350ml plastic</v>
      </c>
      <c r="D2647" s="27">
        <v>1</v>
      </c>
      <c r="E2647" s="5">
        <f>Table4[[#This Row],[qty]]*(VLOOKUP(Table4[[#This Row],[item_sold]],Table1[],5,FALSE))</f>
        <v>50</v>
      </c>
      <c r="F2647" s="5">
        <f>(VLOOKUP(Table4[[#This Row],[item_sold]],Table1[],4,FALSE))*Table4[[#This Row],[qty]]</f>
        <v>41.666666666666664</v>
      </c>
      <c r="G2647">
        <f t="shared" si="234"/>
        <v>8.3333333333333357</v>
      </c>
      <c r="H2647" t="s">
        <v>359</v>
      </c>
      <c r="I2647" t="s">
        <v>428</v>
      </c>
    </row>
    <row r="2648" spans="1:12" x14ac:dyDescent="0.25">
      <c r="A2648" s="15" t="s">
        <v>432</v>
      </c>
      <c r="B2648" s="32">
        <v>0.59861111111111109</v>
      </c>
      <c r="C2648" t="str">
        <f>'Inventory as of 12th Aug 2024'!A188</f>
        <v>Choc-chip Cookies</v>
      </c>
      <c r="D2648" s="27">
        <v>1</v>
      </c>
      <c r="E2648" s="5">
        <f>Table4[[#This Row],[qty]]*(VLOOKUP(Table4[[#This Row],[item_sold]],Table1[],5,FALSE))</f>
        <v>35</v>
      </c>
      <c r="F2648" s="5">
        <f>(VLOOKUP(Table4[[#This Row],[item_sold]],Table1[],4,FALSE))*Table4[[#This Row],[qty]]</f>
        <v>25</v>
      </c>
      <c r="G2648">
        <f t="shared" si="234"/>
        <v>10</v>
      </c>
      <c r="H2648" t="s">
        <v>359</v>
      </c>
      <c r="I2648" t="s">
        <v>433</v>
      </c>
    </row>
    <row r="2649" spans="1:12" x14ac:dyDescent="0.25">
      <c r="A2649" s="15" t="s">
        <v>432</v>
      </c>
      <c r="B2649" s="32">
        <v>0.59861111111111109</v>
      </c>
      <c r="C2649" t="str">
        <f>'Inventory as of 12th Aug 2024'!A177</f>
        <v>Ringoz Barbeque</v>
      </c>
      <c r="D2649" s="27">
        <v>2</v>
      </c>
      <c r="E2649" s="5">
        <f>Table4[[#This Row],[qty]]*(VLOOKUP(Table4[[#This Row],[item_sold]],Table1[],5,FALSE))</f>
        <v>30</v>
      </c>
      <c r="F2649" s="5">
        <f>(VLOOKUP(Table4[[#This Row],[item_sold]],Table1[],4,FALSE))*Table4[[#This Row],[qty]]</f>
        <v>17.2</v>
      </c>
      <c r="G2649">
        <f t="shared" si="234"/>
        <v>12.8</v>
      </c>
      <c r="H2649" t="s">
        <v>359</v>
      </c>
    </row>
    <row r="2650" spans="1:12" x14ac:dyDescent="0.25">
      <c r="A2650" s="15" t="s">
        <v>432</v>
      </c>
      <c r="B2650" s="32">
        <v>0.59930555555555554</v>
      </c>
      <c r="C2650" t="str">
        <f>'Inventory as of 12th Aug 2024'!A211</f>
        <v>predator</v>
      </c>
      <c r="D2650" s="27">
        <v>1</v>
      </c>
      <c r="E2650" s="5">
        <f>Table4[[#This Row],[qty]]*(VLOOKUP(Table4[[#This Row],[item_sold]],Table1[],5,FALSE))</f>
        <v>70</v>
      </c>
      <c r="F2650" s="5">
        <f>(VLOOKUP(Table4[[#This Row],[item_sold]],Table1[],4,FALSE))*Table4[[#This Row],[qty]]</f>
        <v>54.166666666666664</v>
      </c>
      <c r="G2650">
        <f t="shared" si="234"/>
        <v>15.833333333333336</v>
      </c>
      <c r="H2650" t="s">
        <v>430</v>
      </c>
      <c r="I2650" t="s">
        <v>401</v>
      </c>
      <c r="J2650" t="s">
        <v>401</v>
      </c>
      <c r="K2650">
        <v>60</v>
      </c>
      <c r="L2650" t="s">
        <v>247</v>
      </c>
    </row>
    <row r="2651" spans="1:12" x14ac:dyDescent="0.25">
      <c r="A2651" s="15" t="s">
        <v>432</v>
      </c>
      <c r="B2651" s="32">
        <v>0.62291666666666667</v>
      </c>
      <c r="C2651" t="str">
        <f>'Inventory as of 12th Aug 2024'!A242</f>
        <v>Icepop</v>
      </c>
      <c r="D2651" s="27">
        <v>3</v>
      </c>
      <c r="E2651" s="5">
        <f>Table4[[#This Row],[qty]]*(VLOOKUP(Table4[[#This Row],[item_sold]],Table1[],5,FALSE))</f>
        <v>45</v>
      </c>
      <c r="F2651" s="5">
        <f>(VLOOKUP(Table4[[#This Row],[item_sold]],Table1[],4,FALSE))*Table4[[#This Row],[qty]]</f>
        <v>22.5</v>
      </c>
      <c r="G2651">
        <f t="shared" si="234"/>
        <v>22.5</v>
      </c>
      <c r="H2651" t="s">
        <v>247</v>
      </c>
    </row>
    <row r="2652" spans="1:12" x14ac:dyDescent="0.25">
      <c r="A2652" s="15" t="s">
        <v>432</v>
      </c>
      <c r="B2652" s="32">
        <v>0.62291666666666667</v>
      </c>
      <c r="C2652" t="str">
        <f>'Inventory as of 12th Aug 2024'!A236</f>
        <v>Gomba</v>
      </c>
      <c r="D2652" s="27">
        <v>6</v>
      </c>
      <c r="E2652" s="5">
        <f>Table4[[#This Row],[qty]]*(VLOOKUP(Table4[[#This Row],[item_sold]],Table1[],5,FALSE))</f>
        <v>15</v>
      </c>
      <c r="F2652" s="5">
        <f>(VLOOKUP(Table4[[#This Row],[item_sold]],Table1[],4,FALSE))*Table4[[#This Row],[qty]]</f>
        <v>10.8</v>
      </c>
      <c r="G2652">
        <f t="shared" si="234"/>
        <v>4.1999999999999993</v>
      </c>
      <c r="H2652" t="s">
        <v>247</v>
      </c>
    </row>
    <row r="2653" spans="1:12" x14ac:dyDescent="0.25">
      <c r="A2653" s="15" t="s">
        <v>432</v>
      </c>
      <c r="B2653" s="32">
        <v>0.65347222222222223</v>
      </c>
      <c r="C2653" t="str">
        <f>'Inventory as of 12th Aug 2024'!A185</f>
        <v>Glucose 10g</v>
      </c>
      <c r="D2653" s="27">
        <v>2</v>
      </c>
      <c r="E2653" s="5">
        <f>Table4[[#This Row],[qty]]*(VLOOKUP(Table4[[#This Row],[item_sold]],Table1[],5,FALSE))</f>
        <v>10</v>
      </c>
      <c r="F2653" s="5">
        <f>(VLOOKUP(Table4[[#This Row],[item_sold]],Table1[],4,FALSE))*Table4[[#This Row],[qty]]</f>
        <v>7.5</v>
      </c>
      <c r="G2653">
        <f t="shared" si="234"/>
        <v>2.5</v>
      </c>
      <c r="H2653" t="s">
        <v>361</v>
      </c>
      <c r="I2653" t="s">
        <v>393</v>
      </c>
      <c r="J2653" t="s">
        <v>393</v>
      </c>
      <c r="K2653">
        <v>55</v>
      </c>
      <c r="L2653" t="s">
        <v>361</v>
      </c>
    </row>
    <row r="2654" spans="1:12" x14ac:dyDescent="0.25">
      <c r="A2654" s="15" t="s">
        <v>432</v>
      </c>
      <c r="B2654" s="32">
        <v>0.65347222222222223</v>
      </c>
      <c r="C2654" t="str">
        <f>'Inventory as of 12th Aug 2024'!A8</f>
        <v>eggs</v>
      </c>
      <c r="D2654" s="27">
        <v>2</v>
      </c>
      <c r="E2654" s="5">
        <f>Table4[[#This Row],[qty]]*(VLOOKUP(Table4[[#This Row],[item_sold]],Table1[],5,FALSE))</f>
        <v>40</v>
      </c>
      <c r="F2654" s="5">
        <f>(VLOOKUP(Table4[[#This Row],[item_sold]],Table1[],4,FALSE))*Table4[[#This Row],[qty]]</f>
        <v>28.666666666666668</v>
      </c>
      <c r="G2654">
        <f t="shared" si="234"/>
        <v>11.333333333333332</v>
      </c>
      <c r="H2654" t="s">
        <v>361</v>
      </c>
      <c r="I2654" t="s">
        <v>393</v>
      </c>
    </row>
    <row r="2655" spans="1:12" x14ac:dyDescent="0.25">
      <c r="A2655" s="15" t="s">
        <v>432</v>
      </c>
      <c r="B2655" s="32">
        <v>0.65347222222222223</v>
      </c>
      <c r="C2655" t="str">
        <f>'Inventory as of 12th Aug 2024'!A60</f>
        <v>kensalt 200g</v>
      </c>
      <c r="D2655" s="27">
        <v>1</v>
      </c>
      <c r="E2655" s="5">
        <f>Table4[[#This Row],[qty]]*(VLOOKUP(Table4[[#This Row],[item_sold]],Table1[],5,FALSE))</f>
        <v>15</v>
      </c>
      <c r="F2655" s="5">
        <f>(VLOOKUP(Table4[[#This Row],[item_sold]],Table1[],4,FALSE))*Table4[[#This Row],[qty]]</f>
        <v>5.5</v>
      </c>
      <c r="G2655">
        <f t="shared" si="234"/>
        <v>9.5</v>
      </c>
      <c r="H2655" s="8" t="s">
        <v>361</v>
      </c>
    </row>
    <row r="2656" spans="1:12" x14ac:dyDescent="0.25">
      <c r="A2656" s="15" t="s">
        <v>432</v>
      </c>
      <c r="B2656" s="32">
        <v>0.65347222222222223</v>
      </c>
      <c r="C2656" t="str">
        <f>'Inventory as of 12th Aug 2024'!A185</f>
        <v>Glucose 10g</v>
      </c>
      <c r="D2656" s="27">
        <v>2</v>
      </c>
      <c r="E2656" s="5">
        <f>Table4[[#This Row],[qty]]*(VLOOKUP(Table4[[#This Row],[item_sold]],Table1[],5,FALSE))</f>
        <v>10</v>
      </c>
      <c r="F2656" s="5">
        <f>(VLOOKUP(Table4[[#This Row],[item_sold]],Table1[],4,FALSE))*Table4[[#This Row],[qty]]</f>
        <v>7.5</v>
      </c>
      <c r="G2656">
        <f t="shared" si="234"/>
        <v>2.5</v>
      </c>
      <c r="H2656" s="8" t="s">
        <v>361</v>
      </c>
    </row>
    <row r="2657" spans="1:9" x14ac:dyDescent="0.25">
      <c r="A2657" s="15" t="s">
        <v>432</v>
      </c>
      <c r="B2657" s="32">
        <v>0.65902777777777777</v>
      </c>
      <c r="C2657" t="str">
        <f>'Inventory as of 12th Aug 2024'!A193</f>
        <v>Ginger Bisquit</v>
      </c>
      <c r="D2657" s="27">
        <v>6</v>
      </c>
      <c r="E2657" s="5">
        <f>Table4[[#This Row],[qty]]*(VLOOKUP(Table4[[#This Row],[item_sold]],Table1[],5,FALSE))</f>
        <v>30</v>
      </c>
      <c r="F2657" s="5">
        <f>(VLOOKUP(Table4[[#This Row],[item_sold]],Table1[],4,FALSE))*Table4[[#This Row],[qty]]</f>
        <v>26</v>
      </c>
      <c r="G2657">
        <f t="shared" si="234"/>
        <v>4</v>
      </c>
      <c r="H2657" t="s">
        <v>430</v>
      </c>
      <c r="I2657" t="s">
        <v>386</v>
      </c>
    </row>
    <row r="2658" spans="1:9" x14ac:dyDescent="0.25">
      <c r="A2658" s="15" t="s">
        <v>432</v>
      </c>
      <c r="B2658" s="32">
        <v>0.66180555555555554</v>
      </c>
      <c r="C2658" t="str">
        <f>'Inventory as of 12th Aug 2024'!A142</f>
        <v>Colgate Herbal 70g</v>
      </c>
      <c r="D2658" s="27">
        <v>1</v>
      </c>
      <c r="E2658" s="5">
        <f>Table4[[#This Row],[qty]]*(VLOOKUP(Table4[[#This Row],[item_sold]],Table1[],5,FALSE))</f>
        <v>160</v>
      </c>
      <c r="F2658" s="5">
        <f>(VLOOKUP(Table4[[#This Row],[item_sold]],Table1[],4,FALSE))*Table4[[#This Row],[qty]]</f>
        <v>133.33333333333334</v>
      </c>
      <c r="G2658">
        <f t="shared" si="234"/>
        <v>26.666666666666657</v>
      </c>
      <c r="H2658" t="s">
        <v>247</v>
      </c>
    </row>
    <row r="2659" spans="1:9" x14ac:dyDescent="0.25">
      <c r="A2659" s="15" t="s">
        <v>432</v>
      </c>
      <c r="B2659" s="32">
        <v>0.7055555555555556</v>
      </c>
      <c r="C2659" t="str">
        <f>'Inventory as of 12th Aug 2024'!A234</f>
        <v>Bigdaddy</v>
      </c>
      <c r="D2659" s="27">
        <v>2</v>
      </c>
      <c r="E2659" s="5">
        <f>Table4[[#This Row],[qty]]*(VLOOKUP(Table4[[#This Row],[item_sold]],Table1[],5,FALSE))</f>
        <v>20</v>
      </c>
      <c r="F2659" s="5">
        <f>(VLOOKUP(Table4[[#This Row],[item_sold]],Table1[],4,FALSE))*Table4[[#This Row],[qty]]</f>
        <v>12</v>
      </c>
      <c r="G2659">
        <f t="shared" ref="G2659:G2665" si="235">E2659-F2659</f>
        <v>8</v>
      </c>
      <c r="H2659" t="s">
        <v>247</v>
      </c>
    </row>
    <row r="2660" spans="1:9" x14ac:dyDescent="0.25">
      <c r="A2660" s="15" t="s">
        <v>432</v>
      </c>
      <c r="B2660" s="32">
        <v>0.71250000000000002</v>
      </c>
      <c r="C2660" t="str">
        <f>'Inventory as of 12th Aug 2024'!A16</f>
        <v>Mt kenya milk 500ml</v>
      </c>
      <c r="D2660" s="27">
        <v>3</v>
      </c>
      <c r="E2660" s="5">
        <f>Table4[[#This Row],[qty]]*(VLOOKUP(Table4[[#This Row],[item_sold]],Table1[],5,FALSE))</f>
        <v>195</v>
      </c>
      <c r="F2660" s="5">
        <f>(VLOOKUP(Table4[[#This Row],[item_sold]],Table1[],4,FALSE))*Table4[[#This Row],[qty]]</f>
        <v>145</v>
      </c>
      <c r="G2660">
        <f t="shared" si="235"/>
        <v>50</v>
      </c>
      <c r="H2660" s="25" t="s">
        <v>361</v>
      </c>
    </row>
    <row r="2661" spans="1:9" x14ac:dyDescent="0.25">
      <c r="A2661" s="15" t="s">
        <v>432</v>
      </c>
      <c r="B2661" s="32">
        <v>0.71250000000000002</v>
      </c>
      <c r="C2661" t="str">
        <f>'Inventory as of 12th Aug 2024'!A33</f>
        <v>BB Bread 400g</v>
      </c>
      <c r="D2661" s="27">
        <v>1</v>
      </c>
      <c r="E2661" s="5">
        <f>Table4[[#This Row],[qty]]*(VLOOKUP(Table4[[#This Row],[item_sold]],Table1[],5,FALSE))</f>
        <v>65</v>
      </c>
      <c r="F2661" s="5">
        <f>(VLOOKUP(Table4[[#This Row],[item_sold]],Table1[],4,FALSE))*Table4[[#This Row],[qty]]</f>
        <v>60</v>
      </c>
      <c r="G2661">
        <f t="shared" si="235"/>
        <v>5</v>
      </c>
      <c r="H2661" s="25" t="s">
        <v>361</v>
      </c>
    </row>
    <row r="2662" spans="1:9" x14ac:dyDescent="0.25">
      <c r="A2662" s="15" t="s">
        <v>432</v>
      </c>
      <c r="B2662" s="32">
        <v>0.71250000000000002</v>
      </c>
      <c r="C2662" t="str">
        <f>'Inventory as of 12th Aug 2024'!A187</f>
        <v>Njugu</v>
      </c>
      <c r="D2662" s="27">
        <v>2</v>
      </c>
      <c r="E2662" s="5">
        <f>Table4[[#This Row],[qty]]*(VLOOKUP(Table4[[#This Row],[item_sold]],Table1[],5,FALSE))</f>
        <v>40</v>
      </c>
      <c r="F2662" s="5">
        <f>(VLOOKUP(Table4[[#This Row],[item_sold]],Table1[],4,FALSE))*Table4[[#This Row],[qty]]</f>
        <v>21.333333333333332</v>
      </c>
      <c r="G2662">
        <f t="shared" si="235"/>
        <v>18.666666666666668</v>
      </c>
      <c r="H2662" s="25" t="s">
        <v>361</v>
      </c>
    </row>
    <row r="2663" spans="1:9" x14ac:dyDescent="0.25">
      <c r="A2663" s="15" t="s">
        <v>432</v>
      </c>
      <c r="B2663" s="32">
        <v>0.72013888888888888</v>
      </c>
      <c r="C2663" t="str">
        <f>'Inventory as of 12th Aug 2024'!A22</f>
        <v>Delamere 450g yoghurt</v>
      </c>
      <c r="D2663" s="27">
        <v>1</v>
      </c>
      <c r="E2663" s="5">
        <f>Table4[[#This Row],[qty]]*(VLOOKUP(Table4[[#This Row],[item_sold]],Table1[],5,FALSE))</f>
        <v>160</v>
      </c>
      <c r="F2663" s="5">
        <f>(VLOOKUP(Table4[[#This Row],[item_sold]],Table1[],4,FALSE))*Table4[[#This Row],[qty]]</f>
        <v>137</v>
      </c>
      <c r="G2663">
        <f t="shared" si="235"/>
        <v>23</v>
      </c>
      <c r="H2663" t="s">
        <v>361</v>
      </c>
    </row>
    <row r="2664" spans="1:9" x14ac:dyDescent="0.25">
      <c r="A2664" s="15" t="s">
        <v>432</v>
      </c>
      <c r="B2664" s="32">
        <v>0.72013888888888888</v>
      </c>
      <c r="C2664" t="str">
        <f>'Inventory as of 12th Aug 2024'!A8</f>
        <v>eggs</v>
      </c>
      <c r="D2664" s="27">
        <v>3</v>
      </c>
      <c r="E2664" s="5">
        <f>Table4[[#This Row],[qty]]*(VLOOKUP(Table4[[#This Row],[item_sold]],Table1[],5,FALSE))</f>
        <v>60</v>
      </c>
      <c r="F2664" s="5">
        <f>(VLOOKUP(Table4[[#This Row],[item_sold]],Table1[],4,FALSE))*Table4[[#This Row],[qty]]</f>
        <v>43</v>
      </c>
      <c r="G2664">
        <f t="shared" si="235"/>
        <v>17</v>
      </c>
      <c r="H2664" t="s">
        <v>361</v>
      </c>
    </row>
    <row r="2665" spans="1:9" x14ac:dyDescent="0.25">
      <c r="A2665" s="15" t="s">
        <v>432</v>
      </c>
      <c r="B2665" s="32">
        <v>0.72013888888888888</v>
      </c>
      <c r="C2665" t="str">
        <f>'Inventory as of 12th Aug 2024'!A172</f>
        <v>Carrier bag small</v>
      </c>
      <c r="D2665" s="27">
        <v>1</v>
      </c>
      <c r="E2665" s="5">
        <f>Table4[[#This Row],[qty]]*(VLOOKUP(Table4[[#This Row],[item_sold]],Table1[],5,FALSE))</f>
        <v>10</v>
      </c>
      <c r="F2665" s="5">
        <f>(VLOOKUP(Table4[[#This Row],[item_sold]],Table1[],4,FALSE))*Table4[[#This Row],[qty]]</f>
        <v>3</v>
      </c>
      <c r="G2665">
        <f t="shared" si="235"/>
        <v>7</v>
      </c>
      <c r="H2665" t="s">
        <v>361</v>
      </c>
    </row>
    <row r="2666" spans="1:9" x14ac:dyDescent="0.25">
      <c r="A2666" s="15" t="s">
        <v>432</v>
      </c>
      <c r="B2666" s="32">
        <v>0.75069444444444444</v>
      </c>
      <c r="C2666" t="str">
        <f>'Inventory as of 12th Aug 2024'!A41</f>
        <v>Indomie beef</v>
      </c>
      <c r="D2666" s="27">
        <v>2</v>
      </c>
      <c r="E2666" s="5">
        <f>Table4[[#This Row],[qty]]*(VLOOKUP(Table4[[#This Row],[item_sold]],Table1[],5,FALSE))</f>
        <v>100</v>
      </c>
      <c r="F2666" s="5">
        <f>(VLOOKUP(Table4[[#This Row],[item_sold]],Table1[],4,FALSE))*Table4[[#This Row],[qty]]</f>
        <v>76</v>
      </c>
      <c r="G2666">
        <f t="shared" ref="G2666:G2729" si="236">E2666-F2666</f>
        <v>24</v>
      </c>
      <c r="H2666" t="s">
        <v>361</v>
      </c>
    </row>
    <row r="2667" spans="1:9" x14ac:dyDescent="0.25">
      <c r="A2667" s="15" t="s">
        <v>432</v>
      </c>
      <c r="B2667" s="32">
        <v>0.75069444444444444</v>
      </c>
      <c r="C2667" t="str">
        <f>'Inventory as of 12th Aug 2024'!A8</f>
        <v>eggs</v>
      </c>
      <c r="D2667" s="27">
        <v>7</v>
      </c>
      <c r="E2667" s="5">
        <f>Table4[[#This Row],[qty]]*(VLOOKUP(Table4[[#This Row],[item_sold]],Table1[],5,FALSE))</f>
        <v>140</v>
      </c>
      <c r="F2667" s="5">
        <f>(VLOOKUP(Table4[[#This Row],[item_sold]],Table1[],4,FALSE))*Table4[[#This Row],[qty]]</f>
        <v>100.33333333333334</v>
      </c>
      <c r="G2667">
        <f t="shared" si="236"/>
        <v>39.666666666666657</v>
      </c>
      <c r="H2667" t="s">
        <v>361</v>
      </c>
    </row>
    <row r="2668" spans="1:9" x14ac:dyDescent="0.25">
      <c r="A2668" s="15" t="s">
        <v>432</v>
      </c>
      <c r="B2668" s="32">
        <v>0.75069444444444444</v>
      </c>
      <c r="C2668" t="str">
        <f>'Inventory as of 12th Aug 2024'!A90</f>
        <v>Onion</v>
      </c>
      <c r="D2668" s="27">
        <v>3</v>
      </c>
      <c r="E2668" s="5">
        <f>Table4[[#This Row],[qty]]*(VLOOKUP(Table4[[#This Row],[item_sold]],Table1[],5,FALSE))</f>
        <v>30</v>
      </c>
      <c r="F2668" s="5">
        <f>(VLOOKUP(Table4[[#This Row],[item_sold]],Table1[],4,FALSE))*Table4[[#This Row],[qty]]</f>
        <v>24</v>
      </c>
      <c r="G2668">
        <f t="shared" si="236"/>
        <v>6</v>
      </c>
      <c r="H2668" t="s">
        <v>361</v>
      </c>
    </row>
    <row r="2669" spans="1:9" x14ac:dyDescent="0.25">
      <c r="A2669" s="15" t="s">
        <v>432</v>
      </c>
      <c r="B2669" s="32">
        <v>0.75069444444444444</v>
      </c>
      <c r="C2669" t="str">
        <f>'Inventory as of 12th Aug 2024'!A91</f>
        <v>Tomatoes</v>
      </c>
      <c r="D2669" s="27">
        <v>5</v>
      </c>
      <c r="E2669" s="5">
        <f>Table4[[#This Row],[qty]]*(VLOOKUP(Table4[[#This Row],[item_sold]],Table1[],5,FALSE))</f>
        <v>50</v>
      </c>
      <c r="F2669" s="5">
        <f>(VLOOKUP(Table4[[#This Row],[item_sold]],Table1[],4,FALSE))*Table4[[#This Row],[qty]]</f>
        <v>25</v>
      </c>
      <c r="G2669">
        <f t="shared" si="236"/>
        <v>25</v>
      </c>
      <c r="H2669" t="s">
        <v>361</v>
      </c>
    </row>
    <row r="2670" spans="1:9" x14ac:dyDescent="0.25">
      <c r="A2670" s="15" t="s">
        <v>432</v>
      </c>
      <c r="B2670" s="32">
        <v>0.75069444444444444</v>
      </c>
      <c r="C2670" t="str">
        <f>'Inventory as of 12th Aug 2024'!A68</f>
        <v>Royco cubes</v>
      </c>
      <c r="D2670" s="27">
        <v>4</v>
      </c>
      <c r="E2670" s="5">
        <f>Table4[[#This Row],[qty]]*(VLOOKUP(Table4[[#This Row],[item_sold]],Table1[],5,FALSE))</f>
        <v>20</v>
      </c>
      <c r="F2670" s="5">
        <f>(VLOOKUP(Table4[[#This Row],[item_sold]],Table1[],4,FALSE))*Table4[[#This Row],[qty]]</f>
        <v>12</v>
      </c>
      <c r="G2670">
        <f t="shared" si="236"/>
        <v>8</v>
      </c>
      <c r="H2670" t="s">
        <v>361</v>
      </c>
    </row>
    <row r="2671" spans="1:9" x14ac:dyDescent="0.25">
      <c r="A2671" s="15" t="s">
        <v>432</v>
      </c>
      <c r="B2671" s="32">
        <v>0.75069444444444444</v>
      </c>
      <c r="C2671" t="str">
        <f>'Inventory as of 12th Aug 2024'!A70</f>
        <v>Sugar 1/2 kg</v>
      </c>
      <c r="D2671" s="27">
        <v>1</v>
      </c>
      <c r="E2671" s="5">
        <f>Table4[[#This Row],[qty]]*(VLOOKUP(Table4[[#This Row],[item_sold]],Table1[],5,FALSE))</f>
        <v>90</v>
      </c>
      <c r="F2671" s="5">
        <f>(VLOOKUP(Table4[[#This Row],[item_sold]],Table1[],4,FALSE))*Table4[[#This Row],[qty]]</f>
        <v>60</v>
      </c>
      <c r="G2671">
        <f t="shared" si="236"/>
        <v>30</v>
      </c>
      <c r="H2671" t="s">
        <v>361</v>
      </c>
    </row>
    <row r="2672" spans="1:9" x14ac:dyDescent="0.25">
      <c r="A2672" s="15" t="s">
        <v>432</v>
      </c>
      <c r="B2672" s="32">
        <v>0.75069444444444444</v>
      </c>
      <c r="C2672" t="str">
        <f>'Inventory as of 12th Aug 2024'!A77</f>
        <v>Toss 100g</v>
      </c>
      <c r="D2672" s="27">
        <v>1</v>
      </c>
      <c r="E2672" s="5">
        <f>Table4[[#This Row],[qty]]*(VLOOKUP(Table4[[#This Row],[item_sold]],Table1[],5,FALSE))</f>
        <v>60</v>
      </c>
      <c r="F2672" s="5">
        <f>(VLOOKUP(Table4[[#This Row],[item_sold]],Table1[],4,FALSE))*Table4[[#This Row],[qty]]</f>
        <v>36.666666666666664</v>
      </c>
      <c r="G2672">
        <f t="shared" si="236"/>
        <v>23.333333333333336</v>
      </c>
      <c r="H2672" t="s">
        <v>361</v>
      </c>
    </row>
    <row r="2673" spans="1:9" x14ac:dyDescent="0.25">
      <c r="A2673" s="15" t="s">
        <v>432</v>
      </c>
      <c r="B2673" s="32">
        <v>0.75138888888888888</v>
      </c>
      <c r="C2673" t="str">
        <f>'Inventory as of 12th Aug 2024'!A58</f>
        <v>Safari</v>
      </c>
      <c r="D2673" s="27">
        <v>1</v>
      </c>
      <c r="E2673" s="5">
        <f>Table4[[#This Row],[qty]]*(VLOOKUP(Table4[[#This Row],[item_sold]],Table1[],5,FALSE))</f>
        <v>15</v>
      </c>
      <c r="F2673" s="5">
        <f>(VLOOKUP(Table4[[#This Row],[item_sold]],Table1[],4,FALSE))*Table4[[#This Row],[qty]]</f>
        <v>8.5</v>
      </c>
      <c r="G2673">
        <f t="shared" si="236"/>
        <v>6.5</v>
      </c>
      <c r="H2673" t="s">
        <v>247</v>
      </c>
    </row>
    <row r="2674" spans="1:9" x14ac:dyDescent="0.25">
      <c r="A2674" s="15" t="s">
        <v>432</v>
      </c>
      <c r="B2674" s="32">
        <v>0.79513888888888884</v>
      </c>
      <c r="C2674" t="str">
        <f>'Inventory as of 12th Aug 2024'!A50</f>
        <v>Pishori rice</v>
      </c>
      <c r="D2674" s="27">
        <v>0.5</v>
      </c>
      <c r="E2674" s="5">
        <f>Table4[[#This Row],[qty]]*(VLOOKUP(Table4[[#This Row],[item_sold]],Table1[],5,FALSE))</f>
        <v>110</v>
      </c>
      <c r="F2674" s="5">
        <f>(VLOOKUP(Table4[[#This Row],[item_sold]],Table1[],4,FALSE))*Table4[[#This Row],[qty]]</f>
        <v>90</v>
      </c>
      <c r="G2674">
        <f t="shared" si="236"/>
        <v>20</v>
      </c>
      <c r="H2674" t="s">
        <v>361</v>
      </c>
    </row>
    <row r="2675" spans="1:9" x14ac:dyDescent="0.25">
      <c r="A2675" s="15" t="s">
        <v>432</v>
      </c>
      <c r="B2675" s="32">
        <v>0.79513888888888884</v>
      </c>
      <c r="C2675" t="str">
        <f>'Inventory as of 12th Aug 2024'!A49</f>
        <v>Ndengu</v>
      </c>
      <c r="D2675" s="27">
        <v>0.25</v>
      </c>
      <c r="E2675" s="5">
        <f>Table4[[#This Row],[qty]]*(VLOOKUP(Table4[[#This Row],[item_sold]],Table1[],5,FALSE))</f>
        <v>40</v>
      </c>
      <c r="F2675" s="5">
        <f>(VLOOKUP(Table4[[#This Row],[item_sold]],Table1[],4,FALSE))*Table4[[#This Row],[qty]]</f>
        <v>30</v>
      </c>
      <c r="G2675">
        <f t="shared" si="236"/>
        <v>10</v>
      </c>
      <c r="H2675" t="s">
        <v>361</v>
      </c>
    </row>
    <row r="2676" spans="1:9" x14ac:dyDescent="0.25">
      <c r="A2676" s="15" t="s">
        <v>432</v>
      </c>
      <c r="B2676" s="32">
        <v>0.79861111111111116</v>
      </c>
      <c r="C2676" t="str">
        <f>'Inventory as of 12th Aug 2024'!A121</f>
        <v>Panadol Extra</v>
      </c>
      <c r="D2676" s="27">
        <v>2</v>
      </c>
      <c r="E2676" s="5">
        <f>Table4[[#This Row],[qty]]*(VLOOKUP(Table4[[#This Row],[item_sold]],Table1[],5,FALSE))</f>
        <v>40</v>
      </c>
      <c r="F2676" s="5">
        <f>(VLOOKUP(Table4[[#This Row],[item_sold]],Table1[],4,FALSE))*Table4[[#This Row],[qty]]</f>
        <v>26</v>
      </c>
      <c r="G2676">
        <f t="shared" si="236"/>
        <v>14</v>
      </c>
      <c r="H2676" t="s">
        <v>430</v>
      </c>
      <c r="I2676" t="s">
        <v>429</v>
      </c>
    </row>
    <row r="2677" spans="1:9" x14ac:dyDescent="0.25">
      <c r="A2677" s="15" t="s">
        <v>432</v>
      </c>
      <c r="B2677" s="32">
        <v>0.79861111111111116</v>
      </c>
      <c r="C2677" t="str">
        <f>'Inventory as of 12th Aug 2024'!A68</f>
        <v>Royco cubes</v>
      </c>
      <c r="D2677" s="27">
        <v>4</v>
      </c>
      <c r="E2677" s="5">
        <f>Table4[[#This Row],[qty]]*(VLOOKUP(Table4[[#This Row],[item_sold]],Table1[],5,FALSE))</f>
        <v>20</v>
      </c>
      <c r="F2677" s="5">
        <f>(VLOOKUP(Table4[[#This Row],[item_sold]],Table1[],4,FALSE))*Table4[[#This Row],[qty]]</f>
        <v>12</v>
      </c>
      <c r="G2677">
        <f t="shared" si="236"/>
        <v>8</v>
      </c>
      <c r="H2677" t="s">
        <v>430</v>
      </c>
      <c r="I2677" t="s">
        <v>429</v>
      </c>
    </row>
    <row r="2678" spans="1:9" x14ac:dyDescent="0.25">
      <c r="A2678" s="15" t="s">
        <v>432</v>
      </c>
      <c r="B2678" s="32">
        <v>0.80763888888888891</v>
      </c>
      <c r="C2678" t="str">
        <f>'Inventory as of 12th Aug 2024'!A50</f>
        <v>Pishori rice</v>
      </c>
      <c r="D2678" s="27">
        <v>1</v>
      </c>
      <c r="E2678" s="5">
        <f>Table4[[#This Row],[qty]]*(VLOOKUP(Table4[[#This Row],[item_sold]],Table1[],5,FALSE))</f>
        <v>220</v>
      </c>
      <c r="F2678" s="5">
        <f>(VLOOKUP(Table4[[#This Row],[item_sold]],Table1[],4,FALSE))*Table4[[#This Row],[qty]]</f>
        <v>180</v>
      </c>
      <c r="G2678">
        <f t="shared" si="236"/>
        <v>40</v>
      </c>
      <c r="H2678" t="s">
        <v>247</v>
      </c>
    </row>
    <row r="2679" spans="1:9" x14ac:dyDescent="0.25">
      <c r="A2679" s="15" t="s">
        <v>432</v>
      </c>
      <c r="B2679" s="32">
        <v>0.80763888888888891</v>
      </c>
      <c r="C2679" t="str">
        <f>'Inventory as of 12th Aug 2024'!A4</f>
        <v>Safaricom 50 Credit</v>
      </c>
      <c r="D2679" s="27">
        <v>1</v>
      </c>
      <c r="E2679" s="5">
        <f>Table4[[#This Row],[qty]]*(VLOOKUP(Table4[[#This Row],[item_sold]],Table1[],5,FALSE))</f>
        <v>50</v>
      </c>
      <c r="F2679" s="5">
        <f>(VLOOKUP(Table4[[#This Row],[item_sold]],Table1[],4,FALSE))*Table4[[#This Row],[qty]]</f>
        <v>47</v>
      </c>
      <c r="G2679">
        <f t="shared" si="236"/>
        <v>3</v>
      </c>
      <c r="H2679" t="s">
        <v>247</v>
      </c>
    </row>
    <row r="2680" spans="1:9" x14ac:dyDescent="0.25">
      <c r="A2680" s="15" t="s">
        <v>432</v>
      </c>
      <c r="B2680" s="32">
        <v>0.80833333333333335</v>
      </c>
      <c r="C2680" t="str">
        <f>'Inventory as of 12th Aug 2024'!A231</f>
        <v>Patco</v>
      </c>
      <c r="D2680" s="27">
        <v>6</v>
      </c>
      <c r="E2680" s="5">
        <f>Table4[[#This Row],[qty]]*(VLOOKUP(Table4[[#This Row],[item_sold]],Table1[],5,FALSE))</f>
        <v>15</v>
      </c>
      <c r="F2680" s="5">
        <f>(VLOOKUP(Table4[[#This Row],[item_sold]],Table1[],4,FALSE))*Table4[[#This Row],[qty]]</f>
        <v>7.1999999999999993</v>
      </c>
      <c r="G2680">
        <f t="shared" si="236"/>
        <v>7.8000000000000007</v>
      </c>
      <c r="H2680" t="s">
        <v>430</v>
      </c>
      <c r="I2680" t="s">
        <v>403</v>
      </c>
    </row>
    <row r="2681" spans="1:9" x14ac:dyDescent="0.25">
      <c r="A2681" s="15" t="s">
        <v>432</v>
      </c>
      <c r="B2681" s="32">
        <v>0.80972222222222223</v>
      </c>
      <c r="C2681" t="str">
        <f>'Inventory as of 12th Aug 2024'!A59</f>
        <v>kabras sugar 1kg</v>
      </c>
      <c r="D2681" s="27">
        <v>1</v>
      </c>
      <c r="E2681" s="5">
        <f>Table4[[#This Row],[qty]]*(VLOOKUP(Table4[[#This Row],[item_sold]],Table1[],5,FALSE))</f>
        <v>180</v>
      </c>
      <c r="F2681" s="5">
        <f>(VLOOKUP(Table4[[#This Row],[item_sold]],Table1[],4,FALSE))*Table4[[#This Row],[qty]]</f>
        <v>140</v>
      </c>
      <c r="G2681">
        <f t="shared" si="236"/>
        <v>40</v>
      </c>
      <c r="H2681" t="s">
        <v>361</v>
      </c>
    </row>
    <row r="2682" spans="1:9" x14ac:dyDescent="0.25">
      <c r="A2682" s="15" t="s">
        <v>432</v>
      </c>
      <c r="B2682" s="32">
        <v>0.80972222222222223</v>
      </c>
      <c r="C2682" t="str">
        <f>'Inventory as of 12th Aug 2024'!A58</f>
        <v>Safari</v>
      </c>
      <c r="D2682" s="27">
        <v>1</v>
      </c>
      <c r="E2682" s="5">
        <f>Table4[[#This Row],[qty]]*(VLOOKUP(Table4[[#This Row],[item_sold]],Table1[],5,FALSE))</f>
        <v>15</v>
      </c>
      <c r="F2682" s="5">
        <f>(VLOOKUP(Table4[[#This Row],[item_sold]],Table1[],4,FALSE))*Table4[[#This Row],[qty]]</f>
        <v>8.5</v>
      </c>
      <c r="G2682">
        <f t="shared" si="236"/>
        <v>6.5</v>
      </c>
      <c r="H2682" t="s">
        <v>247</v>
      </c>
    </row>
    <row r="2683" spans="1:9" x14ac:dyDescent="0.25">
      <c r="A2683" s="15" t="s">
        <v>432</v>
      </c>
      <c r="B2683" s="32">
        <v>0.81041666666666667</v>
      </c>
      <c r="C2683" t="str">
        <f>'Inventory as of 12th Aug 2024'!A31</f>
        <v>Drinking Chocolate 20g</v>
      </c>
      <c r="D2683" s="27">
        <v>1</v>
      </c>
      <c r="E2683" s="5">
        <f>Table4[[#This Row],[qty]]*(VLOOKUP(Table4[[#This Row],[item_sold]],Table1[],5,FALSE))</f>
        <v>20</v>
      </c>
      <c r="F2683" s="5">
        <f>(VLOOKUP(Table4[[#This Row],[item_sold]],Table1[],4,FALSE))*Table4[[#This Row],[qty]]</f>
        <v>10.416666666666666</v>
      </c>
      <c r="G2683">
        <f t="shared" si="236"/>
        <v>9.5833333333333339</v>
      </c>
      <c r="H2683" t="s">
        <v>430</v>
      </c>
      <c r="I2683" t="s">
        <v>393</v>
      </c>
    </row>
    <row r="2684" spans="1:9" x14ac:dyDescent="0.25">
      <c r="A2684" s="15" t="s">
        <v>432</v>
      </c>
      <c r="B2684" s="32">
        <v>0.81041666666666667</v>
      </c>
      <c r="C2684" t="str">
        <f>'Inventory as of 12th Aug 2024'!A8</f>
        <v>eggs</v>
      </c>
      <c r="D2684" s="27">
        <v>1</v>
      </c>
      <c r="E2684" s="5">
        <f>Table4[[#This Row],[qty]]*(VLOOKUP(Table4[[#This Row],[item_sold]],Table1[],5,FALSE))</f>
        <v>20</v>
      </c>
      <c r="F2684" s="5">
        <f>(VLOOKUP(Table4[[#This Row],[item_sold]],Table1[],4,FALSE))*Table4[[#This Row],[qty]]</f>
        <v>14.333333333333334</v>
      </c>
      <c r="G2684">
        <f t="shared" si="236"/>
        <v>5.6666666666666661</v>
      </c>
      <c r="H2684" t="s">
        <v>430</v>
      </c>
    </row>
    <row r="2685" spans="1:9" x14ac:dyDescent="0.25">
      <c r="A2685" s="15" t="s">
        <v>432</v>
      </c>
      <c r="B2685" s="32">
        <v>0.81805555555555554</v>
      </c>
      <c r="C2685" t="str">
        <f>'Inventory as of 12th Aug 2024'!A58</f>
        <v>Safari</v>
      </c>
      <c r="D2685" s="27">
        <v>1</v>
      </c>
      <c r="E2685" s="5">
        <f>Table4[[#This Row],[qty]]*(VLOOKUP(Table4[[#This Row],[item_sold]],Table1[],5,FALSE))</f>
        <v>15</v>
      </c>
      <c r="F2685" s="5">
        <f>(VLOOKUP(Table4[[#This Row],[item_sold]],Table1[],4,FALSE))*Table4[[#This Row],[qty]]</f>
        <v>8.5</v>
      </c>
      <c r="G2685">
        <f t="shared" si="236"/>
        <v>6.5</v>
      </c>
      <c r="H2685" t="s">
        <v>361</v>
      </c>
    </row>
    <row r="2686" spans="1:9" x14ac:dyDescent="0.25">
      <c r="A2686" s="15" t="s">
        <v>432</v>
      </c>
      <c r="B2686" s="32">
        <v>0.82499999999999996</v>
      </c>
      <c r="C2686" t="str">
        <f>'Inventory as of 12th Aug 2024'!A231</f>
        <v>Patco</v>
      </c>
      <c r="D2686" s="27">
        <v>8</v>
      </c>
      <c r="E2686" s="5">
        <f>Table4[[#This Row],[qty]]*(VLOOKUP(Table4[[#This Row],[item_sold]],Table1[],5,FALSE))</f>
        <v>20</v>
      </c>
      <c r="F2686" s="5">
        <f>(VLOOKUP(Table4[[#This Row],[item_sold]],Table1[],4,FALSE))*Table4[[#This Row],[qty]]</f>
        <v>9.6</v>
      </c>
      <c r="G2686">
        <f t="shared" si="236"/>
        <v>10.4</v>
      </c>
      <c r="H2686" t="s">
        <v>361</v>
      </c>
    </row>
    <row r="2687" spans="1:9" x14ac:dyDescent="0.25">
      <c r="A2687" s="15" t="s">
        <v>432</v>
      </c>
      <c r="B2687" s="32">
        <v>0.83194444444444449</v>
      </c>
      <c r="C2687" t="str">
        <f>'Inventory as of 12th Aug 2024'!A177</f>
        <v>Ringoz Barbeque</v>
      </c>
      <c r="D2687" s="27">
        <v>4</v>
      </c>
      <c r="E2687" s="5">
        <f>Table4[[#This Row],[qty]]*(VLOOKUP(Table4[[#This Row],[item_sold]],Table1[],5,FALSE))</f>
        <v>60</v>
      </c>
      <c r="F2687" s="5">
        <f>(VLOOKUP(Table4[[#This Row],[item_sold]],Table1[],4,FALSE))*Table4[[#This Row],[qty]]</f>
        <v>34.4</v>
      </c>
      <c r="G2687">
        <f t="shared" si="236"/>
        <v>25.6</v>
      </c>
      <c r="H2687" t="s">
        <v>361</v>
      </c>
    </row>
    <row r="2688" spans="1:9" x14ac:dyDescent="0.25">
      <c r="A2688" s="15" t="s">
        <v>432</v>
      </c>
      <c r="B2688" s="32">
        <v>0.83194444444444449</v>
      </c>
      <c r="C2688" t="str">
        <f>'Inventory as of 12th Aug 2024'!A240</f>
        <v>Bigboss</v>
      </c>
      <c r="D2688" s="27">
        <v>4</v>
      </c>
      <c r="E2688" s="5">
        <f>Table4[[#This Row],[qty]]*(VLOOKUP(Table4[[#This Row],[item_sold]],Table1[],5,FALSE))</f>
        <v>20</v>
      </c>
      <c r="F2688" s="5">
        <f>(VLOOKUP(Table4[[#This Row],[item_sold]],Table1[],4,FALSE))*Table4[[#This Row],[qty]]</f>
        <v>14</v>
      </c>
      <c r="G2688">
        <f t="shared" si="236"/>
        <v>6</v>
      </c>
      <c r="H2688" t="s">
        <v>361</v>
      </c>
    </row>
    <row r="2689" spans="1:12" x14ac:dyDescent="0.25">
      <c r="A2689" s="15" t="s">
        <v>432</v>
      </c>
      <c r="B2689" s="32">
        <v>0.82708333333333328</v>
      </c>
      <c r="C2689" t="str">
        <f>'Inventory as of 12th Aug 2024'!A16</f>
        <v>Mt kenya milk 500ml</v>
      </c>
      <c r="D2689" s="27">
        <v>1</v>
      </c>
      <c r="E2689" s="5">
        <f>Table4[[#This Row],[qty]]*(VLOOKUP(Table4[[#This Row],[item_sold]],Table1[],5,FALSE))</f>
        <v>65</v>
      </c>
      <c r="F2689" s="5">
        <f>(VLOOKUP(Table4[[#This Row],[item_sold]],Table1[],4,FALSE))*Table4[[#This Row],[qty]]</f>
        <v>48.333333333333336</v>
      </c>
      <c r="G2689">
        <f t="shared" si="236"/>
        <v>16.666666666666664</v>
      </c>
      <c r="H2689" t="s">
        <v>247</v>
      </c>
    </row>
    <row r="2690" spans="1:12" x14ac:dyDescent="0.25">
      <c r="A2690" s="15" t="s">
        <v>432</v>
      </c>
      <c r="B2690" s="32">
        <v>0.82708333333333328</v>
      </c>
      <c r="C2690" t="str">
        <f>'Inventory as of 12th Aug 2024'!A201</f>
        <v>Scones</v>
      </c>
      <c r="D2690" s="27">
        <v>2</v>
      </c>
      <c r="E2690" s="5">
        <f>Table4[[#This Row],[qty]]*(VLOOKUP(Table4[[#This Row],[item_sold]],Table1[],5,FALSE))</f>
        <v>20</v>
      </c>
      <c r="F2690" s="5">
        <f>(VLOOKUP(Table4[[#This Row],[item_sold]],Table1[],4,FALSE))*Table4[[#This Row],[qty]]</f>
        <v>16.666666666666668</v>
      </c>
      <c r="G2690">
        <f t="shared" si="236"/>
        <v>3.3333333333333321</v>
      </c>
      <c r="H2690" t="s">
        <v>247</v>
      </c>
    </row>
    <row r="2691" spans="1:12" x14ac:dyDescent="0.25">
      <c r="A2691" s="15" t="s">
        <v>432</v>
      </c>
      <c r="B2691" s="32">
        <v>0.84652777777777777</v>
      </c>
      <c r="C2691" t="str">
        <f>'Inventory as of 12th Aug 2024'!A68</f>
        <v>Royco cubes</v>
      </c>
      <c r="D2691" s="27">
        <v>2</v>
      </c>
      <c r="E2691" s="5">
        <f>Table4[[#This Row],[qty]]*(VLOOKUP(Table4[[#This Row],[item_sold]],Table1[],5,FALSE))</f>
        <v>10</v>
      </c>
      <c r="F2691" s="5">
        <f>(VLOOKUP(Table4[[#This Row],[item_sold]],Table1[],4,FALSE))*Table4[[#This Row],[qty]]</f>
        <v>6</v>
      </c>
      <c r="G2691">
        <f t="shared" si="236"/>
        <v>4</v>
      </c>
      <c r="H2691" t="s">
        <v>359</v>
      </c>
      <c r="I2691" t="s">
        <v>384</v>
      </c>
    </row>
    <row r="2692" spans="1:12" x14ac:dyDescent="0.25">
      <c r="A2692" s="15" t="s">
        <v>432</v>
      </c>
      <c r="B2692" s="32">
        <v>0.84652777777777777</v>
      </c>
      <c r="C2692" t="str">
        <f>'Inventory as of 12th Aug 2024'!A131</f>
        <v>Zycet (cetrizine)</v>
      </c>
      <c r="D2692" s="27">
        <v>1</v>
      </c>
      <c r="E2692" s="5">
        <f>Table4[[#This Row],[qty]]*(VLOOKUP(Table4[[#This Row],[item_sold]],Table1[],5,FALSE))</f>
        <v>15</v>
      </c>
      <c r="F2692" s="5">
        <f>(VLOOKUP(Table4[[#This Row],[item_sold]],Table1[],4,FALSE))*Table4[[#This Row],[qty]]</f>
        <v>8</v>
      </c>
      <c r="G2692">
        <f t="shared" si="236"/>
        <v>7</v>
      </c>
      <c r="H2692" t="s">
        <v>359</v>
      </c>
    </row>
    <row r="2693" spans="1:12" x14ac:dyDescent="0.25">
      <c r="A2693" s="15" t="s">
        <v>432</v>
      </c>
      <c r="B2693" s="32">
        <v>0.84652777777777777</v>
      </c>
      <c r="C2693" t="str">
        <f>'Inventory as of 12th Aug 2024'!A192</f>
        <v>Lemon Bisquit</v>
      </c>
      <c r="D2693" s="27">
        <v>1</v>
      </c>
      <c r="E2693" s="5">
        <f>Table4[[#This Row],[qty]]*(VLOOKUP(Table4[[#This Row],[item_sold]],Table1[],5,FALSE))</f>
        <v>5</v>
      </c>
      <c r="F2693" s="5">
        <f>(VLOOKUP(Table4[[#This Row],[item_sold]],Table1[],4,FALSE))*Table4[[#This Row],[qty]]</f>
        <v>4.333333333333333</v>
      </c>
      <c r="G2693">
        <f t="shared" si="236"/>
        <v>0.66666666666666696</v>
      </c>
      <c r="H2693" t="s">
        <v>359</v>
      </c>
    </row>
    <row r="2694" spans="1:12" x14ac:dyDescent="0.25">
      <c r="A2694" s="15" t="s">
        <v>432</v>
      </c>
      <c r="B2694" s="32">
        <v>0.84722222222222221</v>
      </c>
      <c r="C2694" t="str">
        <f>'Inventory as of 12th Aug 2024'!A234</f>
        <v>Bigdaddy</v>
      </c>
      <c r="D2694" s="27">
        <v>2</v>
      </c>
      <c r="E2694" s="5">
        <f>Table4[[#This Row],[qty]]*(VLOOKUP(Table4[[#This Row],[item_sold]],Table1[],5,FALSE))</f>
        <v>20</v>
      </c>
      <c r="F2694" s="5">
        <f>(VLOOKUP(Table4[[#This Row],[item_sold]],Table1[],4,FALSE))*Table4[[#This Row],[qty]]</f>
        <v>12</v>
      </c>
      <c r="G2694">
        <f t="shared" si="236"/>
        <v>8</v>
      </c>
      <c r="H2694" t="s">
        <v>247</v>
      </c>
      <c r="I2694" t="s">
        <v>386</v>
      </c>
      <c r="J2694" t="s">
        <v>386</v>
      </c>
      <c r="K2694">
        <v>75</v>
      </c>
      <c r="L2694" t="s">
        <v>361</v>
      </c>
    </row>
    <row r="2695" spans="1:12" x14ac:dyDescent="0.25">
      <c r="A2695" s="15" t="s">
        <v>432</v>
      </c>
      <c r="B2695" s="32">
        <v>0.86805555555555558</v>
      </c>
      <c r="C2695" t="str">
        <f>'Inventory as of 12th Aug 2024'!A61</f>
        <v>kensalt 500g</v>
      </c>
      <c r="D2695" s="27">
        <v>1</v>
      </c>
      <c r="E2695" s="5">
        <f>Table4[[#This Row],[qty]]*(VLOOKUP(Table4[[#This Row],[item_sold]],Table1[],5,FALSE))</f>
        <v>25</v>
      </c>
      <c r="F2695" s="5">
        <f>(VLOOKUP(Table4[[#This Row],[item_sold]],Table1[],4,FALSE))*Table4[[#This Row],[qty]]</f>
        <v>14</v>
      </c>
      <c r="G2695">
        <f t="shared" si="236"/>
        <v>11</v>
      </c>
      <c r="H2695" t="s">
        <v>361</v>
      </c>
    </row>
    <row r="2696" spans="1:12" x14ac:dyDescent="0.25">
      <c r="A2696" s="15" t="s">
        <v>432</v>
      </c>
      <c r="B2696" s="32">
        <v>0.83750000000000002</v>
      </c>
      <c r="C2696" t="str">
        <f>'Inventory as of 12th Aug 2024'!A23</f>
        <v>kinangop 500g youghurt</v>
      </c>
      <c r="D2696" s="27">
        <v>1</v>
      </c>
      <c r="E2696" s="5">
        <f>Table4[[#This Row],[qty]]*(VLOOKUP(Table4[[#This Row],[item_sold]],Table1[],5,FALSE))</f>
        <v>120</v>
      </c>
      <c r="F2696" s="5">
        <f>(VLOOKUP(Table4[[#This Row],[item_sold]],Table1[],4,FALSE))*Table4[[#This Row],[qty]]</f>
        <v>92.5</v>
      </c>
      <c r="G2696">
        <f t="shared" si="236"/>
        <v>27.5</v>
      </c>
      <c r="H2696" t="s">
        <v>361</v>
      </c>
    </row>
    <row r="2697" spans="1:12" x14ac:dyDescent="0.25">
      <c r="A2697" s="15" t="s">
        <v>432</v>
      </c>
      <c r="B2697" s="32">
        <v>0.83750000000000002</v>
      </c>
      <c r="C2697" t="str">
        <f>'Inventory as of 12th Aug 2024'!A191</f>
        <v>Nuvita Bisquit</v>
      </c>
      <c r="D2697" s="27">
        <v>6</v>
      </c>
      <c r="E2697" s="5">
        <f>Table4[[#This Row],[qty]]*(VLOOKUP(Table4[[#This Row],[item_sold]],Table1[],5,FALSE))</f>
        <v>30</v>
      </c>
      <c r="F2697" s="5">
        <f>(VLOOKUP(Table4[[#This Row],[item_sold]],Table1[],4,FALSE))*Table4[[#This Row],[qty]]</f>
        <v>25</v>
      </c>
      <c r="G2697">
        <f t="shared" si="236"/>
        <v>5</v>
      </c>
      <c r="H2697" t="s">
        <v>361</v>
      </c>
    </row>
    <row r="2698" spans="1:12" x14ac:dyDescent="0.25">
      <c r="A2698" s="15" t="s">
        <v>432</v>
      </c>
      <c r="B2698" s="32">
        <v>0.83750000000000002</v>
      </c>
      <c r="C2698" t="str">
        <f>'Inventory as of 12th Aug 2024'!A243</f>
        <v>Ballon</v>
      </c>
      <c r="D2698" s="27">
        <v>1</v>
      </c>
      <c r="E2698" s="5">
        <f>Table4[[#This Row],[qty]]*(VLOOKUP(Table4[[#This Row],[item_sold]],Table1[],5,FALSE))</f>
        <v>10</v>
      </c>
      <c r="F2698" s="5">
        <f>(VLOOKUP(Table4[[#This Row],[item_sold]],Table1[],4,FALSE))*Table4[[#This Row],[qty]]</f>
        <v>7.5</v>
      </c>
      <c r="G2698">
        <f t="shared" si="236"/>
        <v>2.5</v>
      </c>
      <c r="H2698" t="s">
        <v>361</v>
      </c>
    </row>
    <row r="2699" spans="1:12" x14ac:dyDescent="0.25">
      <c r="A2699" s="15" t="s">
        <v>432</v>
      </c>
      <c r="B2699" s="32">
        <v>0.83819444444444446</v>
      </c>
      <c r="C2699" t="str">
        <f>'Inventory as of 12th Aug 2024'!A192</f>
        <v>Lemon Bisquit</v>
      </c>
      <c r="D2699" s="27">
        <v>4</v>
      </c>
      <c r="E2699" s="5">
        <f>Table4[[#This Row],[qty]]*(VLOOKUP(Table4[[#This Row],[item_sold]],Table1[],5,FALSE))</f>
        <v>20</v>
      </c>
      <c r="F2699" s="5">
        <f>(VLOOKUP(Table4[[#This Row],[item_sold]],Table1[],4,FALSE))*Table4[[#This Row],[qty]]</f>
        <v>17.333333333333332</v>
      </c>
      <c r="G2699">
        <f t="shared" si="236"/>
        <v>2.6666666666666679</v>
      </c>
      <c r="H2699" t="s">
        <v>247</v>
      </c>
    </row>
    <row r="2700" spans="1:12" x14ac:dyDescent="0.25">
      <c r="A2700" s="15" t="s">
        <v>432</v>
      </c>
      <c r="B2700" s="32">
        <v>0.86805555555555558</v>
      </c>
      <c r="C2700" t="str">
        <f>'Inventory as of 12th Aug 2024'!A12</f>
        <v>Kienyeji  Eggs</v>
      </c>
      <c r="D2700" s="27">
        <v>2</v>
      </c>
      <c r="E2700" s="5">
        <f>Table4[[#This Row],[qty]]*(VLOOKUP(Table4[[#This Row],[item_sold]],Table1[],5,FALSE))</f>
        <v>60</v>
      </c>
      <c r="F2700" s="5">
        <f>(VLOOKUP(Table4[[#This Row],[item_sold]],Table1[],4,FALSE))*Table4[[#This Row],[qty]]</f>
        <v>40</v>
      </c>
      <c r="G2700">
        <f t="shared" si="236"/>
        <v>20</v>
      </c>
      <c r="H2700" t="s">
        <v>430</v>
      </c>
      <c r="I2700" t="s">
        <v>398</v>
      </c>
    </row>
    <row r="2701" spans="1:12" x14ac:dyDescent="0.25">
      <c r="A2701" s="15" t="s">
        <v>432</v>
      </c>
      <c r="B2701" s="32">
        <v>0.86805555555555558</v>
      </c>
      <c r="C2701" t="str">
        <f>'Inventory as of 12th Aug 2024'!A91</f>
        <v>Tomatoes</v>
      </c>
      <c r="D2701" s="27">
        <v>1</v>
      </c>
      <c r="E2701" s="5">
        <f>Table4[[#This Row],[qty]]*(VLOOKUP(Table4[[#This Row],[item_sold]],Table1[],5,FALSE))</f>
        <v>10</v>
      </c>
      <c r="F2701" s="5">
        <f>(VLOOKUP(Table4[[#This Row],[item_sold]],Table1[],4,FALSE))*Table4[[#This Row],[qty]]</f>
        <v>5</v>
      </c>
      <c r="G2701">
        <f t="shared" si="236"/>
        <v>5</v>
      </c>
      <c r="H2701" t="s">
        <v>430</v>
      </c>
    </row>
    <row r="2702" spans="1:12" x14ac:dyDescent="0.25">
      <c r="A2702" s="15" t="s">
        <v>432</v>
      </c>
      <c r="B2702" s="32">
        <v>0.86805555555555558</v>
      </c>
      <c r="C2702" t="str">
        <f>'Inventory as of 12th Aug 2024'!A90</f>
        <v>Onion</v>
      </c>
      <c r="D2702" s="27">
        <v>1</v>
      </c>
      <c r="E2702" s="5">
        <f>Table4[[#This Row],[qty]]*(VLOOKUP(Table4[[#This Row],[item_sold]],Table1[],5,FALSE))</f>
        <v>10</v>
      </c>
      <c r="F2702" s="5">
        <f>(VLOOKUP(Table4[[#This Row],[item_sold]],Table1[],4,FALSE))*Table4[[#This Row],[qty]]</f>
        <v>8</v>
      </c>
      <c r="G2702">
        <f t="shared" si="236"/>
        <v>2</v>
      </c>
      <c r="H2702" t="s">
        <v>430</v>
      </c>
    </row>
    <row r="2703" spans="1:12" x14ac:dyDescent="0.25">
      <c r="A2703" s="15" t="s">
        <v>434</v>
      </c>
      <c r="B2703" s="32">
        <v>0.3263888888888889</v>
      </c>
      <c r="C2703" t="str">
        <f>'Inventory as of 12th Aug 2024'!A33</f>
        <v>BB Bread 400g</v>
      </c>
      <c r="D2703" s="27">
        <v>1</v>
      </c>
      <c r="E2703" s="5">
        <f>Table4[[#This Row],[qty]]*(VLOOKUP(Table4[[#This Row],[item_sold]],Table1[],5,FALSE))</f>
        <v>65</v>
      </c>
      <c r="F2703" s="5">
        <f>(VLOOKUP(Table4[[#This Row],[item_sold]],Table1[],4,FALSE))*Table4[[#This Row],[qty]]</f>
        <v>60</v>
      </c>
      <c r="G2703">
        <f t="shared" si="236"/>
        <v>5</v>
      </c>
      <c r="H2703" t="s">
        <v>430</v>
      </c>
      <c r="I2703" t="s">
        <v>390</v>
      </c>
    </row>
    <row r="2704" spans="1:12" x14ac:dyDescent="0.25">
      <c r="A2704" s="15" t="s">
        <v>434</v>
      </c>
      <c r="B2704" s="32">
        <v>0.34722222222222221</v>
      </c>
      <c r="C2704" t="str">
        <f>'Inventory as of 12th Aug 2024'!A37</f>
        <v>Festive Bread 400g</v>
      </c>
      <c r="D2704" s="27">
        <v>1</v>
      </c>
      <c r="E2704" s="5">
        <f>Table4[[#This Row],[qty]]*(VLOOKUP(Table4[[#This Row],[item_sold]],Table1[],5,FALSE))</f>
        <v>65</v>
      </c>
      <c r="F2704" s="5">
        <f>(VLOOKUP(Table4[[#This Row],[item_sold]],Table1[],4,FALSE))*Table4[[#This Row],[qty]]</f>
        <v>60</v>
      </c>
      <c r="G2704">
        <f t="shared" si="236"/>
        <v>5</v>
      </c>
      <c r="H2704" t="s">
        <v>361</v>
      </c>
    </row>
    <row r="2705" spans="1:9" x14ac:dyDescent="0.25">
      <c r="A2705" s="15" t="s">
        <v>434</v>
      </c>
      <c r="B2705" s="32">
        <v>0.34722222222222221</v>
      </c>
      <c r="C2705" t="str">
        <f>'Inventory as of 12th Aug 2024'!A16</f>
        <v>Mt kenya milk 500ml</v>
      </c>
      <c r="D2705" s="27">
        <v>1</v>
      </c>
      <c r="E2705" s="5">
        <f>Table4[[#This Row],[qty]]*(VLOOKUP(Table4[[#This Row],[item_sold]],Table1[],5,FALSE))</f>
        <v>65</v>
      </c>
      <c r="F2705" s="5">
        <f>(VLOOKUP(Table4[[#This Row],[item_sold]],Table1[],4,FALSE))*Table4[[#This Row],[qty]]</f>
        <v>48.333333333333336</v>
      </c>
      <c r="G2705">
        <f t="shared" si="236"/>
        <v>16.666666666666664</v>
      </c>
      <c r="H2705" t="s">
        <v>361</v>
      </c>
    </row>
    <row r="2706" spans="1:9" x14ac:dyDescent="0.25">
      <c r="A2706" s="15" t="s">
        <v>434</v>
      </c>
      <c r="B2706" s="32">
        <v>0.35416666666666669</v>
      </c>
      <c r="C2706" t="str">
        <f>'Inventory as of 12th Aug 2024'!A33</f>
        <v>BB Bread 400g</v>
      </c>
      <c r="D2706" s="27">
        <v>1</v>
      </c>
      <c r="E2706" s="5">
        <f>Table4[[#This Row],[qty]]*(VLOOKUP(Table4[[#This Row],[item_sold]],Table1[],5,FALSE))</f>
        <v>65</v>
      </c>
      <c r="F2706" s="5">
        <f>(VLOOKUP(Table4[[#This Row],[item_sold]],Table1[],4,FALSE))*Table4[[#This Row],[qty]]</f>
        <v>60</v>
      </c>
      <c r="G2706">
        <f t="shared" si="236"/>
        <v>5</v>
      </c>
      <c r="H2706" t="s">
        <v>247</v>
      </c>
    </row>
    <row r="2707" spans="1:9" x14ac:dyDescent="0.25">
      <c r="A2707" s="15" t="s">
        <v>434</v>
      </c>
      <c r="B2707" s="32">
        <v>0.35416666666666669</v>
      </c>
      <c r="C2707" t="str">
        <f>'Inventory as of 12th Aug 2024'!A37</f>
        <v>Festive Bread 400g</v>
      </c>
      <c r="D2707" s="27">
        <v>1</v>
      </c>
      <c r="E2707" s="5">
        <f>Table4[[#This Row],[qty]]*(VLOOKUP(Table4[[#This Row],[item_sold]],Table1[],5,FALSE))</f>
        <v>65</v>
      </c>
      <c r="F2707" s="5">
        <f>(VLOOKUP(Table4[[#This Row],[item_sold]],Table1[],4,FALSE))*Table4[[#This Row],[qty]]</f>
        <v>60</v>
      </c>
      <c r="G2707">
        <f t="shared" si="236"/>
        <v>5</v>
      </c>
      <c r="H2707" t="s">
        <v>247</v>
      </c>
    </row>
    <row r="2708" spans="1:9" x14ac:dyDescent="0.25">
      <c r="A2708" s="15" t="s">
        <v>434</v>
      </c>
      <c r="B2708" s="32">
        <v>0.37222222222222223</v>
      </c>
      <c r="C2708" t="str">
        <f>'Inventory as of 12th Aug 2024'!A84</f>
        <v>omo 20g</v>
      </c>
      <c r="D2708" s="27">
        <v>1</v>
      </c>
      <c r="E2708" s="5">
        <f>Table4[[#This Row],[qty]]*(VLOOKUP(Table4[[#This Row],[item_sold]],Table1[],5,FALSE))</f>
        <v>15</v>
      </c>
      <c r="F2708" s="5">
        <f>(VLOOKUP(Table4[[#This Row],[item_sold]],Table1[],4,FALSE))*Table4[[#This Row],[qty]]</f>
        <v>9.1666666666666661</v>
      </c>
      <c r="G2708">
        <f t="shared" si="236"/>
        <v>5.8333333333333339</v>
      </c>
      <c r="H2708" t="s">
        <v>430</v>
      </c>
      <c r="I2708" t="s">
        <v>391</v>
      </c>
    </row>
    <row r="2709" spans="1:9" x14ac:dyDescent="0.25">
      <c r="A2709" s="15" t="s">
        <v>434</v>
      </c>
      <c r="B2709" s="32">
        <v>0.37222222222222223</v>
      </c>
      <c r="C2709" t="str">
        <f>'Inventory as of 12th Aug 2024'!A58</f>
        <v>Safari</v>
      </c>
      <c r="D2709" s="27">
        <v>2</v>
      </c>
      <c r="E2709" s="5">
        <f>Table4[[#This Row],[qty]]*(VLOOKUP(Table4[[#This Row],[item_sold]],Table1[],5,FALSE))</f>
        <v>30</v>
      </c>
      <c r="F2709" s="5">
        <f>(VLOOKUP(Table4[[#This Row],[item_sold]],Table1[],4,FALSE))*Table4[[#This Row],[qty]]</f>
        <v>17</v>
      </c>
      <c r="G2709">
        <f t="shared" si="236"/>
        <v>13</v>
      </c>
      <c r="H2709" t="s">
        <v>430</v>
      </c>
      <c r="I2709" t="s">
        <v>391</v>
      </c>
    </row>
    <row r="2710" spans="1:9" x14ac:dyDescent="0.25">
      <c r="A2710" s="15" t="s">
        <v>434</v>
      </c>
      <c r="B2710" s="32">
        <v>0.375</v>
      </c>
      <c r="C2710" t="str">
        <f>'Inventory as of 12th Aug 2024'!A142</f>
        <v>Colgate Herbal 70g</v>
      </c>
      <c r="D2710" s="27">
        <v>1</v>
      </c>
      <c r="E2710" s="5">
        <f>Table4[[#This Row],[qty]]*(VLOOKUP(Table4[[#This Row],[item_sold]],Table1[],5,FALSE))</f>
        <v>160</v>
      </c>
      <c r="F2710" s="5">
        <f>(VLOOKUP(Table4[[#This Row],[item_sold]],Table1[],4,FALSE))*Table4[[#This Row],[qty]]</f>
        <v>133.33333333333334</v>
      </c>
      <c r="G2710">
        <f t="shared" si="236"/>
        <v>26.666666666666657</v>
      </c>
      <c r="H2710" t="s">
        <v>430</v>
      </c>
      <c r="I2710" t="s">
        <v>398</v>
      </c>
    </row>
    <row r="2711" spans="1:9" x14ac:dyDescent="0.25">
      <c r="A2711" s="15" t="s">
        <v>434</v>
      </c>
      <c r="B2711" s="32">
        <v>0.375</v>
      </c>
      <c r="C2711" t="str">
        <f>'Inventory as of 12th Aug 2024'!A41</f>
        <v>Indomie beef</v>
      </c>
      <c r="D2711" s="27">
        <v>1</v>
      </c>
      <c r="E2711" s="5">
        <f>Table4[[#This Row],[qty]]*(VLOOKUP(Table4[[#This Row],[item_sold]],Table1[],5,FALSE))</f>
        <v>50</v>
      </c>
      <c r="F2711" s="5">
        <f>(VLOOKUP(Table4[[#This Row],[item_sold]],Table1[],4,FALSE))*Table4[[#This Row],[qty]]</f>
        <v>38</v>
      </c>
      <c r="G2711">
        <f t="shared" si="236"/>
        <v>12</v>
      </c>
      <c r="H2711" t="s">
        <v>430</v>
      </c>
      <c r="I2711" t="s">
        <v>398</v>
      </c>
    </row>
    <row r="2712" spans="1:9" x14ac:dyDescent="0.25">
      <c r="A2712" s="15" t="s">
        <v>434</v>
      </c>
      <c r="B2712" s="32">
        <v>0.375</v>
      </c>
      <c r="C2712" t="str">
        <f>'Inventory as of 12th Aug 2024'!A38</f>
        <v>AVC Led bulb</v>
      </c>
      <c r="D2712" s="27">
        <v>1</v>
      </c>
      <c r="E2712" s="5">
        <f>Table4[[#This Row],[qty]]*(VLOOKUP(Table4[[#This Row],[item_sold]],Table1[],5,FALSE))</f>
        <v>100</v>
      </c>
      <c r="F2712" s="5">
        <f>(VLOOKUP(Table4[[#This Row],[item_sold]],Table1[],4,FALSE))*Table4[[#This Row],[qty]]</f>
        <v>69</v>
      </c>
      <c r="G2712">
        <f t="shared" si="236"/>
        <v>31</v>
      </c>
      <c r="H2712" t="s">
        <v>430</v>
      </c>
      <c r="I2712" t="s">
        <v>398</v>
      </c>
    </row>
    <row r="2713" spans="1:9" x14ac:dyDescent="0.25">
      <c r="A2713" s="15" t="s">
        <v>434</v>
      </c>
      <c r="B2713" s="32">
        <v>0.375</v>
      </c>
      <c r="C2713" t="str">
        <f>'Inventory as of 12th Aug 2024'!A37</f>
        <v>Festive Bread 400g</v>
      </c>
      <c r="D2713" s="27">
        <v>1</v>
      </c>
      <c r="E2713" s="5">
        <f>Table4[[#This Row],[qty]]*(VLOOKUP(Table4[[#This Row],[item_sold]],Table1[],5,FALSE))</f>
        <v>65</v>
      </c>
      <c r="F2713" s="5">
        <f>(VLOOKUP(Table4[[#This Row],[item_sold]],Table1[],4,FALSE))*Table4[[#This Row],[qty]]</f>
        <v>60</v>
      </c>
      <c r="G2713">
        <f t="shared" si="236"/>
        <v>5</v>
      </c>
      <c r="H2713" t="s">
        <v>430</v>
      </c>
      <c r="I2713" t="s">
        <v>417</v>
      </c>
    </row>
    <row r="2714" spans="1:9" x14ac:dyDescent="0.25">
      <c r="A2714" s="15" t="s">
        <v>434</v>
      </c>
      <c r="B2714" s="32">
        <v>0.37777777777777777</v>
      </c>
      <c r="C2714" t="str">
        <f>'Inventory as of 12th Aug 2024'!A199</f>
        <v>Kdf</v>
      </c>
      <c r="D2714" s="27">
        <v>1</v>
      </c>
      <c r="E2714" s="5">
        <f>Table4[[#This Row],[qty]]*(VLOOKUP(Table4[[#This Row],[item_sold]],Table1[],5,FALSE))</f>
        <v>10</v>
      </c>
      <c r="F2714" s="5">
        <f>(VLOOKUP(Table4[[#This Row],[item_sold]],Table1[],4,FALSE))*Table4[[#This Row],[qty]]</f>
        <v>8.3333333333333339</v>
      </c>
      <c r="G2714">
        <f t="shared" si="236"/>
        <v>1.6666666666666661</v>
      </c>
      <c r="H2714" t="s">
        <v>361</v>
      </c>
    </row>
    <row r="2715" spans="1:9" x14ac:dyDescent="0.25">
      <c r="A2715" s="15" t="s">
        <v>434</v>
      </c>
      <c r="B2715" s="32">
        <v>0.38263888888888886</v>
      </c>
      <c r="C2715" t="str">
        <f>'Inventory as of 12th Aug 2024'!A35</f>
        <v>Festive 600g</v>
      </c>
      <c r="D2715" s="27">
        <v>1</v>
      </c>
      <c r="E2715" s="5">
        <f>Table4[[#This Row],[qty]]*(VLOOKUP(Table4[[#This Row],[item_sold]],Table1[],5,FALSE))</f>
        <v>100</v>
      </c>
      <c r="F2715" s="5">
        <f>(VLOOKUP(Table4[[#This Row],[item_sold]],Table1[],4,FALSE))*Table4[[#This Row],[qty]]</f>
        <v>90</v>
      </c>
      <c r="G2715">
        <f t="shared" si="236"/>
        <v>10</v>
      </c>
      <c r="H2715" t="s">
        <v>361</v>
      </c>
    </row>
    <row r="2716" spans="1:9" x14ac:dyDescent="0.25">
      <c r="A2716" s="15" t="s">
        <v>434</v>
      </c>
      <c r="B2716" s="32">
        <v>0.38263888888888886</v>
      </c>
      <c r="C2716" t="str">
        <f>'Inventory as of 12th Aug 2024'!A231</f>
        <v>Patco</v>
      </c>
      <c r="D2716" s="27">
        <v>8</v>
      </c>
      <c r="E2716" s="5">
        <f>Table4[[#This Row],[qty]]*(VLOOKUP(Table4[[#This Row],[item_sold]],Table1[],5,FALSE))</f>
        <v>20</v>
      </c>
      <c r="F2716" s="5">
        <f>(VLOOKUP(Table4[[#This Row],[item_sold]],Table1[],4,FALSE))*Table4[[#This Row],[qty]]</f>
        <v>9.6</v>
      </c>
      <c r="G2716">
        <f t="shared" si="236"/>
        <v>10.4</v>
      </c>
      <c r="H2716" t="s">
        <v>361</v>
      </c>
    </row>
    <row r="2717" spans="1:9" x14ac:dyDescent="0.25">
      <c r="A2717" s="15" t="s">
        <v>434</v>
      </c>
      <c r="B2717" s="32">
        <v>0.38263888888888886</v>
      </c>
      <c r="C2717" t="str">
        <f>'Inventory as of 12th Aug 2024'!A238</f>
        <v>Tropical</v>
      </c>
      <c r="D2717" s="27">
        <v>1</v>
      </c>
      <c r="E2717" s="5">
        <f>Table4[[#This Row],[qty]]*(VLOOKUP(Table4[[#This Row],[item_sold]],Table1[],5,FALSE))</f>
        <v>5</v>
      </c>
      <c r="F2717" s="5">
        <f>(VLOOKUP(Table4[[#This Row],[item_sold]],Table1[],4,FALSE))*Table4[[#This Row],[qty]]</f>
        <v>1.5</v>
      </c>
      <c r="G2717">
        <f t="shared" si="236"/>
        <v>3.5</v>
      </c>
      <c r="H2717" t="s">
        <v>361</v>
      </c>
    </row>
    <row r="2718" spans="1:9" x14ac:dyDescent="0.25">
      <c r="A2718" s="15" t="s">
        <v>434</v>
      </c>
      <c r="B2718" s="32">
        <v>0.38750000000000001</v>
      </c>
      <c r="C2718" t="str">
        <f>'Inventory as of 12th Aug 2024'!A35</f>
        <v>Festive 600g</v>
      </c>
      <c r="D2718" s="27">
        <v>1</v>
      </c>
      <c r="E2718" s="5">
        <f>Table4[[#This Row],[qty]]*(VLOOKUP(Table4[[#This Row],[item_sold]],Table1[],5,FALSE))</f>
        <v>100</v>
      </c>
      <c r="F2718" s="5">
        <f>(VLOOKUP(Table4[[#This Row],[item_sold]],Table1[],4,FALSE))*Table4[[#This Row],[qty]]</f>
        <v>90</v>
      </c>
      <c r="G2718">
        <f t="shared" si="236"/>
        <v>10</v>
      </c>
      <c r="H2718" t="s">
        <v>361</v>
      </c>
    </row>
    <row r="2719" spans="1:9" x14ac:dyDescent="0.25">
      <c r="A2719" s="15" t="s">
        <v>434</v>
      </c>
      <c r="B2719" s="32">
        <v>0.38750000000000001</v>
      </c>
      <c r="C2719" t="str">
        <f>'Inventory as of 12th Aug 2024'!A16</f>
        <v>Mt kenya milk 500ml</v>
      </c>
      <c r="D2719" s="27">
        <v>1</v>
      </c>
      <c r="E2719" s="5">
        <f>Table4[[#This Row],[qty]]*(VLOOKUP(Table4[[#This Row],[item_sold]],Table1[],5,FALSE))</f>
        <v>65</v>
      </c>
      <c r="F2719" s="5">
        <f>(VLOOKUP(Table4[[#This Row],[item_sold]],Table1[],4,FALSE))*Table4[[#This Row],[qty]]</f>
        <v>48.333333333333336</v>
      </c>
      <c r="G2719">
        <f t="shared" si="236"/>
        <v>16.666666666666664</v>
      </c>
      <c r="H2719" t="s">
        <v>361</v>
      </c>
    </row>
    <row r="2720" spans="1:9" x14ac:dyDescent="0.25">
      <c r="A2720" s="15" t="s">
        <v>434</v>
      </c>
      <c r="B2720" s="32">
        <v>0.38750000000000001</v>
      </c>
      <c r="C2720" t="str">
        <f>'Inventory as of 12th Aug 2024'!A16</f>
        <v>Mt kenya milk 500ml</v>
      </c>
      <c r="D2720" s="27">
        <v>2</v>
      </c>
      <c r="E2720" s="5">
        <f>Table4[[#This Row],[qty]]*(VLOOKUP(Table4[[#This Row],[item_sold]],Table1[],5,FALSE))</f>
        <v>130</v>
      </c>
      <c r="F2720" s="5">
        <f>(VLOOKUP(Table4[[#This Row],[item_sold]],Table1[],4,FALSE))*Table4[[#This Row],[qty]]</f>
        <v>96.666666666666671</v>
      </c>
      <c r="G2720">
        <f t="shared" si="236"/>
        <v>33.333333333333329</v>
      </c>
      <c r="H2720" t="s">
        <v>361</v>
      </c>
    </row>
    <row r="2721" spans="1:12" x14ac:dyDescent="0.25">
      <c r="A2721" s="15" t="s">
        <v>434</v>
      </c>
      <c r="B2721" s="32">
        <v>0.38750000000000001</v>
      </c>
      <c r="C2721" t="str">
        <f>'Inventory as of 12th Aug 2024'!A18</f>
        <v>Crown Gold Milk 500ml</v>
      </c>
      <c r="D2721" s="27">
        <v>1</v>
      </c>
      <c r="E2721" s="5">
        <f>Table4[[#This Row],[qty]]*(VLOOKUP(Table4[[#This Row],[item_sold]],Table1[],5,FALSE))</f>
        <v>65</v>
      </c>
      <c r="F2721" s="5">
        <f>(VLOOKUP(Table4[[#This Row],[item_sold]],Table1[],4,FALSE))*Table4[[#This Row],[qty]]</f>
        <v>54.166666666666664</v>
      </c>
      <c r="G2721">
        <f t="shared" si="236"/>
        <v>10.833333333333336</v>
      </c>
      <c r="H2721" t="s">
        <v>361</v>
      </c>
      <c r="K2721">
        <v>120</v>
      </c>
      <c r="L2721" t="s">
        <v>247</v>
      </c>
    </row>
    <row r="2722" spans="1:12" x14ac:dyDescent="0.25">
      <c r="A2722" s="15" t="s">
        <v>434</v>
      </c>
      <c r="B2722" s="32">
        <v>0.40972222222222221</v>
      </c>
      <c r="C2722" t="str">
        <f>'Inventory as of 12th Aug 2024'!A58</f>
        <v>Safari</v>
      </c>
      <c r="D2722" s="27">
        <v>2</v>
      </c>
      <c r="E2722" s="5">
        <f>Table4[[#This Row],[qty]]*(VLOOKUP(Table4[[#This Row],[item_sold]],Table1[],5,FALSE))</f>
        <v>30</v>
      </c>
      <c r="F2722" s="5">
        <f>(VLOOKUP(Table4[[#This Row],[item_sold]],Table1[],4,FALSE))*Table4[[#This Row],[qty]]</f>
        <v>17</v>
      </c>
      <c r="G2722">
        <f t="shared" si="236"/>
        <v>13</v>
      </c>
      <c r="H2722" t="s">
        <v>361</v>
      </c>
    </row>
    <row r="2723" spans="1:12" x14ac:dyDescent="0.25">
      <c r="A2723" s="15" t="s">
        <v>434</v>
      </c>
      <c r="B2723" s="32">
        <v>0.40972222222222221</v>
      </c>
      <c r="C2723" t="str">
        <f>'Inventory as of 12th Aug 2024'!A33</f>
        <v>BB Bread 400g</v>
      </c>
      <c r="D2723" s="27">
        <v>1</v>
      </c>
      <c r="E2723" s="5">
        <f>Table4[[#This Row],[qty]]*(VLOOKUP(Table4[[#This Row],[item_sold]],Table1[],5,FALSE))</f>
        <v>65</v>
      </c>
      <c r="F2723" s="5">
        <f>(VLOOKUP(Table4[[#This Row],[item_sold]],Table1[],4,FALSE))*Table4[[#This Row],[qty]]</f>
        <v>60</v>
      </c>
      <c r="G2723">
        <f t="shared" si="236"/>
        <v>5</v>
      </c>
      <c r="H2723" t="s">
        <v>247</v>
      </c>
    </row>
    <row r="2724" spans="1:12" x14ac:dyDescent="0.25">
      <c r="A2724" s="15" t="s">
        <v>434</v>
      </c>
      <c r="B2724" s="32">
        <v>0.40972222222222221</v>
      </c>
      <c r="C2724" t="str">
        <f>'Inventory as of 12th Aug 2024'!A33</f>
        <v>BB Bread 400g</v>
      </c>
      <c r="D2724" s="27">
        <v>1</v>
      </c>
      <c r="E2724" s="5">
        <f>Table4[[#This Row],[qty]]*(VLOOKUP(Table4[[#This Row],[item_sold]],Table1[],5,FALSE))</f>
        <v>65</v>
      </c>
      <c r="F2724" s="5">
        <f>(VLOOKUP(Table4[[#This Row],[item_sold]],Table1[],4,FALSE))*Table4[[#This Row],[qty]]</f>
        <v>60</v>
      </c>
      <c r="G2724">
        <f t="shared" si="236"/>
        <v>5</v>
      </c>
      <c r="H2724" t="s">
        <v>361</v>
      </c>
    </row>
    <row r="2725" spans="1:12" x14ac:dyDescent="0.25">
      <c r="A2725" s="15" t="s">
        <v>434</v>
      </c>
      <c r="B2725" s="32">
        <v>0.40972222222222221</v>
      </c>
      <c r="C2725" t="str">
        <f>'Inventory as of 12th Aug 2024'!A18</f>
        <v>Crown Gold Milk 500ml</v>
      </c>
      <c r="D2725" s="27">
        <v>1</v>
      </c>
      <c r="E2725" s="5">
        <f>Table4[[#This Row],[qty]]*(VLOOKUP(Table4[[#This Row],[item_sold]],Table1[],5,FALSE))</f>
        <v>65</v>
      </c>
      <c r="F2725" s="5">
        <f>(VLOOKUP(Table4[[#This Row],[item_sold]],Table1[],4,FALSE))*Table4[[#This Row],[qty]]</f>
        <v>54.166666666666664</v>
      </c>
      <c r="G2725">
        <f t="shared" si="236"/>
        <v>10.833333333333336</v>
      </c>
      <c r="H2725" t="s">
        <v>361</v>
      </c>
    </row>
    <row r="2726" spans="1:12" x14ac:dyDescent="0.25">
      <c r="A2726" s="15" t="s">
        <v>434</v>
      </c>
      <c r="B2726" s="32">
        <v>0.40972222222222221</v>
      </c>
      <c r="C2726" t="str">
        <f>'Inventory as of 12th Aug 2024'!A92</f>
        <v>Banana</v>
      </c>
      <c r="D2726" s="27">
        <v>1</v>
      </c>
      <c r="E2726" s="5">
        <f>Table4[[#This Row],[qty]]*(VLOOKUP(Table4[[#This Row],[item_sold]],Table1[],5,FALSE))</f>
        <v>10</v>
      </c>
      <c r="F2726" s="5">
        <f>(VLOOKUP(Table4[[#This Row],[item_sold]],Table1[],4,FALSE))*Table4[[#This Row],[qty]]</f>
        <v>8.3333333333333339</v>
      </c>
      <c r="G2726">
        <f t="shared" si="236"/>
        <v>1.6666666666666661</v>
      </c>
      <c r="H2726" t="s">
        <v>361</v>
      </c>
    </row>
    <row r="2727" spans="1:12" x14ac:dyDescent="0.25">
      <c r="A2727" s="15" t="s">
        <v>434</v>
      </c>
      <c r="B2727" s="32">
        <v>0.40972222222222221</v>
      </c>
      <c r="C2727" t="str">
        <f>'Inventory as of 12th Aug 2024'!A33</f>
        <v>BB Bread 400g</v>
      </c>
      <c r="D2727" s="27">
        <v>1</v>
      </c>
      <c r="E2727" s="5">
        <f>Table4[[#This Row],[qty]]*(VLOOKUP(Table4[[#This Row],[item_sold]],Table1[],5,FALSE))</f>
        <v>65</v>
      </c>
      <c r="F2727" s="5">
        <f>(VLOOKUP(Table4[[#This Row],[item_sold]],Table1[],4,FALSE))*Table4[[#This Row],[qty]]</f>
        <v>60</v>
      </c>
      <c r="G2727">
        <f t="shared" si="236"/>
        <v>5</v>
      </c>
      <c r="H2727" t="s">
        <v>430</v>
      </c>
      <c r="I2727" t="s">
        <v>384</v>
      </c>
    </row>
    <row r="2728" spans="1:12" x14ac:dyDescent="0.25">
      <c r="A2728" s="15" t="s">
        <v>434</v>
      </c>
      <c r="B2728" s="32">
        <v>0.40972222222222221</v>
      </c>
      <c r="C2728" t="str">
        <f>'Inventory as of 12th Aug 2024'!A7</f>
        <v>Airtel 50 Credit</v>
      </c>
      <c r="D2728" s="27">
        <v>1</v>
      </c>
      <c r="E2728" s="5">
        <f>Table4[[#This Row],[qty]]*(VLOOKUP(Table4[[#This Row],[item_sold]],Table1[],5,FALSE))</f>
        <v>50</v>
      </c>
      <c r="F2728" s="5">
        <f>(VLOOKUP(Table4[[#This Row],[item_sold]],Table1[],4,FALSE))*Table4[[#This Row],[qty]]</f>
        <v>47</v>
      </c>
      <c r="G2728">
        <f t="shared" si="236"/>
        <v>3</v>
      </c>
      <c r="H2728" t="s">
        <v>430</v>
      </c>
      <c r="I2728" t="s">
        <v>385</v>
      </c>
    </row>
    <row r="2729" spans="1:12" x14ac:dyDescent="0.25">
      <c r="A2729" s="15" t="s">
        <v>434</v>
      </c>
      <c r="B2729" s="32">
        <v>0.42986111111111114</v>
      </c>
      <c r="C2729" t="str">
        <f>'Inventory as of 12th Aug 2024'!A36</f>
        <v>Festive 800g</v>
      </c>
      <c r="D2729" s="27">
        <v>1</v>
      </c>
      <c r="E2729" s="5">
        <f>Table4[[#This Row],[qty]]*(VLOOKUP(Table4[[#This Row],[item_sold]],Table1[],5,FALSE))</f>
        <v>130</v>
      </c>
      <c r="F2729" s="5">
        <f>(VLOOKUP(Table4[[#This Row],[item_sold]],Table1[],4,FALSE))*Table4[[#This Row],[qty]]</f>
        <v>120</v>
      </c>
      <c r="G2729">
        <f t="shared" si="236"/>
        <v>10</v>
      </c>
      <c r="H2729" t="s">
        <v>430</v>
      </c>
      <c r="I2729" t="s">
        <v>414</v>
      </c>
      <c r="J2729" t="s">
        <v>414</v>
      </c>
      <c r="K2729">
        <v>160</v>
      </c>
      <c r="L2729" t="s">
        <v>361</v>
      </c>
    </row>
    <row r="2730" spans="1:12" x14ac:dyDescent="0.25">
      <c r="A2730" s="15" t="s">
        <v>434</v>
      </c>
      <c r="B2730" s="32">
        <v>0.42986111111111114</v>
      </c>
      <c r="C2730" t="str">
        <f>'Inventory as of 12th Aug 2024'!A199</f>
        <v>Kdf</v>
      </c>
      <c r="D2730" s="27">
        <v>6</v>
      </c>
      <c r="E2730" s="5">
        <f>Table4[[#This Row],[qty]]*(VLOOKUP(Table4[[#This Row],[item_sold]],Table1[],5,FALSE))</f>
        <v>60</v>
      </c>
      <c r="F2730" s="5">
        <f>(VLOOKUP(Table4[[#This Row],[item_sold]],Table1[],4,FALSE))*Table4[[#This Row],[qty]]</f>
        <v>50</v>
      </c>
      <c r="G2730">
        <f t="shared" ref="G2730:G2793" si="237">E2730-F2730</f>
        <v>10</v>
      </c>
      <c r="H2730" t="s">
        <v>430</v>
      </c>
    </row>
    <row r="2731" spans="1:12" x14ac:dyDescent="0.25">
      <c r="A2731" s="15" t="s">
        <v>434</v>
      </c>
      <c r="B2731" s="32">
        <v>0.4513888888888889</v>
      </c>
      <c r="C2731" t="str">
        <f>'Inventory as of 12th Aug 2024'!A87</f>
        <v>Menengai Bar 1kg</v>
      </c>
      <c r="D2731" s="27">
        <v>0.2</v>
      </c>
      <c r="E2731" s="5">
        <f>Table4[[#This Row],[qty]]*(VLOOKUP(Table4[[#This Row],[item_sold]],Table1[],5,FALSE))</f>
        <v>50</v>
      </c>
      <c r="F2731" s="5">
        <f>(VLOOKUP(Table4[[#This Row],[item_sold]],Table1[],4,FALSE))*Table4[[#This Row],[qty]]</f>
        <v>38</v>
      </c>
      <c r="G2731">
        <f t="shared" si="237"/>
        <v>12</v>
      </c>
      <c r="H2731" t="s">
        <v>247</v>
      </c>
    </row>
    <row r="2732" spans="1:12" x14ac:dyDescent="0.25">
      <c r="A2732" s="15" t="s">
        <v>434</v>
      </c>
      <c r="B2732" s="32">
        <v>0.47222222222222221</v>
      </c>
      <c r="C2732" t="str">
        <f>'Inventory as of 12th Aug 2024'!A135</f>
        <v>Bella Tissue</v>
      </c>
      <c r="D2732" s="27">
        <v>2</v>
      </c>
      <c r="E2732" s="5">
        <f>Table4[[#This Row],[qty]]*(VLOOKUP(Table4[[#This Row],[item_sold]],Table1[],5,FALSE))</f>
        <v>100</v>
      </c>
      <c r="F2732" s="5">
        <f>(VLOOKUP(Table4[[#This Row],[item_sold]],Table1[],4,FALSE))*Table4[[#This Row],[qty]]</f>
        <v>70</v>
      </c>
      <c r="G2732">
        <f t="shared" si="237"/>
        <v>30</v>
      </c>
      <c r="H2732" t="s">
        <v>361</v>
      </c>
      <c r="J2732" t="s">
        <v>414</v>
      </c>
      <c r="K2732">
        <v>130</v>
      </c>
      <c r="L2732" t="s">
        <v>361</v>
      </c>
    </row>
    <row r="2733" spans="1:12" x14ac:dyDescent="0.25">
      <c r="A2733" s="15" t="s">
        <v>434</v>
      </c>
      <c r="B2733" s="32">
        <v>0.50972222222222219</v>
      </c>
      <c r="C2733" t="str">
        <f>'Inventory as of 12th Aug 2024'!A62</f>
        <v>kensalt 1kg</v>
      </c>
      <c r="D2733" s="27">
        <v>1</v>
      </c>
      <c r="E2733" s="5">
        <f>Table4[[#This Row],[qty]]*(VLOOKUP(Table4[[#This Row],[item_sold]],Table1[],5,FALSE))</f>
        <v>50</v>
      </c>
      <c r="F2733" s="5">
        <f>(VLOOKUP(Table4[[#This Row],[item_sold]],Table1[],4,FALSE))*Table4[[#This Row],[qty]]</f>
        <v>35</v>
      </c>
      <c r="G2733">
        <f t="shared" si="237"/>
        <v>15</v>
      </c>
      <c r="H2733" t="s">
        <v>247</v>
      </c>
    </row>
    <row r="2734" spans="1:12" x14ac:dyDescent="0.25">
      <c r="A2734" s="15" t="s">
        <v>434</v>
      </c>
      <c r="B2734" s="32">
        <v>0.55972222222222223</v>
      </c>
      <c r="C2734" s="13" t="str">
        <f>'Inventory as of 12th Aug 2024'!A193</f>
        <v>Ginger Bisquit</v>
      </c>
      <c r="D2734" s="27">
        <v>1</v>
      </c>
      <c r="E2734" s="5">
        <f>Table4[[#This Row],[qty]]*(VLOOKUP(Table4[[#This Row],[item_sold]],Table1[],5,FALSE))</f>
        <v>5</v>
      </c>
      <c r="F2734" s="5">
        <f>(VLOOKUP(Table4[[#This Row],[item_sold]],Table1[],4,FALSE))*Table4[[#This Row],[qty]]</f>
        <v>4.333333333333333</v>
      </c>
      <c r="G2734">
        <f t="shared" si="237"/>
        <v>0.66666666666666696</v>
      </c>
      <c r="H2734" t="s">
        <v>247</v>
      </c>
    </row>
    <row r="2735" spans="1:12" x14ac:dyDescent="0.25">
      <c r="A2735" s="15" t="s">
        <v>434</v>
      </c>
      <c r="B2735" s="32">
        <v>0.59027777777777779</v>
      </c>
      <c r="C2735" t="str">
        <f>'Inventory as of 12th Aug 2024'!A58</f>
        <v>Safari</v>
      </c>
      <c r="D2735" s="27">
        <v>3</v>
      </c>
      <c r="E2735" s="5">
        <f>Table4[[#This Row],[qty]]*(VLOOKUP(Table4[[#This Row],[item_sold]],Table1[],5,FALSE))</f>
        <v>45</v>
      </c>
      <c r="F2735" s="5">
        <f>(VLOOKUP(Table4[[#This Row],[item_sold]],Table1[],4,FALSE))*Table4[[#This Row],[qty]]</f>
        <v>25.5</v>
      </c>
      <c r="G2735">
        <f t="shared" si="237"/>
        <v>19.5</v>
      </c>
      <c r="H2735" t="s">
        <v>359</v>
      </c>
      <c r="I2735" t="s">
        <v>391</v>
      </c>
    </row>
    <row r="2736" spans="1:12" x14ac:dyDescent="0.25">
      <c r="A2736" s="15" t="s">
        <v>434</v>
      </c>
      <c r="B2736" s="32">
        <v>0.59027777777777779</v>
      </c>
      <c r="C2736" t="str">
        <f>'Inventory as of 12th Aug 2024'!A25</f>
        <v>Brookside Lala Sweetened</v>
      </c>
      <c r="D2736" s="27">
        <v>1</v>
      </c>
      <c r="E2736" s="5">
        <f>Table4[[#This Row],[qty]]*(VLOOKUP(Table4[[#This Row],[item_sold]],Table1[],5,FALSE))</f>
        <v>110</v>
      </c>
      <c r="F2736" s="5">
        <f>(VLOOKUP(Table4[[#This Row],[item_sold]],Table1[],4,FALSE))*Table4[[#This Row],[qty]]</f>
        <v>93</v>
      </c>
      <c r="G2736">
        <f t="shared" si="237"/>
        <v>17</v>
      </c>
      <c r="H2736" t="s">
        <v>359</v>
      </c>
    </row>
    <row r="2737" spans="1:8" x14ac:dyDescent="0.25">
      <c r="A2737" s="15" t="s">
        <v>434</v>
      </c>
      <c r="B2737" s="32">
        <v>0.59027777777777779</v>
      </c>
      <c r="C2737" t="str">
        <f>'Inventory as of 12th Aug 2024'!A201</f>
        <v>Scones</v>
      </c>
      <c r="D2737" s="27">
        <v>4</v>
      </c>
      <c r="E2737" s="5">
        <f>Table4[[#This Row],[qty]]*(VLOOKUP(Table4[[#This Row],[item_sold]],Table1[],5,FALSE))</f>
        <v>40</v>
      </c>
      <c r="F2737" s="5">
        <f>(VLOOKUP(Table4[[#This Row],[item_sold]],Table1[],4,FALSE))*Table4[[#This Row],[qty]]</f>
        <v>33.333333333333336</v>
      </c>
      <c r="G2737">
        <f t="shared" si="237"/>
        <v>6.6666666666666643</v>
      </c>
      <c r="H2737" t="s">
        <v>359</v>
      </c>
    </row>
    <row r="2738" spans="1:8" x14ac:dyDescent="0.25">
      <c r="A2738" s="15" t="s">
        <v>434</v>
      </c>
      <c r="B2738" s="32">
        <v>0.61250000000000004</v>
      </c>
      <c r="C2738" t="str">
        <f>'Inventory as of 12th Aug 2024'!A135</f>
        <v>Bella Tissue</v>
      </c>
      <c r="D2738" s="27">
        <v>1</v>
      </c>
      <c r="E2738" s="5">
        <f>Table4[[#This Row],[qty]]*(VLOOKUP(Table4[[#This Row],[item_sold]],Table1[],5,FALSE))</f>
        <v>50</v>
      </c>
      <c r="F2738" s="5">
        <f>(VLOOKUP(Table4[[#This Row],[item_sold]],Table1[],4,FALSE))*Table4[[#This Row],[qty]]</f>
        <v>35</v>
      </c>
      <c r="G2738">
        <f t="shared" si="237"/>
        <v>15</v>
      </c>
      <c r="H2738" t="s">
        <v>247</v>
      </c>
    </row>
    <row r="2739" spans="1:8" x14ac:dyDescent="0.25">
      <c r="A2739" s="15" t="s">
        <v>434</v>
      </c>
      <c r="B2739" s="32">
        <v>0.61250000000000004</v>
      </c>
      <c r="C2739" t="str">
        <f>'Inventory as of 12th Aug 2024'!A211</f>
        <v>predator</v>
      </c>
      <c r="D2739" s="27">
        <v>1</v>
      </c>
      <c r="E2739" s="5">
        <f>Table4[[#This Row],[qty]]*(VLOOKUP(Table4[[#This Row],[item_sold]],Table1[],5,FALSE))</f>
        <v>70</v>
      </c>
      <c r="F2739" s="5">
        <f>(VLOOKUP(Table4[[#This Row],[item_sold]],Table1[],4,FALSE))*Table4[[#This Row],[qty]]</f>
        <v>54.166666666666664</v>
      </c>
      <c r="G2739">
        <f t="shared" si="237"/>
        <v>15.833333333333336</v>
      </c>
      <c r="H2739" t="s">
        <v>247</v>
      </c>
    </row>
    <row r="2740" spans="1:8" x14ac:dyDescent="0.25">
      <c r="A2740" s="15" t="s">
        <v>434</v>
      </c>
      <c r="B2740" s="32">
        <v>0.64375000000000004</v>
      </c>
      <c r="C2740" t="str">
        <f>'Inventory as of 12th Aug 2024'!A58</f>
        <v>Safari</v>
      </c>
      <c r="D2740" s="27">
        <v>2</v>
      </c>
      <c r="E2740" s="5">
        <f>Table4[[#This Row],[qty]]*(VLOOKUP(Table4[[#This Row],[item_sold]],Table1[],5,FALSE))</f>
        <v>30</v>
      </c>
      <c r="F2740" s="5">
        <f>(VLOOKUP(Table4[[#This Row],[item_sold]],Table1[],4,FALSE))*Table4[[#This Row],[qty]]</f>
        <v>17</v>
      </c>
      <c r="G2740">
        <f t="shared" si="237"/>
        <v>13</v>
      </c>
      <c r="H2740" t="s">
        <v>247</v>
      </c>
    </row>
    <row r="2741" spans="1:8" x14ac:dyDescent="0.25">
      <c r="A2741" s="15" t="s">
        <v>434</v>
      </c>
      <c r="B2741" s="32">
        <v>0.65</v>
      </c>
      <c r="C2741" t="str">
        <f>'Inventory as of 12th Aug 2024'!A213</f>
        <v>soda 500ml glass</v>
      </c>
      <c r="D2741" s="27">
        <v>1</v>
      </c>
      <c r="E2741" s="5">
        <f>Table4[[#This Row],[qty]]*(VLOOKUP(Table4[[#This Row],[item_sold]],Table1[],5,FALSE))</f>
        <v>55</v>
      </c>
      <c r="F2741" s="5">
        <f>(VLOOKUP(Table4[[#This Row],[item_sold]],Table1[],4,FALSE))*Table4[[#This Row],[qty]]</f>
        <v>50</v>
      </c>
      <c r="G2741">
        <f t="shared" si="237"/>
        <v>5</v>
      </c>
      <c r="H2741" t="s">
        <v>247</v>
      </c>
    </row>
    <row r="2742" spans="1:8" x14ac:dyDescent="0.25">
      <c r="A2742" s="15" t="s">
        <v>434</v>
      </c>
      <c r="B2742" s="32">
        <v>0.65138888888888891</v>
      </c>
      <c r="C2742" t="str">
        <f>'Inventory as of 12th Aug 2024'!A42</f>
        <v>Indomie chicken</v>
      </c>
      <c r="D2742" s="27">
        <v>2</v>
      </c>
      <c r="E2742" s="5">
        <f>Table4[[#This Row],[qty]]*(VLOOKUP(Table4[[#This Row],[item_sold]],Table1[],5,FALSE))</f>
        <v>100</v>
      </c>
      <c r="F2742" s="5">
        <f>(VLOOKUP(Table4[[#This Row],[item_sold]],Table1[],4,FALSE))*Table4[[#This Row],[qty]]</f>
        <v>75</v>
      </c>
      <c r="G2742">
        <f t="shared" si="237"/>
        <v>25</v>
      </c>
      <c r="H2742" t="s">
        <v>361</v>
      </c>
    </row>
    <row r="2743" spans="1:8" x14ac:dyDescent="0.25">
      <c r="A2743" s="15" t="s">
        <v>434</v>
      </c>
      <c r="B2743" s="32">
        <v>0.65138888888888891</v>
      </c>
      <c r="C2743" t="str">
        <f>'Inventory as of 12th Aug 2024'!A199</f>
        <v>Kdf</v>
      </c>
      <c r="D2743" s="27">
        <v>5</v>
      </c>
      <c r="E2743" s="5">
        <f>Table4[[#This Row],[qty]]*(VLOOKUP(Table4[[#This Row],[item_sold]],Table1[],5,FALSE))</f>
        <v>50</v>
      </c>
      <c r="F2743" s="5">
        <f>(VLOOKUP(Table4[[#This Row],[item_sold]],Table1[],4,FALSE))*Table4[[#This Row],[qty]]</f>
        <v>41.666666666666671</v>
      </c>
      <c r="G2743">
        <f t="shared" si="237"/>
        <v>8.3333333333333286</v>
      </c>
      <c r="H2743" t="s">
        <v>361</v>
      </c>
    </row>
    <row r="2744" spans="1:8" x14ac:dyDescent="0.25">
      <c r="A2744" s="15" t="s">
        <v>434</v>
      </c>
      <c r="B2744" s="32">
        <v>0.65138888888888891</v>
      </c>
      <c r="C2744" t="str">
        <f>'Inventory as of 12th Aug 2024'!A199</f>
        <v>Kdf</v>
      </c>
      <c r="D2744" s="27">
        <v>5</v>
      </c>
      <c r="E2744" s="5">
        <f>Table4[[#This Row],[qty]]*(VLOOKUP(Table4[[#This Row],[item_sold]],Table1[],5,FALSE))</f>
        <v>50</v>
      </c>
      <c r="F2744" s="5">
        <f>(VLOOKUP(Table4[[#This Row],[item_sold]],Table1[],4,FALSE))*Table4[[#This Row],[qty]]</f>
        <v>41.666666666666671</v>
      </c>
      <c r="G2744">
        <f t="shared" si="237"/>
        <v>8.3333333333333286</v>
      </c>
      <c r="H2744" t="s">
        <v>361</v>
      </c>
    </row>
    <row r="2745" spans="1:8" x14ac:dyDescent="0.25">
      <c r="A2745" s="15" t="s">
        <v>434</v>
      </c>
      <c r="B2745" s="32">
        <v>0.66041666666666665</v>
      </c>
      <c r="C2745" t="str">
        <f>'Inventory as of 12th Aug 2024'!A191</f>
        <v>Nuvita Bisquit</v>
      </c>
      <c r="D2745" s="27">
        <v>1</v>
      </c>
      <c r="E2745" s="5">
        <f>Table4[[#This Row],[qty]]*(VLOOKUP(Table4[[#This Row],[item_sold]],Table1[],5,FALSE))</f>
        <v>5</v>
      </c>
      <c r="F2745" s="5">
        <f>(VLOOKUP(Table4[[#This Row],[item_sold]],Table1[],4,FALSE))*Table4[[#This Row],[qty]]</f>
        <v>4.166666666666667</v>
      </c>
      <c r="G2745">
        <f t="shared" si="237"/>
        <v>0.83333333333333304</v>
      </c>
      <c r="H2745" t="s">
        <v>247</v>
      </c>
    </row>
    <row r="2746" spans="1:8" x14ac:dyDescent="0.25">
      <c r="A2746" s="15" t="s">
        <v>434</v>
      </c>
      <c r="B2746" s="32">
        <v>0.66041666666666665</v>
      </c>
      <c r="C2746" t="str">
        <f>'Inventory as of 12th Aug 2024'!A193</f>
        <v>Ginger Bisquit</v>
      </c>
      <c r="D2746" s="27">
        <v>1</v>
      </c>
      <c r="E2746" s="5">
        <f>Table4[[#This Row],[qty]]*(VLOOKUP(Table4[[#This Row],[item_sold]],Table1[],5,FALSE))</f>
        <v>5</v>
      </c>
      <c r="F2746" s="5">
        <f>(VLOOKUP(Table4[[#This Row],[item_sold]],Table1[],4,FALSE))*Table4[[#This Row],[qty]]</f>
        <v>4.333333333333333</v>
      </c>
      <c r="G2746">
        <f t="shared" si="237"/>
        <v>0.66666666666666696</v>
      </c>
      <c r="H2746" t="s">
        <v>247</v>
      </c>
    </row>
    <row r="2747" spans="1:8" x14ac:dyDescent="0.25">
      <c r="A2747" s="15" t="s">
        <v>434</v>
      </c>
      <c r="B2747" s="32">
        <v>0.66666666666666663</v>
      </c>
      <c r="C2747" t="str">
        <f>'Inventory as of 12th Aug 2024'!A172</f>
        <v>Carrier bag small</v>
      </c>
      <c r="D2747" s="27">
        <v>1</v>
      </c>
      <c r="E2747" s="5">
        <f>Table4[[#This Row],[qty]]*(VLOOKUP(Table4[[#This Row],[item_sold]],Table1[],5,FALSE))</f>
        <v>10</v>
      </c>
      <c r="F2747" s="5">
        <f>(VLOOKUP(Table4[[#This Row],[item_sold]],Table1[],4,FALSE))*Table4[[#This Row],[qty]]</f>
        <v>3</v>
      </c>
      <c r="G2747">
        <f t="shared" si="237"/>
        <v>7</v>
      </c>
      <c r="H2747" t="s">
        <v>361</v>
      </c>
    </row>
    <row r="2748" spans="1:8" x14ac:dyDescent="0.25">
      <c r="A2748" s="15" t="s">
        <v>434</v>
      </c>
      <c r="B2748" s="32">
        <v>0.66666666666666663</v>
      </c>
      <c r="C2748" t="str">
        <f>'Inventory as of 12th Aug 2024'!A177</f>
        <v>Ringoz Barbeque</v>
      </c>
      <c r="D2748" s="27">
        <v>2</v>
      </c>
      <c r="E2748" s="5">
        <f>Table4[[#This Row],[qty]]*(VLOOKUP(Table4[[#This Row],[item_sold]],Table1[],5,FALSE))</f>
        <v>30</v>
      </c>
      <c r="F2748" s="5">
        <f>(VLOOKUP(Table4[[#This Row],[item_sold]],Table1[],4,FALSE))*Table4[[#This Row],[qty]]</f>
        <v>17.2</v>
      </c>
      <c r="G2748">
        <f t="shared" si="237"/>
        <v>12.8</v>
      </c>
      <c r="H2748" t="s">
        <v>361</v>
      </c>
    </row>
    <row r="2749" spans="1:8" x14ac:dyDescent="0.25">
      <c r="A2749" s="15" t="s">
        <v>434</v>
      </c>
      <c r="B2749" s="32">
        <v>0.66666666666666663</v>
      </c>
      <c r="C2749" t="str">
        <f>'Inventory as of 12th Aug 2024'!A180</f>
        <v>Tamu  Tamu Green</v>
      </c>
      <c r="D2749" s="27">
        <v>2</v>
      </c>
      <c r="E2749" s="5">
        <f>Table4[[#This Row],[qty]]*(VLOOKUP(Table4[[#This Row],[item_sold]],Table1[],5,FALSE))</f>
        <v>30</v>
      </c>
      <c r="F2749" s="5">
        <f>(VLOOKUP(Table4[[#This Row],[item_sold]],Table1[],4,FALSE))*Table4[[#This Row],[qty]]</f>
        <v>17.2</v>
      </c>
      <c r="G2749">
        <f t="shared" si="237"/>
        <v>12.8</v>
      </c>
      <c r="H2749" t="s">
        <v>361</v>
      </c>
    </row>
    <row r="2750" spans="1:8" x14ac:dyDescent="0.25">
      <c r="A2750" s="15" t="s">
        <v>434</v>
      </c>
      <c r="B2750" s="32">
        <v>0.66666666666666663</v>
      </c>
      <c r="C2750" t="str">
        <f>'Inventory as of 12th Aug 2024'!A211</f>
        <v>predator</v>
      </c>
      <c r="D2750" s="27">
        <v>1</v>
      </c>
      <c r="E2750" s="5">
        <f>Table4[[#This Row],[qty]]*(VLOOKUP(Table4[[#This Row],[item_sold]],Table1[],5,FALSE))</f>
        <v>70</v>
      </c>
      <c r="F2750" s="5">
        <f>(VLOOKUP(Table4[[#This Row],[item_sold]],Table1[],4,FALSE))*Table4[[#This Row],[qty]]</f>
        <v>54.166666666666664</v>
      </c>
      <c r="G2750">
        <f t="shared" si="237"/>
        <v>15.833333333333336</v>
      </c>
      <c r="H2750" t="s">
        <v>361</v>
      </c>
    </row>
    <row r="2751" spans="1:8" x14ac:dyDescent="0.25">
      <c r="A2751" s="15" t="s">
        <v>434</v>
      </c>
      <c r="B2751" s="32">
        <v>0.66666666666666663</v>
      </c>
      <c r="C2751" t="str">
        <f>'Inventory as of 12th Aug 2024'!A206</f>
        <v>soda 500ml plastic</v>
      </c>
      <c r="D2751" s="27">
        <v>1</v>
      </c>
      <c r="E2751" s="5">
        <f>Table4[[#This Row],[qty]]*(VLOOKUP(Table4[[#This Row],[item_sold]],Table1[],5,FALSE))</f>
        <v>70</v>
      </c>
      <c r="F2751" s="5">
        <f>(VLOOKUP(Table4[[#This Row],[item_sold]],Table1[],4,FALSE))*Table4[[#This Row],[qty]]</f>
        <v>60.416666666666664</v>
      </c>
      <c r="G2751">
        <f t="shared" si="237"/>
        <v>9.5833333333333357</v>
      </c>
      <c r="H2751" t="s">
        <v>361</v>
      </c>
    </row>
    <row r="2752" spans="1:8" x14ac:dyDescent="0.25">
      <c r="A2752" s="15" t="s">
        <v>434</v>
      </c>
      <c r="B2752" s="32">
        <v>0.66666666666666663</v>
      </c>
      <c r="C2752" t="str">
        <f>'Inventory as of 12th Aug 2024'!A186</f>
        <v>Glucose 50g</v>
      </c>
      <c r="D2752" s="27">
        <v>1</v>
      </c>
      <c r="E2752" s="5">
        <f>Table4[[#This Row],[qty]]*(VLOOKUP(Table4[[#This Row],[item_sold]],Table1[],5,FALSE))</f>
        <v>30</v>
      </c>
      <c r="F2752" s="5">
        <f>(VLOOKUP(Table4[[#This Row],[item_sold]],Table1[],4,FALSE))*Table4[[#This Row],[qty]]</f>
        <v>15.833333333333334</v>
      </c>
      <c r="G2752">
        <f t="shared" si="237"/>
        <v>14.166666666666666</v>
      </c>
      <c r="H2752" t="s">
        <v>361</v>
      </c>
    </row>
    <row r="2753" spans="1:8" x14ac:dyDescent="0.25">
      <c r="A2753" s="15" t="s">
        <v>434</v>
      </c>
      <c r="B2753" s="32">
        <v>0.66666666666666663</v>
      </c>
      <c r="C2753" t="str">
        <f>'Inventory as of 12th Aug 2024'!A182</f>
        <v>T.Heat Potato crisps salted 25g</v>
      </c>
      <c r="D2753" s="27">
        <v>1</v>
      </c>
      <c r="E2753" s="5">
        <f>Table4[[#This Row],[qty]]*(VLOOKUP(Table4[[#This Row],[item_sold]],Table1[],5,FALSE))</f>
        <v>30</v>
      </c>
      <c r="F2753" s="5">
        <f>(VLOOKUP(Table4[[#This Row],[item_sold]],Table1[],4,FALSE))*Table4[[#This Row],[qty]]</f>
        <v>22.916666666666668</v>
      </c>
      <c r="G2753">
        <f t="shared" si="237"/>
        <v>7.0833333333333321</v>
      </c>
      <c r="H2753" t="s">
        <v>361</v>
      </c>
    </row>
    <row r="2754" spans="1:8" x14ac:dyDescent="0.25">
      <c r="A2754" s="15" t="s">
        <v>434</v>
      </c>
      <c r="B2754" s="32">
        <v>0.67986111111111114</v>
      </c>
      <c r="C2754" t="str">
        <f>'Inventory as of 12th Aug 2024'!A178</f>
        <v>Ringoz Paprika</v>
      </c>
      <c r="D2754" s="27">
        <v>2</v>
      </c>
      <c r="E2754" s="5">
        <f>Table4[[#This Row],[qty]]*(VLOOKUP(Table4[[#This Row],[item_sold]],Table1[],5,FALSE))</f>
        <v>30</v>
      </c>
      <c r="F2754" s="5">
        <f>(VLOOKUP(Table4[[#This Row],[item_sold]],Table1[],4,FALSE))*Table4[[#This Row],[qty]]</f>
        <v>17.600000000000001</v>
      </c>
      <c r="G2754">
        <f t="shared" si="237"/>
        <v>12.399999999999999</v>
      </c>
      <c r="H2754" t="s">
        <v>361</v>
      </c>
    </row>
    <row r="2755" spans="1:8" x14ac:dyDescent="0.25">
      <c r="A2755" s="15" t="s">
        <v>434</v>
      </c>
      <c r="B2755" s="32">
        <v>0.69444444444444442</v>
      </c>
      <c r="C2755" t="str">
        <f>'Inventory as of 12th Aug 2024'!A234</f>
        <v>Bigdaddy</v>
      </c>
      <c r="D2755" s="27">
        <v>3</v>
      </c>
      <c r="E2755" s="5">
        <f>Table4[[#This Row],[qty]]*(VLOOKUP(Table4[[#This Row],[item_sold]],Table1[],5,FALSE))</f>
        <v>30</v>
      </c>
      <c r="F2755" s="5">
        <f>(VLOOKUP(Table4[[#This Row],[item_sold]],Table1[],4,FALSE))*Table4[[#This Row],[qty]]</f>
        <v>18</v>
      </c>
      <c r="G2755">
        <f t="shared" si="237"/>
        <v>12</v>
      </c>
      <c r="H2755" t="s">
        <v>361</v>
      </c>
    </row>
    <row r="2756" spans="1:8" x14ac:dyDescent="0.25">
      <c r="A2756" s="15" t="s">
        <v>434</v>
      </c>
      <c r="B2756" s="32">
        <v>0.7006944444444444</v>
      </c>
      <c r="C2756" t="str">
        <f>'Inventory as of 12th Aug 2024'!A191</f>
        <v>Nuvita Bisquit</v>
      </c>
      <c r="D2756" s="27">
        <v>2</v>
      </c>
      <c r="E2756" s="5">
        <f>Table4[[#This Row],[qty]]*(VLOOKUP(Table4[[#This Row],[item_sold]],Table1[],5,FALSE))</f>
        <v>10</v>
      </c>
      <c r="F2756" s="5">
        <f>(VLOOKUP(Table4[[#This Row],[item_sold]],Table1[],4,FALSE))*Table4[[#This Row],[qty]]</f>
        <v>8.3333333333333339</v>
      </c>
      <c r="G2756">
        <f t="shared" si="237"/>
        <v>1.6666666666666661</v>
      </c>
      <c r="H2756" t="s">
        <v>247</v>
      </c>
    </row>
    <row r="2757" spans="1:8" x14ac:dyDescent="0.25">
      <c r="A2757" s="15" t="s">
        <v>434</v>
      </c>
      <c r="B2757" s="32">
        <v>0.7006944444444444</v>
      </c>
      <c r="C2757" t="str">
        <f>'Inventory as of 12th Aug 2024'!A193</f>
        <v>Ginger Bisquit</v>
      </c>
      <c r="D2757" s="27">
        <v>2</v>
      </c>
      <c r="E2757" s="5">
        <f>Table4[[#This Row],[qty]]*(VLOOKUP(Table4[[#This Row],[item_sold]],Table1[],5,FALSE))</f>
        <v>10</v>
      </c>
      <c r="F2757" s="5">
        <f>(VLOOKUP(Table4[[#This Row],[item_sold]],Table1[],4,FALSE))*Table4[[#This Row],[qty]]</f>
        <v>8.6666666666666661</v>
      </c>
      <c r="G2757">
        <f t="shared" si="237"/>
        <v>1.3333333333333339</v>
      </c>
      <c r="H2757" t="s">
        <v>247</v>
      </c>
    </row>
    <row r="2758" spans="1:8" x14ac:dyDescent="0.25">
      <c r="A2758" s="15" t="s">
        <v>434</v>
      </c>
      <c r="B2758" s="32">
        <v>0.70208333333333328</v>
      </c>
      <c r="C2758" t="str">
        <f>'Inventory as of 12th Aug 2024'!A87</f>
        <v>Menengai Bar 1kg</v>
      </c>
      <c r="D2758" s="27">
        <v>0.2</v>
      </c>
      <c r="E2758" s="5">
        <f>Table4[[#This Row],[qty]]*(VLOOKUP(Table4[[#This Row],[item_sold]],Table1[],5,FALSE))</f>
        <v>50</v>
      </c>
      <c r="F2758" s="5">
        <f>(VLOOKUP(Table4[[#This Row],[item_sold]],Table1[],4,FALSE))*Table4[[#This Row],[qty]]</f>
        <v>38</v>
      </c>
      <c r="G2758">
        <f t="shared" si="237"/>
        <v>12</v>
      </c>
      <c r="H2758" t="s">
        <v>247</v>
      </c>
    </row>
    <row r="2759" spans="1:8" x14ac:dyDescent="0.25">
      <c r="A2759" s="15" t="s">
        <v>434</v>
      </c>
      <c r="B2759" s="32">
        <v>0.70208333333333328</v>
      </c>
      <c r="C2759" t="str">
        <f>'Inventory as of 12th Aug 2024'!A58</f>
        <v>Safari</v>
      </c>
      <c r="D2759" s="27">
        <v>1</v>
      </c>
      <c r="E2759" s="5">
        <f>Table4[[#This Row],[qty]]*(VLOOKUP(Table4[[#This Row],[item_sold]],Table1[],5,FALSE))</f>
        <v>15</v>
      </c>
      <c r="F2759" s="5">
        <f>(VLOOKUP(Table4[[#This Row],[item_sold]],Table1[],4,FALSE))*Table4[[#This Row],[qty]]</f>
        <v>8.5</v>
      </c>
      <c r="G2759">
        <f t="shared" si="237"/>
        <v>6.5</v>
      </c>
      <c r="H2759" t="s">
        <v>247</v>
      </c>
    </row>
    <row r="2760" spans="1:8" x14ac:dyDescent="0.25">
      <c r="A2760" s="15" t="s">
        <v>434</v>
      </c>
      <c r="B2760" s="32">
        <v>0.70208333333333328</v>
      </c>
      <c r="C2760" t="str">
        <f>'Inventory as of 12th Aug 2024'!A232</f>
        <v>coo</v>
      </c>
      <c r="D2760" s="27">
        <v>2</v>
      </c>
      <c r="E2760" s="5">
        <f>Table4[[#This Row],[qty]]*(VLOOKUP(Table4[[#This Row],[item_sold]],Table1[],5,FALSE))</f>
        <v>5</v>
      </c>
      <c r="F2760" s="5">
        <f>(VLOOKUP(Table4[[#This Row],[item_sold]],Table1[],4,FALSE))*Table4[[#This Row],[qty]]</f>
        <v>2.4</v>
      </c>
      <c r="G2760">
        <f t="shared" si="237"/>
        <v>2.6</v>
      </c>
      <c r="H2760" t="s">
        <v>247</v>
      </c>
    </row>
    <row r="2761" spans="1:8" x14ac:dyDescent="0.25">
      <c r="A2761" s="15" t="s">
        <v>434</v>
      </c>
      <c r="B2761" s="32">
        <v>0.70416666666666672</v>
      </c>
      <c r="C2761" t="str">
        <f>'Inventory as of 12th Aug 2024'!A8</f>
        <v>eggs</v>
      </c>
      <c r="D2761" s="27">
        <v>2</v>
      </c>
      <c r="E2761" s="5">
        <f>Table4[[#This Row],[qty]]*(VLOOKUP(Table4[[#This Row],[item_sold]],Table1[],5,FALSE))</f>
        <v>40</v>
      </c>
      <c r="F2761" s="5">
        <f>(VLOOKUP(Table4[[#This Row],[item_sold]],Table1[],4,FALSE))*Table4[[#This Row],[qty]]</f>
        <v>28.666666666666668</v>
      </c>
      <c r="G2761">
        <f t="shared" si="237"/>
        <v>11.333333333333332</v>
      </c>
      <c r="H2761" t="s">
        <v>361</v>
      </c>
    </row>
    <row r="2762" spans="1:8" x14ac:dyDescent="0.25">
      <c r="A2762" s="15" t="s">
        <v>434</v>
      </c>
      <c r="B2762" s="32">
        <v>0.70416666666666672</v>
      </c>
      <c r="C2762" t="str">
        <f>'Inventory as of 12th Aug 2024'!A92</f>
        <v>Banana</v>
      </c>
      <c r="D2762" s="27">
        <v>2</v>
      </c>
      <c r="E2762" s="5">
        <f>Table4[[#This Row],[qty]]*(VLOOKUP(Table4[[#This Row],[item_sold]],Table1[],5,FALSE))</f>
        <v>20</v>
      </c>
      <c r="F2762" s="5">
        <f>(VLOOKUP(Table4[[#This Row],[item_sold]],Table1[],4,FALSE))*Table4[[#This Row],[qty]]</f>
        <v>16.666666666666668</v>
      </c>
      <c r="G2762">
        <f t="shared" si="237"/>
        <v>3.3333333333333321</v>
      </c>
      <c r="H2762" t="s">
        <v>361</v>
      </c>
    </row>
    <row r="2763" spans="1:8" x14ac:dyDescent="0.25">
      <c r="A2763" s="15" t="s">
        <v>434</v>
      </c>
      <c r="B2763" s="32">
        <v>0.71666666666666667</v>
      </c>
      <c r="C2763" t="str">
        <f>'Inventory as of 12th Aug 2024'!A242</f>
        <v>Icepop</v>
      </c>
      <c r="D2763" s="27">
        <v>1</v>
      </c>
      <c r="E2763" s="5">
        <f>Table4[[#This Row],[qty]]*(VLOOKUP(Table4[[#This Row],[item_sold]],Table1[],5,FALSE))</f>
        <v>15</v>
      </c>
      <c r="F2763" s="5">
        <f>(VLOOKUP(Table4[[#This Row],[item_sold]],Table1[],4,FALSE))*Table4[[#This Row],[qty]]</f>
        <v>7.5</v>
      </c>
      <c r="G2763">
        <f t="shared" si="237"/>
        <v>7.5</v>
      </c>
      <c r="H2763" t="s">
        <v>247</v>
      </c>
    </row>
    <row r="2764" spans="1:8" x14ac:dyDescent="0.25">
      <c r="A2764" s="15" t="s">
        <v>434</v>
      </c>
      <c r="B2764" s="32">
        <v>0.71666666666666667</v>
      </c>
      <c r="C2764" t="str">
        <f>'Inventory as of 12th Aug 2024'!A238</f>
        <v>Tropical</v>
      </c>
      <c r="D2764" s="27">
        <v>2</v>
      </c>
      <c r="E2764" s="5">
        <f>Table4[[#This Row],[qty]]*(VLOOKUP(Table4[[#This Row],[item_sold]],Table1[],5,FALSE))</f>
        <v>10</v>
      </c>
      <c r="F2764" s="5">
        <f>(VLOOKUP(Table4[[#This Row],[item_sold]],Table1[],4,FALSE))*Table4[[#This Row],[qty]]</f>
        <v>3</v>
      </c>
      <c r="G2764">
        <f t="shared" si="237"/>
        <v>7</v>
      </c>
      <c r="H2764" t="s">
        <v>247</v>
      </c>
    </row>
    <row r="2765" spans="1:8" x14ac:dyDescent="0.25">
      <c r="A2765" s="15" t="s">
        <v>434</v>
      </c>
      <c r="B2765" s="32">
        <v>0.71666666666666667</v>
      </c>
      <c r="C2765" t="str">
        <f>'Inventory as of 12th Aug 2024'!A180</f>
        <v>Tamu  Tamu Green</v>
      </c>
      <c r="D2765" s="27">
        <v>1</v>
      </c>
      <c r="E2765" s="5">
        <f>Table4[[#This Row],[qty]]*(VLOOKUP(Table4[[#This Row],[item_sold]],Table1[],5,FALSE))</f>
        <v>15</v>
      </c>
      <c r="F2765" s="5">
        <f>(VLOOKUP(Table4[[#This Row],[item_sold]],Table1[],4,FALSE))*Table4[[#This Row],[qty]]</f>
        <v>8.6</v>
      </c>
      <c r="G2765">
        <f t="shared" si="237"/>
        <v>6.4</v>
      </c>
      <c r="H2765" t="s">
        <v>247</v>
      </c>
    </row>
    <row r="2766" spans="1:8" x14ac:dyDescent="0.25">
      <c r="A2766" s="15" t="s">
        <v>434</v>
      </c>
      <c r="B2766" s="32">
        <v>0.71666666666666667</v>
      </c>
      <c r="C2766" t="str">
        <f>'Inventory as of 12th Aug 2024'!A185</f>
        <v>Glucose 10g</v>
      </c>
      <c r="D2766" s="27">
        <v>2</v>
      </c>
      <c r="E2766" s="5">
        <f>Table4[[#This Row],[qty]]*(VLOOKUP(Table4[[#This Row],[item_sold]],Table1[],5,FALSE))</f>
        <v>10</v>
      </c>
      <c r="F2766" s="5">
        <f>(VLOOKUP(Table4[[#This Row],[item_sold]],Table1[],4,FALSE))*Table4[[#This Row],[qty]]</f>
        <v>7.5</v>
      </c>
      <c r="G2766">
        <f t="shared" si="237"/>
        <v>2.5</v>
      </c>
      <c r="H2766" t="s">
        <v>247</v>
      </c>
    </row>
    <row r="2767" spans="1:8" x14ac:dyDescent="0.25">
      <c r="A2767" s="15" t="s">
        <v>434</v>
      </c>
      <c r="B2767" s="32">
        <v>0.74305555555555558</v>
      </c>
      <c r="C2767" t="str">
        <f>'Inventory as of 12th Aug 2024'!A185</f>
        <v>Glucose 10g</v>
      </c>
      <c r="D2767" s="27"/>
      <c r="E2767" s="5">
        <v>5</v>
      </c>
      <c r="F2767" s="5">
        <f>(VLOOKUP(Table4[[#This Row],[item_sold]],Table1[],4,FALSE))*Table4[[#This Row],[qty]]</f>
        <v>0</v>
      </c>
      <c r="G2767">
        <f t="shared" si="237"/>
        <v>5</v>
      </c>
      <c r="H2767" t="s">
        <v>247</v>
      </c>
    </row>
    <row r="2768" spans="1:8" x14ac:dyDescent="0.25">
      <c r="A2768" s="15" t="s">
        <v>434</v>
      </c>
      <c r="B2768" s="32">
        <v>0.74583333333333335</v>
      </c>
      <c r="C2768" t="str">
        <f>'Inventory as of 12th Aug 2024'!A242</f>
        <v>Icepop</v>
      </c>
      <c r="D2768" s="27">
        <v>1</v>
      </c>
      <c r="E2768" s="5">
        <f>Table4[[#This Row],[qty]]*(VLOOKUP(Table4[[#This Row],[item_sold]],Table1[],5,FALSE))</f>
        <v>15</v>
      </c>
      <c r="F2768" s="5">
        <f>(VLOOKUP(Table4[[#This Row],[item_sold]],Table1[],4,FALSE))*Table4[[#This Row],[qty]]</f>
        <v>7.5</v>
      </c>
      <c r="G2768">
        <f t="shared" si="237"/>
        <v>7.5</v>
      </c>
      <c r="H2768" t="s">
        <v>247</v>
      </c>
    </row>
    <row r="2769" spans="1:9" x14ac:dyDescent="0.25">
      <c r="A2769" s="15" t="s">
        <v>434</v>
      </c>
      <c r="B2769" s="32">
        <v>0.74583333333333335</v>
      </c>
      <c r="C2769" t="str">
        <f>'Inventory as of 12th Aug 2024'!A184</f>
        <v>T.Heat Potato crisps vinegar and salt 25g</v>
      </c>
      <c r="D2769" s="27">
        <v>1</v>
      </c>
      <c r="E2769" s="5">
        <f>Table4[[#This Row],[qty]]*(VLOOKUP(Table4[[#This Row],[item_sold]],Table1[],5,FALSE))</f>
        <v>30</v>
      </c>
      <c r="F2769" s="5">
        <f>(VLOOKUP(Table4[[#This Row],[item_sold]],Table1[],4,FALSE))*Table4[[#This Row],[qty]]</f>
        <v>22.916666666666668</v>
      </c>
      <c r="G2769">
        <f t="shared" si="237"/>
        <v>7.0833333333333321</v>
      </c>
      <c r="H2769" t="s">
        <v>247</v>
      </c>
    </row>
    <row r="2770" spans="1:9" x14ac:dyDescent="0.25">
      <c r="A2770" s="15" t="s">
        <v>434</v>
      </c>
      <c r="B2770" s="32">
        <v>0.75694444444444442</v>
      </c>
      <c r="C2770" t="str">
        <f>'Inventory as of 12th Aug 2024'!A229</f>
        <v>Fresh green</v>
      </c>
      <c r="D2770" s="27">
        <v>2</v>
      </c>
      <c r="E2770" s="5">
        <f>Table4[[#This Row],[qty]]*(VLOOKUP(Table4[[#This Row],[item_sold]],Table1[],5,FALSE))</f>
        <v>20</v>
      </c>
      <c r="F2770" s="5">
        <f>(VLOOKUP(Table4[[#This Row],[item_sold]],Table1[],4,FALSE))*Table4[[#This Row],[qty]]</f>
        <v>10</v>
      </c>
      <c r="G2770">
        <f t="shared" si="237"/>
        <v>10</v>
      </c>
      <c r="H2770" t="s">
        <v>247</v>
      </c>
    </row>
    <row r="2771" spans="1:9" x14ac:dyDescent="0.25">
      <c r="A2771" s="15" t="s">
        <v>434</v>
      </c>
      <c r="B2771" s="32">
        <v>0.75694444444444442</v>
      </c>
      <c r="C2771" t="str">
        <f>'Inventory as of 12th Aug 2024'!A234</f>
        <v>Bigdaddy</v>
      </c>
      <c r="D2771" s="27">
        <v>3</v>
      </c>
      <c r="E2771" s="5">
        <f>Table4[[#This Row],[qty]]*(VLOOKUP(Table4[[#This Row],[item_sold]],Table1[],5,FALSE))</f>
        <v>30</v>
      </c>
      <c r="F2771" s="5">
        <f>(VLOOKUP(Table4[[#This Row],[item_sold]],Table1[],4,FALSE))*Table4[[#This Row],[qty]]</f>
        <v>18</v>
      </c>
      <c r="G2771">
        <f t="shared" si="237"/>
        <v>12</v>
      </c>
      <c r="H2771" t="s">
        <v>247</v>
      </c>
    </row>
    <row r="2772" spans="1:9" x14ac:dyDescent="0.25">
      <c r="A2772" s="15" t="s">
        <v>434</v>
      </c>
      <c r="B2772" s="32">
        <v>0.7583333333333333</v>
      </c>
      <c r="C2772" s="13" t="str">
        <f>'Inventory as of 12th Aug 2024'!A90</f>
        <v>Onion</v>
      </c>
      <c r="D2772" s="27">
        <v>1</v>
      </c>
      <c r="E2772" s="5">
        <f>Table4[[#This Row],[qty]]*(VLOOKUP(Table4[[#This Row],[item_sold]],Table1[],5,FALSE))</f>
        <v>10</v>
      </c>
      <c r="F2772" s="5">
        <f>(VLOOKUP(Table4[[#This Row],[item_sold]],Table1[],4,FALSE))*Table4[[#This Row],[qty]]</f>
        <v>8</v>
      </c>
      <c r="G2772">
        <f t="shared" si="237"/>
        <v>2</v>
      </c>
      <c r="H2772" t="s">
        <v>361</v>
      </c>
    </row>
    <row r="2773" spans="1:9" x14ac:dyDescent="0.25">
      <c r="A2773" s="15" t="s">
        <v>434</v>
      </c>
      <c r="B2773" s="32">
        <v>0.7583333333333333</v>
      </c>
      <c r="C2773" t="str">
        <f>'Inventory as of 12th Aug 2024'!A75</f>
        <v>Cooking Oil Measured</v>
      </c>
      <c r="D2773" s="27">
        <v>0.5</v>
      </c>
      <c r="E2773" s="5">
        <f>Table4[[#This Row],[qty]]*(VLOOKUP(Table4[[#This Row],[item_sold]],Table1[],5,FALSE))</f>
        <v>140</v>
      </c>
      <c r="F2773" s="5">
        <f>(VLOOKUP(Table4[[#This Row],[item_sold]],Table1[],4,FALSE))*Table4[[#This Row],[qty]]</f>
        <v>100</v>
      </c>
      <c r="G2773">
        <f t="shared" si="237"/>
        <v>40</v>
      </c>
      <c r="H2773" t="s">
        <v>361</v>
      </c>
    </row>
    <row r="2774" spans="1:9" x14ac:dyDescent="0.25">
      <c r="A2774" s="15" t="s">
        <v>434</v>
      </c>
      <c r="B2774" s="32">
        <v>0.7583333333333333</v>
      </c>
      <c r="C2774" t="str">
        <f>'Inventory as of 12th Aug 2024'!A231</f>
        <v>Patco</v>
      </c>
      <c r="D2774" s="27">
        <v>2</v>
      </c>
      <c r="E2774" s="5">
        <f>Table4[[#This Row],[qty]]*(VLOOKUP(Table4[[#This Row],[item_sold]],Table1[],5,FALSE))</f>
        <v>5</v>
      </c>
      <c r="F2774" s="5">
        <f>(VLOOKUP(Table4[[#This Row],[item_sold]],Table1[],4,FALSE))*Table4[[#This Row],[qty]]</f>
        <v>2.4</v>
      </c>
      <c r="G2774">
        <f t="shared" si="237"/>
        <v>2.6</v>
      </c>
      <c r="H2774" t="s">
        <v>361</v>
      </c>
    </row>
    <row r="2775" spans="1:9" x14ac:dyDescent="0.25">
      <c r="A2775" s="15" t="s">
        <v>434</v>
      </c>
      <c r="B2775" s="32">
        <v>0.77083333333333337</v>
      </c>
      <c r="C2775" t="str">
        <f>'Inventory as of 12th Aug 2024'!A242</f>
        <v>Icepop</v>
      </c>
      <c r="D2775" s="27">
        <v>2</v>
      </c>
      <c r="E2775" s="5">
        <f>Table4[[#This Row],[qty]]*(VLOOKUP(Table4[[#This Row],[item_sold]],Table1[],5,FALSE))</f>
        <v>30</v>
      </c>
      <c r="F2775" s="5">
        <f>(VLOOKUP(Table4[[#This Row],[item_sold]],Table1[],4,FALSE))*Table4[[#This Row],[qty]]</f>
        <v>15</v>
      </c>
      <c r="G2775">
        <f t="shared" si="237"/>
        <v>15</v>
      </c>
      <c r="H2775" t="s">
        <v>247</v>
      </c>
    </row>
    <row r="2776" spans="1:9" x14ac:dyDescent="0.25">
      <c r="A2776" s="15" t="s">
        <v>434</v>
      </c>
      <c r="B2776" s="32">
        <v>0.77847222222222223</v>
      </c>
      <c r="C2776" t="str">
        <f>'Inventory as of 12th Aug 2024'!A44</f>
        <v>Ajab 2kg</v>
      </c>
      <c r="D2776" s="27">
        <v>1</v>
      </c>
      <c r="E2776" s="5">
        <f>Table4[[#This Row],[qty]]*(VLOOKUP(Table4[[#This Row],[item_sold]],Table1[],5,FALSE))</f>
        <v>220</v>
      </c>
      <c r="F2776" s="5">
        <f>(VLOOKUP(Table4[[#This Row],[item_sold]],Table1[],4,FALSE))*Table4[[#This Row],[qty]]</f>
        <v>175</v>
      </c>
      <c r="G2776">
        <f t="shared" si="237"/>
        <v>45</v>
      </c>
      <c r="H2776" t="s">
        <v>430</v>
      </c>
      <c r="I2776" t="s">
        <v>389</v>
      </c>
    </row>
    <row r="2777" spans="1:9" x14ac:dyDescent="0.25">
      <c r="A2777" s="15" t="s">
        <v>434</v>
      </c>
      <c r="B2777" s="32">
        <v>0.78055555555555556</v>
      </c>
      <c r="C2777" t="str">
        <f>'Inventory as of 12th Aug 2024'!A242</f>
        <v>Icepop</v>
      </c>
      <c r="D2777" s="27">
        <v>1</v>
      </c>
      <c r="E2777" s="5">
        <f>Table4[[#This Row],[qty]]*(VLOOKUP(Table4[[#This Row],[item_sold]],Table1[],5,FALSE))</f>
        <v>15</v>
      </c>
      <c r="F2777" s="5">
        <f>(VLOOKUP(Table4[[#This Row],[item_sold]],Table1[],4,FALSE))*Table4[[#This Row],[qty]]</f>
        <v>7.5</v>
      </c>
      <c r="G2777">
        <f t="shared" si="237"/>
        <v>7.5</v>
      </c>
      <c r="H2777" t="s">
        <v>247</v>
      </c>
    </row>
    <row r="2778" spans="1:9" x14ac:dyDescent="0.25">
      <c r="A2778" s="15" t="s">
        <v>434</v>
      </c>
      <c r="B2778" s="32">
        <v>0.79374999999999996</v>
      </c>
      <c r="C2778" t="str">
        <f>'Inventory as of 12th Aug 2024'!A59</f>
        <v>kabras sugar 1kg</v>
      </c>
      <c r="D2778" s="27">
        <v>1</v>
      </c>
      <c r="E2778" s="5">
        <f>Table4[[#This Row],[qty]]*(VLOOKUP(Table4[[#This Row],[item_sold]],Table1[],5,FALSE))</f>
        <v>180</v>
      </c>
      <c r="F2778" s="5">
        <f>(VLOOKUP(Table4[[#This Row],[item_sold]],Table1[],4,FALSE))*Table4[[#This Row],[qty]]</f>
        <v>140</v>
      </c>
      <c r="G2778">
        <f t="shared" si="237"/>
        <v>40</v>
      </c>
      <c r="H2778" t="s">
        <v>430</v>
      </c>
      <c r="I2778" t="s">
        <v>389</v>
      </c>
    </row>
    <row r="2779" spans="1:9" x14ac:dyDescent="0.25">
      <c r="A2779" s="15" t="s">
        <v>434</v>
      </c>
      <c r="B2779" s="32">
        <v>0.79374999999999996</v>
      </c>
      <c r="C2779" t="str">
        <f>'Inventory as of 12th Aug 2024'!A191</f>
        <v>Nuvita Bisquit</v>
      </c>
      <c r="D2779" s="27">
        <v>2</v>
      </c>
      <c r="E2779" s="5">
        <f>Table4[[#This Row],[qty]]*(VLOOKUP(Table4[[#This Row],[item_sold]],Table1[],5,FALSE))</f>
        <v>10</v>
      </c>
      <c r="F2779" s="5">
        <f>(VLOOKUP(Table4[[#This Row],[item_sold]],Table1[],4,FALSE))*Table4[[#This Row],[qty]]</f>
        <v>8.3333333333333339</v>
      </c>
      <c r="G2779">
        <f t="shared" si="237"/>
        <v>1.6666666666666661</v>
      </c>
      <c r="H2779" t="s">
        <v>247</v>
      </c>
    </row>
    <row r="2780" spans="1:9" x14ac:dyDescent="0.25">
      <c r="A2780" s="15" t="s">
        <v>434</v>
      </c>
      <c r="B2780" s="32">
        <v>0.79374999999999996</v>
      </c>
      <c r="C2780" t="str">
        <f>'Inventory as of 12th Aug 2024'!A192</f>
        <v>Lemon Bisquit</v>
      </c>
      <c r="D2780" s="27">
        <v>2</v>
      </c>
      <c r="E2780" s="5">
        <f>Table4[[#This Row],[qty]]*(VLOOKUP(Table4[[#This Row],[item_sold]],Table1[],5,FALSE))</f>
        <v>10</v>
      </c>
      <c r="F2780" s="5">
        <f>(VLOOKUP(Table4[[#This Row],[item_sold]],Table1[],4,FALSE))*Table4[[#This Row],[qty]]</f>
        <v>8.6666666666666661</v>
      </c>
      <c r="G2780">
        <f t="shared" si="237"/>
        <v>1.3333333333333339</v>
      </c>
      <c r="H2780" t="s">
        <v>247</v>
      </c>
    </row>
    <row r="2781" spans="1:9" x14ac:dyDescent="0.25">
      <c r="A2781" s="15" t="s">
        <v>434</v>
      </c>
      <c r="B2781" s="32">
        <v>0.79374999999999996</v>
      </c>
      <c r="C2781" t="str">
        <f>'Inventory as of 12th Aug 2024'!A193</f>
        <v>Ginger Bisquit</v>
      </c>
      <c r="D2781" s="27">
        <v>2</v>
      </c>
      <c r="E2781" s="5">
        <f>Table4[[#This Row],[qty]]*(VLOOKUP(Table4[[#This Row],[item_sold]],Table1[],5,FALSE))</f>
        <v>10</v>
      </c>
      <c r="F2781" s="5">
        <f>(VLOOKUP(Table4[[#This Row],[item_sold]],Table1[],4,FALSE))*Table4[[#This Row],[qty]]</f>
        <v>8.6666666666666661</v>
      </c>
      <c r="G2781">
        <f t="shared" si="237"/>
        <v>1.3333333333333339</v>
      </c>
      <c r="H2781" t="s">
        <v>247</v>
      </c>
    </row>
    <row r="2782" spans="1:9" x14ac:dyDescent="0.25">
      <c r="A2782" s="15" t="s">
        <v>434</v>
      </c>
      <c r="B2782" s="32">
        <v>0.79374999999999996</v>
      </c>
      <c r="C2782" t="str">
        <f>'Inventory as of 12th Aug 2024'!A234</f>
        <v>Bigdaddy</v>
      </c>
      <c r="D2782" s="27">
        <v>3</v>
      </c>
      <c r="E2782" s="5">
        <f>Table4[[#This Row],[qty]]*(VLOOKUP(Table4[[#This Row],[item_sold]],Table1[],5,FALSE))</f>
        <v>30</v>
      </c>
      <c r="F2782" s="5">
        <f>(VLOOKUP(Table4[[#This Row],[item_sold]],Table1[],4,FALSE))*Table4[[#This Row],[qty]]</f>
        <v>18</v>
      </c>
      <c r="G2782">
        <f t="shared" si="237"/>
        <v>12</v>
      </c>
      <c r="H2782" t="s">
        <v>247</v>
      </c>
    </row>
    <row r="2783" spans="1:9" x14ac:dyDescent="0.25">
      <c r="A2783" s="15" t="s">
        <v>434</v>
      </c>
      <c r="B2783" s="32">
        <v>0.79374999999999996</v>
      </c>
      <c r="C2783" t="str">
        <f>'Inventory as of 12th Aug 2024'!A17</f>
        <v>Brookside milk 500ml</v>
      </c>
      <c r="D2783" s="27">
        <v>5</v>
      </c>
      <c r="E2783" s="5">
        <f>Table4[[#This Row],[qty]]*(VLOOKUP(Table4[[#This Row],[item_sold]],Table1[],5,FALSE))</f>
        <v>350</v>
      </c>
      <c r="F2783" s="5">
        <f>(VLOOKUP(Table4[[#This Row],[item_sold]],Table1[],4,FALSE))*Table4[[#This Row],[qty]]</f>
        <v>295</v>
      </c>
      <c r="G2783">
        <f t="shared" si="237"/>
        <v>55</v>
      </c>
      <c r="H2783" t="s">
        <v>361</v>
      </c>
    </row>
    <row r="2784" spans="1:9" x14ac:dyDescent="0.25">
      <c r="A2784" s="15" t="s">
        <v>434</v>
      </c>
      <c r="B2784" s="32">
        <v>0.79374999999999996</v>
      </c>
      <c r="C2784" t="str">
        <f>'Inventory as of 12th Aug 2024'!A173</f>
        <v>Carrier bag big</v>
      </c>
      <c r="D2784" s="27">
        <v>1</v>
      </c>
      <c r="E2784" s="5">
        <f>Table4[[#This Row],[qty]]*(VLOOKUP(Table4[[#This Row],[item_sold]],Table1[],5,FALSE))</f>
        <v>20</v>
      </c>
      <c r="F2784" s="5">
        <f>(VLOOKUP(Table4[[#This Row],[item_sold]],Table1[],4,FALSE))*Table4[[#This Row],[qty]]</f>
        <v>5</v>
      </c>
      <c r="G2784">
        <f t="shared" si="237"/>
        <v>15</v>
      </c>
      <c r="H2784" t="s">
        <v>361</v>
      </c>
    </row>
    <row r="2785" spans="1:9" x14ac:dyDescent="0.25">
      <c r="A2785" s="15" t="s">
        <v>434</v>
      </c>
      <c r="B2785" s="32">
        <v>0.79374999999999996</v>
      </c>
      <c r="C2785" t="str">
        <f>'Inventory as of 12th Aug 2024'!A211</f>
        <v>predator</v>
      </c>
      <c r="D2785" s="27">
        <v>1</v>
      </c>
      <c r="E2785" s="5">
        <f>Table4[[#This Row],[qty]]*(VLOOKUP(Table4[[#This Row],[item_sold]],Table1[],5,FALSE))</f>
        <v>70</v>
      </c>
      <c r="F2785" s="5">
        <f>(VLOOKUP(Table4[[#This Row],[item_sold]],Table1[],4,FALSE))*Table4[[#This Row],[qty]]</f>
        <v>54.166666666666664</v>
      </c>
      <c r="G2785">
        <f t="shared" si="237"/>
        <v>15.833333333333336</v>
      </c>
      <c r="H2785" t="s">
        <v>361</v>
      </c>
    </row>
    <row r="2786" spans="1:9" x14ac:dyDescent="0.25">
      <c r="A2786" s="15" t="s">
        <v>434</v>
      </c>
      <c r="B2786" s="32">
        <v>0.79374999999999996</v>
      </c>
      <c r="C2786" t="str">
        <f>'Inventory as of 12th Aug 2024'!A242</f>
        <v>Icepop</v>
      </c>
      <c r="D2786" s="27">
        <v>3</v>
      </c>
      <c r="E2786" s="5">
        <f>Table4[[#This Row],[qty]]*(VLOOKUP(Table4[[#This Row],[item_sold]],Table1[],5,FALSE))</f>
        <v>45</v>
      </c>
      <c r="F2786" s="5">
        <f>(VLOOKUP(Table4[[#This Row],[item_sold]],Table1[],4,FALSE))*Table4[[#This Row],[qty]]</f>
        <v>22.5</v>
      </c>
      <c r="G2786">
        <f t="shared" si="237"/>
        <v>22.5</v>
      </c>
      <c r="H2786" t="s">
        <v>361</v>
      </c>
    </row>
    <row r="2787" spans="1:9" x14ac:dyDescent="0.25">
      <c r="A2787" s="15" t="s">
        <v>434</v>
      </c>
      <c r="B2787" s="32">
        <v>0.80763888888888891</v>
      </c>
      <c r="C2787" t="str">
        <f>'Inventory as of 12th Aug 2024'!A208</f>
        <v>minutemaid 400ml</v>
      </c>
      <c r="D2787" s="27">
        <v>1</v>
      </c>
      <c r="E2787" s="5">
        <f>Table4[[#This Row],[qty]]*(VLOOKUP(Table4[[#This Row],[item_sold]],Table1[],5,FALSE))</f>
        <v>85</v>
      </c>
      <c r="F2787" s="5">
        <f>(VLOOKUP(Table4[[#This Row],[item_sold]],Table1[],4,FALSE))*Table4[[#This Row],[qty]]</f>
        <v>62.5</v>
      </c>
      <c r="G2787">
        <f t="shared" si="237"/>
        <v>22.5</v>
      </c>
      <c r="H2787" t="s">
        <v>361</v>
      </c>
    </row>
    <row r="2788" spans="1:9" x14ac:dyDescent="0.25">
      <c r="A2788" s="15" t="s">
        <v>434</v>
      </c>
      <c r="B2788" s="32">
        <v>0.80763888888888891</v>
      </c>
      <c r="C2788" t="str">
        <f>'Inventory as of 12th Aug 2024'!A153</f>
        <v>mosquito stick</v>
      </c>
      <c r="D2788" s="27">
        <v>2</v>
      </c>
      <c r="E2788" s="5">
        <f>Table4[[#This Row],[qty]]*(VLOOKUP(Table4[[#This Row],[item_sold]],Table1[],5,FALSE))</f>
        <v>20</v>
      </c>
      <c r="F2788" s="5">
        <f>(VLOOKUP(Table4[[#This Row],[item_sold]],Table1[],4,FALSE))*Table4[[#This Row],[qty]]</f>
        <v>18</v>
      </c>
      <c r="G2788">
        <f t="shared" si="237"/>
        <v>2</v>
      </c>
      <c r="H2788" t="s">
        <v>361</v>
      </c>
    </row>
    <row r="2789" spans="1:9" x14ac:dyDescent="0.25">
      <c r="A2789" s="15" t="s">
        <v>434</v>
      </c>
      <c r="B2789" s="32">
        <v>0.82361111111111107</v>
      </c>
      <c r="C2789" t="str">
        <f>'Inventory as of 12th Aug 2024'!A98</f>
        <v>Ginger</v>
      </c>
      <c r="D2789" s="27">
        <v>1</v>
      </c>
      <c r="E2789" s="5">
        <f>Table4[[#This Row],[qty]]*(VLOOKUP(Table4[[#This Row],[item_sold]],Table1[],5,FALSE))</f>
        <v>20</v>
      </c>
      <c r="F2789" s="5">
        <f>(VLOOKUP(Table4[[#This Row],[item_sold]],Table1[],4,FALSE))*Table4[[#This Row],[qty]]</f>
        <v>10</v>
      </c>
      <c r="G2789">
        <f t="shared" si="237"/>
        <v>10</v>
      </c>
      <c r="H2789" t="s">
        <v>361</v>
      </c>
    </row>
    <row r="2790" spans="1:9" x14ac:dyDescent="0.25">
      <c r="A2790" s="15" t="s">
        <v>434</v>
      </c>
      <c r="B2790" s="32">
        <v>0.82847222222222228</v>
      </c>
      <c r="C2790" t="str">
        <f>'Inventory as of 12th Aug 2024'!A58</f>
        <v>Safari</v>
      </c>
      <c r="D2790" s="27">
        <v>2</v>
      </c>
      <c r="E2790" s="5">
        <f>Table4[[#This Row],[qty]]*(VLOOKUP(Table4[[#This Row],[item_sold]],Table1[],5,FALSE))</f>
        <v>30</v>
      </c>
      <c r="F2790" s="5">
        <f>(VLOOKUP(Table4[[#This Row],[item_sold]],Table1[],4,FALSE))*Table4[[#This Row],[qty]]</f>
        <v>17</v>
      </c>
      <c r="G2790">
        <f t="shared" si="237"/>
        <v>13</v>
      </c>
      <c r="H2790" t="s">
        <v>361</v>
      </c>
    </row>
    <row r="2791" spans="1:9" x14ac:dyDescent="0.25">
      <c r="A2791" s="15" t="s">
        <v>434</v>
      </c>
      <c r="B2791" s="32">
        <v>0.84861111111111109</v>
      </c>
      <c r="C2791" t="str">
        <f>'Inventory as of 12th Aug 2024'!A58</f>
        <v>Safari</v>
      </c>
      <c r="D2791" s="27">
        <v>3</v>
      </c>
      <c r="E2791" s="5">
        <f>Table4[[#This Row],[qty]]*(VLOOKUP(Table4[[#This Row],[item_sold]],Table1[],5,FALSE))</f>
        <v>45</v>
      </c>
      <c r="F2791" s="5">
        <f>(VLOOKUP(Table4[[#This Row],[item_sold]],Table1[],4,FALSE))*Table4[[#This Row],[qty]]</f>
        <v>25.5</v>
      </c>
      <c r="G2791">
        <f t="shared" si="237"/>
        <v>19.5</v>
      </c>
      <c r="H2791" t="s">
        <v>247</v>
      </c>
    </row>
    <row r="2792" spans="1:9" x14ac:dyDescent="0.25">
      <c r="A2792" s="15" t="s">
        <v>434</v>
      </c>
      <c r="B2792" s="32">
        <v>0.84375</v>
      </c>
      <c r="C2792" t="str">
        <f>'Inventory as of 12th Aug 2024'!A244</f>
        <v>5ltrs water</v>
      </c>
      <c r="D2792" s="27">
        <v>1</v>
      </c>
      <c r="E2792" s="5">
        <f>Table4[[#This Row],[qty]]*(VLOOKUP(Table4[[#This Row],[item_sold]],Table1[],5,FALSE))</f>
        <v>120</v>
      </c>
      <c r="F2792" s="5">
        <f>(VLOOKUP(Table4[[#This Row],[item_sold]],Table1[],4,FALSE))*Table4[[#This Row],[qty]]</f>
        <v>75</v>
      </c>
      <c r="G2792">
        <f t="shared" si="237"/>
        <v>45</v>
      </c>
      <c r="H2792" t="s">
        <v>247</v>
      </c>
    </row>
    <row r="2793" spans="1:9" x14ac:dyDescent="0.25">
      <c r="A2793" s="15" t="s">
        <v>434</v>
      </c>
      <c r="B2793" s="32">
        <v>0.8569444444444444</v>
      </c>
      <c r="C2793" t="str">
        <f>'Inventory as of 12th Aug 2024'!A70</f>
        <v>Sugar 1/2 kg</v>
      </c>
      <c r="D2793" s="27">
        <v>1</v>
      </c>
      <c r="E2793" s="5">
        <f>Table4[[#This Row],[qty]]*(VLOOKUP(Table4[[#This Row],[item_sold]],Table1[],5,FALSE))</f>
        <v>90</v>
      </c>
      <c r="F2793" s="5">
        <f>(VLOOKUP(Table4[[#This Row],[item_sold]],Table1[],4,FALSE))*Table4[[#This Row],[qty]]</f>
        <v>60</v>
      </c>
      <c r="G2793">
        <f t="shared" si="237"/>
        <v>30</v>
      </c>
      <c r="H2793" t="s">
        <v>247</v>
      </c>
    </row>
    <row r="2794" spans="1:9" x14ac:dyDescent="0.25">
      <c r="A2794" s="15" t="s">
        <v>434</v>
      </c>
      <c r="B2794" s="32">
        <v>0.8569444444444444</v>
      </c>
      <c r="C2794" t="str">
        <f>'Inventory as of 12th Aug 2024'!A234</f>
        <v>Bigdaddy</v>
      </c>
      <c r="D2794" s="27">
        <v>1</v>
      </c>
      <c r="E2794" s="5">
        <f>Table4[[#This Row],[qty]]*(VLOOKUP(Table4[[#This Row],[item_sold]],Table1[],5,FALSE))</f>
        <v>10</v>
      </c>
      <c r="F2794" s="5">
        <f>(VLOOKUP(Table4[[#This Row],[item_sold]],Table1[],4,FALSE))*Table4[[#This Row],[qty]]</f>
        <v>6</v>
      </c>
      <c r="G2794">
        <f t="shared" ref="G2794:G2857" si="238">E2794-F2794</f>
        <v>4</v>
      </c>
      <c r="H2794" t="s">
        <v>247</v>
      </c>
    </row>
    <row r="2795" spans="1:9" x14ac:dyDescent="0.25">
      <c r="A2795" s="15" t="s">
        <v>434</v>
      </c>
      <c r="B2795" s="32">
        <v>0.875</v>
      </c>
      <c r="C2795" t="str">
        <f>'Inventory as of 12th Aug 2024'!A79</f>
        <v xml:space="preserve">Whitewash </v>
      </c>
      <c r="D2795" s="27">
        <v>1</v>
      </c>
      <c r="E2795" s="5">
        <f>Table4[[#This Row],[qty]]*(VLOOKUP(Table4[[#This Row],[item_sold]],Table1[],5,FALSE))</f>
        <v>50</v>
      </c>
      <c r="F2795" s="5">
        <f>(VLOOKUP(Table4[[#This Row],[item_sold]],Table1[],4,FALSE))*Table4[[#This Row],[qty]]</f>
        <v>33.75</v>
      </c>
      <c r="G2795">
        <f t="shared" si="238"/>
        <v>16.25</v>
      </c>
      <c r="H2795" t="s">
        <v>361</v>
      </c>
    </row>
    <row r="2796" spans="1:9" x14ac:dyDescent="0.25">
      <c r="A2796" s="15" t="s">
        <v>434</v>
      </c>
      <c r="B2796" s="32">
        <v>0.875</v>
      </c>
      <c r="C2796" t="str">
        <f>'Inventory as of 12th Aug 2024'!A229</f>
        <v>Fresh green</v>
      </c>
      <c r="D2796" s="27">
        <v>1</v>
      </c>
      <c r="E2796" s="5">
        <f>Table4[[#This Row],[qty]]*(VLOOKUP(Table4[[#This Row],[item_sold]],Table1[],5,FALSE))</f>
        <v>10</v>
      </c>
      <c r="F2796" s="5">
        <f>(VLOOKUP(Table4[[#This Row],[item_sold]],Table1[],4,FALSE))*Table4[[#This Row],[qty]]</f>
        <v>5</v>
      </c>
      <c r="G2796">
        <f t="shared" si="238"/>
        <v>5</v>
      </c>
      <c r="H2796" t="s">
        <v>361</v>
      </c>
    </row>
    <row r="2797" spans="1:9" x14ac:dyDescent="0.25">
      <c r="A2797" s="15" t="s">
        <v>434</v>
      </c>
      <c r="B2797" s="32">
        <v>0.875</v>
      </c>
      <c r="C2797" t="str">
        <f>'Inventory as of 12th Aug 2024'!A17</f>
        <v>Brookside milk 500ml</v>
      </c>
      <c r="D2797" s="27">
        <v>1</v>
      </c>
      <c r="E2797" s="5">
        <f>Table4[[#This Row],[qty]]*(VLOOKUP(Table4[[#This Row],[item_sold]],Table1[],5,FALSE))</f>
        <v>70</v>
      </c>
      <c r="F2797" s="5">
        <f>(VLOOKUP(Table4[[#This Row],[item_sold]],Table1[],4,FALSE))*Table4[[#This Row],[qty]]</f>
        <v>59</v>
      </c>
      <c r="G2797">
        <f t="shared" si="238"/>
        <v>11</v>
      </c>
      <c r="H2797" t="s">
        <v>430</v>
      </c>
      <c r="I2797" t="s">
        <v>435</v>
      </c>
    </row>
    <row r="2798" spans="1:9" x14ac:dyDescent="0.25">
      <c r="A2798" s="15" t="s">
        <v>434</v>
      </c>
      <c r="B2798" s="32">
        <v>0.875</v>
      </c>
      <c r="C2798" t="str">
        <f>'Inventory as of 12th Aug 2024'!A200</f>
        <v>Ngumu</v>
      </c>
      <c r="D2798" s="27">
        <v>3</v>
      </c>
      <c r="E2798" s="5">
        <f>Table4[[#This Row],[qty]]*(VLOOKUP(Table4[[#This Row],[item_sold]],Table1[],5,FALSE))</f>
        <v>30</v>
      </c>
      <c r="F2798" s="5">
        <f>(VLOOKUP(Table4[[#This Row],[item_sold]],Table1[],4,FALSE))*Table4[[#This Row],[qty]]</f>
        <v>25</v>
      </c>
      <c r="G2798">
        <f t="shared" si="238"/>
        <v>5</v>
      </c>
      <c r="H2798" t="s">
        <v>430</v>
      </c>
      <c r="I2798" t="s">
        <v>398</v>
      </c>
    </row>
    <row r="2799" spans="1:9" x14ac:dyDescent="0.25">
      <c r="A2799" s="15" t="s">
        <v>436</v>
      </c>
      <c r="B2799" s="32">
        <v>0.31805555555555554</v>
      </c>
      <c r="C2799" t="str">
        <f>'Inventory as of 12th Aug 2024'!A17</f>
        <v>Brookside milk 500ml</v>
      </c>
      <c r="D2799" s="27">
        <v>2</v>
      </c>
      <c r="E2799" s="5">
        <f>Table4[[#This Row],[qty]]*(VLOOKUP(Table4[[#This Row],[item_sold]],Table1[],5,FALSE))</f>
        <v>140</v>
      </c>
      <c r="F2799" s="5">
        <f>(VLOOKUP(Table4[[#This Row],[item_sold]],Table1[],4,FALSE))*Table4[[#This Row],[qty]]</f>
        <v>118</v>
      </c>
      <c r="G2799">
        <f t="shared" si="238"/>
        <v>22</v>
      </c>
      <c r="H2799" t="s">
        <v>430</v>
      </c>
      <c r="I2799" t="s">
        <v>389</v>
      </c>
    </row>
    <row r="2800" spans="1:9" x14ac:dyDescent="0.25">
      <c r="A2800" s="15" t="s">
        <v>436</v>
      </c>
      <c r="B2800" s="32">
        <v>0.31944444444444442</v>
      </c>
      <c r="C2800" t="str">
        <f>'Inventory as of 12th Aug 2024'!A17</f>
        <v>Brookside milk 500ml</v>
      </c>
      <c r="D2800" s="27">
        <v>2</v>
      </c>
      <c r="E2800" s="5">
        <f>Table4[[#This Row],[qty]]*(VLOOKUP(Table4[[#This Row],[item_sold]],Table1[],5,FALSE))</f>
        <v>140</v>
      </c>
      <c r="F2800" s="5">
        <f>(VLOOKUP(Table4[[#This Row],[item_sold]],Table1[],4,FALSE))*Table4[[#This Row],[qty]]</f>
        <v>118</v>
      </c>
      <c r="G2800">
        <f t="shared" si="238"/>
        <v>22</v>
      </c>
      <c r="H2800" t="s">
        <v>247</v>
      </c>
    </row>
    <row r="2801" spans="1:8" x14ac:dyDescent="0.25">
      <c r="A2801" s="15" t="s">
        <v>436</v>
      </c>
      <c r="B2801" s="32">
        <v>0.31944444444444442</v>
      </c>
      <c r="C2801" t="str">
        <f>'Inventory as of 12th Aug 2024'!A193</f>
        <v>Ginger Bisquit</v>
      </c>
      <c r="D2801" s="27">
        <v>3</v>
      </c>
      <c r="E2801" s="5">
        <f>Table4[[#This Row],[qty]]*(VLOOKUP(Table4[[#This Row],[item_sold]],Table1[],5,FALSE))</f>
        <v>15</v>
      </c>
      <c r="F2801" s="5">
        <f>(VLOOKUP(Table4[[#This Row],[item_sold]],Table1[],4,FALSE))*Table4[[#This Row],[qty]]</f>
        <v>13</v>
      </c>
      <c r="G2801">
        <f t="shared" si="238"/>
        <v>2</v>
      </c>
      <c r="H2801" t="s">
        <v>247</v>
      </c>
    </row>
    <row r="2802" spans="1:8" x14ac:dyDescent="0.25">
      <c r="A2802" s="15" t="s">
        <v>436</v>
      </c>
      <c r="B2802" s="32">
        <v>0.35972222222222222</v>
      </c>
      <c r="C2802" t="str">
        <f>'Inventory as of 12th Aug 2024'!A200</f>
        <v>Ngumu</v>
      </c>
      <c r="D2802" s="27">
        <v>5</v>
      </c>
      <c r="E2802" s="5">
        <f>Table4[[#This Row],[qty]]*(VLOOKUP(Table4[[#This Row],[item_sold]],Table1[],5,FALSE))</f>
        <v>50</v>
      </c>
      <c r="F2802" s="5">
        <f>(VLOOKUP(Table4[[#This Row],[item_sold]],Table1[],4,FALSE))*Table4[[#This Row],[qty]]</f>
        <v>41.666666666666671</v>
      </c>
      <c r="G2802">
        <f t="shared" si="238"/>
        <v>8.3333333333333286</v>
      </c>
      <c r="H2802" t="s">
        <v>361</v>
      </c>
    </row>
    <row r="2803" spans="1:8" x14ac:dyDescent="0.25">
      <c r="A2803" s="15" t="s">
        <v>436</v>
      </c>
      <c r="B2803" s="32">
        <v>0.38958333333333334</v>
      </c>
      <c r="C2803" t="str">
        <f>'Inventory as of 12th Aug 2024'!A2</f>
        <v>Safaricom 20 Credit</v>
      </c>
      <c r="D2803" s="27">
        <v>1</v>
      </c>
      <c r="E2803" s="5">
        <f>Table4[[#This Row],[qty]]*(VLOOKUP(Table4[[#This Row],[item_sold]],Table1[],5,FALSE))</f>
        <v>20</v>
      </c>
      <c r="F2803" s="5">
        <f>(VLOOKUP(Table4[[#This Row],[item_sold]],Table1[],4,FALSE))*Table4[[#This Row],[qty]]</f>
        <v>18</v>
      </c>
      <c r="G2803">
        <f t="shared" si="238"/>
        <v>2</v>
      </c>
      <c r="H2803" t="s">
        <v>247</v>
      </c>
    </row>
    <row r="2804" spans="1:8" x14ac:dyDescent="0.25">
      <c r="A2804" s="15" t="s">
        <v>436</v>
      </c>
      <c r="B2804" s="32">
        <v>0.3972222222222222</v>
      </c>
      <c r="C2804" t="str">
        <f>'Inventory as of 12th Aug 2024'!A200</f>
        <v>Ngumu</v>
      </c>
      <c r="D2804" s="27">
        <v>4</v>
      </c>
      <c r="E2804" s="5">
        <f>Table4[[#This Row],[qty]]*(VLOOKUP(Table4[[#This Row],[item_sold]],Table1[],5,FALSE))</f>
        <v>40</v>
      </c>
      <c r="F2804" s="5">
        <f>(VLOOKUP(Table4[[#This Row],[item_sold]],Table1[],4,FALSE))*Table4[[#This Row],[qty]]</f>
        <v>33.333333333333336</v>
      </c>
      <c r="G2804">
        <f t="shared" si="238"/>
        <v>6.6666666666666643</v>
      </c>
      <c r="H2804" t="s">
        <v>361</v>
      </c>
    </row>
    <row r="2805" spans="1:8" x14ac:dyDescent="0.25">
      <c r="A2805" s="15" t="s">
        <v>436</v>
      </c>
      <c r="B2805" s="32">
        <v>0.3972222222222222</v>
      </c>
      <c r="C2805" t="str">
        <f>'Inventory as of 12th Aug 2024'!A59</f>
        <v>kabras sugar 1kg</v>
      </c>
      <c r="D2805" s="27">
        <v>1</v>
      </c>
      <c r="E2805" s="5">
        <f>Table4[[#This Row],[qty]]*(VLOOKUP(Table4[[#This Row],[item_sold]],Table1[],5,FALSE))</f>
        <v>180</v>
      </c>
      <c r="F2805" s="5">
        <f>(VLOOKUP(Table4[[#This Row],[item_sold]],Table1[],4,FALSE))*Table4[[#This Row],[qty]]</f>
        <v>140</v>
      </c>
      <c r="G2805">
        <f t="shared" si="238"/>
        <v>40</v>
      </c>
      <c r="H2805" t="s">
        <v>361</v>
      </c>
    </row>
    <row r="2806" spans="1:8" x14ac:dyDescent="0.25">
      <c r="A2806" s="15" t="s">
        <v>436</v>
      </c>
      <c r="B2806" s="32">
        <v>0.4236111111111111</v>
      </c>
      <c r="C2806" t="str">
        <f>'Inventory as of 12th Aug 2024'!A17</f>
        <v>Brookside milk 500ml</v>
      </c>
      <c r="D2806" s="27">
        <v>1</v>
      </c>
      <c r="E2806" s="5">
        <f>Table4[[#This Row],[qty]]*(VLOOKUP(Table4[[#This Row],[item_sold]],Table1[],5,FALSE))</f>
        <v>70</v>
      </c>
      <c r="F2806" s="5">
        <f>(VLOOKUP(Table4[[#This Row],[item_sold]],Table1[],4,FALSE))*Table4[[#This Row],[qty]]</f>
        <v>59</v>
      </c>
      <c r="G2806">
        <f t="shared" si="238"/>
        <v>11</v>
      </c>
      <c r="H2806" t="s">
        <v>361</v>
      </c>
    </row>
    <row r="2807" spans="1:8" x14ac:dyDescent="0.25">
      <c r="A2807" s="15" t="s">
        <v>436</v>
      </c>
      <c r="B2807" s="32">
        <v>0.4236111111111111</v>
      </c>
      <c r="C2807" t="str">
        <f>'Inventory as of 12th Aug 2024'!A134</f>
        <v>Hanaan Tissue</v>
      </c>
      <c r="D2807" s="27">
        <v>1</v>
      </c>
      <c r="E2807" s="5">
        <f>Table4[[#This Row],[qty]]*(VLOOKUP(Table4[[#This Row],[item_sold]],Table1[],5,FALSE))</f>
        <v>55</v>
      </c>
      <c r="F2807" s="5">
        <f>(VLOOKUP(Table4[[#This Row],[item_sold]],Table1[],4,FALSE))*Table4[[#This Row],[qty]]</f>
        <v>43</v>
      </c>
      <c r="G2807">
        <f t="shared" si="238"/>
        <v>12</v>
      </c>
      <c r="H2807" t="s">
        <v>361</v>
      </c>
    </row>
    <row r="2808" spans="1:8" x14ac:dyDescent="0.25">
      <c r="A2808" s="15" t="s">
        <v>436</v>
      </c>
      <c r="B2808" s="32">
        <v>0.4236111111111111</v>
      </c>
      <c r="C2808" t="str">
        <f>'Inventory as of 12th Aug 2024'!A68</f>
        <v>Royco cubes</v>
      </c>
      <c r="D2808" s="27">
        <v>6</v>
      </c>
      <c r="E2808" s="5">
        <f>Table4[[#This Row],[qty]]*(VLOOKUP(Table4[[#This Row],[item_sold]],Table1[],5,FALSE))</f>
        <v>30</v>
      </c>
      <c r="F2808" s="5">
        <f>(VLOOKUP(Table4[[#This Row],[item_sold]],Table1[],4,FALSE))*Table4[[#This Row],[qty]]</f>
        <v>18</v>
      </c>
      <c r="G2808">
        <f t="shared" si="238"/>
        <v>12</v>
      </c>
      <c r="H2808" t="s">
        <v>361</v>
      </c>
    </row>
    <row r="2809" spans="1:8" x14ac:dyDescent="0.25">
      <c r="A2809" s="15" t="s">
        <v>436</v>
      </c>
      <c r="B2809" s="32">
        <v>0.4236111111111111</v>
      </c>
      <c r="C2809" t="str">
        <f>'Inventory as of 12th Aug 2024'!A91</f>
        <v>Tomatoes</v>
      </c>
      <c r="D2809" s="27">
        <v>5</v>
      </c>
      <c r="E2809" s="5">
        <f>Table4[[#This Row],[qty]]*(VLOOKUP(Table4[[#This Row],[item_sold]],Table1[],5,FALSE))</f>
        <v>50</v>
      </c>
      <c r="F2809" s="5">
        <f>(VLOOKUP(Table4[[#This Row],[item_sold]],Table1[],4,FALSE))*Table4[[#This Row],[qty]]</f>
        <v>25</v>
      </c>
      <c r="G2809">
        <f t="shared" si="238"/>
        <v>25</v>
      </c>
      <c r="H2809" t="s">
        <v>361</v>
      </c>
    </row>
    <row r="2810" spans="1:8" x14ac:dyDescent="0.25">
      <c r="A2810" s="15" t="s">
        <v>436</v>
      </c>
      <c r="B2810" s="32">
        <v>0.42430555555555555</v>
      </c>
      <c r="C2810" t="str">
        <f>'Inventory as of 12th Aug 2024'!A156</f>
        <v>Kortex pads</v>
      </c>
      <c r="D2810" s="27">
        <v>1</v>
      </c>
      <c r="E2810" s="5">
        <f>Table4[[#This Row],[qty]]*(VLOOKUP(Table4[[#This Row],[item_sold]],Table1[],5,FALSE))</f>
        <v>130</v>
      </c>
      <c r="F2810" s="5">
        <f>(VLOOKUP(Table4[[#This Row],[item_sold]],Table1[],4,FALSE))*Table4[[#This Row],[qty]]</f>
        <v>106</v>
      </c>
      <c r="G2810">
        <f t="shared" si="238"/>
        <v>24</v>
      </c>
      <c r="H2810" t="s">
        <v>247</v>
      </c>
    </row>
    <row r="2811" spans="1:8" x14ac:dyDescent="0.25">
      <c r="A2811" s="15" t="s">
        <v>436</v>
      </c>
      <c r="B2811" s="32">
        <v>0.42430555555555555</v>
      </c>
      <c r="C2811" t="str">
        <f>'Inventory as of 12th Aug 2024'!A33</f>
        <v>BB Bread 400g</v>
      </c>
      <c r="D2811" s="27">
        <v>2</v>
      </c>
      <c r="E2811" s="5">
        <f>Table4[[#This Row],[qty]]*(VLOOKUP(Table4[[#This Row],[item_sold]],Table1[],5,FALSE))</f>
        <v>130</v>
      </c>
      <c r="F2811" s="5">
        <f>(VLOOKUP(Table4[[#This Row],[item_sold]],Table1[],4,FALSE))*Table4[[#This Row],[qty]]</f>
        <v>120</v>
      </c>
      <c r="G2811">
        <f t="shared" si="238"/>
        <v>10</v>
      </c>
      <c r="H2811" t="s">
        <v>247</v>
      </c>
    </row>
    <row r="2812" spans="1:8" x14ac:dyDescent="0.25">
      <c r="A2812" s="15" t="s">
        <v>436</v>
      </c>
      <c r="B2812" s="32">
        <v>0.42430555555555555</v>
      </c>
      <c r="C2812" t="str">
        <f>'Inventory as of 12th Aug 2024'!A85</f>
        <v>Downy lavender</v>
      </c>
      <c r="D2812" s="27">
        <v>1</v>
      </c>
      <c r="E2812" s="5">
        <f>Table4[[#This Row],[qty]]*(VLOOKUP(Table4[[#This Row],[item_sold]],Table1[],5,FALSE))</f>
        <v>20</v>
      </c>
      <c r="F2812" s="5">
        <f>(VLOOKUP(Table4[[#This Row],[item_sold]],Table1[],4,FALSE))*Table4[[#This Row],[qty]]</f>
        <v>17.333333333333332</v>
      </c>
      <c r="G2812">
        <f t="shared" si="238"/>
        <v>2.6666666666666679</v>
      </c>
      <c r="H2812" t="s">
        <v>247</v>
      </c>
    </row>
    <row r="2813" spans="1:8" x14ac:dyDescent="0.25">
      <c r="A2813" s="15" t="s">
        <v>436</v>
      </c>
      <c r="B2813" s="32">
        <v>0.43402777777777779</v>
      </c>
      <c r="C2813" t="str">
        <f>'Inventory as of 12th Aug 2024'!A37</f>
        <v>Festive Bread 400g</v>
      </c>
      <c r="D2813" s="27">
        <v>1</v>
      </c>
      <c r="E2813" s="5">
        <f>Table4[[#This Row],[qty]]*(VLOOKUP(Table4[[#This Row],[item_sold]],Table1[],5,FALSE))</f>
        <v>65</v>
      </c>
      <c r="F2813" s="5">
        <f>(VLOOKUP(Table4[[#This Row],[item_sold]],Table1[],4,FALSE))*Table4[[#This Row],[qty]]</f>
        <v>60</v>
      </c>
      <c r="G2813">
        <f t="shared" si="238"/>
        <v>5</v>
      </c>
      <c r="H2813" t="s">
        <v>247</v>
      </c>
    </row>
    <row r="2814" spans="1:8" x14ac:dyDescent="0.25">
      <c r="A2814" s="15" t="s">
        <v>436</v>
      </c>
      <c r="B2814" s="32">
        <v>0.44791666666666669</v>
      </c>
      <c r="C2814" t="str">
        <f>'Inventory as of 12th Aug 2024'!A242</f>
        <v>Icepop</v>
      </c>
      <c r="D2814" s="27">
        <v>3</v>
      </c>
      <c r="E2814" s="5">
        <f>Table4[[#This Row],[qty]]*(VLOOKUP(Table4[[#This Row],[item_sold]],Table1[],5,FALSE))</f>
        <v>45</v>
      </c>
      <c r="F2814" s="5">
        <f>(VLOOKUP(Table4[[#This Row],[item_sold]],Table1[],4,FALSE))*Table4[[#This Row],[qty]]</f>
        <v>22.5</v>
      </c>
      <c r="G2814">
        <f t="shared" si="238"/>
        <v>22.5</v>
      </c>
      <c r="H2814" t="s">
        <v>361</v>
      </c>
    </row>
    <row r="2815" spans="1:8" x14ac:dyDescent="0.25">
      <c r="A2815" s="15" t="s">
        <v>436</v>
      </c>
      <c r="B2815" s="32">
        <v>0.44791666666666669</v>
      </c>
      <c r="C2815" t="str">
        <f>'Inventory as of 12th Aug 2024'!A188</f>
        <v>Choc-chip Cookies</v>
      </c>
      <c r="D2815" s="27">
        <v>3</v>
      </c>
      <c r="E2815" s="5">
        <f>Table4[[#This Row],[qty]]*(VLOOKUP(Table4[[#This Row],[item_sold]],Table1[],5,FALSE))</f>
        <v>105</v>
      </c>
      <c r="F2815" s="5">
        <f>(VLOOKUP(Table4[[#This Row],[item_sold]],Table1[],4,FALSE))*Table4[[#This Row],[qty]]</f>
        <v>75</v>
      </c>
      <c r="G2815">
        <f t="shared" si="238"/>
        <v>30</v>
      </c>
      <c r="H2815" t="s">
        <v>361</v>
      </c>
    </row>
    <row r="2816" spans="1:8" x14ac:dyDescent="0.25">
      <c r="A2816" s="15" t="s">
        <v>436</v>
      </c>
      <c r="B2816" s="32">
        <v>0.44791666666666669</v>
      </c>
      <c r="C2816" t="str">
        <f>'Inventory as of 12th Aug 2024'!A58</f>
        <v>Safari</v>
      </c>
      <c r="D2816" s="27">
        <v>3</v>
      </c>
      <c r="E2816" s="5">
        <f>Table4[[#This Row],[qty]]*(VLOOKUP(Table4[[#This Row],[item_sold]],Table1[],5,FALSE))</f>
        <v>45</v>
      </c>
      <c r="F2816" s="5">
        <f>(VLOOKUP(Table4[[#This Row],[item_sold]],Table1[],4,FALSE))*Table4[[#This Row],[qty]]</f>
        <v>25.5</v>
      </c>
      <c r="G2816">
        <f t="shared" si="238"/>
        <v>19.5</v>
      </c>
      <c r="H2816" t="s">
        <v>361</v>
      </c>
    </row>
    <row r="2817" spans="1:12" x14ac:dyDescent="0.25">
      <c r="A2817" s="15" t="s">
        <v>436</v>
      </c>
      <c r="B2817" s="32">
        <v>0.46458333333333335</v>
      </c>
      <c r="C2817" t="str">
        <f>'Inventory as of 12th Aug 2024'!A58</f>
        <v>Safari</v>
      </c>
      <c r="D2817" s="27">
        <v>1</v>
      </c>
      <c r="E2817" s="5">
        <f>Table4[[#This Row],[qty]]*(VLOOKUP(Table4[[#This Row],[item_sold]],Table1[],5,FALSE))</f>
        <v>15</v>
      </c>
      <c r="F2817" s="5">
        <f>(VLOOKUP(Table4[[#This Row],[item_sold]],Table1[],4,FALSE))*Table4[[#This Row],[qty]]</f>
        <v>8.5</v>
      </c>
      <c r="G2817">
        <f t="shared" si="238"/>
        <v>6.5</v>
      </c>
      <c r="H2817" t="s">
        <v>361</v>
      </c>
    </row>
    <row r="2818" spans="1:12" x14ac:dyDescent="0.25">
      <c r="A2818" s="15" t="s">
        <v>436</v>
      </c>
      <c r="B2818" s="32">
        <v>0.46458333333333335</v>
      </c>
      <c r="C2818" t="str">
        <f>'Inventory as of 12th Aug 2024'!A65</f>
        <v>Tomato sauce</v>
      </c>
      <c r="D2818" s="27">
        <v>1</v>
      </c>
      <c r="E2818" s="5">
        <f>Table4[[#This Row],[qty]]*(VLOOKUP(Table4[[#This Row],[item_sold]],Table1[],5,FALSE))</f>
        <v>70</v>
      </c>
      <c r="F2818" s="5">
        <f>(VLOOKUP(Table4[[#This Row],[item_sold]],Table1[],4,FALSE))*Table4[[#This Row],[qty]]</f>
        <v>50</v>
      </c>
      <c r="G2818">
        <f t="shared" si="238"/>
        <v>20</v>
      </c>
      <c r="H2818" t="s">
        <v>361</v>
      </c>
    </row>
    <row r="2819" spans="1:12" x14ac:dyDescent="0.25">
      <c r="A2819" s="15" t="s">
        <v>436</v>
      </c>
      <c r="B2819" s="32">
        <v>0.46458333333333335</v>
      </c>
      <c r="C2819" t="str">
        <f>'Inventory as of 12th Aug 2024'!A75</f>
        <v>Cooking Oil Measured</v>
      </c>
      <c r="D2819" s="27">
        <v>0.25</v>
      </c>
      <c r="E2819" s="5">
        <f>Table4[[#This Row],[qty]]*(VLOOKUP(Table4[[#This Row],[item_sold]],Table1[],5,FALSE))</f>
        <v>70</v>
      </c>
      <c r="F2819" s="5">
        <f>(VLOOKUP(Table4[[#This Row],[item_sold]],Table1[],4,FALSE))*Table4[[#This Row],[qty]]</f>
        <v>50</v>
      </c>
      <c r="G2819">
        <f t="shared" si="238"/>
        <v>20</v>
      </c>
      <c r="H2819" t="s">
        <v>361</v>
      </c>
      <c r="J2819" t="s">
        <v>393</v>
      </c>
      <c r="K2819">
        <v>55</v>
      </c>
      <c r="L2819" t="s">
        <v>361</v>
      </c>
    </row>
    <row r="2820" spans="1:12" x14ac:dyDescent="0.25">
      <c r="A2820" s="15" t="s">
        <v>436</v>
      </c>
      <c r="B2820" s="32">
        <v>0.46458333333333335</v>
      </c>
      <c r="C2820" t="str">
        <f>'Inventory as of 12th Aug 2024'!A213</f>
        <v>soda 500ml glass</v>
      </c>
      <c r="D2820" s="27">
        <v>1</v>
      </c>
      <c r="E2820" s="5">
        <f>Table4[[#This Row],[qty]]*(VLOOKUP(Table4[[#This Row],[item_sold]],Table1[],5,FALSE))</f>
        <v>55</v>
      </c>
      <c r="F2820" s="5">
        <f>(VLOOKUP(Table4[[#This Row],[item_sold]],Table1[],4,FALSE))*Table4[[#This Row],[qty]]</f>
        <v>50</v>
      </c>
      <c r="G2820">
        <f t="shared" si="238"/>
        <v>5</v>
      </c>
      <c r="H2820" t="s">
        <v>361</v>
      </c>
      <c r="J2820" t="s">
        <v>399</v>
      </c>
      <c r="K2820">
        <v>120</v>
      </c>
      <c r="L2820" t="s">
        <v>247</v>
      </c>
    </row>
    <row r="2821" spans="1:12" x14ac:dyDescent="0.25">
      <c r="A2821" s="15" t="s">
        <v>436</v>
      </c>
      <c r="B2821" s="32">
        <v>0.46527777777777779</v>
      </c>
      <c r="C2821" t="str">
        <f>'Inventory as of 12th Aug 2024'!A206</f>
        <v>soda 500ml plastic</v>
      </c>
      <c r="D2821" s="27">
        <v>1</v>
      </c>
      <c r="E2821" s="5">
        <f>Table4[[#This Row],[qty]]*(VLOOKUP(Table4[[#This Row],[item_sold]],Table1[],5,FALSE))</f>
        <v>70</v>
      </c>
      <c r="F2821" s="5">
        <f>(VLOOKUP(Table4[[#This Row],[item_sold]],Table1[],4,FALSE))*Table4[[#This Row],[qty]]</f>
        <v>60.416666666666664</v>
      </c>
      <c r="G2821">
        <f t="shared" si="238"/>
        <v>9.5833333333333357</v>
      </c>
      <c r="H2821" t="s">
        <v>430</v>
      </c>
      <c r="I2821" t="s">
        <v>401</v>
      </c>
      <c r="J2821" t="s">
        <v>397</v>
      </c>
      <c r="K2821">
        <v>280</v>
      </c>
      <c r="L2821" t="s">
        <v>361</v>
      </c>
    </row>
    <row r="2822" spans="1:12" x14ac:dyDescent="0.25">
      <c r="A2822" s="15" t="s">
        <v>436</v>
      </c>
      <c r="B2822" s="32">
        <v>0.46527777777777779</v>
      </c>
      <c r="C2822" t="str">
        <f>'Inventory as of 12th Aug 2024'!A194</f>
        <v>Half pound cake</v>
      </c>
      <c r="D2822" s="27">
        <v>1</v>
      </c>
      <c r="E2822" s="5">
        <f>Table4[[#This Row],[qty]]*(VLOOKUP(Table4[[#This Row],[item_sold]],Table1[],5,FALSE))</f>
        <v>100</v>
      </c>
      <c r="F2822" s="5">
        <f>(VLOOKUP(Table4[[#This Row],[item_sold]],Table1[],4,FALSE))*Table4[[#This Row],[qty]]</f>
        <v>90</v>
      </c>
      <c r="G2822">
        <f t="shared" si="238"/>
        <v>10</v>
      </c>
      <c r="H2822" t="s">
        <v>430</v>
      </c>
      <c r="J2822" t="s">
        <v>398</v>
      </c>
      <c r="K2822">
        <v>160</v>
      </c>
      <c r="L2822" t="s">
        <v>361</v>
      </c>
    </row>
    <row r="2823" spans="1:12" x14ac:dyDescent="0.25">
      <c r="A2823" s="15" t="s">
        <v>436</v>
      </c>
      <c r="B2823" s="32">
        <v>0.49444444444444446</v>
      </c>
      <c r="C2823" t="str">
        <f>'Inventory as of 12th Aug 2024'!A229</f>
        <v>Fresh green</v>
      </c>
      <c r="D2823" s="27">
        <v>1</v>
      </c>
      <c r="E2823" s="5">
        <f>Table4[[#This Row],[qty]]*(VLOOKUP(Table4[[#This Row],[item_sold]],Table1[],5,FALSE))</f>
        <v>10</v>
      </c>
      <c r="F2823" s="5">
        <f>(VLOOKUP(Table4[[#This Row],[item_sold]],Table1[],4,FALSE))*Table4[[#This Row],[qty]]</f>
        <v>5</v>
      </c>
      <c r="G2823">
        <f t="shared" si="238"/>
        <v>5</v>
      </c>
      <c r="H2823" t="s">
        <v>247</v>
      </c>
      <c r="J2823" t="s">
        <v>417</v>
      </c>
      <c r="K2823">
        <v>65</v>
      </c>
      <c r="L2823" t="s">
        <v>361</v>
      </c>
    </row>
    <row r="2824" spans="1:12" x14ac:dyDescent="0.25">
      <c r="A2824" s="15" t="s">
        <v>436</v>
      </c>
      <c r="B2824" s="32">
        <v>0.50138888888888888</v>
      </c>
      <c r="C2824" t="str">
        <f>'Inventory as of 12th Aug 2024'!A193</f>
        <v>Ginger Bisquit</v>
      </c>
      <c r="D2824" s="27">
        <v>1</v>
      </c>
      <c r="E2824" s="5">
        <f>Table4[[#This Row],[qty]]*(VLOOKUP(Table4[[#This Row],[item_sold]],Table1[],5,FALSE))</f>
        <v>5</v>
      </c>
      <c r="F2824" s="5">
        <f>(VLOOKUP(Table4[[#This Row],[item_sold]],Table1[],4,FALSE))*Table4[[#This Row],[qty]]</f>
        <v>4.333333333333333</v>
      </c>
      <c r="G2824">
        <f t="shared" si="238"/>
        <v>0.66666666666666696</v>
      </c>
      <c r="H2824" t="s">
        <v>247</v>
      </c>
    </row>
    <row r="2825" spans="1:12" x14ac:dyDescent="0.25">
      <c r="A2825" s="15" t="s">
        <v>436</v>
      </c>
      <c r="B2825" s="32">
        <v>0.51041666666666663</v>
      </c>
      <c r="C2825" t="str">
        <f>'Inventory as of 12th Aug 2024'!A120</f>
        <v>Maramoja</v>
      </c>
      <c r="D2825" s="27">
        <v>2</v>
      </c>
      <c r="E2825" s="5">
        <f>Table4[[#This Row],[qty]]*(VLOOKUP(Table4[[#This Row],[item_sold]],Table1[],5,FALSE))</f>
        <v>20</v>
      </c>
      <c r="F2825" s="5">
        <f>(VLOOKUP(Table4[[#This Row],[item_sold]],Table1[],4,FALSE))*Table4[[#This Row],[qty]]</f>
        <v>14</v>
      </c>
      <c r="G2825">
        <f t="shared" si="238"/>
        <v>6</v>
      </c>
      <c r="H2825" t="s">
        <v>430</v>
      </c>
      <c r="I2825" t="s">
        <v>406</v>
      </c>
    </row>
    <row r="2826" spans="1:12" x14ac:dyDescent="0.25">
      <c r="A2826" s="15" t="s">
        <v>436</v>
      </c>
      <c r="B2826" s="32">
        <v>0.53333333333333333</v>
      </c>
      <c r="C2826" t="str">
        <f>'Inventory as of 12th Aug 2024'!A58</f>
        <v>Safari</v>
      </c>
      <c r="D2826" s="27">
        <v>1</v>
      </c>
      <c r="E2826" s="5">
        <f>Table4[[#This Row],[qty]]*(VLOOKUP(Table4[[#This Row],[item_sold]],Table1[],5,FALSE))</f>
        <v>15</v>
      </c>
      <c r="F2826" s="5">
        <f>(VLOOKUP(Table4[[#This Row],[item_sold]],Table1[],4,FALSE))*Table4[[#This Row],[qty]]</f>
        <v>8.5</v>
      </c>
      <c r="G2826">
        <f t="shared" si="238"/>
        <v>6.5</v>
      </c>
      <c r="H2826" t="s">
        <v>361</v>
      </c>
    </row>
    <row r="2827" spans="1:12" x14ac:dyDescent="0.25">
      <c r="A2827" s="15" t="s">
        <v>436</v>
      </c>
      <c r="B2827" s="32">
        <v>0.53472222222222221</v>
      </c>
      <c r="C2827" t="str">
        <f>'Inventory as of 12th Aug 2024'!A92</f>
        <v>Banana</v>
      </c>
      <c r="D2827" s="27">
        <v>2</v>
      </c>
      <c r="E2827" s="5">
        <f>Table4[[#This Row],[qty]]*(VLOOKUP(Table4[[#This Row],[item_sold]],Table1[],5,FALSE))</f>
        <v>20</v>
      </c>
      <c r="F2827" s="5">
        <f>(VLOOKUP(Table4[[#This Row],[item_sold]],Table1[],4,FALSE))*Table4[[#This Row],[qty]]</f>
        <v>16.666666666666668</v>
      </c>
      <c r="G2827">
        <f t="shared" si="238"/>
        <v>3.3333333333333321</v>
      </c>
      <c r="H2827" t="s">
        <v>247</v>
      </c>
    </row>
    <row r="2828" spans="1:12" x14ac:dyDescent="0.25">
      <c r="A2828" s="15" t="s">
        <v>436</v>
      </c>
      <c r="B2828" s="32">
        <v>0.54236111111111107</v>
      </c>
      <c r="C2828" t="str">
        <f>'Inventory as of 12th Aug 2024'!A199</f>
        <v>Kdf</v>
      </c>
      <c r="D2828" s="27">
        <v>1</v>
      </c>
      <c r="E2828" s="5">
        <f>Table4[[#This Row],[qty]]*(VLOOKUP(Table4[[#This Row],[item_sold]],Table1[],5,FALSE))</f>
        <v>10</v>
      </c>
      <c r="F2828" s="5">
        <f>(VLOOKUP(Table4[[#This Row],[item_sold]],Table1[],4,FALSE))*Table4[[#This Row],[qty]]</f>
        <v>8.3333333333333339</v>
      </c>
      <c r="G2828">
        <f t="shared" si="238"/>
        <v>1.6666666666666661</v>
      </c>
      <c r="H2828" t="s">
        <v>247</v>
      </c>
    </row>
    <row r="2829" spans="1:12" x14ac:dyDescent="0.25">
      <c r="A2829" s="15" t="s">
        <v>436</v>
      </c>
      <c r="B2829" s="32">
        <v>0.54236111111111107</v>
      </c>
      <c r="C2829" t="str">
        <f>'Inventory as of 12th Aug 2024'!A208</f>
        <v>minutemaid 400ml</v>
      </c>
      <c r="D2829" s="27">
        <v>1</v>
      </c>
      <c r="E2829" s="5">
        <f>Table4[[#This Row],[qty]]*(VLOOKUP(Table4[[#This Row],[item_sold]],Table1[],5,FALSE))</f>
        <v>85</v>
      </c>
      <c r="F2829" s="5">
        <f>(VLOOKUP(Table4[[#This Row],[item_sold]],Table1[],4,FALSE))*Table4[[#This Row],[qty]]</f>
        <v>62.5</v>
      </c>
      <c r="G2829">
        <f t="shared" si="238"/>
        <v>22.5</v>
      </c>
      <c r="H2829" t="s">
        <v>247</v>
      </c>
    </row>
    <row r="2830" spans="1:12" x14ac:dyDescent="0.25">
      <c r="A2830" s="15" t="s">
        <v>436</v>
      </c>
      <c r="B2830" s="32">
        <v>0.54236111111111107</v>
      </c>
      <c r="C2830" t="str">
        <f>'Inventory as of 12th Aug 2024'!A193</f>
        <v>Ginger Bisquit</v>
      </c>
      <c r="D2830" s="27">
        <v>2</v>
      </c>
      <c r="E2830" s="5">
        <f>Table4[[#This Row],[qty]]*(VLOOKUP(Table4[[#This Row],[item_sold]],Table1[],5,FALSE))</f>
        <v>10</v>
      </c>
      <c r="F2830" s="5">
        <f>(VLOOKUP(Table4[[#This Row],[item_sold]],Table1[],4,FALSE))*Table4[[#This Row],[qty]]</f>
        <v>8.6666666666666661</v>
      </c>
      <c r="G2830">
        <f t="shared" si="238"/>
        <v>1.3333333333333339</v>
      </c>
      <c r="H2830" t="s">
        <v>247</v>
      </c>
    </row>
    <row r="2831" spans="1:12" x14ac:dyDescent="0.25">
      <c r="A2831" s="15" t="s">
        <v>436</v>
      </c>
      <c r="B2831" s="32">
        <v>0.5541666666666667</v>
      </c>
      <c r="C2831" t="str">
        <f>'Inventory as of 12th Aug 2024'!A212</f>
        <v>soda 300ml glass</v>
      </c>
      <c r="D2831" s="27">
        <v>2</v>
      </c>
      <c r="E2831" s="5">
        <f>Table4[[#This Row],[qty]]*(VLOOKUP(Table4[[#This Row],[item_sold]],Table1[],5,FALSE))</f>
        <v>80</v>
      </c>
      <c r="F2831" s="5">
        <f>(VLOOKUP(Table4[[#This Row],[item_sold]],Table1[],4,FALSE))*Table4[[#This Row],[qty]]</f>
        <v>65</v>
      </c>
      <c r="G2831">
        <f t="shared" si="238"/>
        <v>15</v>
      </c>
      <c r="H2831" t="s">
        <v>247</v>
      </c>
    </row>
    <row r="2832" spans="1:12" x14ac:dyDescent="0.25">
      <c r="A2832" s="15" t="s">
        <v>436</v>
      </c>
      <c r="B2832" s="32">
        <v>0.55763888888888891</v>
      </c>
      <c r="C2832" t="str">
        <f>'Inventory as of 12th Aug 2024'!A41</f>
        <v>Indomie beef</v>
      </c>
      <c r="D2832" s="27">
        <v>3</v>
      </c>
      <c r="E2832" s="5">
        <f>Table4[[#This Row],[qty]]*(VLOOKUP(Table4[[#This Row],[item_sold]],Table1[],5,FALSE))</f>
        <v>150</v>
      </c>
      <c r="F2832" s="5">
        <f>(VLOOKUP(Table4[[#This Row],[item_sold]],Table1[],4,FALSE))*Table4[[#This Row],[qty]]</f>
        <v>114</v>
      </c>
      <c r="G2832">
        <f t="shared" si="238"/>
        <v>36</v>
      </c>
      <c r="H2832" t="s">
        <v>361</v>
      </c>
    </row>
    <row r="2833" spans="1:12" x14ac:dyDescent="0.25">
      <c r="A2833" s="15" t="s">
        <v>436</v>
      </c>
      <c r="B2833" s="32">
        <v>0.56805555555555554</v>
      </c>
      <c r="C2833" t="str">
        <f>'Inventory as of 12th Aug 2024'!A16</f>
        <v>Mt kenya milk 500ml</v>
      </c>
      <c r="D2833" s="27"/>
      <c r="E2833" s="5">
        <f>Table4[[#This Row],[qty]]*(VLOOKUP(Table4[[#This Row],[item_sold]],Table1[],5,FALSE))</f>
        <v>0</v>
      </c>
      <c r="F2833" s="5">
        <f>(VLOOKUP(Table4[[#This Row],[item_sold]],Table1[],4,FALSE))*Table4[[#This Row],[qty]]</f>
        <v>0</v>
      </c>
      <c r="G2833">
        <f t="shared" si="238"/>
        <v>0</v>
      </c>
      <c r="H2833" t="s">
        <v>430</v>
      </c>
      <c r="I2833" t="s">
        <v>412</v>
      </c>
    </row>
    <row r="2834" spans="1:12" x14ac:dyDescent="0.25">
      <c r="A2834" s="15" t="s">
        <v>436</v>
      </c>
      <c r="B2834" s="32">
        <v>0.57986111111111116</v>
      </c>
      <c r="C2834" t="str">
        <f>'Inventory as of 12th Aug 2024'!A20</f>
        <v>ilara 250g yoghurt</v>
      </c>
      <c r="D2834" s="27">
        <v>1</v>
      </c>
      <c r="E2834" s="5">
        <f>Table4[[#This Row],[qty]]*(VLOOKUP(Table4[[#This Row],[item_sold]],Table1[],5,FALSE))</f>
        <v>85</v>
      </c>
      <c r="F2834" s="5">
        <f>(VLOOKUP(Table4[[#This Row],[item_sold]],Table1[],4,FALSE))*Table4[[#This Row],[qty]]</f>
        <v>73</v>
      </c>
      <c r="G2834">
        <f t="shared" si="238"/>
        <v>12</v>
      </c>
      <c r="H2834" t="s">
        <v>430</v>
      </c>
      <c r="I2834" t="s">
        <v>398</v>
      </c>
    </row>
    <row r="2835" spans="1:12" x14ac:dyDescent="0.25">
      <c r="A2835" s="15" t="s">
        <v>436</v>
      </c>
      <c r="B2835" s="32">
        <v>0.59722222222222221</v>
      </c>
      <c r="C2835" t="str">
        <f>'Inventory as of 12th Aug 2024'!A213</f>
        <v>soda 500ml glass</v>
      </c>
      <c r="D2835" s="27">
        <v>1</v>
      </c>
      <c r="E2835" s="5">
        <f>Table4[[#This Row],[qty]]*(VLOOKUP(Table4[[#This Row],[item_sold]],Table1[],5,FALSE))</f>
        <v>55</v>
      </c>
      <c r="F2835" s="5">
        <f>(VLOOKUP(Table4[[#This Row],[item_sold]],Table1[],4,FALSE))*Table4[[#This Row],[qty]]</f>
        <v>50</v>
      </c>
      <c r="G2835">
        <f t="shared" si="238"/>
        <v>5</v>
      </c>
      <c r="H2835" t="s">
        <v>361</v>
      </c>
    </row>
    <row r="2836" spans="1:12" x14ac:dyDescent="0.25">
      <c r="A2836" s="15" t="s">
        <v>436</v>
      </c>
      <c r="B2836" s="32">
        <v>0.59722222222222221</v>
      </c>
      <c r="C2836" t="str">
        <f>'Inventory as of 12th Aug 2024'!A199</f>
        <v>Kdf</v>
      </c>
      <c r="D2836" s="27">
        <v>2</v>
      </c>
      <c r="E2836" s="5">
        <f>Table4[[#This Row],[qty]]*(VLOOKUP(Table4[[#This Row],[item_sold]],Table1[],5,FALSE))</f>
        <v>20</v>
      </c>
      <c r="F2836" s="5">
        <f>(VLOOKUP(Table4[[#This Row],[item_sold]],Table1[],4,FALSE))*Table4[[#This Row],[qty]]</f>
        <v>16.666666666666668</v>
      </c>
      <c r="G2836">
        <f t="shared" si="238"/>
        <v>3.3333333333333321</v>
      </c>
      <c r="H2836" t="s">
        <v>361</v>
      </c>
    </row>
    <row r="2837" spans="1:12" x14ac:dyDescent="0.25">
      <c r="A2837" s="15" t="s">
        <v>436</v>
      </c>
      <c r="B2837" s="32">
        <v>0.60486111111111107</v>
      </c>
      <c r="C2837" t="str">
        <f>'Inventory as of 12th Aug 2024'!A58</f>
        <v>Safari</v>
      </c>
      <c r="D2837" s="27">
        <v>1</v>
      </c>
      <c r="E2837" s="5">
        <f>Table4[[#This Row],[qty]]*(VLOOKUP(Table4[[#This Row],[item_sold]],Table1[],5,FALSE))</f>
        <v>15</v>
      </c>
      <c r="F2837" s="5">
        <f>(VLOOKUP(Table4[[#This Row],[item_sold]],Table1[],4,FALSE))*Table4[[#This Row],[qty]]</f>
        <v>8.5</v>
      </c>
      <c r="G2837">
        <f t="shared" si="238"/>
        <v>6.5</v>
      </c>
      <c r="H2837" t="s">
        <v>247</v>
      </c>
    </row>
    <row r="2838" spans="1:12" x14ac:dyDescent="0.25">
      <c r="A2838" s="15" t="s">
        <v>436</v>
      </c>
      <c r="B2838" s="32">
        <v>0.60486111111111107</v>
      </c>
      <c r="C2838" t="str">
        <f>'Inventory as of 12th Aug 2024'!A238</f>
        <v>Tropical</v>
      </c>
      <c r="D2838" s="27">
        <v>1</v>
      </c>
      <c r="E2838" s="5">
        <f>Table4[[#This Row],[qty]]*(VLOOKUP(Table4[[#This Row],[item_sold]],Table1[],5,FALSE))</f>
        <v>5</v>
      </c>
      <c r="F2838" s="5">
        <f>(VLOOKUP(Table4[[#This Row],[item_sold]],Table1[],4,FALSE))*Table4[[#This Row],[qty]]</f>
        <v>1.5</v>
      </c>
      <c r="G2838">
        <f t="shared" si="238"/>
        <v>3.5</v>
      </c>
      <c r="H2838" t="s">
        <v>247</v>
      </c>
    </row>
    <row r="2839" spans="1:12" x14ac:dyDescent="0.25">
      <c r="A2839" s="15" t="s">
        <v>436</v>
      </c>
      <c r="B2839" s="32">
        <v>0.60833333333333328</v>
      </c>
      <c r="C2839" t="str">
        <f>'Inventory as of 12th Aug 2024'!A199</f>
        <v>Kdf</v>
      </c>
      <c r="D2839" s="27">
        <v>2</v>
      </c>
      <c r="E2839" s="5">
        <f>Table4[[#This Row],[qty]]*(VLOOKUP(Table4[[#This Row],[item_sold]],Table1[],5,FALSE))</f>
        <v>20</v>
      </c>
      <c r="F2839" s="5">
        <f>(VLOOKUP(Table4[[#This Row],[item_sold]],Table1[],4,FALSE))*Table4[[#This Row],[qty]]</f>
        <v>16.666666666666668</v>
      </c>
      <c r="G2839">
        <f t="shared" si="238"/>
        <v>3.3333333333333321</v>
      </c>
      <c r="H2839" t="s">
        <v>247</v>
      </c>
    </row>
    <row r="2840" spans="1:12" x14ac:dyDescent="0.25">
      <c r="A2840" s="15" t="s">
        <v>436</v>
      </c>
      <c r="B2840" s="32">
        <v>0.60833333333333328</v>
      </c>
      <c r="C2840" t="str">
        <f>'Inventory as of 12th Aug 2024'!A92</f>
        <v>Banana</v>
      </c>
      <c r="D2840" s="27">
        <v>4</v>
      </c>
      <c r="E2840" s="5">
        <f>Table4[[#This Row],[qty]]*(VLOOKUP(Table4[[#This Row],[item_sold]],Table1[],5,FALSE))</f>
        <v>40</v>
      </c>
      <c r="F2840" s="5">
        <f>(VLOOKUP(Table4[[#This Row],[item_sold]],Table1[],4,FALSE))*Table4[[#This Row],[qty]]</f>
        <v>33.333333333333336</v>
      </c>
      <c r="G2840">
        <f t="shared" si="238"/>
        <v>6.6666666666666643</v>
      </c>
      <c r="H2840" t="s">
        <v>247</v>
      </c>
    </row>
    <row r="2841" spans="1:12" x14ac:dyDescent="0.25">
      <c r="A2841" s="15" t="s">
        <v>436</v>
      </c>
      <c r="B2841" s="32">
        <v>0.60902777777777772</v>
      </c>
      <c r="C2841" t="str">
        <f>'Inventory as of 12th Aug 2024'!A3</f>
        <v>Safaricom 10 Credit</v>
      </c>
      <c r="D2841" s="27">
        <v>3</v>
      </c>
      <c r="E2841" s="5">
        <f>Table4[[#This Row],[qty]]*(VLOOKUP(Table4[[#This Row],[item_sold]],Table1[],5,FALSE))</f>
        <v>30</v>
      </c>
      <c r="F2841" s="5">
        <f>(VLOOKUP(Table4[[#This Row],[item_sold]],Table1[],4,FALSE))*Table4[[#This Row],[qty]]</f>
        <v>27</v>
      </c>
      <c r="G2841">
        <f t="shared" si="238"/>
        <v>3</v>
      </c>
      <c r="H2841" t="s">
        <v>430</v>
      </c>
      <c r="I2841" t="s">
        <v>437</v>
      </c>
      <c r="J2841" t="s">
        <v>437</v>
      </c>
      <c r="K2841">
        <v>40</v>
      </c>
      <c r="L2841" t="s">
        <v>361</v>
      </c>
    </row>
    <row r="2842" spans="1:12" x14ac:dyDescent="0.25">
      <c r="A2842" s="15" t="s">
        <v>436</v>
      </c>
      <c r="B2842" s="32">
        <v>0.60902777777777772</v>
      </c>
      <c r="C2842" t="str">
        <f>'Inventory as of 12th Aug 2024'!A120</f>
        <v>Maramoja</v>
      </c>
      <c r="D2842" s="27">
        <v>1</v>
      </c>
      <c r="E2842" s="5">
        <f>Table4[[#This Row],[qty]]*(VLOOKUP(Table4[[#This Row],[item_sold]],Table1[],5,FALSE))</f>
        <v>10</v>
      </c>
      <c r="F2842" s="5">
        <f>(VLOOKUP(Table4[[#This Row],[item_sold]],Table1[],4,FALSE))*Table4[[#This Row],[qty]]</f>
        <v>7</v>
      </c>
      <c r="G2842">
        <f t="shared" si="238"/>
        <v>3</v>
      </c>
      <c r="H2842" t="s">
        <v>430</v>
      </c>
      <c r="I2842" t="s">
        <v>437</v>
      </c>
    </row>
    <row r="2843" spans="1:12" x14ac:dyDescent="0.25">
      <c r="A2843" s="15" t="s">
        <v>436</v>
      </c>
      <c r="B2843" s="32">
        <v>0.62013888888888891</v>
      </c>
      <c r="C2843" t="str">
        <f>'Inventory as of 12th Aug 2024'!A87</f>
        <v>Menengai Bar 1kg</v>
      </c>
      <c r="D2843" s="27">
        <v>0.2</v>
      </c>
      <c r="E2843" s="5">
        <f>Table4[[#This Row],[qty]]*(VLOOKUP(Table4[[#This Row],[item_sold]],Table1[],5,FALSE))</f>
        <v>50</v>
      </c>
      <c r="F2843" s="5">
        <f>(VLOOKUP(Table4[[#This Row],[item_sold]],Table1[],4,FALSE))*Table4[[#This Row],[qty]]</f>
        <v>38</v>
      </c>
      <c r="G2843">
        <f t="shared" si="238"/>
        <v>12</v>
      </c>
      <c r="H2843" t="s">
        <v>430</v>
      </c>
      <c r="I2843" t="s">
        <v>384</v>
      </c>
    </row>
    <row r="2844" spans="1:12" x14ac:dyDescent="0.25">
      <c r="A2844" s="15" t="s">
        <v>436</v>
      </c>
      <c r="B2844" s="32">
        <v>0.62013888888888891</v>
      </c>
      <c r="C2844" t="str">
        <f>'Inventory as of 12th Aug 2024'!A81</f>
        <v>ariel 75g</v>
      </c>
      <c r="D2844" s="27">
        <v>1</v>
      </c>
      <c r="E2844" s="5">
        <f>Table4[[#This Row],[qty]]*(VLOOKUP(Table4[[#This Row],[item_sold]],Table1[],5,FALSE))</f>
        <v>35</v>
      </c>
      <c r="F2844" s="5">
        <f>(VLOOKUP(Table4[[#This Row],[item_sold]],Table1[],4,FALSE))*Table4[[#This Row],[qty]]</f>
        <v>27.5</v>
      </c>
      <c r="G2844">
        <f t="shared" si="238"/>
        <v>7.5</v>
      </c>
      <c r="H2844" t="s">
        <v>430</v>
      </c>
      <c r="I2844" t="s">
        <v>384</v>
      </c>
    </row>
    <row r="2845" spans="1:12" x14ac:dyDescent="0.25">
      <c r="A2845" s="15" t="s">
        <v>436</v>
      </c>
      <c r="B2845" s="32">
        <v>0.63055555555555554</v>
      </c>
      <c r="C2845" t="str">
        <f>'Inventory as of 12th Aug 2024'!A8</f>
        <v>eggs</v>
      </c>
      <c r="D2845" s="27">
        <v>5</v>
      </c>
      <c r="E2845" s="5">
        <f>Table4[[#This Row],[qty]]*(VLOOKUP(Table4[[#This Row],[item_sold]],Table1[],5,FALSE))</f>
        <v>100</v>
      </c>
      <c r="F2845" s="5">
        <f>(VLOOKUP(Table4[[#This Row],[item_sold]],Table1[],4,FALSE))*Table4[[#This Row],[qty]]</f>
        <v>71.666666666666671</v>
      </c>
      <c r="G2845">
        <f t="shared" si="238"/>
        <v>28.333333333333329</v>
      </c>
      <c r="H2845" t="s">
        <v>430</v>
      </c>
      <c r="I2845" t="s">
        <v>384</v>
      </c>
    </row>
    <row r="2846" spans="1:12" x14ac:dyDescent="0.25">
      <c r="A2846" s="15" t="s">
        <v>436</v>
      </c>
      <c r="B2846" s="32">
        <v>0.63055555555555554</v>
      </c>
      <c r="C2846" t="str">
        <f>'Inventory as of 12th Aug 2024'!A91</f>
        <v>Tomatoes</v>
      </c>
      <c r="D2846" s="27">
        <v>1</v>
      </c>
      <c r="E2846" s="5">
        <f>Table4[[#This Row],[qty]]*(VLOOKUP(Table4[[#This Row],[item_sold]],Table1[],5,FALSE))</f>
        <v>10</v>
      </c>
      <c r="F2846" s="5">
        <f>(VLOOKUP(Table4[[#This Row],[item_sold]],Table1[],4,FALSE))*Table4[[#This Row],[qty]]</f>
        <v>5</v>
      </c>
      <c r="G2846">
        <f t="shared" si="238"/>
        <v>5</v>
      </c>
      <c r="H2846" t="s">
        <v>430</v>
      </c>
      <c r="I2846" t="s">
        <v>384</v>
      </c>
    </row>
    <row r="2847" spans="1:12" x14ac:dyDescent="0.25">
      <c r="A2847" s="15" t="s">
        <v>436</v>
      </c>
      <c r="B2847" s="32">
        <v>0.63055555555555554</v>
      </c>
      <c r="C2847" t="str">
        <f>'Inventory as of 12th Aug 2024'!A90</f>
        <v>Onion</v>
      </c>
      <c r="D2847" s="27">
        <v>1</v>
      </c>
      <c r="E2847" s="5">
        <f>Table4[[#This Row],[qty]]*(VLOOKUP(Table4[[#This Row],[item_sold]],Table1[],5,FALSE))</f>
        <v>10</v>
      </c>
      <c r="F2847" s="5">
        <f>(VLOOKUP(Table4[[#This Row],[item_sold]],Table1[],4,FALSE))*Table4[[#This Row],[qty]]</f>
        <v>8</v>
      </c>
      <c r="G2847">
        <f t="shared" si="238"/>
        <v>2</v>
      </c>
      <c r="H2847" t="s">
        <v>430</v>
      </c>
      <c r="I2847" t="s">
        <v>384</v>
      </c>
    </row>
    <row r="2848" spans="1:12" x14ac:dyDescent="0.25">
      <c r="A2848" s="15" t="s">
        <v>436</v>
      </c>
      <c r="B2848" s="32">
        <v>0.63194444444444442</v>
      </c>
      <c r="C2848" t="str">
        <f>'Inventory as of 12th Aug 2024'!A87</f>
        <v>Menengai Bar 1kg</v>
      </c>
      <c r="D2848" s="27">
        <v>0.2</v>
      </c>
      <c r="E2848" s="5">
        <f>Table4[[#This Row],[qty]]*(VLOOKUP(Table4[[#This Row],[item_sold]],Table1[],5,FALSE))</f>
        <v>50</v>
      </c>
      <c r="F2848" s="5">
        <f>(VLOOKUP(Table4[[#This Row],[item_sold]],Table1[],4,FALSE))*Table4[[#This Row],[qty]]</f>
        <v>38</v>
      </c>
      <c r="G2848">
        <f t="shared" si="238"/>
        <v>12</v>
      </c>
      <c r="H2848" t="s">
        <v>361</v>
      </c>
    </row>
    <row r="2849" spans="1:9" x14ac:dyDescent="0.25">
      <c r="A2849" s="15" t="s">
        <v>436</v>
      </c>
      <c r="B2849" s="32">
        <v>0.63194444444444442</v>
      </c>
      <c r="C2849" t="str">
        <f>'Inventory as of 12th Aug 2024'!A209</f>
        <v>afia 500ml</v>
      </c>
      <c r="D2849" s="27">
        <v>1</v>
      </c>
      <c r="E2849" s="5">
        <f>Table4[[#This Row],[qty]]*(VLOOKUP(Table4[[#This Row],[item_sold]],Table1[],5,FALSE))</f>
        <v>85</v>
      </c>
      <c r="F2849" s="5">
        <f>(VLOOKUP(Table4[[#This Row],[item_sold]],Table1[],4,FALSE))*Table4[[#This Row],[qty]]</f>
        <v>70.833333333333329</v>
      </c>
      <c r="G2849">
        <f t="shared" si="238"/>
        <v>14.166666666666671</v>
      </c>
      <c r="H2849" t="s">
        <v>361</v>
      </c>
    </row>
    <row r="2850" spans="1:9" x14ac:dyDescent="0.25">
      <c r="A2850" s="15" t="s">
        <v>436</v>
      </c>
      <c r="B2850" s="32">
        <v>0.63194444444444442</v>
      </c>
      <c r="C2850" t="str">
        <f>'Inventory as of 12th Aug 2024'!A199</f>
        <v>Kdf</v>
      </c>
      <c r="D2850" s="27">
        <v>2</v>
      </c>
      <c r="E2850" s="5">
        <f>Table4[[#This Row],[qty]]*(VLOOKUP(Table4[[#This Row],[item_sold]],Table1[],5,FALSE))</f>
        <v>20</v>
      </c>
      <c r="F2850" s="5">
        <f>(VLOOKUP(Table4[[#This Row],[item_sold]],Table1[],4,FALSE))*Table4[[#This Row],[qty]]</f>
        <v>16.666666666666668</v>
      </c>
      <c r="G2850">
        <f t="shared" si="238"/>
        <v>3.3333333333333321</v>
      </c>
      <c r="H2850" t="s">
        <v>361</v>
      </c>
    </row>
    <row r="2851" spans="1:9" x14ac:dyDescent="0.25">
      <c r="A2851" s="15" t="s">
        <v>436</v>
      </c>
      <c r="B2851" s="32">
        <v>0.63263888888888886</v>
      </c>
      <c r="C2851" t="str">
        <f>'Inventory as of 12th Aug 2024'!A211</f>
        <v>predator</v>
      </c>
      <c r="D2851" s="27">
        <v>1</v>
      </c>
      <c r="E2851" s="5">
        <f>Table4[[#This Row],[qty]]*(VLOOKUP(Table4[[#This Row],[item_sold]],Table1[],5,FALSE))</f>
        <v>70</v>
      </c>
      <c r="F2851" s="5">
        <f>(VLOOKUP(Table4[[#This Row],[item_sold]],Table1[],4,FALSE))*Table4[[#This Row],[qty]]</f>
        <v>54.166666666666664</v>
      </c>
      <c r="G2851">
        <f t="shared" si="238"/>
        <v>15.833333333333336</v>
      </c>
      <c r="H2851" t="s">
        <v>361</v>
      </c>
    </row>
    <row r="2852" spans="1:9" x14ac:dyDescent="0.25">
      <c r="A2852" s="15" t="s">
        <v>436</v>
      </c>
      <c r="B2852" s="32">
        <v>0.65763888888888888</v>
      </c>
      <c r="C2852" t="str">
        <f>'Inventory as of 12th Aug 2024'!A163</f>
        <v>Kioo+comb</v>
      </c>
      <c r="D2852" s="27">
        <v>1</v>
      </c>
      <c r="E2852" s="5">
        <f>Table4[[#This Row],[qty]]*(VLOOKUP(Table4[[#This Row],[item_sold]],Table1[],5,FALSE))</f>
        <v>50</v>
      </c>
      <c r="F2852" s="5">
        <f>(VLOOKUP(Table4[[#This Row],[item_sold]],Table1[],4,FALSE))*Table4[[#This Row],[qty]]</f>
        <v>40</v>
      </c>
      <c r="G2852">
        <f t="shared" si="238"/>
        <v>10</v>
      </c>
      <c r="H2852" t="s">
        <v>247</v>
      </c>
    </row>
    <row r="2853" spans="1:9" x14ac:dyDescent="0.25">
      <c r="A2853" s="15" t="s">
        <v>436</v>
      </c>
      <c r="B2853" s="32">
        <v>0.65763888888888888</v>
      </c>
      <c r="C2853" t="str">
        <f>'Inventory as of 12th Aug 2024'!A211</f>
        <v>predator</v>
      </c>
      <c r="D2853" s="27">
        <v>1</v>
      </c>
      <c r="E2853" s="5">
        <f>Table4[[#This Row],[qty]]*(VLOOKUP(Table4[[#This Row],[item_sold]],Table1[],5,FALSE))</f>
        <v>70</v>
      </c>
      <c r="F2853" s="5">
        <f>(VLOOKUP(Table4[[#This Row],[item_sold]],Table1[],4,FALSE))*Table4[[#This Row],[qty]]</f>
        <v>54.166666666666664</v>
      </c>
      <c r="G2853">
        <f t="shared" si="238"/>
        <v>15.833333333333336</v>
      </c>
      <c r="H2853" t="s">
        <v>361</v>
      </c>
    </row>
    <row r="2854" spans="1:9" x14ac:dyDescent="0.25">
      <c r="A2854" s="15" t="s">
        <v>436</v>
      </c>
      <c r="B2854" s="32">
        <v>0.67569444444444449</v>
      </c>
      <c r="C2854" t="str">
        <f>'Inventory as of 12th Aug 2024'!A58</f>
        <v>Safari</v>
      </c>
      <c r="D2854" s="27">
        <v>1</v>
      </c>
      <c r="E2854" s="5">
        <f>Table4[[#This Row],[qty]]*(VLOOKUP(Table4[[#This Row],[item_sold]],Table1[],5,FALSE))</f>
        <v>15</v>
      </c>
      <c r="F2854" s="5">
        <f>(VLOOKUP(Table4[[#This Row],[item_sold]],Table1[],4,FALSE))*Table4[[#This Row],[qty]]</f>
        <v>8.5</v>
      </c>
      <c r="G2854">
        <f t="shared" si="238"/>
        <v>6.5</v>
      </c>
      <c r="H2854" t="s">
        <v>361</v>
      </c>
    </row>
    <row r="2855" spans="1:9" x14ac:dyDescent="0.25">
      <c r="A2855" s="15" t="s">
        <v>436</v>
      </c>
      <c r="B2855" s="32">
        <v>0.68680555555555556</v>
      </c>
      <c r="C2855" t="str">
        <f>'Inventory as of 12th Aug 2024'!A33</f>
        <v>BB Bread 400g</v>
      </c>
      <c r="D2855" s="27">
        <v>2</v>
      </c>
      <c r="E2855" s="5">
        <f>Table4[[#This Row],[qty]]*(VLOOKUP(Table4[[#This Row],[item_sold]],Table1[],5,FALSE))</f>
        <v>130</v>
      </c>
      <c r="F2855" s="5">
        <f>(VLOOKUP(Table4[[#This Row],[item_sold]],Table1[],4,FALSE))*Table4[[#This Row],[qty]]</f>
        <v>120</v>
      </c>
      <c r="G2855">
        <f t="shared" si="238"/>
        <v>10</v>
      </c>
      <c r="H2855" t="s">
        <v>361</v>
      </c>
    </row>
    <row r="2856" spans="1:9" x14ac:dyDescent="0.25">
      <c r="A2856" s="15" t="s">
        <v>436</v>
      </c>
      <c r="B2856" s="32">
        <v>0.71458333333333335</v>
      </c>
      <c r="C2856" t="str">
        <f>'Inventory as of 12th Aug 2024'!A190</f>
        <v>Goodday Cookies</v>
      </c>
      <c r="D2856" s="27">
        <v>3</v>
      </c>
      <c r="E2856" s="5">
        <f>Table4[[#This Row],[qty]]*(VLOOKUP(Table4[[#This Row],[item_sold]],Table1[],5,FALSE))</f>
        <v>45</v>
      </c>
      <c r="F2856" s="5">
        <f>(VLOOKUP(Table4[[#This Row],[item_sold]],Table1[],4,FALSE))*Table4[[#This Row],[qty]]</f>
        <v>28</v>
      </c>
      <c r="G2856">
        <f t="shared" si="238"/>
        <v>17</v>
      </c>
      <c r="H2856" t="s">
        <v>430</v>
      </c>
      <c r="I2856" t="s">
        <v>389</v>
      </c>
    </row>
    <row r="2857" spans="1:9" x14ac:dyDescent="0.25">
      <c r="A2857" s="15" t="s">
        <v>436</v>
      </c>
      <c r="B2857" s="32">
        <v>0.72499999999999998</v>
      </c>
      <c r="C2857" t="str">
        <f>'Inventory as of 12th Aug 2024'!A193</f>
        <v>Ginger Bisquit</v>
      </c>
      <c r="D2857" s="27">
        <v>3</v>
      </c>
      <c r="E2857" s="5">
        <f>Table4[[#This Row],[qty]]*(VLOOKUP(Table4[[#This Row],[item_sold]],Table1[],5,FALSE))</f>
        <v>15</v>
      </c>
      <c r="F2857" s="5">
        <f>(VLOOKUP(Table4[[#This Row],[item_sold]],Table1[],4,FALSE))*Table4[[#This Row],[qty]]</f>
        <v>13</v>
      </c>
      <c r="G2857">
        <f t="shared" si="238"/>
        <v>2</v>
      </c>
      <c r="H2857" t="s">
        <v>247</v>
      </c>
    </row>
    <row r="2858" spans="1:9" x14ac:dyDescent="0.25">
      <c r="A2858" s="15" t="s">
        <v>436</v>
      </c>
      <c r="B2858" s="32">
        <v>0.72499999999999998</v>
      </c>
      <c r="C2858" t="str">
        <f>'Inventory as of 12th Aug 2024'!A242</f>
        <v>Icepop</v>
      </c>
      <c r="D2858" s="27">
        <v>1</v>
      </c>
      <c r="E2858" s="5">
        <f>Table4[[#This Row],[qty]]*(VLOOKUP(Table4[[#This Row],[item_sold]],Table1[],5,FALSE))</f>
        <v>15</v>
      </c>
      <c r="F2858" s="5">
        <f>(VLOOKUP(Table4[[#This Row],[item_sold]],Table1[],4,FALSE))*Table4[[#This Row],[qty]]</f>
        <v>7.5</v>
      </c>
      <c r="G2858">
        <f t="shared" ref="G2858:G2921" si="239">E2858-F2858</f>
        <v>7.5</v>
      </c>
      <c r="H2858" t="s">
        <v>247</v>
      </c>
    </row>
    <row r="2859" spans="1:9" x14ac:dyDescent="0.25">
      <c r="A2859" s="15" t="s">
        <v>436</v>
      </c>
      <c r="B2859" s="32">
        <v>0.7319444444444444</v>
      </c>
      <c r="C2859" t="str">
        <f>'Inventory as of 12th Aug 2024'!A92</f>
        <v>Banana</v>
      </c>
      <c r="D2859" s="27">
        <v>2</v>
      </c>
      <c r="E2859" s="5">
        <f>Table4[[#This Row],[qty]]*(VLOOKUP(Table4[[#This Row],[item_sold]],Table1[],5,FALSE))</f>
        <v>20</v>
      </c>
      <c r="F2859" s="5">
        <f>(VLOOKUP(Table4[[#This Row],[item_sold]],Table1[],4,FALSE))*Table4[[#This Row],[qty]]</f>
        <v>16.666666666666668</v>
      </c>
      <c r="G2859">
        <f t="shared" si="239"/>
        <v>3.3333333333333321</v>
      </c>
      <c r="H2859" t="s">
        <v>361</v>
      </c>
    </row>
    <row r="2860" spans="1:9" x14ac:dyDescent="0.25">
      <c r="A2860" s="15" t="s">
        <v>436</v>
      </c>
      <c r="B2860" s="32">
        <v>0.73958333333333337</v>
      </c>
      <c r="C2860" t="str">
        <f>'Inventory as of 12th Aug 2024'!A124</f>
        <v>Kaluma King</v>
      </c>
      <c r="D2860" s="27">
        <v>2</v>
      </c>
      <c r="E2860" s="5">
        <f>Table4[[#This Row],[qty]]*(VLOOKUP(Table4[[#This Row],[item_sold]],Table1[],5,FALSE))</f>
        <v>40</v>
      </c>
      <c r="F2860" s="5">
        <f>(VLOOKUP(Table4[[#This Row],[item_sold]],Table1[],4,FALSE))*Table4[[#This Row],[qty]]</f>
        <v>26</v>
      </c>
      <c r="G2860">
        <f t="shared" si="239"/>
        <v>14</v>
      </c>
      <c r="H2860" t="s">
        <v>430</v>
      </c>
      <c r="I2860" t="s">
        <v>412</v>
      </c>
    </row>
    <row r="2861" spans="1:9" x14ac:dyDescent="0.25">
      <c r="A2861" s="15" t="s">
        <v>436</v>
      </c>
      <c r="B2861" s="32">
        <v>0.73958333333333337</v>
      </c>
      <c r="C2861" t="str">
        <f>'Inventory as of 12th Aug 2024'!A21</f>
        <v>kinangop250g youghurt</v>
      </c>
      <c r="D2861" s="27">
        <v>1</v>
      </c>
      <c r="E2861" s="5">
        <f>Table4[[#This Row],[qty]]*(VLOOKUP(Table4[[#This Row],[item_sold]],Table1[],5,FALSE))</f>
        <v>60</v>
      </c>
      <c r="F2861" s="5">
        <f>(VLOOKUP(Table4[[#This Row],[item_sold]],Table1[],4,FALSE))*Table4[[#This Row],[qty]]</f>
        <v>48.333333333333336</v>
      </c>
      <c r="G2861">
        <f t="shared" si="239"/>
        <v>11.666666666666664</v>
      </c>
      <c r="H2861" t="s">
        <v>430</v>
      </c>
      <c r="I2861" t="s">
        <v>412</v>
      </c>
    </row>
    <row r="2862" spans="1:9" x14ac:dyDescent="0.25">
      <c r="A2862" s="15" t="s">
        <v>436</v>
      </c>
      <c r="B2862" s="32">
        <v>0.73958333333333337</v>
      </c>
      <c r="C2862" s="27" t="str">
        <f>'Inventory as of 12th Aug 2024'!A251</f>
        <v>Piriton</v>
      </c>
      <c r="D2862" s="27">
        <v>20</v>
      </c>
      <c r="E2862" s="5">
        <f>Table4[[#This Row],[qty]]*(VLOOKUP(Table4[[#This Row],[item_sold]],Table1[],5,FALSE))</f>
        <v>20</v>
      </c>
      <c r="F2862" s="5">
        <f>(VLOOKUP(Table4[[#This Row],[item_sold]],Table1[],4,FALSE))*Table4[[#This Row],[qty]]</f>
        <v>10</v>
      </c>
      <c r="G2862">
        <f t="shared" si="239"/>
        <v>10</v>
      </c>
      <c r="H2862" t="s">
        <v>430</v>
      </c>
      <c r="I2862" t="s">
        <v>412</v>
      </c>
    </row>
    <row r="2863" spans="1:9" x14ac:dyDescent="0.25">
      <c r="A2863" s="15" t="s">
        <v>436</v>
      </c>
      <c r="B2863" s="32">
        <v>0.74097222222222225</v>
      </c>
      <c r="C2863" t="str">
        <f>'Inventory as of 12th Aug 2024'!A10</f>
        <v>Mt Kenya milk 200ml</v>
      </c>
      <c r="D2863" s="27">
        <v>1</v>
      </c>
      <c r="E2863" s="5">
        <f>Table4[[#This Row],[qty]]*(VLOOKUP(Table4[[#This Row],[item_sold]],Table1[],5,FALSE))</f>
        <v>35</v>
      </c>
      <c r="F2863" s="5">
        <f>(VLOOKUP(Table4[[#This Row],[item_sold]],Table1[],4,FALSE))*Table4[[#This Row],[qty]]</f>
        <v>24.285714285714285</v>
      </c>
      <c r="G2863">
        <f t="shared" si="239"/>
        <v>10.714285714285715</v>
      </c>
      <c r="H2863" t="s">
        <v>361</v>
      </c>
    </row>
    <row r="2864" spans="1:9" x14ac:dyDescent="0.25">
      <c r="A2864" s="15" t="s">
        <v>436</v>
      </c>
      <c r="B2864" s="32">
        <v>0.74097222222222225</v>
      </c>
      <c r="C2864" t="str">
        <f>'Inventory as of 12th Aug 2024'!A178</f>
        <v>Ringoz Paprika</v>
      </c>
      <c r="D2864" s="27">
        <v>1</v>
      </c>
      <c r="E2864" s="5">
        <f>Table4[[#This Row],[qty]]*(VLOOKUP(Table4[[#This Row],[item_sold]],Table1[],5,FALSE))</f>
        <v>15</v>
      </c>
      <c r="F2864" s="5">
        <f>(VLOOKUP(Table4[[#This Row],[item_sold]],Table1[],4,FALSE))*Table4[[#This Row],[qty]]</f>
        <v>8.8000000000000007</v>
      </c>
      <c r="G2864">
        <f t="shared" si="239"/>
        <v>6.1999999999999993</v>
      </c>
      <c r="H2864" t="s">
        <v>361</v>
      </c>
    </row>
    <row r="2865" spans="1:12" x14ac:dyDescent="0.25">
      <c r="A2865" s="15" t="s">
        <v>436</v>
      </c>
      <c r="B2865" s="32">
        <v>0.75694444444444442</v>
      </c>
      <c r="C2865" t="str">
        <f>'Inventory as of 12th Aug 2024'!A58</f>
        <v>Safari</v>
      </c>
      <c r="D2865" s="27">
        <v>1</v>
      </c>
      <c r="E2865" s="5">
        <f>Table4[[#This Row],[qty]]*(VLOOKUP(Table4[[#This Row],[item_sold]],Table1[],5,FALSE))</f>
        <v>15</v>
      </c>
      <c r="F2865" s="5">
        <f>(VLOOKUP(Table4[[#This Row],[item_sold]],Table1[],4,FALSE))*Table4[[#This Row],[qty]]</f>
        <v>8.5</v>
      </c>
      <c r="G2865">
        <f t="shared" si="239"/>
        <v>6.5</v>
      </c>
      <c r="H2865" t="s">
        <v>361</v>
      </c>
    </row>
    <row r="2866" spans="1:12" x14ac:dyDescent="0.25">
      <c r="A2866" s="15" t="s">
        <v>436</v>
      </c>
      <c r="B2866" s="32">
        <v>0.76597222222222228</v>
      </c>
      <c r="C2866" t="str">
        <f>'Inventory as of 12th Aug 2024'!A97</f>
        <v>Garlic</v>
      </c>
      <c r="D2866" s="27">
        <v>2</v>
      </c>
      <c r="E2866" s="5">
        <f>Table4[[#This Row],[qty]]*(VLOOKUP(Table4[[#This Row],[item_sold]],Table1[],5,FALSE))</f>
        <v>60</v>
      </c>
      <c r="F2866" s="5">
        <f>(VLOOKUP(Table4[[#This Row],[item_sold]],Table1[],4,FALSE))*Table4[[#This Row],[qty]]</f>
        <v>40</v>
      </c>
      <c r="G2866">
        <f t="shared" si="239"/>
        <v>20</v>
      </c>
      <c r="H2866" t="s">
        <v>247</v>
      </c>
    </row>
    <row r="2867" spans="1:12" x14ac:dyDescent="0.25">
      <c r="A2867" s="15" t="s">
        <v>436</v>
      </c>
      <c r="B2867" s="32">
        <v>0.76597222222222228</v>
      </c>
      <c r="C2867" t="str">
        <f>'Inventory as of 12th Aug 2024'!A228</f>
        <v>Sharpener</v>
      </c>
      <c r="D2867" s="27">
        <v>2</v>
      </c>
      <c r="E2867" s="5">
        <f>Table4[[#This Row],[qty]]*(VLOOKUP(Table4[[#This Row],[item_sold]],Table1[],5,FALSE))</f>
        <v>30</v>
      </c>
      <c r="F2867" s="5">
        <f>(VLOOKUP(Table4[[#This Row],[item_sold]],Table1[],4,FALSE))*Table4[[#This Row],[qty]]</f>
        <v>10</v>
      </c>
      <c r="G2867">
        <f t="shared" si="239"/>
        <v>20</v>
      </c>
      <c r="H2867" t="s">
        <v>247</v>
      </c>
    </row>
    <row r="2868" spans="1:12" x14ac:dyDescent="0.25">
      <c r="A2868" s="15" t="s">
        <v>436</v>
      </c>
      <c r="B2868" s="32">
        <v>0.7680555555555556</v>
      </c>
      <c r="C2868" t="str">
        <f>'Inventory as of 12th Aug 2024'!A10</f>
        <v>Mt Kenya milk 200ml</v>
      </c>
      <c r="D2868" s="27">
        <v>3</v>
      </c>
      <c r="E2868" s="5">
        <f>Table4[[#This Row],[qty]]*(VLOOKUP(Table4[[#This Row],[item_sold]],Table1[],5,FALSE))</f>
        <v>105</v>
      </c>
      <c r="F2868" s="5">
        <f>(VLOOKUP(Table4[[#This Row],[item_sold]],Table1[],4,FALSE))*Table4[[#This Row],[qty]]</f>
        <v>72.857142857142861</v>
      </c>
      <c r="G2868">
        <f t="shared" si="239"/>
        <v>32.142857142857139</v>
      </c>
      <c r="H2868" t="s">
        <v>430</v>
      </c>
      <c r="I2868" t="s">
        <v>438</v>
      </c>
    </row>
    <row r="2869" spans="1:12" x14ac:dyDescent="0.25">
      <c r="A2869" s="15" t="s">
        <v>436</v>
      </c>
      <c r="B2869" s="32">
        <v>0.7680555555555556</v>
      </c>
      <c r="C2869" t="str">
        <f>'Inventory as of 12th Aug 2024'!A37</f>
        <v>Festive Bread 400g</v>
      </c>
      <c r="D2869" s="27">
        <v>1</v>
      </c>
      <c r="E2869" s="5">
        <f>Table4[[#This Row],[qty]]*(VLOOKUP(Table4[[#This Row],[item_sold]],Table1[],5,FALSE))</f>
        <v>65</v>
      </c>
      <c r="F2869" s="5">
        <f>(VLOOKUP(Table4[[#This Row],[item_sold]],Table1[],4,FALSE))*Table4[[#This Row],[qty]]</f>
        <v>60</v>
      </c>
      <c r="G2869">
        <f t="shared" si="239"/>
        <v>5</v>
      </c>
      <c r="H2869" t="s">
        <v>430</v>
      </c>
      <c r="I2869" t="s">
        <v>438</v>
      </c>
    </row>
    <row r="2870" spans="1:12" x14ac:dyDescent="0.25">
      <c r="A2870" s="15" t="s">
        <v>436</v>
      </c>
      <c r="B2870" s="32">
        <v>0.7680555555555556</v>
      </c>
      <c r="C2870" t="str">
        <f>'Inventory as of 12th Aug 2024'!A206</f>
        <v>soda 500ml plastic</v>
      </c>
      <c r="D2870" s="27">
        <v>1</v>
      </c>
      <c r="E2870" s="5">
        <f>Table4[[#This Row],[qty]]*(VLOOKUP(Table4[[#This Row],[item_sold]],Table1[],5,FALSE))</f>
        <v>70</v>
      </c>
      <c r="F2870" s="5">
        <f>(VLOOKUP(Table4[[#This Row],[item_sold]],Table1[],4,FALSE))*Table4[[#This Row],[qty]]</f>
        <v>60.416666666666664</v>
      </c>
      <c r="G2870">
        <f t="shared" si="239"/>
        <v>9.5833333333333357</v>
      </c>
      <c r="H2870" t="s">
        <v>430</v>
      </c>
      <c r="I2870" t="s">
        <v>438</v>
      </c>
    </row>
    <row r="2871" spans="1:12" x14ac:dyDescent="0.25">
      <c r="A2871" s="15" t="s">
        <v>436</v>
      </c>
      <c r="B2871" s="32">
        <v>0.7680555555555556</v>
      </c>
      <c r="C2871" t="str">
        <f>'Inventory as of 12th Aug 2024'!A188</f>
        <v>Choc-chip Cookies</v>
      </c>
      <c r="D2871" s="27">
        <v>1</v>
      </c>
      <c r="E2871" s="5">
        <f>Table4[[#This Row],[qty]]*(VLOOKUP(Table4[[#This Row],[item_sold]],Table1[],5,FALSE))</f>
        <v>35</v>
      </c>
      <c r="F2871" s="5">
        <f>(VLOOKUP(Table4[[#This Row],[item_sold]],Table1[],4,FALSE))*Table4[[#This Row],[qty]]</f>
        <v>25</v>
      </c>
      <c r="G2871">
        <f t="shared" si="239"/>
        <v>10</v>
      </c>
      <c r="H2871" t="s">
        <v>430</v>
      </c>
      <c r="I2871" t="s">
        <v>438</v>
      </c>
    </row>
    <row r="2872" spans="1:12" x14ac:dyDescent="0.25">
      <c r="A2872" s="15" t="s">
        <v>436</v>
      </c>
      <c r="B2872" s="32">
        <v>0.7680555555555556</v>
      </c>
      <c r="C2872" t="str">
        <f>'Inventory as of 12th Aug 2024'!A75</f>
        <v>Cooking Oil Measured</v>
      </c>
      <c r="D2872" s="27">
        <v>1</v>
      </c>
      <c r="E2872" s="5">
        <f>Table4[[#This Row],[qty]]*(VLOOKUP(Table4[[#This Row],[item_sold]],Table1[],5,FALSE))</f>
        <v>280</v>
      </c>
      <c r="F2872" s="5">
        <f>(VLOOKUP(Table4[[#This Row],[item_sold]],Table1[],4,FALSE))*Table4[[#This Row],[qty]]</f>
        <v>200</v>
      </c>
      <c r="G2872">
        <f t="shared" si="239"/>
        <v>80</v>
      </c>
      <c r="H2872" t="s">
        <v>430</v>
      </c>
      <c r="I2872" t="s">
        <v>438</v>
      </c>
    </row>
    <row r="2873" spans="1:12" x14ac:dyDescent="0.25">
      <c r="A2873" s="15" t="s">
        <v>436</v>
      </c>
      <c r="B2873" s="32">
        <v>0.77430555555555558</v>
      </c>
      <c r="C2873" t="str">
        <f>'Inventory as of 12th Aug 2024'!A75</f>
        <v>Cooking Oil Measured</v>
      </c>
      <c r="D2873" s="27">
        <v>0.5</v>
      </c>
      <c r="E2873" s="5">
        <f>Table4[[#This Row],[qty]]*(VLOOKUP(Table4[[#This Row],[item_sold]],Table1[],5,FALSE))</f>
        <v>140</v>
      </c>
      <c r="F2873" s="5">
        <f>(VLOOKUP(Table4[[#This Row],[item_sold]],Table1[],4,FALSE))*Table4[[#This Row],[qty]]</f>
        <v>100</v>
      </c>
      <c r="G2873">
        <f t="shared" si="239"/>
        <v>40</v>
      </c>
      <c r="H2873" t="s">
        <v>430</v>
      </c>
      <c r="I2873" t="s">
        <v>412</v>
      </c>
    </row>
    <row r="2874" spans="1:12" x14ac:dyDescent="0.25">
      <c r="A2874" s="15" t="s">
        <v>436</v>
      </c>
      <c r="B2874" s="32">
        <v>0.77430555555555558</v>
      </c>
      <c r="C2874" t="str">
        <f>'Inventory as of 12th Aug 2024'!A205</f>
        <v xml:space="preserve"> soda 1.25lts</v>
      </c>
      <c r="D2874" s="27">
        <v>1</v>
      </c>
      <c r="E2874" s="5">
        <f>Table4[[#This Row],[qty]]*(VLOOKUP(Table4[[#This Row],[item_sold]],Table1[],5,FALSE))</f>
        <v>130</v>
      </c>
      <c r="F2874" s="5">
        <f>(VLOOKUP(Table4[[#This Row],[item_sold]],Table1[],4,FALSE))*Table4[[#This Row],[qty]]</f>
        <v>112.5</v>
      </c>
      <c r="G2874">
        <f t="shared" si="239"/>
        <v>17.5</v>
      </c>
      <c r="H2874" t="s">
        <v>361</v>
      </c>
    </row>
    <row r="2875" spans="1:12" x14ac:dyDescent="0.25">
      <c r="A2875" s="15" t="s">
        <v>436</v>
      </c>
      <c r="B2875" s="32">
        <v>0.78749999999999998</v>
      </c>
      <c r="C2875" t="str">
        <f>'Inventory as of 12th Aug 2024'!A211</f>
        <v>predator</v>
      </c>
      <c r="D2875" s="27">
        <v>3</v>
      </c>
      <c r="E2875" s="5">
        <f>Table4[[#This Row],[qty]]*(VLOOKUP(Table4[[#This Row],[item_sold]],Table1[],5,FALSE))</f>
        <v>210</v>
      </c>
      <c r="F2875" s="5">
        <f>(VLOOKUP(Table4[[#This Row],[item_sold]],Table1[],4,FALSE))*Table4[[#This Row],[qty]]</f>
        <v>162.5</v>
      </c>
      <c r="G2875">
        <f t="shared" si="239"/>
        <v>47.5</v>
      </c>
      <c r="H2875" t="s">
        <v>247</v>
      </c>
    </row>
    <row r="2876" spans="1:12" x14ac:dyDescent="0.25">
      <c r="A2876" s="15" t="s">
        <v>436</v>
      </c>
      <c r="B2876" s="32">
        <v>0.78749999999999998</v>
      </c>
      <c r="C2876" t="str">
        <f>'Inventory as of 12th Aug 2024'!A198</f>
        <v>Mandazi</v>
      </c>
      <c r="D2876" s="27">
        <v>2</v>
      </c>
      <c r="E2876" s="5">
        <f>Table4[[#This Row],[qty]]*(VLOOKUP(Table4[[#This Row],[item_sold]],Table1[],5,FALSE))</f>
        <v>10</v>
      </c>
      <c r="F2876" s="5">
        <f>(VLOOKUP(Table4[[#This Row],[item_sold]],Table1[],4,FALSE))*Table4[[#This Row],[qty]]</f>
        <v>8.3333333333333339</v>
      </c>
      <c r="G2876">
        <f t="shared" si="239"/>
        <v>1.6666666666666661</v>
      </c>
      <c r="H2876" t="s">
        <v>247</v>
      </c>
    </row>
    <row r="2877" spans="1:12" x14ac:dyDescent="0.25">
      <c r="A2877" s="15" t="s">
        <v>436</v>
      </c>
      <c r="B2877" s="32">
        <v>0.78819444444444442</v>
      </c>
      <c r="C2877" t="str">
        <f>'Inventory as of 12th Aug 2024'!A50</f>
        <v>Pishori rice</v>
      </c>
      <c r="D2877" s="27">
        <v>0.5</v>
      </c>
      <c r="E2877" s="5">
        <f>Table4[[#This Row],[qty]]*(VLOOKUP(Table4[[#This Row],[item_sold]],Table1[],5,FALSE))</f>
        <v>110</v>
      </c>
      <c r="F2877" s="5">
        <f>(VLOOKUP(Table4[[#This Row],[item_sold]],Table1[],4,FALSE))*Table4[[#This Row],[qty]]</f>
        <v>90</v>
      </c>
      <c r="G2877">
        <f t="shared" si="239"/>
        <v>20</v>
      </c>
      <c r="H2877" t="s">
        <v>430</v>
      </c>
      <c r="I2877" t="s">
        <v>384</v>
      </c>
    </row>
    <row r="2878" spans="1:12" x14ac:dyDescent="0.25">
      <c r="A2878" s="15" t="s">
        <v>436</v>
      </c>
      <c r="B2878" s="32">
        <v>0.78888888888888886</v>
      </c>
      <c r="C2878" t="str">
        <f>'Inventory as of 12th Aug 2024'!A24</f>
        <v>Brookside Lala Natural</v>
      </c>
      <c r="D2878" s="27">
        <v>1</v>
      </c>
      <c r="E2878" s="5">
        <f>Table4[[#This Row],[qty]]*(VLOOKUP(Table4[[#This Row],[item_sold]],Table1[],5,FALSE))</f>
        <v>100</v>
      </c>
      <c r="F2878" s="5">
        <f>(VLOOKUP(Table4[[#This Row],[item_sold]],Table1[],4,FALSE))*Table4[[#This Row],[qty]]</f>
        <v>87</v>
      </c>
      <c r="G2878">
        <f t="shared" si="239"/>
        <v>13</v>
      </c>
      <c r="H2878" t="s">
        <v>430</v>
      </c>
      <c r="I2878" t="s">
        <v>438</v>
      </c>
      <c r="J2878" t="s">
        <v>438</v>
      </c>
      <c r="K2878">
        <v>100</v>
      </c>
      <c r="L2878" t="s">
        <v>361</v>
      </c>
    </row>
    <row r="2879" spans="1:12" x14ac:dyDescent="0.25">
      <c r="A2879" s="15" t="s">
        <v>436</v>
      </c>
      <c r="B2879" s="32">
        <v>0.79236111111111107</v>
      </c>
      <c r="C2879" t="str">
        <f>'Inventory as of 12th Aug 2024'!A10</f>
        <v>Mt Kenya milk 200ml</v>
      </c>
      <c r="D2879" s="27">
        <v>1</v>
      </c>
      <c r="E2879" s="5">
        <f>Table4[[#This Row],[qty]]*(VLOOKUP(Table4[[#This Row],[item_sold]],Table1[],5,FALSE))</f>
        <v>35</v>
      </c>
      <c r="F2879" s="5">
        <f>(VLOOKUP(Table4[[#This Row],[item_sold]],Table1[],4,FALSE))*Table4[[#This Row],[qty]]</f>
        <v>24.285714285714285</v>
      </c>
      <c r="G2879">
        <f t="shared" si="239"/>
        <v>10.714285714285715</v>
      </c>
      <c r="H2879" t="s">
        <v>430</v>
      </c>
      <c r="I2879" t="s">
        <v>412</v>
      </c>
    </row>
    <row r="2880" spans="1:12" x14ac:dyDescent="0.25">
      <c r="A2880" s="15" t="s">
        <v>436</v>
      </c>
      <c r="B2880" s="32">
        <v>0.79236111111111107</v>
      </c>
      <c r="C2880" t="str">
        <f>'Inventory as of 12th Aug 2024'!A68</f>
        <v>Royco cubes</v>
      </c>
      <c r="D2880" s="27">
        <v>2</v>
      </c>
      <c r="E2880" s="5">
        <f>Table4[[#This Row],[qty]]*(VLOOKUP(Table4[[#This Row],[item_sold]],Table1[],5,FALSE))</f>
        <v>10</v>
      </c>
      <c r="F2880" s="5">
        <f>(VLOOKUP(Table4[[#This Row],[item_sold]],Table1[],4,FALSE))*Table4[[#This Row],[qty]]</f>
        <v>6</v>
      </c>
      <c r="G2880">
        <f t="shared" si="239"/>
        <v>4</v>
      </c>
      <c r="H2880" t="s">
        <v>430</v>
      </c>
      <c r="I2880" t="s">
        <v>412</v>
      </c>
    </row>
    <row r="2881" spans="1:12" x14ac:dyDescent="0.25">
      <c r="A2881" s="15" t="s">
        <v>436</v>
      </c>
      <c r="B2881" s="32">
        <v>0.79305555555555551</v>
      </c>
      <c r="C2881" t="str">
        <f>'Inventory as of 12th Aug 2024'!A37</f>
        <v>Festive Bread 400g</v>
      </c>
      <c r="D2881" s="27">
        <v>1</v>
      </c>
      <c r="E2881" s="5">
        <f>Table4[[#This Row],[qty]]*(VLOOKUP(Table4[[#This Row],[item_sold]],Table1[],5,FALSE))</f>
        <v>65</v>
      </c>
      <c r="F2881" s="5">
        <f>(VLOOKUP(Table4[[#This Row],[item_sold]],Table1[],4,FALSE))*Table4[[#This Row],[qty]]</f>
        <v>60</v>
      </c>
      <c r="G2881">
        <f t="shared" si="239"/>
        <v>5</v>
      </c>
      <c r="H2881" t="s">
        <v>361</v>
      </c>
    </row>
    <row r="2882" spans="1:12" x14ac:dyDescent="0.25">
      <c r="A2882" s="15" t="s">
        <v>436</v>
      </c>
      <c r="B2882" s="32">
        <v>0.79722222222222228</v>
      </c>
      <c r="C2882" t="str">
        <f>'Inventory as of 12th Aug 2024'!A98</f>
        <v>Ginger</v>
      </c>
      <c r="D2882" s="27">
        <v>1</v>
      </c>
      <c r="E2882" s="5">
        <f>Table4[[#This Row],[qty]]*(VLOOKUP(Table4[[#This Row],[item_sold]],Table1[],5,FALSE))</f>
        <v>20</v>
      </c>
      <c r="F2882" s="5">
        <f>(VLOOKUP(Table4[[#This Row],[item_sold]],Table1[],4,FALSE))*Table4[[#This Row],[qty]]</f>
        <v>10</v>
      </c>
      <c r="G2882">
        <f t="shared" si="239"/>
        <v>10</v>
      </c>
      <c r="H2882" t="s">
        <v>361</v>
      </c>
    </row>
    <row r="2883" spans="1:12" x14ac:dyDescent="0.25">
      <c r="A2883" s="15" t="s">
        <v>436</v>
      </c>
      <c r="B2883" s="32">
        <v>0.79722222222222228</v>
      </c>
      <c r="C2883" t="str">
        <f>'Inventory as of 12th Aug 2024'!A208</f>
        <v>minutemaid 400ml</v>
      </c>
      <c r="D2883" s="27">
        <v>1</v>
      </c>
      <c r="E2883" s="5">
        <f>Table4[[#This Row],[qty]]*(VLOOKUP(Table4[[#This Row],[item_sold]],Table1[],5,FALSE))</f>
        <v>85</v>
      </c>
      <c r="F2883" s="5">
        <f>(VLOOKUP(Table4[[#This Row],[item_sold]],Table1[],4,FALSE))*Table4[[#This Row],[qty]]</f>
        <v>62.5</v>
      </c>
      <c r="G2883">
        <f t="shared" si="239"/>
        <v>22.5</v>
      </c>
      <c r="H2883" t="s">
        <v>266</v>
      </c>
    </row>
    <row r="2884" spans="1:12" x14ac:dyDescent="0.25">
      <c r="A2884" s="15" t="s">
        <v>436</v>
      </c>
      <c r="B2884" s="32">
        <v>0.79722222222222228</v>
      </c>
      <c r="C2884" t="str">
        <f>'Inventory as of 12th Aug 2024'!A10</f>
        <v>Mt Kenya milk 200ml</v>
      </c>
      <c r="D2884" s="27">
        <v>1</v>
      </c>
      <c r="E2884" s="5">
        <f>Table4[[#This Row],[qty]]*(VLOOKUP(Table4[[#This Row],[item_sold]],Table1[],5,FALSE))</f>
        <v>35</v>
      </c>
      <c r="F2884" s="5">
        <f>(VLOOKUP(Table4[[#This Row],[item_sold]],Table1[],4,FALSE))*Table4[[#This Row],[qty]]</f>
        <v>24.285714285714285</v>
      </c>
      <c r="G2884">
        <f t="shared" si="239"/>
        <v>10.714285714285715</v>
      </c>
      <c r="H2884" t="s">
        <v>361</v>
      </c>
    </row>
    <row r="2885" spans="1:12" x14ac:dyDescent="0.25">
      <c r="A2885" s="15" t="s">
        <v>436</v>
      </c>
      <c r="B2885" s="32">
        <v>0.79791666666666672</v>
      </c>
      <c r="C2885" t="str">
        <f>'Inventory as of 12th Aug 2024'!A24</f>
        <v>Brookside Lala Natural</v>
      </c>
      <c r="D2885" s="27">
        <v>1</v>
      </c>
      <c r="E2885" s="5">
        <f>Table4[[#This Row],[qty]]*(VLOOKUP(Table4[[#This Row],[item_sold]],Table1[],5,FALSE))</f>
        <v>100</v>
      </c>
      <c r="F2885" s="5">
        <f>(VLOOKUP(Table4[[#This Row],[item_sold]],Table1[],4,FALSE))*Table4[[#This Row],[qty]]</f>
        <v>87</v>
      </c>
      <c r="G2885">
        <f t="shared" si="239"/>
        <v>13</v>
      </c>
      <c r="H2885" t="s">
        <v>430</v>
      </c>
      <c r="I2885" t="s">
        <v>412</v>
      </c>
    </row>
    <row r="2886" spans="1:12" x14ac:dyDescent="0.25">
      <c r="A2886" s="15" t="s">
        <v>436</v>
      </c>
      <c r="B2886" s="32">
        <v>0.81041666666666667</v>
      </c>
      <c r="C2886" t="str">
        <f>'Inventory as of 12th Aug 2024'!A153</f>
        <v>mosquito stick</v>
      </c>
      <c r="D2886" s="27">
        <v>1</v>
      </c>
      <c r="E2886" s="5">
        <f>Table4[[#This Row],[qty]]*(VLOOKUP(Table4[[#This Row],[item_sold]],Table1[],5,FALSE))</f>
        <v>10</v>
      </c>
      <c r="F2886" s="5">
        <f>(VLOOKUP(Table4[[#This Row],[item_sold]],Table1[],4,FALSE))*Table4[[#This Row],[qty]]</f>
        <v>9</v>
      </c>
      <c r="G2886">
        <f t="shared" si="239"/>
        <v>1</v>
      </c>
      <c r="H2886" t="s">
        <v>430</v>
      </c>
      <c r="I2886" t="s">
        <v>439</v>
      </c>
    </row>
    <row r="2887" spans="1:12" x14ac:dyDescent="0.25">
      <c r="A2887" s="15" t="s">
        <v>436</v>
      </c>
      <c r="B2887" s="32">
        <v>0.82777777777777772</v>
      </c>
      <c r="C2887" t="str">
        <f>'Inventory as of 12th Aug 2024'!A51</f>
        <v>Sindano rice</v>
      </c>
      <c r="D2887" s="27">
        <v>0.5</v>
      </c>
      <c r="E2887" s="5">
        <f>Table4[[#This Row],[qty]]*(VLOOKUP(Table4[[#This Row],[item_sold]],Table1[],5,FALSE))</f>
        <v>75</v>
      </c>
      <c r="F2887" s="5">
        <f>(VLOOKUP(Table4[[#This Row],[item_sold]],Table1[],4,FALSE))*Table4[[#This Row],[qty]]</f>
        <v>60</v>
      </c>
      <c r="G2887">
        <f t="shared" si="239"/>
        <v>15</v>
      </c>
      <c r="H2887" t="s">
        <v>361</v>
      </c>
    </row>
    <row r="2888" spans="1:12" x14ac:dyDescent="0.25">
      <c r="A2888" s="15" t="s">
        <v>436</v>
      </c>
      <c r="B2888" s="32">
        <v>0.85486111111111107</v>
      </c>
      <c r="C2888" t="str">
        <f>'Inventory as of 12th Aug 2024'!A239</f>
        <v>Gumballs</v>
      </c>
      <c r="D2888" s="27">
        <v>10</v>
      </c>
      <c r="E2888" s="5">
        <f>Table4[[#This Row],[qty]]*(VLOOKUP(Table4[[#This Row],[item_sold]],Table1[],5,FALSE))</f>
        <v>10</v>
      </c>
      <c r="F2888" s="5">
        <f>(VLOOKUP(Table4[[#This Row],[item_sold]],Table1[],4,FALSE))*Table4[[#This Row],[qty]]</f>
        <v>7</v>
      </c>
      <c r="G2888">
        <f t="shared" si="239"/>
        <v>3</v>
      </c>
      <c r="H2888" t="s">
        <v>361</v>
      </c>
    </row>
    <row r="2889" spans="1:12" x14ac:dyDescent="0.25">
      <c r="A2889" s="15" t="s">
        <v>436</v>
      </c>
      <c r="B2889" s="32">
        <v>0.85486111111111107</v>
      </c>
      <c r="C2889" t="str">
        <f>'Inventory as of 12th Aug 2024'!A252</f>
        <v>Toothbrush Children</v>
      </c>
      <c r="D2889" s="27">
        <v>1</v>
      </c>
      <c r="E2889" s="5">
        <f>Table4[[#This Row],[qty]]*(VLOOKUP(Table4[[#This Row],[item_sold]],Table1[],5,FALSE))</f>
        <v>30</v>
      </c>
      <c r="F2889" s="5">
        <f>(VLOOKUP(Table4[[#This Row],[item_sold]],Table1[],4,FALSE))*Table4[[#This Row],[qty]]</f>
        <v>19.166666666666668</v>
      </c>
      <c r="G2889">
        <f t="shared" si="239"/>
        <v>10.833333333333332</v>
      </c>
      <c r="H2889" t="s">
        <v>361</v>
      </c>
    </row>
    <row r="2890" spans="1:12" x14ac:dyDescent="0.25">
      <c r="A2890" s="15" t="s">
        <v>436</v>
      </c>
      <c r="B2890" s="32">
        <v>0.85486111111111107</v>
      </c>
      <c r="C2890" t="str">
        <f>'Inventory as of 12th Aug 2024'!A14</f>
        <v>1ltr Brookside Lala Sweetened</v>
      </c>
      <c r="D2890" s="27">
        <v>1</v>
      </c>
      <c r="E2890" s="5">
        <f>Table4[[#This Row],[qty]]*(VLOOKUP(Table4[[#This Row],[item_sold]],Table1[],5,FALSE))</f>
        <v>190</v>
      </c>
      <c r="F2890" s="5">
        <f>(VLOOKUP(Table4[[#This Row],[item_sold]],Table1[],4,FALSE))*Table4[[#This Row],[qty]]</f>
        <v>173</v>
      </c>
      <c r="G2890">
        <f t="shared" si="239"/>
        <v>17</v>
      </c>
      <c r="H2890" t="s">
        <v>430</v>
      </c>
      <c r="I2890" t="s">
        <v>398</v>
      </c>
    </row>
    <row r="2891" spans="1:12" x14ac:dyDescent="0.25">
      <c r="A2891" s="15" t="s">
        <v>440</v>
      </c>
      <c r="B2891" s="32">
        <v>0.31180555555555556</v>
      </c>
      <c r="C2891" t="str">
        <f>'Inventory as of 12th Aug 2024'!A58</f>
        <v>Safari</v>
      </c>
      <c r="D2891" s="27">
        <v>1</v>
      </c>
      <c r="E2891" s="5">
        <f>Table4[[#This Row],[qty]]*(VLOOKUP(Table4[[#This Row],[item_sold]],Table1[],5,FALSE))</f>
        <v>15</v>
      </c>
      <c r="F2891" s="5">
        <f>(VLOOKUP(Table4[[#This Row],[item_sold]],Table1[],4,FALSE))*Table4[[#This Row],[qty]]</f>
        <v>8.5</v>
      </c>
      <c r="G2891">
        <f t="shared" si="239"/>
        <v>6.5</v>
      </c>
      <c r="H2891" t="s">
        <v>361</v>
      </c>
      <c r="K2891">
        <v>5</v>
      </c>
      <c r="L2891" t="s">
        <v>247</v>
      </c>
    </row>
    <row r="2892" spans="1:12" x14ac:dyDescent="0.25">
      <c r="A2892" s="15" t="s">
        <v>440</v>
      </c>
      <c r="B2892" s="32">
        <v>0.35972222222222222</v>
      </c>
      <c r="C2892" t="str">
        <f>'Inventory as of 12th Aug 2024'!A10</f>
        <v>Mt Kenya milk 200ml</v>
      </c>
      <c r="D2892" s="27">
        <v>1</v>
      </c>
      <c r="E2892" s="5">
        <f>Table4[[#This Row],[qty]]*(VLOOKUP(Table4[[#This Row],[item_sold]],Table1[],5,FALSE))</f>
        <v>35</v>
      </c>
      <c r="F2892" s="5">
        <f>(VLOOKUP(Table4[[#This Row],[item_sold]],Table1[],4,FALSE))*Table4[[#This Row],[qty]]</f>
        <v>24.285714285714285</v>
      </c>
      <c r="G2892">
        <f t="shared" si="239"/>
        <v>10.714285714285715</v>
      </c>
      <c r="H2892" t="s">
        <v>247</v>
      </c>
    </row>
    <row r="2893" spans="1:12" x14ac:dyDescent="0.25">
      <c r="A2893" s="15" t="s">
        <v>440</v>
      </c>
      <c r="B2893" s="32">
        <v>0.36458333333333331</v>
      </c>
      <c r="C2893" t="str">
        <f>'Inventory as of 12th Aug 2024'!A35</f>
        <v>Festive 600g</v>
      </c>
      <c r="D2893" s="27">
        <v>1</v>
      </c>
      <c r="E2893" s="5">
        <f>Table4[[#This Row],[qty]]*(VLOOKUP(Table4[[#This Row],[item_sold]],Table1[],5,FALSE))</f>
        <v>100</v>
      </c>
      <c r="F2893" s="5">
        <f>(VLOOKUP(Table4[[#This Row],[item_sold]],Table1[],4,FALSE))*Table4[[#This Row],[qty]]</f>
        <v>90</v>
      </c>
      <c r="G2893">
        <f t="shared" si="239"/>
        <v>10</v>
      </c>
      <c r="H2893" t="s">
        <v>361</v>
      </c>
    </row>
    <row r="2894" spans="1:12" x14ac:dyDescent="0.25">
      <c r="A2894" s="15" t="s">
        <v>440</v>
      </c>
      <c r="B2894" s="32">
        <v>0.41180555555555554</v>
      </c>
      <c r="C2894" t="str">
        <f>'Inventory as of 12th Aug 2024'!A33</f>
        <v>BB Bread 400g</v>
      </c>
      <c r="D2894" s="27">
        <v>2</v>
      </c>
      <c r="E2894" s="5">
        <f>Table4[[#This Row],[qty]]*(VLOOKUP(Table4[[#This Row],[item_sold]],Table1[],5,FALSE))</f>
        <v>130</v>
      </c>
      <c r="F2894" s="5">
        <f>(VLOOKUP(Table4[[#This Row],[item_sold]],Table1[],4,FALSE))*Table4[[#This Row],[qty]]</f>
        <v>120</v>
      </c>
      <c r="G2894">
        <f t="shared" si="239"/>
        <v>10</v>
      </c>
      <c r="H2894" t="s">
        <v>361</v>
      </c>
    </row>
    <row r="2895" spans="1:12" x14ac:dyDescent="0.25">
      <c r="A2895" s="15" t="s">
        <v>440</v>
      </c>
      <c r="B2895" s="32">
        <v>0.42916666666666664</v>
      </c>
      <c r="C2895" t="str">
        <f>'Inventory as of 12th Aug 2024'!A138</f>
        <v>Softcare pads</v>
      </c>
      <c r="D2895" s="27">
        <v>1</v>
      </c>
      <c r="E2895" s="5">
        <f>Table4[[#This Row],[qty]]*(VLOOKUP(Table4[[#This Row],[item_sold]],Table1[],5,FALSE))</f>
        <v>85</v>
      </c>
      <c r="F2895" s="5">
        <f>(VLOOKUP(Table4[[#This Row],[item_sold]],Table1[],4,FALSE))*Table4[[#This Row],[qty]]</f>
        <v>66</v>
      </c>
      <c r="G2895">
        <f t="shared" si="239"/>
        <v>19</v>
      </c>
      <c r="H2895" t="s">
        <v>361</v>
      </c>
    </row>
    <row r="2896" spans="1:12" x14ac:dyDescent="0.25">
      <c r="A2896" s="15" t="s">
        <v>440</v>
      </c>
      <c r="B2896" s="32">
        <v>0.43263888888888891</v>
      </c>
      <c r="C2896" t="str">
        <f>'Inventory as of 12th Aug 2024'!A5</f>
        <v>Airtel 20 Credit</v>
      </c>
      <c r="D2896" s="27">
        <v>1</v>
      </c>
      <c r="E2896" s="5">
        <f>Table4[[#This Row],[qty]]*(VLOOKUP(Table4[[#This Row],[item_sold]],Table1[],5,FALSE))</f>
        <v>20</v>
      </c>
      <c r="F2896" s="5">
        <f>(VLOOKUP(Table4[[#This Row],[item_sold]],Table1[],4,FALSE))*Table4[[#This Row],[qty]]</f>
        <v>18</v>
      </c>
      <c r="G2896">
        <f t="shared" si="239"/>
        <v>2</v>
      </c>
      <c r="H2896" t="s">
        <v>247</v>
      </c>
    </row>
    <row r="2897" spans="1:9" x14ac:dyDescent="0.25">
      <c r="A2897" s="15" t="s">
        <v>440</v>
      </c>
      <c r="B2897" s="32">
        <v>0.43333333333333335</v>
      </c>
      <c r="C2897" t="str">
        <f>'Inventory as of 12th Aug 2024'!A17</f>
        <v>Brookside milk 500ml</v>
      </c>
      <c r="D2897" s="27">
        <v>1</v>
      </c>
      <c r="E2897" s="5">
        <f>Table4[[#This Row],[qty]]*(VLOOKUP(Table4[[#This Row],[item_sold]],Table1[],5,FALSE))</f>
        <v>70</v>
      </c>
      <c r="F2897" s="5">
        <f>(VLOOKUP(Table4[[#This Row],[item_sold]],Table1[],4,FALSE))*Table4[[#This Row],[qty]]</f>
        <v>59</v>
      </c>
      <c r="G2897">
        <f t="shared" si="239"/>
        <v>11</v>
      </c>
      <c r="H2897" t="s">
        <v>430</v>
      </c>
      <c r="I2897" t="s">
        <v>385</v>
      </c>
    </row>
    <row r="2898" spans="1:9" x14ac:dyDescent="0.25">
      <c r="A2898" s="15" t="s">
        <v>440</v>
      </c>
      <c r="B2898" s="32">
        <v>0.43333333333333335</v>
      </c>
      <c r="C2898" t="str">
        <f>'Inventory as of 12th Aug 2024'!A37</f>
        <v>Festive Bread 400g</v>
      </c>
      <c r="D2898" s="27">
        <v>2</v>
      </c>
      <c r="E2898" s="5">
        <f>Table4[[#This Row],[qty]]*(VLOOKUP(Table4[[#This Row],[item_sold]],Table1[],5,FALSE))</f>
        <v>130</v>
      </c>
      <c r="F2898" s="5">
        <f>(VLOOKUP(Table4[[#This Row],[item_sold]],Table1[],4,FALSE))*Table4[[#This Row],[qty]]</f>
        <v>120</v>
      </c>
      <c r="G2898">
        <f t="shared" si="239"/>
        <v>10</v>
      </c>
      <c r="H2898" t="s">
        <v>430</v>
      </c>
      <c r="I2898" t="s">
        <v>385</v>
      </c>
    </row>
    <row r="2899" spans="1:9" x14ac:dyDescent="0.25">
      <c r="A2899" s="15" t="s">
        <v>440</v>
      </c>
      <c r="B2899" s="32">
        <v>0.44166666666666665</v>
      </c>
      <c r="C2899" t="str">
        <f>'Inventory as of 12th Aug 2024'!A54</f>
        <v>Yellow Beans</v>
      </c>
      <c r="D2899" s="27">
        <v>0.5</v>
      </c>
      <c r="E2899" s="5">
        <f>Table4[[#This Row],[qty]]*(VLOOKUP(Table4[[#This Row],[item_sold]],Table1[],5,FALSE))</f>
        <v>90</v>
      </c>
      <c r="F2899" s="5">
        <f>(VLOOKUP(Table4[[#This Row],[item_sold]],Table1[],4,FALSE))*Table4[[#This Row],[qty]]</f>
        <v>62.5</v>
      </c>
      <c r="G2899">
        <f t="shared" si="239"/>
        <v>27.5</v>
      </c>
      <c r="H2899" t="s">
        <v>430</v>
      </c>
      <c r="I2899" t="s">
        <v>384</v>
      </c>
    </row>
    <row r="2900" spans="1:9" x14ac:dyDescent="0.25">
      <c r="A2900" s="15" t="s">
        <v>440</v>
      </c>
      <c r="B2900" s="32">
        <v>0.44722222222222224</v>
      </c>
      <c r="C2900" t="str">
        <f>'Inventory as of 12th Aug 2024'!A217</f>
        <v>Pencil</v>
      </c>
      <c r="D2900" s="27">
        <v>2</v>
      </c>
      <c r="E2900" s="5">
        <f>Table4[[#This Row],[qty]]*(VLOOKUP(Table4[[#This Row],[item_sold]],Table1[],5,FALSE))</f>
        <v>20</v>
      </c>
      <c r="F2900" s="5">
        <f>(VLOOKUP(Table4[[#This Row],[item_sold]],Table1[],4,FALSE))*Table4[[#This Row],[qty]]</f>
        <v>15</v>
      </c>
      <c r="G2900">
        <f t="shared" si="239"/>
        <v>5</v>
      </c>
      <c r="H2900" t="s">
        <v>247</v>
      </c>
    </row>
    <row r="2901" spans="1:9" x14ac:dyDescent="0.25">
      <c r="A2901" s="15" t="s">
        <v>440</v>
      </c>
      <c r="B2901" s="32">
        <v>0.45555555555555555</v>
      </c>
      <c r="C2901" t="str">
        <f>'Inventory as of 12th Aug 2024'!A58</f>
        <v>Safari</v>
      </c>
      <c r="D2901" s="27">
        <v>1</v>
      </c>
      <c r="E2901" s="5">
        <f>Table4[[#This Row],[qty]]*(VLOOKUP(Table4[[#This Row],[item_sold]],Table1[],5,FALSE))</f>
        <v>15</v>
      </c>
      <c r="F2901" s="5">
        <f>(VLOOKUP(Table4[[#This Row],[item_sold]],Table1[],4,FALSE))*Table4[[#This Row],[qty]]</f>
        <v>8.5</v>
      </c>
      <c r="G2901">
        <f t="shared" si="239"/>
        <v>6.5</v>
      </c>
      <c r="H2901" t="s">
        <v>361</v>
      </c>
    </row>
    <row r="2902" spans="1:9" x14ac:dyDescent="0.25">
      <c r="A2902" s="15" t="s">
        <v>440</v>
      </c>
      <c r="B2902" s="32">
        <v>0.46180555555555558</v>
      </c>
      <c r="C2902" t="str">
        <f>'Inventory as of 12th Aug 2024'!A37</f>
        <v>Festive Bread 400g</v>
      </c>
      <c r="D2902" s="27">
        <v>1</v>
      </c>
      <c r="E2902" s="5">
        <f>Table4[[#This Row],[qty]]*(VLOOKUP(Table4[[#This Row],[item_sold]],Table1[],5,FALSE))</f>
        <v>65</v>
      </c>
      <c r="F2902" s="5">
        <f>(VLOOKUP(Table4[[#This Row],[item_sold]],Table1[],4,FALSE))*Table4[[#This Row],[qty]]</f>
        <v>60</v>
      </c>
      <c r="G2902">
        <f t="shared" si="239"/>
        <v>5</v>
      </c>
      <c r="H2902" t="s">
        <v>361</v>
      </c>
    </row>
    <row r="2903" spans="1:9" x14ac:dyDescent="0.25">
      <c r="A2903" s="15" t="s">
        <v>440</v>
      </c>
      <c r="B2903" s="32">
        <v>0.46180555555555558</v>
      </c>
      <c r="C2903" t="str">
        <f>'Inventory as of 12th Aug 2024'!A92</f>
        <v>Banana</v>
      </c>
      <c r="D2903" s="27">
        <v>2</v>
      </c>
      <c r="E2903" s="5">
        <f>Table4[[#This Row],[qty]]*(VLOOKUP(Table4[[#This Row],[item_sold]],Table1[],5,FALSE))</f>
        <v>20</v>
      </c>
      <c r="F2903" s="5">
        <f>(VLOOKUP(Table4[[#This Row],[item_sold]],Table1[],4,FALSE))*Table4[[#This Row],[qty]]</f>
        <v>16.666666666666668</v>
      </c>
      <c r="G2903">
        <f t="shared" si="239"/>
        <v>3.3333333333333321</v>
      </c>
      <c r="H2903" t="s">
        <v>361</v>
      </c>
    </row>
    <row r="2904" spans="1:9" x14ac:dyDescent="0.25">
      <c r="A2904" s="15" t="s">
        <v>440</v>
      </c>
      <c r="B2904" s="32">
        <v>0.46250000000000002</v>
      </c>
      <c r="C2904" t="str">
        <f>'Inventory as of 12th Aug 2024'!A107</f>
        <v>Match Box</v>
      </c>
      <c r="D2904" s="27">
        <v>1</v>
      </c>
      <c r="E2904" s="5">
        <f>Table4[[#This Row],[qty]]*(VLOOKUP(Table4[[#This Row],[item_sold]],Table1[],5,FALSE))</f>
        <v>5</v>
      </c>
      <c r="F2904" s="5">
        <f>(VLOOKUP(Table4[[#This Row],[item_sold]],Table1[],4,FALSE))*Table4[[#This Row],[qty]]</f>
        <v>2.3611111111111112</v>
      </c>
      <c r="G2904">
        <f t="shared" si="239"/>
        <v>2.6388888888888888</v>
      </c>
      <c r="H2904" t="s">
        <v>430</v>
      </c>
      <c r="I2904" t="s">
        <v>401</v>
      </c>
    </row>
    <row r="2905" spans="1:9" x14ac:dyDescent="0.25">
      <c r="A2905" s="15" t="s">
        <v>440</v>
      </c>
      <c r="B2905" s="32">
        <v>0.47291666666666665</v>
      </c>
      <c r="C2905" t="str">
        <f>'Inventory as of 12th Aug 2024'!A225</f>
        <v>pens red</v>
      </c>
      <c r="D2905" s="27">
        <v>4</v>
      </c>
      <c r="E2905" s="5">
        <f>Table4[[#This Row],[qty]]*(VLOOKUP(Table4[[#This Row],[item_sold]],Table1[],5,FALSE))</f>
        <v>40</v>
      </c>
      <c r="F2905" s="5">
        <f>(VLOOKUP(Table4[[#This Row],[item_sold]],Table1[],4,FALSE))*Table4[[#This Row],[qty]]</f>
        <v>20</v>
      </c>
      <c r="G2905">
        <f t="shared" si="239"/>
        <v>20</v>
      </c>
      <c r="H2905" t="s">
        <v>247</v>
      </c>
    </row>
    <row r="2906" spans="1:9" x14ac:dyDescent="0.25">
      <c r="A2906" s="15" t="s">
        <v>440</v>
      </c>
      <c r="B2906" s="32">
        <v>0.47291666666666665</v>
      </c>
      <c r="C2906" t="str">
        <f>'Inventory as of 12th Aug 2024'!A224</f>
        <v>pens black</v>
      </c>
      <c r="D2906" s="27">
        <v>3</v>
      </c>
      <c r="E2906" s="5">
        <f>Table4[[#This Row],[qty]]*(VLOOKUP(Table4[[#This Row],[item_sold]],Table1[],5,FALSE))</f>
        <v>30</v>
      </c>
      <c r="F2906" s="5">
        <f>(VLOOKUP(Table4[[#This Row],[item_sold]],Table1[],4,FALSE))*Table4[[#This Row],[qty]]</f>
        <v>15</v>
      </c>
      <c r="G2906">
        <f t="shared" si="239"/>
        <v>15</v>
      </c>
      <c r="H2906" t="s">
        <v>247</v>
      </c>
    </row>
    <row r="2907" spans="1:9" x14ac:dyDescent="0.25">
      <c r="A2907" s="15" t="s">
        <v>440</v>
      </c>
      <c r="B2907" s="32">
        <v>0.47291666666666665</v>
      </c>
      <c r="C2907" t="str">
        <f>'Inventory as of 12th Aug 2024'!A226</f>
        <v>pens blue</v>
      </c>
      <c r="D2907" s="27">
        <v>8</v>
      </c>
      <c r="E2907" s="5">
        <f>Table4[[#This Row],[qty]]*(VLOOKUP(Table4[[#This Row],[item_sold]],Table1[],5,FALSE))</f>
        <v>80</v>
      </c>
      <c r="F2907" s="5">
        <f>(VLOOKUP(Table4[[#This Row],[item_sold]],Table1[],4,FALSE))*Table4[[#This Row],[qty]]</f>
        <v>40</v>
      </c>
      <c r="G2907">
        <f t="shared" si="239"/>
        <v>40</v>
      </c>
      <c r="H2907" t="s">
        <v>247</v>
      </c>
    </row>
    <row r="2908" spans="1:9" x14ac:dyDescent="0.25">
      <c r="A2908" s="15" t="s">
        <v>440</v>
      </c>
      <c r="B2908" s="32">
        <v>0.47361111111111109</v>
      </c>
      <c r="C2908" s="13" t="str">
        <f>'Inventory as of 12th Aug 2024'!A58</f>
        <v>Safari</v>
      </c>
      <c r="D2908" s="27">
        <v>1</v>
      </c>
      <c r="E2908" s="5">
        <f>Table4[[#This Row],[qty]]*(VLOOKUP(Table4[[#This Row],[item_sold]],Table1[],5,FALSE))</f>
        <v>15</v>
      </c>
      <c r="F2908" s="5">
        <f>(VLOOKUP(Table4[[#This Row],[item_sold]],Table1[],4,FALSE))*Table4[[#This Row],[qty]]</f>
        <v>8.5</v>
      </c>
      <c r="G2908">
        <f t="shared" si="239"/>
        <v>6.5</v>
      </c>
      <c r="H2908" t="s">
        <v>247</v>
      </c>
    </row>
    <row r="2909" spans="1:9" x14ac:dyDescent="0.25">
      <c r="A2909" s="15" t="s">
        <v>440</v>
      </c>
      <c r="B2909" s="32">
        <v>0.50208333333333333</v>
      </c>
      <c r="C2909" t="str">
        <f>'Inventory as of 12th Aug 2024'!A111</f>
        <v>scooty steel wire</v>
      </c>
      <c r="D2909" s="27">
        <v>1</v>
      </c>
      <c r="E2909" s="5">
        <f>Table4[[#This Row],[qty]]*(VLOOKUP(Table4[[#This Row],[item_sold]],Table1[],5,FALSE))</f>
        <v>10</v>
      </c>
      <c r="F2909" s="5">
        <f>(VLOOKUP(Table4[[#This Row],[item_sold]],Table1[],4,FALSE))*Table4[[#This Row],[qty]]</f>
        <v>7.5</v>
      </c>
      <c r="G2909">
        <f t="shared" si="239"/>
        <v>2.5</v>
      </c>
      <c r="H2909" t="s">
        <v>430</v>
      </c>
      <c r="I2909" t="s">
        <v>384</v>
      </c>
    </row>
    <row r="2910" spans="1:9" x14ac:dyDescent="0.25">
      <c r="A2910" s="15" t="s">
        <v>440</v>
      </c>
      <c r="B2910" s="32">
        <v>0.51180555555555551</v>
      </c>
      <c r="C2910" t="str">
        <f>'Inventory as of 12th Aug 2024'!A81</f>
        <v>ariel 75g</v>
      </c>
      <c r="D2910" s="27">
        <v>1</v>
      </c>
      <c r="E2910" s="5">
        <f>Table4[[#This Row],[qty]]*(VLOOKUP(Table4[[#This Row],[item_sold]],Table1[],5,FALSE))</f>
        <v>35</v>
      </c>
      <c r="F2910" s="5">
        <f>(VLOOKUP(Table4[[#This Row],[item_sold]],Table1[],4,FALSE))*Table4[[#This Row],[qty]]</f>
        <v>27.5</v>
      </c>
      <c r="G2910">
        <f t="shared" si="239"/>
        <v>7.5</v>
      </c>
      <c r="H2910" t="s">
        <v>361</v>
      </c>
    </row>
    <row r="2911" spans="1:9" x14ac:dyDescent="0.25">
      <c r="A2911" s="15" t="s">
        <v>440</v>
      </c>
      <c r="B2911" s="32">
        <v>0.51180555555555551</v>
      </c>
      <c r="C2911" t="str">
        <f>'Inventory as of 12th Aug 2024'!A87</f>
        <v>Menengai Bar 1kg</v>
      </c>
      <c r="D2911" s="27">
        <v>0.2</v>
      </c>
      <c r="E2911" s="5">
        <f>Table4[[#This Row],[qty]]*(VLOOKUP(Table4[[#This Row],[item_sold]],Table1[],5,FALSE))</f>
        <v>50</v>
      </c>
      <c r="F2911" s="5">
        <f>(VLOOKUP(Table4[[#This Row],[item_sold]],Table1[],4,FALSE))*Table4[[#This Row],[qty]]</f>
        <v>38</v>
      </c>
      <c r="G2911">
        <f t="shared" si="239"/>
        <v>12</v>
      </c>
      <c r="H2911" t="s">
        <v>361</v>
      </c>
    </row>
    <row r="2912" spans="1:9" x14ac:dyDescent="0.25">
      <c r="A2912" s="15" t="s">
        <v>440</v>
      </c>
      <c r="B2912" s="32">
        <v>0.51249999999999996</v>
      </c>
      <c r="C2912" t="str">
        <f>'Inventory as of 12th Aug 2024'!A83</f>
        <v>omo 75g</v>
      </c>
      <c r="D2912" s="27">
        <v>1</v>
      </c>
      <c r="E2912" s="5">
        <f>Table4[[#This Row],[qty]]*(VLOOKUP(Table4[[#This Row],[item_sold]],Table1[],5,FALSE))</f>
        <v>35</v>
      </c>
      <c r="F2912" s="5">
        <f>(VLOOKUP(Table4[[#This Row],[item_sold]],Table1[],4,FALSE))*Table4[[#This Row],[qty]]</f>
        <v>27.5</v>
      </c>
      <c r="G2912">
        <f t="shared" si="239"/>
        <v>7.5</v>
      </c>
      <c r="H2912" t="s">
        <v>247</v>
      </c>
    </row>
    <row r="2913" spans="1:12" x14ac:dyDescent="0.25">
      <c r="A2913" s="15" t="s">
        <v>440</v>
      </c>
      <c r="B2913" s="32">
        <v>0.51249999999999996</v>
      </c>
      <c r="C2913" t="str">
        <f>'Inventory as of 12th Aug 2024'!A87</f>
        <v>Menengai Bar 1kg</v>
      </c>
      <c r="D2913" s="27">
        <v>0.2</v>
      </c>
      <c r="E2913" s="5">
        <f>Table4[[#This Row],[qty]]*(VLOOKUP(Table4[[#This Row],[item_sold]],Table1[],5,FALSE))</f>
        <v>50</v>
      </c>
      <c r="F2913" s="5">
        <f>(VLOOKUP(Table4[[#This Row],[item_sold]],Table1[],4,FALSE))*Table4[[#This Row],[qty]]</f>
        <v>38</v>
      </c>
      <c r="G2913">
        <f t="shared" si="239"/>
        <v>12</v>
      </c>
      <c r="H2913" t="s">
        <v>247</v>
      </c>
    </row>
    <row r="2914" spans="1:12" x14ac:dyDescent="0.25">
      <c r="A2914" s="15" t="s">
        <v>440</v>
      </c>
      <c r="B2914" s="32">
        <v>0.51249999999999996</v>
      </c>
      <c r="C2914" t="str">
        <f>'Inventory as of 12th Aug 2024'!A191</f>
        <v>Nuvita Bisquit</v>
      </c>
      <c r="D2914" s="27">
        <v>1</v>
      </c>
      <c r="E2914" s="5">
        <f>Table4[[#This Row],[qty]]*(VLOOKUP(Table4[[#This Row],[item_sold]],Table1[],5,FALSE))</f>
        <v>5</v>
      </c>
      <c r="F2914" s="5">
        <f>(VLOOKUP(Table4[[#This Row],[item_sold]],Table1[],4,FALSE))*Table4[[#This Row],[qty]]</f>
        <v>4.166666666666667</v>
      </c>
      <c r="G2914">
        <f t="shared" si="239"/>
        <v>0.83333333333333304</v>
      </c>
      <c r="H2914" t="s">
        <v>247</v>
      </c>
    </row>
    <row r="2915" spans="1:12" x14ac:dyDescent="0.25">
      <c r="A2915" s="15" t="s">
        <v>440</v>
      </c>
      <c r="B2915" s="32">
        <v>0.51388888888888884</v>
      </c>
      <c r="C2915" t="str">
        <f>'Inventory as of 12th Aug 2024'!A95</f>
        <v>waru</v>
      </c>
      <c r="D2915" s="27">
        <v>4</v>
      </c>
      <c r="E2915" s="5">
        <f>Table4[[#This Row],[qty]]*(VLOOKUP(Table4[[#This Row],[item_sold]],Table1[],5,FALSE))</f>
        <v>200</v>
      </c>
      <c r="F2915" s="5">
        <f>(VLOOKUP(Table4[[#This Row],[item_sold]],Table1[],4,FALSE))*Table4[[#This Row],[qty]]</f>
        <v>119.99999999999999</v>
      </c>
      <c r="G2915">
        <f t="shared" si="239"/>
        <v>80.000000000000014</v>
      </c>
      <c r="H2915" t="s">
        <v>430</v>
      </c>
      <c r="I2915" t="s">
        <v>390</v>
      </c>
    </row>
    <row r="2916" spans="1:12" x14ac:dyDescent="0.25">
      <c r="A2916" s="15" t="s">
        <v>440</v>
      </c>
      <c r="B2916" s="32">
        <v>0.53680555555555554</v>
      </c>
      <c r="C2916" t="str">
        <f>'Inventory as of 12th Aug 2024'!A244</f>
        <v>5ltrs water</v>
      </c>
      <c r="D2916" s="27">
        <v>1</v>
      </c>
      <c r="E2916" s="5">
        <f>Table4[[#This Row],[qty]]*(VLOOKUP(Table4[[#This Row],[item_sold]],Table1[],5,FALSE))</f>
        <v>120</v>
      </c>
      <c r="F2916" s="5">
        <f>(VLOOKUP(Table4[[#This Row],[item_sold]],Table1[],4,FALSE))*Table4[[#This Row],[qty]]</f>
        <v>75</v>
      </c>
      <c r="G2916">
        <f t="shared" si="239"/>
        <v>45</v>
      </c>
      <c r="H2916" t="s">
        <v>361</v>
      </c>
    </row>
    <row r="2917" spans="1:12" x14ac:dyDescent="0.25">
      <c r="A2917" s="15" t="s">
        <v>440</v>
      </c>
      <c r="B2917" s="32">
        <v>0.53680555555555554</v>
      </c>
      <c r="C2917" t="str">
        <f>'Inventory as of 12th Aug 2024'!A37</f>
        <v>Festive Bread 400g</v>
      </c>
      <c r="D2917" s="27">
        <v>1</v>
      </c>
      <c r="E2917" s="5">
        <f>Table4[[#This Row],[qty]]*(VLOOKUP(Table4[[#This Row],[item_sold]],Table1[],5,FALSE))</f>
        <v>65</v>
      </c>
      <c r="F2917" s="5">
        <f>(VLOOKUP(Table4[[#This Row],[item_sold]],Table1[],4,FALSE))*Table4[[#This Row],[qty]]</f>
        <v>60</v>
      </c>
      <c r="G2917">
        <f t="shared" si="239"/>
        <v>5</v>
      </c>
      <c r="H2917" t="s">
        <v>361</v>
      </c>
    </row>
    <row r="2918" spans="1:12" x14ac:dyDescent="0.25">
      <c r="A2918" s="15" t="s">
        <v>440</v>
      </c>
      <c r="B2918" s="32">
        <v>0.54166666666666663</v>
      </c>
      <c r="C2918" t="str">
        <f>'Inventory as of 12th Aug 2024'!A213</f>
        <v>soda 500ml glass</v>
      </c>
      <c r="D2918" s="27">
        <v>1</v>
      </c>
      <c r="E2918" s="5">
        <f>Table4[[#This Row],[qty]]*(VLOOKUP(Table4[[#This Row],[item_sold]],Table1[],5,FALSE))</f>
        <v>55</v>
      </c>
      <c r="F2918" s="5">
        <f>(VLOOKUP(Table4[[#This Row],[item_sold]],Table1[],4,FALSE))*Table4[[#This Row],[qty]]</f>
        <v>50</v>
      </c>
      <c r="G2918">
        <f t="shared" si="239"/>
        <v>5</v>
      </c>
      <c r="H2918" t="s">
        <v>430</v>
      </c>
      <c r="I2918" t="s">
        <v>399</v>
      </c>
    </row>
    <row r="2919" spans="1:12" x14ac:dyDescent="0.25">
      <c r="A2919" s="15" t="s">
        <v>440</v>
      </c>
      <c r="B2919" s="32">
        <v>0.54166666666666663</v>
      </c>
      <c r="C2919" t="str">
        <f>'Inventory as of 12th Aug 2024'!A37</f>
        <v>Festive Bread 400g</v>
      </c>
      <c r="D2919" s="27">
        <v>1</v>
      </c>
      <c r="E2919" s="5">
        <f>Table4[[#This Row],[qty]]*(VLOOKUP(Table4[[#This Row],[item_sold]],Table1[],5,FALSE))</f>
        <v>65</v>
      </c>
      <c r="F2919" s="5">
        <f>(VLOOKUP(Table4[[#This Row],[item_sold]],Table1[],4,FALSE))*Table4[[#This Row],[qty]]</f>
        <v>60</v>
      </c>
      <c r="G2919">
        <f t="shared" si="239"/>
        <v>5</v>
      </c>
      <c r="H2919" t="s">
        <v>430</v>
      </c>
      <c r="I2919" t="s">
        <v>399</v>
      </c>
    </row>
    <row r="2920" spans="1:12" x14ac:dyDescent="0.25">
      <c r="A2920" s="15" t="s">
        <v>440</v>
      </c>
      <c r="B2920" s="32">
        <v>0.55555555555555558</v>
      </c>
      <c r="C2920" t="str">
        <f>'Inventory as of 12th Aug 2024'!A213</f>
        <v>soda 500ml glass</v>
      </c>
      <c r="D2920" s="27">
        <v>1</v>
      </c>
      <c r="E2920" s="5">
        <f>Table4[[#This Row],[qty]]*(VLOOKUP(Table4[[#This Row],[item_sold]],Table1[],5,FALSE))</f>
        <v>55</v>
      </c>
      <c r="F2920" s="5">
        <f>(VLOOKUP(Table4[[#This Row],[item_sold]],Table1[],4,FALSE))*Table4[[#This Row],[qty]]</f>
        <v>50</v>
      </c>
      <c r="G2920">
        <f t="shared" si="239"/>
        <v>5</v>
      </c>
      <c r="H2920" t="s">
        <v>247</v>
      </c>
    </row>
    <row r="2921" spans="1:12" x14ac:dyDescent="0.25">
      <c r="A2921" s="15" t="s">
        <v>440</v>
      </c>
      <c r="B2921" s="32">
        <v>0.55555555555555558</v>
      </c>
      <c r="C2921" t="str">
        <f>'Inventory as of 12th Aug 2024'!A191</f>
        <v>Nuvita Bisquit</v>
      </c>
      <c r="D2921" s="27">
        <v>3</v>
      </c>
      <c r="E2921" s="5">
        <f>Table4[[#This Row],[qty]]*(VLOOKUP(Table4[[#This Row],[item_sold]],Table1[],5,FALSE))</f>
        <v>15</v>
      </c>
      <c r="F2921" s="5">
        <f>(VLOOKUP(Table4[[#This Row],[item_sold]],Table1[],4,FALSE))*Table4[[#This Row],[qty]]</f>
        <v>12.5</v>
      </c>
      <c r="G2921">
        <f t="shared" si="239"/>
        <v>2.5</v>
      </c>
      <c r="H2921" t="s">
        <v>247</v>
      </c>
    </row>
    <row r="2922" spans="1:12" x14ac:dyDescent="0.25">
      <c r="A2922" s="15" t="s">
        <v>440</v>
      </c>
      <c r="B2922" s="32">
        <v>0.55694444444444446</v>
      </c>
      <c r="C2922" t="str">
        <f>'Inventory as of 12th Aug 2024'!A213</f>
        <v>soda 500ml glass</v>
      </c>
      <c r="D2922" s="27">
        <v>1</v>
      </c>
      <c r="E2922" s="5">
        <f>Table4[[#This Row],[qty]]*(VLOOKUP(Table4[[#This Row],[item_sold]],Table1[],5,FALSE))</f>
        <v>55</v>
      </c>
      <c r="F2922" s="5">
        <f>(VLOOKUP(Table4[[#This Row],[item_sold]],Table1[],4,FALSE))*Table4[[#This Row],[qty]]</f>
        <v>50</v>
      </c>
      <c r="G2922">
        <f t="shared" ref="G2922:G2985" si="240">E2922-F2922</f>
        <v>5</v>
      </c>
      <c r="H2922" t="s">
        <v>430</v>
      </c>
      <c r="I2922" t="s">
        <v>399</v>
      </c>
      <c r="J2922" t="s">
        <v>399</v>
      </c>
      <c r="K2922">
        <v>85</v>
      </c>
      <c r="L2922" t="s">
        <v>247</v>
      </c>
    </row>
    <row r="2923" spans="1:12" x14ac:dyDescent="0.25">
      <c r="A2923" s="15" t="s">
        <v>440</v>
      </c>
      <c r="B2923" s="32">
        <v>0.55902777777777779</v>
      </c>
      <c r="C2923" t="str">
        <f>'Inventory as of 12th Aug 2024'!A212</f>
        <v>soda 300ml glass</v>
      </c>
      <c r="D2923" s="27">
        <v>1</v>
      </c>
      <c r="E2923" s="5">
        <f>Table4[[#This Row],[qty]]*(VLOOKUP(Table4[[#This Row],[item_sold]],Table1[],5,FALSE))</f>
        <v>40</v>
      </c>
      <c r="F2923" s="5">
        <f>(VLOOKUP(Table4[[#This Row],[item_sold]],Table1[],4,FALSE))*Table4[[#This Row],[qty]]</f>
        <v>32.5</v>
      </c>
      <c r="G2923">
        <f t="shared" si="240"/>
        <v>7.5</v>
      </c>
      <c r="H2923" t="s">
        <v>361</v>
      </c>
      <c r="J2923" t="s">
        <v>399</v>
      </c>
      <c r="K2923">
        <v>90</v>
      </c>
      <c r="L2923" t="s">
        <v>361</v>
      </c>
    </row>
    <row r="2924" spans="1:12" x14ac:dyDescent="0.25">
      <c r="A2924" s="15" t="s">
        <v>440</v>
      </c>
      <c r="B2924" s="32">
        <v>0.55902777777777779</v>
      </c>
      <c r="C2924" t="str">
        <f>'Inventory as of 12th Aug 2024'!A198</f>
        <v>Mandazi</v>
      </c>
      <c r="D2924" s="27">
        <v>4</v>
      </c>
      <c r="E2924" s="5">
        <f>Table4[[#This Row],[qty]]*(VLOOKUP(Table4[[#This Row],[item_sold]],Table1[],5,FALSE))</f>
        <v>20</v>
      </c>
      <c r="F2924" s="5">
        <f>(VLOOKUP(Table4[[#This Row],[item_sold]],Table1[],4,FALSE))*Table4[[#This Row],[qty]]</f>
        <v>16.666666666666668</v>
      </c>
      <c r="G2924">
        <f t="shared" si="240"/>
        <v>3.3333333333333321</v>
      </c>
      <c r="H2924" t="s">
        <v>361</v>
      </c>
    </row>
    <row r="2925" spans="1:12" x14ac:dyDescent="0.25">
      <c r="A2925" s="15" t="s">
        <v>440</v>
      </c>
      <c r="B2925" s="32">
        <v>0.55972222222222223</v>
      </c>
      <c r="C2925" t="str">
        <f>'Inventory as of 12th Aug 2024'!A58</f>
        <v>Safari</v>
      </c>
      <c r="D2925" s="27">
        <v>1</v>
      </c>
      <c r="E2925" s="5">
        <f>Table4[[#This Row],[qty]]*(VLOOKUP(Table4[[#This Row],[item_sold]],Table1[],5,FALSE))</f>
        <v>15</v>
      </c>
      <c r="F2925" s="5">
        <f>(VLOOKUP(Table4[[#This Row],[item_sold]],Table1[],4,FALSE))*Table4[[#This Row],[qty]]</f>
        <v>8.5</v>
      </c>
      <c r="G2925">
        <f t="shared" si="240"/>
        <v>6.5</v>
      </c>
      <c r="H2925" t="s">
        <v>247</v>
      </c>
    </row>
    <row r="2926" spans="1:12" x14ac:dyDescent="0.25">
      <c r="A2926" s="15" t="s">
        <v>440</v>
      </c>
      <c r="B2926" s="32">
        <v>0.56666666666666665</v>
      </c>
      <c r="C2926" t="str">
        <f>'Inventory as of 12th Aug 2024'!A191</f>
        <v>Nuvita Bisquit</v>
      </c>
      <c r="D2926" s="27">
        <v>2</v>
      </c>
      <c r="E2926" s="5">
        <f>Table4[[#This Row],[qty]]*(VLOOKUP(Table4[[#This Row],[item_sold]],Table1[],5,FALSE))</f>
        <v>10</v>
      </c>
      <c r="F2926" s="5">
        <f>(VLOOKUP(Table4[[#This Row],[item_sold]],Table1[],4,FALSE))*Table4[[#This Row],[qty]]</f>
        <v>8.3333333333333339</v>
      </c>
      <c r="G2926">
        <f t="shared" si="240"/>
        <v>1.6666666666666661</v>
      </c>
      <c r="H2926" t="s">
        <v>247</v>
      </c>
    </row>
    <row r="2927" spans="1:12" x14ac:dyDescent="0.25">
      <c r="A2927" s="15" t="s">
        <v>440</v>
      </c>
      <c r="B2927" s="32">
        <v>0.57708333333333328</v>
      </c>
      <c r="C2927" t="str">
        <f>'Inventory as of 12th Aug 2024'!A42</f>
        <v>Indomie chicken</v>
      </c>
      <c r="D2927" s="27">
        <v>3</v>
      </c>
      <c r="E2927" s="5">
        <f>Table4[[#This Row],[qty]]*(VLOOKUP(Table4[[#This Row],[item_sold]],Table1[],5,FALSE))</f>
        <v>150</v>
      </c>
      <c r="F2927" s="5">
        <f>(VLOOKUP(Table4[[#This Row],[item_sold]],Table1[],4,FALSE))*Table4[[#This Row],[qty]]</f>
        <v>112.5</v>
      </c>
      <c r="G2927">
        <f t="shared" si="240"/>
        <v>37.5</v>
      </c>
      <c r="H2927" t="s">
        <v>361</v>
      </c>
    </row>
    <row r="2928" spans="1:12" x14ac:dyDescent="0.25">
      <c r="A2928" s="15" t="s">
        <v>440</v>
      </c>
      <c r="B2928" s="32">
        <v>0.62777777777777777</v>
      </c>
      <c r="C2928" t="str">
        <f>'Inventory as of 12th Aug 2024'!A58</f>
        <v>Safari</v>
      </c>
      <c r="D2928" s="27">
        <v>3</v>
      </c>
      <c r="E2928" s="5">
        <f>Table4[[#This Row],[qty]]*(VLOOKUP(Table4[[#This Row],[item_sold]],Table1[],5,FALSE))</f>
        <v>45</v>
      </c>
      <c r="F2928" s="5">
        <f>(VLOOKUP(Table4[[#This Row],[item_sold]],Table1[],4,FALSE))*Table4[[#This Row],[qty]]</f>
        <v>25.5</v>
      </c>
      <c r="G2928">
        <f t="shared" si="240"/>
        <v>19.5</v>
      </c>
      <c r="H2928" t="s">
        <v>361</v>
      </c>
    </row>
    <row r="2929" spans="1:8" x14ac:dyDescent="0.25">
      <c r="A2929" s="15" t="s">
        <v>440</v>
      </c>
      <c r="B2929" s="32">
        <v>0.62777777777777777</v>
      </c>
      <c r="C2929" t="str">
        <f>'Inventory as of 12th Aug 2024'!A107</f>
        <v>Match Box</v>
      </c>
      <c r="D2929" s="27">
        <v>1</v>
      </c>
      <c r="E2929" s="5">
        <f>Table4[[#This Row],[qty]]*(VLOOKUP(Table4[[#This Row],[item_sold]],Table1[],5,FALSE))</f>
        <v>5</v>
      </c>
      <c r="F2929" s="5">
        <f>(VLOOKUP(Table4[[#This Row],[item_sold]],Table1[],4,FALSE))*Table4[[#This Row],[qty]]</f>
        <v>2.3611111111111112</v>
      </c>
      <c r="G2929">
        <f t="shared" si="240"/>
        <v>2.6388888888888888</v>
      </c>
      <c r="H2929" t="s">
        <v>361</v>
      </c>
    </row>
    <row r="2930" spans="1:8" x14ac:dyDescent="0.25">
      <c r="A2930" s="15" t="s">
        <v>440</v>
      </c>
      <c r="B2930" s="32">
        <v>0.66041666666666665</v>
      </c>
      <c r="C2930" t="str">
        <f>'Inventory as of 12th Aug 2024'!A10</f>
        <v>Mt Kenya milk 200ml</v>
      </c>
      <c r="D2930" s="27">
        <v>1</v>
      </c>
      <c r="E2930" s="5">
        <f>Table4[[#This Row],[qty]]*(VLOOKUP(Table4[[#This Row],[item_sold]],Table1[],5,FALSE))</f>
        <v>35</v>
      </c>
      <c r="F2930" s="5">
        <f>(VLOOKUP(Table4[[#This Row],[item_sold]],Table1[],4,FALSE))*Table4[[#This Row],[qty]]</f>
        <v>24.285714285714285</v>
      </c>
      <c r="G2930">
        <f t="shared" si="240"/>
        <v>10.714285714285715</v>
      </c>
      <c r="H2930" t="s">
        <v>361</v>
      </c>
    </row>
    <row r="2931" spans="1:8" x14ac:dyDescent="0.25">
      <c r="A2931" s="15" t="s">
        <v>440</v>
      </c>
      <c r="B2931" s="32">
        <v>0.66041666666666665</v>
      </c>
      <c r="C2931" t="str">
        <f>'Inventory as of 12th Aug 2024'!A17</f>
        <v>Brookside milk 500ml</v>
      </c>
      <c r="D2931" s="27">
        <v>1</v>
      </c>
      <c r="E2931" s="5">
        <f>Table4[[#This Row],[qty]]*(VLOOKUP(Table4[[#This Row],[item_sold]],Table1[],5,FALSE))</f>
        <v>70</v>
      </c>
      <c r="F2931" s="5">
        <f>(VLOOKUP(Table4[[#This Row],[item_sold]],Table1[],4,FALSE))*Table4[[#This Row],[qty]]</f>
        <v>59</v>
      </c>
      <c r="G2931">
        <f t="shared" si="240"/>
        <v>11</v>
      </c>
      <c r="H2931" t="s">
        <v>361</v>
      </c>
    </row>
    <row r="2932" spans="1:8" x14ac:dyDescent="0.25">
      <c r="A2932" s="15" t="s">
        <v>440</v>
      </c>
      <c r="B2932" s="32">
        <v>0.69444444444444442</v>
      </c>
      <c r="C2932" t="str">
        <f>'Inventory as of 12th Aug 2024'!A37</f>
        <v>Festive Bread 400g</v>
      </c>
      <c r="D2932" s="27">
        <v>1</v>
      </c>
      <c r="E2932" s="5">
        <f>Table4[[#This Row],[qty]]*(VLOOKUP(Table4[[#This Row],[item_sold]],Table1[],5,FALSE))</f>
        <v>65</v>
      </c>
      <c r="F2932" s="5">
        <f>(VLOOKUP(Table4[[#This Row],[item_sold]],Table1[],4,FALSE))*Table4[[#This Row],[qty]]</f>
        <v>60</v>
      </c>
      <c r="G2932">
        <f t="shared" si="240"/>
        <v>5</v>
      </c>
      <c r="H2932" t="s">
        <v>247</v>
      </c>
    </row>
    <row r="2933" spans="1:8" x14ac:dyDescent="0.25">
      <c r="A2933" s="15" t="s">
        <v>440</v>
      </c>
      <c r="B2933" s="32">
        <v>0.69444444444444442</v>
      </c>
      <c r="C2933" t="str">
        <f>'Inventory as of 12th Aug 2024'!A231</f>
        <v>Patco</v>
      </c>
      <c r="D2933" s="27">
        <v>4</v>
      </c>
      <c r="E2933" s="5">
        <f>Table4[[#This Row],[qty]]*(VLOOKUP(Table4[[#This Row],[item_sold]],Table1[],5,FALSE))</f>
        <v>10</v>
      </c>
      <c r="F2933" s="5">
        <f>(VLOOKUP(Table4[[#This Row],[item_sold]],Table1[],4,FALSE))*Table4[[#This Row],[qty]]</f>
        <v>4.8</v>
      </c>
      <c r="G2933">
        <f t="shared" si="240"/>
        <v>5.2</v>
      </c>
      <c r="H2933" t="s">
        <v>247</v>
      </c>
    </row>
    <row r="2934" spans="1:8" x14ac:dyDescent="0.25">
      <c r="A2934" s="15" t="s">
        <v>440</v>
      </c>
      <c r="B2934" s="32">
        <v>0.70625000000000004</v>
      </c>
      <c r="C2934" t="str">
        <f>'Inventory as of 12th Aug 2024'!A91</f>
        <v>Tomatoes</v>
      </c>
      <c r="D2934" s="27">
        <v>9</v>
      </c>
      <c r="E2934" s="5">
        <f>Table4[[#This Row],[qty]]*(VLOOKUP(Table4[[#This Row],[item_sold]],Table1[],5,FALSE))</f>
        <v>90</v>
      </c>
      <c r="F2934" s="5">
        <f>(VLOOKUP(Table4[[#This Row],[item_sold]],Table1[],4,FALSE))*Table4[[#This Row],[qty]]</f>
        <v>45</v>
      </c>
      <c r="G2934">
        <f t="shared" si="240"/>
        <v>45</v>
      </c>
      <c r="H2934" t="s">
        <v>247</v>
      </c>
    </row>
    <row r="2935" spans="1:8" x14ac:dyDescent="0.25">
      <c r="A2935" s="15" t="s">
        <v>440</v>
      </c>
      <c r="B2935" s="32">
        <v>0.70625000000000004</v>
      </c>
      <c r="C2935" t="str">
        <f>'Inventory as of 12th Aug 2024'!A90</f>
        <v>Onion</v>
      </c>
      <c r="D2935" s="27">
        <v>10</v>
      </c>
      <c r="E2935" s="5">
        <f>Table4[[#This Row],[qty]]*(VLOOKUP(Table4[[#This Row],[item_sold]],Table1[],5,FALSE))</f>
        <v>100</v>
      </c>
      <c r="F2935" s="5">
        <f>(VLOOKUP(Table4[[#This Row],[item_sold]],Table1[],4,FALSE))*Table4[[#This Row],[qty]]</f>
        <v>80</v>
      </c>
      <c r="G2935">
        <f t="shared" si="240"/>
        <v>20</v>
      </c>
      <c r="H2935" t="s">
        <v>247</v>
      </c>
    </row>
    <row r="2936" spans="1:8" x14ac:dyDescent="0.25">
      <c r="A2936" s="15" t="s">
        <v>440</v>
      </c>
      <c r="B2936" s="32">
        <v>0.70625000000000004</v>
      </c>
      <c r="C2936" t="str">
        <f>'Inventory as of 12th Aug 2024'!A188</f>
        <v>Choc-chip Cookies</v>
      </c>
      <c r="D2936" s="27">
        <v>3</v>
      </c>
      <c r="E2936" s="5">
        <f>Table4[[#This Row],[qty]]*(VLOOKUP(Table4[[#This Row],[item_sold]],Table1[],5,FALSE))</f>
        <v>105</v>
      </c>
      <c r="F2936" s="5">
        <f>(VLOOKUP(Table4[[#This Row],[item_sold]],Table1[],4,FALSE))*Table4[[#This Row],[qty]]</f>
        <v>75</v>
      </c>
      <c r="G2936">
        <f t="shared" si="240"/>
        <v>30</v>
      </c>
      <c r="H2936" t="s">
        <v>247</v>
      </c>
    </row>
    <row r="2937" spans="1:8" x14ac:dyDescent="0.25">
      <c r="A2937" s="15" t="s">
        <v>440</v>
      </c>
      <c r="B2937" s="32">
        <v>0.70625000000000004</v>
      </c>
      <c r="C2937" t="str">
        <f>'Inventory as of 12th Aug 2024'!A16</f>
        <v>Mt kenya milk 500ml</v>
      </c>
      <c r="D2937" s="27">
        <v>2</v>
      </c>
      <c r="E2937" s="5">
        <f>Table4[[#This Row],[qty]]*(VLOOKUP(Table4[[#This Row],[item_sold]],Table1[],5,FALSE))</f>
        <v>130</v>
      </c>
      <c r="F2937" s="5">
        <f>(VLOOKUP(Table4[[#This Row],[item_sold]],Table1[],4,FALSE))*Table4[[#This Row],[qty]]</f>
        <v>96.666666666666671</v>
      </c>
      <c r="G2937">
        <f t="shared" si="240"/>
        <v>33.333333333333329</v>
      </c>
      <c r="H2937" t="s">
        <v>247</v>
      </c>
    </row>
    <row r="2938" spans="1:8" x14ac:dyDescent="0.25">
      <c r="A2938" s="15" t="s">
        <v>440</v>
      </c>
      <c r="B2938" s="32">
        <v>0.7055555555555556</v>
      </c>
      <c r="C2938" t="str">
        <f>'Inventory as of 12th Aug 2024'!A72</f>
        <v>Curry Powder</v>
      </c>
      <c r="D2938" s="27">
        <v>1</v>
      </c>
      <c r="E2938" s="5">
        <f>Table4[[#This Row],[qty]]*(VLOOKUP(Table4[[#This Row],[item_sold]],Table1[],5,FALSE))</f>
        <v>15</v>
      </c>
      <c r="F2938" s="5">
        <f>(VLOOKUP(Table4[[#This Row],[item_sold]],Table1[],4,FALSE))*Table4[[#This Row],[qty]]</f>
        <v>7.5</v>
      </c>
      <c r="G2938">
        <f t="shared" si="240"/>
        <v>7.5</v>
      </c>
      <c r="H2938" t="s">
        <v>247</v>
      </c>
    </row>
    <row r="2939" spans="1:8" x14ac:dyDescent="0.25">
      <c r="A2939" s="15" t="s">
        <v>440</v>
      </c>
      <c r="B2939" s="32">
        <v>0.7055555555555556</v>
      </c>
      <c r="C2939" t="str">
        <f>'Inventory as of 12th Aug 2024'!A68</f>
        <v>Royco cubes</v>
      </c>
      <c r="D2939" s="27">
        <v>6</v>
      </c>
      <c r="E2939" s="5">
        <f>Table4[[#This Row],[qty]]*(VLOOKUP(Table4[[#This Row],[item_sold]],Table1[],5,FALSE))</f>
        <v>30</v>
      </c>
      <c r="F2939" s="5">
        <f>(VLOOKUP(Table4[[#This Row],[item_sold]],Table1[],4,FALSE))*Table4[[#This Row],[qty]]</f>
        <v>18</v>
      </c>
      <c r="G2939">
        <f t="shared" si="240"/>
        <v>12</v>
      </c>
      <c r="H2939" t="s">
        <v>361</v>
      </c>
    </row>
    <row r="2940" spans="1:8" x14ac:dyDescent="0.25">
      <c r="A2940" s="15" t="s">
        <v>440</v>
      </c>
      <c r="B2940" s="32">
        <v>0.7055555555555556</v>
      </c>
      <c r="C2940" t="str">
        <f>'Inventory as of 12th Aug 2024'!A16</f>
        <v>Mt kenya milk 500ml</v>
      </c>
      <c r="D2940" s="27">
        <v>2</v>
      </c>
      <c r="E2940" s="5">
        <f>Table4[[#This Row],[qty]]*(VLOOKUP(Table4[[#This Row],[item_sold]],Table1[],5,FALSE))</f>
        <v>130</v>
      </c>
      <c r="F2940" s="5">
        <f>(VLOOKUP(Table4[[#This Row],[item_sold]],Table1[],4,FALSE))*Table4[[#This Row],[qty]]</f>
        <v>96.666666666666671</v>
      </c>
      <c r="G2940">
        <f t="shared" si="240"/>
        <v>33.333333333333329</v>
      </c>
      <c r="H2940" t="s">
        <v>361</v>
      </c>
    </row>
    <row r="2941" spans="1:8" x14ac:dyDescent="0.25">
      <c r="A2941" s="15" t="s">
        <v>440</v>
      </c>
      <c r="B2941" s="32">
        <v>0.70694444444444449</v>
      </c>
      <c r="C2941" t="str">
        <f>'Inventory as of 12th Aug 2024'!A6</f>
        <v>Airtel 10 Credit</v>
      </c>
      <c r="D2941" s="27">
        <v>1</v>
      </c>
      <c r="E2941" s="5">
        <f>Table4[[#This Row],[qty]]*(VLOOKUP(Table4[[#This Row],[item_sold]],Table1[],5,FALSE))</f>
        <v>10</v>
      </c>
      <c r="F2941" s="5">
        <f>(VLOOKUP(Table4[[#This Row],[item_sold]],Table1[],4,FALSE))*Table4[[#This Row],[qty]]</f>
        <v>9</v>
      </c>
      <c r="G2941">
        <f t="shared" si="240"/>
        <v>1</v>
      </c>
      <c r="H2941" t="s">
        <v>247</v>
      </c>
    </row>
    <row r="2942" spans="1:8" x14ac:dyDescent="0.25">
      <c r="A2942" s="15" t="s">
        <v>440</v>
      </c>
      <c r="B2942" s="32">
        <v>0.71875</v>
      </c>
      <c r="C2942" t="str">
        <f>'Inventory as of 12th Aug 2024'!A208</f>
        <v>minutemaid 400ml</v>
      </c>
      <c r="D2942" s="27">
        <v>1</v>
      </c>
      <c r="E2942" s="5">
        <f>Table4[[#This Row],[qty]]*(VLOOKUP(Table4[[#This Row],[item_sold]],Table1[],5,FALSE))</f>
        <v>85</v>
      </c>
      <c r="F2942" s="5">
        <f>(VLOOKUP(Table4[[#This Row],[item_sold]],Table1[],4,FALSE))*Table4[[#This Row],[qty]]</f>
        <v>62.5</v>
      </c>
      <c r="G2942">
        <f t="shared" si="240"/>
        <v>22.5</v>
      </c>
      <c r="H2942" t="s">
        <v>361</v>
      </c>
    </row>
    <row r="2943" spans="1:8" x14ac:dyDescent="0.25">
      <c r="A2943" s="15" t="s">
        <v>440</v>
      </c>
      <c r="B2943" s="32">
        <v>0.71944444444444444</v>
      </c>
      <c r="C2943" t="str">
        <f>'Inventory as of 12th Aug 2024'!A5</f>
        <v>Airtel 20 Credit</v>
      </c>
      <c r="D2943" s="27">
        <v>1</v>
      </c>
      <c r="E2943" s="5">
        <f>Table4[[#This Row],[qty]]*(VLOOKUP(Table4[[#This Row],[item_sold]],Table1[],5,FALSE))</f>
        <v>20</v>
      </c>
      <c r="F2943" s="5">
        <f>(VLOOKUP(Table4[[#This Row],[item_sold]],Table1[],4,FALSE))*Table4[[#This Row],[qty]]</f>
        <v>18</v>
      </c>
      <c r="G2943">
        <f t="shared" si="240"/>
        <v>2</v>
      </c>
      <c r="H2943" t="s">
        <v>247</v>
      </c>
    </row>
    <row r="2944" spans="1:8" x14ac:dyDescent="0.25">
      <c r="A2944" s="15" t="s">
        <v>440</v>
      </c>
      <c r="B2944" s="32">
        <v>0.71666666666666667</v>
      </c>
      <c r="C2944" t="str">
        <f>'Inventory as of 12th Aug 2024'!A68</f>
        <v>Royco cubes</v>
      </c>
      <c r="D2944" s="27">
        <v>8</v>
      </c>
      <c r="E2944" s="5">
        <f>Table4[[#This Row],[qty]]*(VLOOKUP(Table4[[#This Row],[item_sold]],Table1[],5,FALSE))</f>
        <v>40</v>
      </c>
      <c r="F2944" s="5">
        <f>(VLOOKUP(Table4[[#This Row],[item_sold]],Table1[],4,FALSE))*Table4[[#This Row],[qty]]</f>
        <v>24</v>
      </c>
      <c r="G2944">
        <f t="shared" si="240"/>
        <v>16</v>
      </c>
      <c r="H2944" t="s">
        <v>361</v>
      </c>
    </row>
    <row r="2945" spans="1:8" x14ac:dyDescent="0.25">
      <c r="A2945" s="15" t="s">
        <v>440</v>
      </c>
      <c r="B2945" s="32">
        <v>0.71666666666666667</v>
      </c>
      <c r="C2945" t="str">
        <f>'Inventory as of 12th Aug 2024'!A244</f>
        <v>5ltrs water</v>
      </c>
      <c r="D2945" s="27">
        <v>1</v>
      </c>
      <c r="E2945" s="5">
        <f>Table4[[#This Row],[qty]]*(VLOOKUP(Table4[[#This Row],[item_sold]],Table1[],5,FALSE))</f>
        <v>120</v>
      </c>
      <c r="F2945" s="5">
        <f>(VLOOKUP(Table4[[#This Row],[item_sold]],Table1[],4,FALSE))*Table4[[#This Row],[qty]]</f>
        <v>75</v>
      </c>
      <c r="G2945">
        <f t="shared" si="240"/>
        <v>45</v>
      </c>
      <c r="H2945" t="s">
        <v>361</v>
      </c>
    </row>
    <row r="2946" spans="1:8" x14ac:dyDescent="0.25">
      <c r="A2946" s="15" t="s">
        <v>440</v>
      </c>
      <c r="B2946" s="32">
        <v>0.71666666666666667</v>
      </c>
      <c r="C2946" t="str">
        <f>'Inventory as of 12th Aug 2024'!A8</f>
        <v>eggs</v>
      </c>
      <c r="D2946" s="27">
        <v>1</v>
      </c>
      <c r="E2946" s="5">
        <f>Table4[[#This Row],[qty]]*(VLOOKUP(Table4[[#This Row],[item_sold]],Table1[],5,FALSE))</f>
        <v>20</v>
      </c>
      <c r="F2946" s="5">
        <f>(VLOOKUP(Table4[[#This Row],[item_sold]],Table1[],4,FALSE))*Table4[[#This Row],[qty]]</f>
        <v>14.333333333333334</v>
      </c>
      <c r="G2946">
        <f t="shared" si="240"/>
        <v>5.6666666666666661</v>
      </c>
      <c r="H2946" t="s">
        <v>361</v>
      </c>
    </row>
    <row r="2947" spans="1:8" x14ac:dyDescent="0.25">
      <c r="A2947" s="15" t="s">
        <v>440</v>
      </c>
      <c r="B2947" s="32">
        <v>0.73124999999999996</v>
      </c>
      <c r="C2947" t="str">
        <f>'Inventory as of 12th Aug 2024'!A242</f>
        <v>Icepop</v>
      </c>
      <c r="D2947" s="27">
        <v>1</v>
      </c>
      <c r="E2947" s="5">
        <f>Table4[[#This Row],[qty]]*(VLOOKUP(Table4[[#This Row],[item_sold]],Table1[],5,FALSE))</f>
        <v>15</v>
      </c>
      <c r="F2947" s="5">
        <f>(VLOOKUP(Table4[[#This Row],[item_sold]],Table1[],4,FALSE))*Table4[[#This Row],[qty]]</f>
        <v>7.5</v>
      </c>
      <c r="G2947">
        <f t="shared" si="240"/>
        <v>7.5</v>
      </c>
      <c r="H2947" t="s">
        <v>247</v>
      </c>
    </row>
    <row r="2948" spans="1:8" x14ac:dyDescent="0.25">
      <c r="A2948" s="15" t="s">
        <v>440</v>
      </c>
      <c r="B2948" s="32">
        <v>0.73888888888888893</v>
      </c>
      <c r="C2948" t="str">
        <f>'Inventory as of 12th Aug 2024'!A198</f>
        <v>Mandazi</v>
      </c>
      <c r="D2948" s="27">
        <v>2</v>
      </c>
      <c r="E2948" s="5">
        <f>Table4[[#This Row],[qty]]*(VLOOKUP(Table4[[#This Row],[item_sold]],Table1[],5,FALSE))</f>
        <v>10</v>
      </c>
      <c r="F2948" s="5">
        <f>(VLOOKUP(Table4[[#This Row],[item_sold]],Table1[],4,FALSE))*Table4[[#This Row],[qty]]</f>
        <v>8.3333333333333339</v>
      </c>
      <c r="G2948">
        <f t="shared" si="240"/>
        <v>1.6666666666666661</v>
      </c>
      <c r="H2948" t="s">
        <v>247</v>
      </c>
    </row>
    <row r="2949" spans="1:8" x14ac:dyDescent="0.25">
      <c r="A2949" s="15" t="s">
        <v>440</v>
      </c>
      <c r="B2949" s="32">
        <v>0.74722222222222223</v>
      </c>
      <c r="C2949" t="str">
        <f>'Inventory as of 12th Aug 2024'!A37</f>
        <v>Festive Bread 400g</v>
      </c>
      <c r="D2949" s="27">
        <v>1</v>
      </c>
      <c r="E2949" s="5">
        <f>Table4[[#This Row],[qty]]*(VLOOKUP(Table4[[#This Row],[item_sold]],Table1[],5,FALSE))</f>
        <v>65</v>
      </c>
      <c r="F2949" s="5">
        <f>(VLOOKUP(Table4[[#This Row],[item_sold]],Table1[],4,FALSE))*Table4[[#This Row],[qty]]</f>
        <v>60</v>
      </c>
      <c r="G2949">
        <f t="shared" si="240"/>
        <v>5</v>
      </c>
      <c r="H2949" t="s">
        <v>361</v>
      </c>
    </row>
    <row r="2950" spans="1:8" x14ac:dyDescent="0.25">
      <c r="A2950" s="15" t="s">
        <v>440</v>
      </c>
      <c r="B2950" s="32">
        <v>0.74722222222222223</v>
      </c>
      <c r="C2950" t="str">
        <f>'Inventory as of 12th Aug 2024'!A68</f>
        <v>Royco cubes</v>
      </c>
      <c r="D2950" s="27">
        <v>4</v>
      </c>
      <c r="E2950" s="5">
        <f>Table4[[#This Row],[qty]]*(VLOOKUP(Table4[[#This Row],[item_sold]],Table1[],5,FALSE))</f>
        <v>20</v>
      </c>
      <c r="F2950" s="5">
        <f>(VLOOKUP(Table4[[#This Row],[item_sold]],Table1[],4,FALSE))*Table4[[#This Row],[qty]]</f>
        <v>12</v>
      </c>
      <c r="G2950">
        <f t="shared" si="240"/>
        <v>8</v>
      </c>
      <c r="H2950" t="s">
        <v>361</v>
      </c>
    </row>
    <row r="2951" spans="1:8" x14ac:dyDescent="0.25">
      <c r="A2951" s="15" t="s">
        <v>440</v>
      </c>
      <c r="B2951" s="32">
        <v>0.75694444444444442</v>
      </c>
      <c r="C2951" t="str">
        <f>'Inventory as of 12th Aug 2024'!A231</f>
        <v>Patco</v>
      </c>
      <c r="D2951" s="27">
        <v>8</v>
      </c>
      <c r="E2951" s="5">
        <f>Table4[[#This Row],[qty]]*(VLOOKUP(Table4[[#This Row],[item_sold]],Table1[],5,FALSE))</f>
        <v>20</v>
      </c>
      <c r="F2951" s="5">
        <f>(VLOOKUP(Table4[[#This Row],[item_sold]],Table1[],4,FALSE))*Table4[[#This Row],[qty]]</f>
        <v>9.6</v>
      </c>
      <c r="G2951">
        <f t="shared" si="240"/>
        <v>10.4</v>
      </c>
      <c r="H2951" t="s">
        <v>361</v>
      </c>
    </row>
    <row r="2952" spans="1:8" x14ac:dyDescent="0.25">
      <c r="A2952" s="15" t="s">
        <v>440</v>
      </c>
      <c r="B2952" s="32">
        <v>0.76041666666666663</v>
      </c>
      <c r="C2952" t="str">
        <f>'Inventory as of 12th Aug 2024'!A91</f>
        <v>Tomatoes</v>
      </c>
      <c r="D2952" s="27">
        <v>1</v>
      </c>
      <c r="E2952" s="5">
        <f>Table4[[#This Row],[qty]]*(VLOOKUP(Table4[[#This Row],[item_sold]],Table1[],5,FALSE))</f>
        <v>10</v>
      </c>
      <c r="F2952" s="5">
        <f>(VLOOKUP(Table4[[#This Row],[item_sold]],Table1[],4,FALSE))*Table4[[#This Row],[qty]]</f>
        <v>5</v>
      </c>
      <c r="G2952">
        <f t="shared" si="240"/>
        <v>5</v>
      </c>
      <c r="H2952" t="s">
        <v>247</v>
      </c>
    </row>
    <row r="2953" spans="1:8" x14ac:dyDescent="0.25">
      <c r="A2953" s="15" t="s">
        <v>440</v>
      </c>
      <c r="B2953" s="32">
        <v>0.76180555555555551</v>
      </c>
      <c r="C2953" t="str">
        <f>'Inventory as of 12th Aug 2024'!A242</f>
        <v>Icepop</v>
      </c>
      <c r="D2953" s="27">
        <v>1</v>
      </c>
      <c r="E2953" s="5">
        <f>Table4[[#This Row],[qty]]*(VLOOKUP(Table4[[#This Row],[item_sold]],Table1[],5,FALSE))</f>
        <v>15</v>
      </c>
      <c r="F2953" s="5">
        <f>(VLOOKUP(Table4[[#This Row],[item_sold]],Table1[],4,FALSE))*Table4[[#This Row],[qty]]</f>
        <v>7.5</v>
      </c>
      <c r="G2953">
        <f t="shared" si="240"/>
        <v>7.5</v>
      </c>
      <c r="H2953" t="s">
        <v>247</v>
      </c>
    </row>
    <row r="2954" spans="1:8" x14ac:dyDescent="0.25">
      <c r="A2954" s="15" t="s">
        <v>440</v>
      </c>
      <c r="B2954" s="32">
        <v>0.77430555555555558</v>
      </c>
      <c r="C2954" t="str">
        <f>'Inventory as of 12th Aug 2024'!A178</f>
        <v>Ringoz Paprika</v>
      </c>
      <c r="D2954" s="27">
        <v>1</v>
      </c>
      <c r="E2954" s="5">
        <f>Table4[[#This Row],[qty]]*(VLOOKUP(Table4[[#This Row],[item_sold]],Table1[],5,FALSE))</f>
        <v>15</v>
      </c>
      <c r="F2954" s="5">
        <f>(VLOOKUP(Table4[[#This Row],[item_sold]],Table1[],4,FALSE))*Table4[[#This Row],[qty]]</f>
        <v>8.8000000000000007</v>
      </c>
      <c r="G2954">
        <f t="shared" si="240"/>
        <v>6.1999999999999993</v>
      </c>
      <c r="H2954" t="s">
        <v>361</v>
      </c>
    </row>
    <row r="2955" spans="1:8" x14ac:dyDescent="0.25">
      <c r="A2955" s="15" t="s">
        <v>440</v>
      </c>
      <c r="B2955" s="32">
        <v>0.78333333333333333</v>
      </c>
      <c r="C2955" t="str">
        <f>'Inventory as of 12th Aug 2024'!A213</f>
        <v>soda 500ml glass</v>
      </c>
      <c r="D2955" s="27">
        <v>6</v>
      </c>
      <c r="E2955" s="5">
        <f>Table4[[#This Row],[qty]]*(VLOOKUP(Table4[[#This Row],[item_sold]],Table1[],5,FALSE))</f>
        <v>330</v>
      </c>
      <c r="F2955" s="5">
        <f>(VLOOKUP(Table4[[#This Row],[item_sold]],Table1[],4,FALSE))*Table4[[#This Row],[qty]]</f>
        <v>300</v>
      </c>
      <c r="G2955">
        <f t="shared" si="240"/>
        <v>30</v>
      </c>
      <c r="H2955" t="s">
        <v>361</v>
      </c>
    </row>
    <row r="2956" spans="1:8" x14ac:dyDescent="0.25">
      <c r="A2956" s="15" t="s">
        <v>440</v>
      </c>
      <c r="B2956" s="32">
        <v>0.78333333333333333</v>
      </c>
      <c r="C2956" t="str">
        <f>'Inventory as of 12th Aug 2024'!A135</f>
        <v>Bella Tissue</v>
      </c>
      <c r="D2956" s="27">
        <v>2</v>
      </c>
      <c r="E2956" s="5">
        <f>Table4[[#This Row],[qty]]*(VLOOKUP(Table4[[#This Row],[item_sold]],Table1[],5,FALSE))</f>
        <v>100</v>
      </c>
      <c r="F2956" s="5">
        <f>(VLOOKUP(Table4[[#This Row],[item_sold]],Table1[],4,FALSE))*Table4[[#This Row],[qty]]</f>
        <v>70</v>
      </c>
      <c r="G2956">
        <f t="shared" si="240"/>
        <v>30</v>
      </c>
      <c r="H2956" t="s">
        <v>361</v>
      </c>
    </row>
    <row r="2957" spans="1:8" x14ac:dyDescent="0.25">
      <c r="A2957" s="15" t="s">
        <v>440</v>
      </c>
      <c r="B2957" s="32">
        <v>0.78333333333333333</v>
      </c>
      <c r="C2957" t="str">
        <f>'Inventory as of 12th Aug 2024'!A27</f>
        <v>Nescafe 1.5g</v>
      </c>
      <c r="D2957" s="27">
        <v>6</v>
      </c>
      <c r="E2957" s="5">
        <f>Table4[[#This Row],[qty]]*(VLOOKUP(Table4[[#This Row],[item_sold]],Table1[],5,FALSE))</f>
        <v>90</v>
      </c>
      <c r="F2957" s="5">
        <f>(VLOOKUP(Table4[[#This Row],[item_sold]],Table1[],4,FALSE))*Table4[[#This Row],[qty]]</f>
        <v>55</v>
      </c>
      <c r="G2957">
        <f t="shared" si="240"/>
        <v>35</v>
      </c>
      <c r="H2957" t="s">
        <v>361</v>
      </c>
    </row>
    <row r="2958" spans="1:8" x14ac:dyDescent="0.25">
      <c r="A2958" s="15" t="s">
        <v>440</v>
      </c>
      <c r="B2958" s="32">
        <v>0.78333333333333333</v>
      </c>
      <c r="C2958" t="str">
        <f>'Inventory as of 12th Aug 2024'!A91</f>
        <v>Tomatoes</v>
      </c>
      <c r="D2958" s="27">
        <v>6</v>
      </c>
      <c r="E2958" s="5">
        <f>Table4[[#This Row],[qty]]*(VLOOKUP(Table4[[#This Row],[item_sold]],Table1[],5,FALSE))</f>
        <v>60</v>
      </c>
      <c r="F2958" s="5">
        <f>(VLOOKUP(Table4[[#This Row],[item_sold]],Table1[],4,FALSE))*Table4[[#This Row],[qty]]</f>
        <v>30</v>
      </c>
      <c r="G2958">
        <f t="shared" si="240"/>
        <v>30</v>
      </c>
      <c r="H2958" t="s">
        <v>361</v>
      </c>
    </row>
    <row r="2959" spans="1:8" x14ac:dyDescent="0.25">
      <c r="A2959" s="15" t="s">
        <v>440</v>
      </c>
      <c r="B2959" s="32">
        <v>0.79166666666666663</v>
      </c>
      <c r="C2959" t="str">
        <f>'Inventory as of 12th Aug 2024'!A58</f>
        <v>Safari</v>
      </c>
      <c r="D2959" s="27">
        <v>4</v>
      </c>
      <c r="E2959" s="5">
        <f>Table4[[#This Row],[qty]]*(VLOOKUP(Table4[[#This Row],[item_sold]],Table1[],5,FALSE))</f>
        <v>60</v>
      </c>
      <c r="F2959" s="5">
        <f>(VLOOKUP(Table4[[#This Row],[item_sold]],Table1[],4,FALSE))*Table4[[#This Row],[qty]]</f>
        <v>34</v>
      </c>
      <c r="G2959">
        <f t="shared" si="240"/>
        <v>26</v>
      </c>
      <c r="H2959" t="s">
        <v>361</v>
      </c>
    </row>
    <row r="2960" spans="1:8" x14ac:dyDescent="0.25">
      <c r="A2960" s="15" t="s">
        <v>440</v>
      </c>
      <c r="B2960" s="32">
        <v>0.80763888888888891</v>
      </c>
      <c r="C2960" t="str">
        <f>'Inventory as of 12th Aug 2024'!A205</f>
        <v xml:space="preserve"> soda 1.25lts</v>
      </c>
      <c r="D2960" s="27">
        <v>1</v>
      </c>
      <c r="E2960" s="5">
        <f>Table4[[#This Row],[qty]]*(VLOOKUP(Table4[[#This Row],[item_sold]],Table1[],5,FALSE))</f>
        <v>130</v>
      </c>
      <c r="F2960" s="5">
        <f>(VLOOKUP(Table4[[#This Row],[item_sold]],Table1[],4,FALSE))*Table4[[#This Row],[qty]]</f>
        <v>112.5</v>
      </c>
      <c r="G2960">
        <f t="shared" si="240"/>
        <v>17.5</v>
      </c>
      <c r="H2960" t="s">
        <v>361</v>
      </c>
    </row>
    <row r="2961" spans="1:9" x14ac:dyDescent="0.25">
      <c r="A2961" s="15" t="s">
        <v>440</v>
      </c>
      <c r="B2961" s="32">
        <v>0.80763888888888891</v>
      </c>
      <c r="C2961" t="str">
        <f>'Inventory as of 12th Aug 2024'!A36</f>
        <v>Festive 800g</v>
      </c>
      <c r="D2961" s="27">
        <v>1</v>
      </c>
      <c r="E2961" s="5">
        <f>Table4[[#This Row],[qty]]*(VLOOKUP(Table4[[#This Row],[item_sold]],Table1[],5,FALSE))</f>
        <v>130</v>
      </c>
      <c r="F2961" s="5">
        <f>(VLOOKUP(Table4[[#This Row],[item_sold]],Table1[],4,FALSE))*Table4[[#This Row],[qty]]</f>
        <v>120</v>
      </c>
      <c r="G2961">
        <f t="shared" si="240"/>
        <v>10</v>
      </c>
      <c r="H2961" t="s">
        <v>361</v>
      </c>
    </row>
    <row r="2962" spans="1:9" x14ac:dyDescent="0.25">
      <c r="A2962" s="15" t="s">
        <v>440</v>
      </c>
      <c r="B2962" s="32">
        <v>0.80625000000000002</v>
      </c>
      <c r="C2962" t="str">
        <f>'Inventory as of 12th Aug 2024'!A91</f>
        <v>Tomatoes</v>
      </c>
      <c r="D2962" s="27">
        <v>5</v>
      </c>
      <c r="E2962" s="5">
        <f>Table4[[#This Row],[qty]]*(VLOOKUP(Table4[[#This Row],[item_sold]],Table1[],5,FALSE))</f>
        <v>50</v>
      </c>
      <c r="F2962" s="5">
        <f>(VLOOKUP(Table4[[#This Row],[item_sold]],Table1[],4,FALSE))*Table4[[#This Row],[qty]]</f>
        <v>25</v>
      </c>
      <c r="G2962">
        <f t="shared" si="240"/>
        <v>25</v>
      </c>
      <c r="H2962" t="s">
        <v>361</v>
      </c>
    </row>
    <row r="2963" spans="1:9" x14ac:dyDescent="0.25">
      <c r="A2963" s="15" t="s">
        <v>440</v>
      </c>
      <c r="B2963" s="32">
        <v>0.80625000000000002</v>
      </c>
      <c r="C2963" t="str">
        <f>'Inventory as of 12th Aug 2024'!A238</f>
        <v>Tropical</v>
      </c>
      <c r="D2963" s="27">
        <v>2</v>
      </c>
      <c r="E2963" s="5">
        <f>Table4[[#This Row],[qty]]*(VLOOKUP(Table4[[#This Row],[item_sold]],Table1[],5,FALSE))</f>
        <v>10</v>
      </c>
      <c r="F2963" s="5">
        <f>(VLOOKUP(Table4[[#This Row],[item_sold]],Table1[],4,FALSE))*Table4[[#This Row],[qty]]</f>
        <v>3</v>
      </c>
      <c r="G2963">
        <f t="shared" si="240"/>
        <v>7</v>
      </c>
      <c r="H2963" t="s">
        <v>361</v>
      </c>
    </row>
    <row r="2964" spans="1:9" x14ac:dyDescent="0.25">
      <c r="A2964" s="15" t="s">
        <v>440</v>
      </c>
      <c r="B2964" s="32">
        <v>0.82986111111111116</v>
      </c>
      <c r="C2964" t="str">
        <f>'Inventory as of 12th Aug 2024'!A75</f>
        <v>Cooking Oil Measured</v>
      </c>
      <c r="D2964" s="27">
        <v>0.25</v>
      </c>
      <c r="E2964" s="5">
        <f>Table4[[#This Row],[qty]]*(VLOOKUP(Table4[[#This Row],[item_sold]],Table1[],5,FALSE))</f>
        <v>70</v>
      </c>
      <c r="F2964" s="5">
        <f>(VLOOKUP(Table4[[#This Row],[item_sold]],Table1[],4,FALSE))*Table4[[#This Row],[qty]]</f>
        <v>50</v>
      </c>
      <c r="G2964">
        <f t="shared" si="240"/>
        <v>20</v>
      </c>
      <c r="H2964" t="s">
        <v>361</v>
      </c>
    </row>
    <row r="2965" spans="1:9" x14ac:dyDescent="0.25">
      <c r="A2965" s="15" t="s">
        <v>440</v>
      </c>
      <c r="B2965" s="32">
        <v>0.82986111111111116</v>
      </c>
      <c r="C2965" t="str">
        <f>'Inventory as of 12th Aug 2024'!A248</f>
        <v>Soko Maize meal</v>
      </c>
      <c r="D2965" s="27">
        <v>1</v>
      </c>
      <c r="E2965" s="5">
        <f>Table4[[#This Row],[qty]]*(VLOOKUP(Table4[[#This Row],[item_sold]],Table1[],5,FALSE))</f>
        <v>160</v>
      </c>
      <c r="F2965" s="5">
        <f>(VLOOKUP(Table4[[#This Row],[item_sold]],Table1[],4,FALSE))*Table4[[#This Row],[qty]]</f>
        <v>125</v>
      </c>
      <c r="G2965">
        <f t="shared" si="240"/>
        <v>35</v>
      </c>
      <c r="H2965" t="s">
        <v>361</v>
      </c>
    </row>
    <row r="2966" spans="1:9" x14ac:dyDescent="0.25">
      <c r="A2966" s="15" t="s">
        <v>440</v>
      </c>
      <c r="B2966" s="32">
        <v>0.83194444444444449</v>
      </c>
      <c r="C2966" t="str">
        <f>'Inventory as of 12th Aug 2024'!A16</f>
        <v>Mt kenya milk 500ml</v>
      </c>
      <c r="D2966" s="27">
        <v>2</v>
      </c>
      <c r="E2966" s="5">
        <f>Table4[[#This Row],[qty]]*(VLOOKUP(Table4[[#This Row],[item_sold]],Table1[],5,FALSE))</f>
        <v>130</v>
      </c>
      <c r="F2966" s="5">
        <f>(VLOOKUP(Table4[[#This Row],[item_sold]],Table1[],4,FALSE))*Table4[[#This Row],[qty]]</f>
        <v>96.666666666666671</v>
      </c>
      <c r="G2966">
        <f t="shared" si="240"/>
        <v>33.333333333333329</v>
      </c>
      <c r="H2966" t="s">
        <v>247</v>
      </c>
    </row>
    <row r="2967" spans="1:9" x14ac:dyDescent="0.25">
      <c r="A2967" s="15" t="s">
        <v>440</v>
      </c>
      <c r="B2967" s="32">
        <v>0.85277777777777775</v>
      </c>
      <c r="C2967" t="str">
        <f>'Inventory as of 12th Aug 2024'!A143</f>
        <v>Maxguard</v>
      </c>
      <c r="D2967" s="27">
        <v>1</v>
      </c>
      <c r="E2967" s="5">
        <f>Table4[[#This Row],[qty]]*(VLOOKUP(Table4[[#This Row],[item_sold]],Table1[],5,FALSE))</f>
        <v>80</v>
      </c>
      <c r="F2967" s="5">
        <f>(VLOOKUP(Table4[[#This Row],[item_sold]],Table1[],4,FALSE))*Table4[[#This Row],[qty]]</f>
        <v>30</v>
      </c>
      <c r="G2967">
        <f t="shared" si="240"/>
        <v>50</v>
      </c>
      <c r="H2967" t="s">
        <v>361</v>
      </c>
    </row>
    <row r="2968" spans="1:9" x14ac:dyDescent="0.25">
      <c r="A2968" s="15" t="s">
        <v>440</v>
      </c>
      <c r="B2968" s="32">
        <v>0.85277777777777775</v>
      </c>
      <c r="C2968" t="str">
        <f>'Inventory as of 12th Aug 2024'!A70</f>
        <v>Sugar 1/2 kg</v>
      </c>
      <c r="D2968" s="27">
        <v>1</v>
      </c>
      <c r="E2968" s="5">
        <f>Table4[[#This Row],[qty]]*(VLOOKUP(Table4[[#This Row],[item_sold]],Table1[],5,FALSE))</f>
        <v>90</v>
      </c>
      <c r="F2968" s="5">
        <f>(VLOOKUP(Table4[[#This Row],[item_sold]],Table1[],4,FALSE))*Table4[[#This Row],[qty]]</f>
        <v>60</v>
      </c>
      <c r="G2968">
        <f t="shared" si="240"/>
        <v>30</v>
      </c>
      <c r="H2968" t="s">
        <v>361</v>
      </c>
    </row>
    <row r="2969" spans="1:9" x14ac:dyDescent="0.25">
      <c r="A2969" s="15" t="s">
        <v>440</v>
      </c>
      <c r="B2969" s="32">
        <v>0.85277777777777775</v>
      </c>
      <c r="C2969" t="str">
        <f>'Inventory as of 12th Aug 2024'!A37</f>
        <v>Festive Bread 400g</v>
      </c>
      <c r="D2969" s="27">
        <v>2</v>
      </c>
      <c r="E2969" s="5">
        <f>Table4[[#This Row],[qty]]*(VLOOKUP(Table4[[#This Row],[item_sold]],Table1[],5,FALSE))</f>
        <v>130</v>
      </c>
      <c r="F2969" s="5">
        <f>(VLOOKUP(Table4[[#This Row],[item_sold]],Table1[],4,FALSE))*Table4[[#This Row],[qty]]</f>
        <v>120</v>
      </c>
      <c r="G2969">
        <f t="shared" si="240"/>
        <v>10</v>
      </c>
      <c r="H2969" t="s">
        <v>361</v>
      </c>
    </row>
    <row r="2970" spans="1:9" x14ac:dyDescent="0.25">
      <c r="A2970" s="15" t="s">
        <v>440</v>
      </c>
      <c r="B2970" s="32">
        <v>0.84722222222222221</v>
      </c>
      <c r="C2970" t="str">
        <f>'Inventory as of 12th Aug 2024'!A191</f>
        <v>Nuvita Bisquit</v>
      </c>
      <c r="D2970" s="27">
        <v>3</v>
      </c>
      <c r="E2970" s="5">
        <f>Table4[[#This Row],[qty]]*(VLOOKUP(Table4[[#This Row],[item_sold]],Table1[],5,FALSE))</f>
        <v>15</v>
      </c>
      <c r="F2970" s="5">
        <f>(VLOOKUP(Table4[[#This Row],[item_sold]],Table1[],4,FALSE))*Table4[[#This Row],[qty]]</f>
        <v>12.5</v>
      </c>
      <c r="G2970">
        <f t="shared" si="240"/>
        <v>2.5</v>
      </c>
      <c r="H2970" t="s">
        <v>361</v>
      </c>
    </row>
    <row r="2971" spans="1:9" x14ac:dyDescent="0.25">
      <c r="A2971" s="15" t="s">
        <v>441</v>
      </c>
      <c r="B2971" s="32">
        <v>0.31319444444444444</v>
      </c>
      <c r="C2971" t="str">
        <f>'Inventory as of 12th Aug 2024'!A37</f>
        <v>Festive Bread 400g</v>
      </c>
      <c r="D2971" s="27">
        <v>1</v>
      </c>
      <c r="E2971" s="5">
        <f>Table4[[#This Row],[qty]]*(VLOOKUP(Table4[[#This Row],[item_sold]],Table1[],5,FALSE))</f>
        <v>65</v>
      </c>
      <c r="F2971" s="5">
        <f>(VLOOKUP(Table4[[#This Row],[item_sold]],Table1[],4,FALSE))*Table4[[#This Row],[qty]]</f>
        <v>60</v>
      </c>
      <c r="G2971">
        <f t="shared" si="240"/>
        <v>5</v>
      </c>
      <c r="H2971" t="s">
        <v>430</v>
      </c>
      <c r="I2971" t="s">
        <v>442</v>
      </c>
    </row>
    <row r="2972" spans="1:9" x14ac:dyDescent="0.25">
      <c r="A2972" s="15" t="s">
        <v>441</v>
      </c>
      <c r="B2972" s="32">
        <v>0.31388888888888888</v>
      </c>
      <c r="C2972" t="str">
        <f>'Inventory as of 12th Aug 2024'!A36</f>
        <v>Festive 800g</v>
      </c>
      <c r="D2972" s="27">
        <v>1</v>
      </c>
      <c r="E2972" s="5">
        <f>Table4[[#This Row],[qty]]*(VLOOKUP(Table4[[#This Row],[item_sold]],Table1[],5,FALSE))</f>
        <v>130</v>
      </c>
      <c r="F2972" s="5">
        <f>(VLOOKUP(Table4[[#This Row],[item_sold]],Table1[],4,FALSE))*Table4[[#This Row],[qty]]</f>
        <v>120</v>
      </c>
      <c r="G2972">
        <f t="shared" si="240"/>
        <v>10</v>
      </c>
      <c r="H2972" t="s">
        <v>430</v>
      </c>
      <c r="I2972" t="s">
        <v>443</v>
      </c>
    </row>
    <row r="2973" spans="1:9" x14ac:dyDescent="0.25">
      <c r="A2973" s="15" t="s">
        <v>441</v>
      </c>
      <c r="B2973" s="32">
        <v>0.33680555555555558</v>
      </c>
      <c r="C2973" t="str">
        <f>'Inventory as of 12th Aug 2024'!A16</f>
        <v>Mt kenya milk 500ml</v>
      </c>
      <c r="D2973" s="27">
        <v>1</v>
      </c>
      <c r="E2973" s="5">
        <f>Table4[[#This Row],[qty]]*(VLOOKUP(Table4[[#This Row],[item_sold]],Table1[],5,FALSE))</f>
        <v>65</v>
      </c>
      <c r="F2973" s="5">
        <f>(VLOOKUP(Table4[[#This Row],[item_sold]],Table1[],4,FALSE))*Table4[[#This Row],[qty]]</f>
        <v>48.333333333333336</v>
      </c>
      <c r="G2973">
        <f t="shared" si="240"/>
        <v>16.666666666666664</v>
      </c>
      <c r="H2973" t="s">
        <v>247</v>
      </c>
    </row>
    <row r="2974" spans="1:9" x14ac:dyDescent="0.25">
      <c r="A2974" s="15" t="s">
        <v>441</v>
      </c>
      <c r="B2974" s="32">
        <v>0.35694444444444445</v>
      </c>
      <c r="C2974" t="str">
        <f>'Inventory as of 12th Aug 2024'!A58</f>
        <v>Safari</v>
      </c>
      <c r="D2974" s="27">
        <v>1</v>
      </c>
      <c r="E2974" s="5">
        <f>Table4[[#This Row],[qty]]*(VLOOKUP(Table4[[#This Row],[item_sold]],Table1[],5,FALSE))</f>
        <v>15</v>
      </c>
      <c r="F2974" s="5">
        <f>(VLOOKUP(Table4[[#This Row],[item_sold]],Table1[],4,FALSE))*Table4[[#This Row],[qty]]</f>
        <v>8.5</v>
      </c>
      <c r="G2974">
        <f t="shared" si="240"/>
        <v>6.5</v>
      </c>
      <c r="H2974" t="s">
        <v>247</v>
      </c>
    </row>
    <row r="2975" spans="1:9" x14ac:dyDescent="0.25">
      <c r="A2975" s="15" t="s">
        <v>441</v>
      </c>
      <c r="B2975" s="32">
        <v>0.35972222222222222</v>
      </c>
      <c r="C2975" t="str">
        <f>'Inventory as of 12th Aug 2024'!A198</f>
        <v>Mandazi</v>
      </c>
      <c r="D2975" s="27">
        <v>2</v>
      </c>
      <c r="E2975" s="5">
        <f>Table4[[#This Row],[qty]]*(VLOOKUP(Table4[[#This Row],[item_sold]],Table1[],5,FALSE))</f>
        <v>10</v>
      </c>
      <c r="F2975" s="5">
        <f>(VLOOKUP(Table4[[#This Row],[item_sold]],Table1[],4,FALSE))*Table4[[#This Row],[qty]]</f>
        <v>8.3333333333333339</v>
      </c>
      <c r="G2975">
        <f t="shared" si="240"/>
        <v>1.6666666666666661</v>
      </c>
      <c r="H2975" t="s">
        <v>247</v>
      </c>
    </row>
    <row r="2976" spans="1:9" x14ac:dyDescent="0.25">
      <c r="A2976" s="15" t="s">
        <v>441</v>
      </c>
      <c r="B2976" s="32">
        <v>0.375</v>
      </c>
      <c r="C2976" t="str">
        <f>'Inventory as of 12th Aug 2024'!A37</f>
        <v>Festive Bread 400g</v>
      </c>
      <c r="D2976" s="27">
        <v>1</v>
      </c>
      <c r="E2976" s="5">
        <f>Table4[[#This Row],[qty]]*(VLOOKUP(Table4[[#This Row],[item_sold]],Table1[],5,FALSE))</f>
        <v>65</v>
      </c>
      <c r="F2976" s="5">
        <f>(VLOOKUP(Table4[[#This Row],[item_sold]],Table1[],4,FALSE))*Table4[[#This Row],[qty]]</f>
        <v>60</v>
      </c>
      <c r="G2976">
        <f t="shared" si="240"/>
        <v>5</v>
      </c>
      <c r="H2976" t="s">
        <v>430</v>
      </c>
      <c r="I2976" t="s">
        <v>385</v>
      </c>
    </row>
    <row r="2977" spans="1:12" x14ac:dyDescent="0.25">
      <c r="A2977" s="15" t="s">
        <v>441</v>
      </c>
      <c r="B2977" s="32">
        <v>0.37569444444444444</v>
      </c>
      <c r="C2977" t="str">
        <f>'Inventory as of 12th Aug 2024'!A10</f>
        <v>Mt Kenya milk 200ml</v>
      </c>
      <c r="D2977" s="27">
        <v>1</v>
      </c>
      <c r="E2977" s="5">
        <f>Table4[[#This Row],[qty]]*(VLOOKUP(Table4[[#This Row],[item_sold]],Table1[],5,FALSE))</f>
        <v>35</v>
      </c>
      <c r="F2977" s="5">
        <f>(VLOOKUP(Table4[[#This Row],[item_sold]],Table1[],4,FALSE))*Table4[[#This Row],[qty]]</f>
        <v>24.285714285714285</v>
      </c>
      <c r="G2977">
        <f t="shared" si="240"/>
        <v>10.714285714285715</v>
      </c>
      <c r="H2977" t="s">
        <v>247</v>
      </c>
    </row>
    <row r="2978" spans="1:12" x14ac:dyDescent="0.25">
      <c r="A2978" s="15" t="s">
        <v>441</v>
      </c>
      <c r="B2978" s="32">
        <v>0.37638888888888888</v>
      </c>
      <c r="C2978" t="str">
        <f>'Inventory as of 12th Aug 2024'!A193</f>
        <v>Ginger Bisquit</v>
      </c>
      <c r="D2978" s="27">
        <v>1</v>
      </c>
      <c r="E2978" s="5">
        <f>Table4[[#This Row],[qty]]*(VLOOKUP(Table4[[#This Row],[item_sold]],Table1[],5,FALSE))</f>
        <v>5</v>
      </c>
      <c r="F2978" s="5">
        <f>(VLOOKUP(Table4[[#This Row],[item_sold]],Table1[],4,FALSE))*Table4[[#This Row],[qty]]</f>
        <v>4.333333333333333</v>
      </c>
      <c r="G2978">
        <f t="shared" si="240"/>
        <v>0.66666666666666696</v>
      </c>
      <c r="H2978" t="s">
        <v>247</v>
      </c>
    </row>
    <row r="2979" spans="1:12" x14ac:dyDescent="0.25">
      <c r="A2979" s="15" t="s">
        <v>441</v>
      </c>
      <c r="B2979" s="32">
        <v>0.38263888888888886</v>
      </c>
      <c r="C2979" t="str">
        <f>'Inventory as of 12th Aug 2024'!A37</f>
        <v>Festive Bread 400g</v>
      </c>
      <c r="D2979" s="27">
        <v>1</v>
      </c>
      <c r="E2979" s="5">
        <f>Table4[[#This Row],[qty]]*(VLOOKUP(Table4[[#This Row],[item_sold]],Table1[],5,FALSE))</f>
        <v>65</v>
      </c>
      <c r="F2979" s="5">
        <f>(VLOOKUP(Table4[[#This Row],[item_sold]],Table1[],4,FALSE))*Table4[[#This Row],[qty]]</f>
        <v>60</v>
      </c>
      <c r="G2979">
        <f t="shared" si="240"/>
        <v>5</v>
      </c>
      <c r="H2979" t="s">
        <v>361</v>
      </c>
    </row>
    <row r="2980" spans="1:12" x14ac:dyDescent="0.25">
      <c r="A2980" s="15" t="s">
        <v>441</v>
      </c>
      <c r="B2980" s="32">
        <v>0.38263888888888886</v>
      </c>
      <c r="C2980" t="str">
        <f>'Inventory as of 12th Aug 2024'!A188</f>
        <v>Choc-chip Cookies</v>
      </c>
      <c r="D2980" s="27">
        <v>1</v>
      </c>
      <c r="E2980" s="5">
        <f>Table4[[#This Row],[qty]]*(VLOOKUP(Table4[[#This Row],[item_sold]],Table1[],5,FALSE))</f>
        <v>35</v>
      </c>
      <c r="F2980" s="5">
        <f>(VLOOKUP(Table4[[#This Row],[item_sold]],Table1[],4,FALSE))*Table4[[#This Row],[qty]]</f>
        <v>25</v>
      </c>
      <c r="G2980">
        <f t="shared" si="240"/>
        <v>10</v>
      </c>
      <c r="H2980" t="s">
        <v>361</v>
      </c>
    </row>
    <row r="2981" spans="1:12" x14ac:dyDescent="0.25">
      <c r="A2981" s="15" t="s">
        <v>441</v>
      </c>
      <c r="B2981" s="32">
        <v>0.38611111111111113</v>
      </c>
      <c r="C2981" t="str">
        <f>'Inventory as of 12th Aug 2024'!A198</f>
        <v>Mandazi</v>
      </c>
      <c r="D2981" s="27">
        <v>1</v>
      </c>
      <c r="E2981" s="5">
        <f>Table4[[#This Row],[qty]]*(VLOOKUP(Table4[[#This Row],[item_sold]],Table1[],5,FALSE))</f>
        <v>5</v>
      </c>
      <c r="F2981" s="5">
        <f>(VLOOKUP(Table4[[#This Row],[item_sold]],Table1[],4,FALSE))*Table4[[#This Row],[qty]]</f>
        <v>4.166666666666667</v>
      </c>
      <c r="G2981">
        <f t="shared" si="240"/>
        <v>0.83333333333333304</v>
      </c>
      <c r="H2981" t="s">
        <v>247</v>
      </c>
    </row>
    <row r="2982" spans="1:12" x14ac:dyDescent="0.25">
      <c r="A2982" s="15" t="s">
        <v>441</v>
      </c>
      <c r="B2982" s="32">
        <v>0.40277777777777779</v>
      </c>
      <c r="C2982" t="str">
        <f>'Inventory as of 12th Aug 2024'!A7</f>
        <v>Airtel 50 Credit</v>
      </c>
      <c r="D2982" s="27">
        <v>11</v>
      </c>
      <c r="E2982" s="5">
        <f>Table4[[#This Row],[qty]]*(VLOOKUP(Table4[[#This Row],[item_sold]],Table1[],5,FALSE))</f>
        <v>550</v>
      </c>
      <c r="F2982" s="5">
        <f>(VLOOKUP(Table4[[#This Row],[item_sold]],Table1[],4,FALSE))*Table4[[#This Row],[qty]]</f>
        <v>517</v>
      </c>
      <c r="G2982">
        <f t="shared" si="240"/>
        <v>33</v>
      </c>
      <c r="H2982" t="s">
        <v>247</v>
      </c>
    </row>
    <row r="2983" spans="1:12" x14ac:dyDescent="0.25">
      <c r="A2983" s="15" t="s">
        <v>441</v>
      </c>
      <c r="B2983" s="32">
        <v>0.40277777777777779</v>
      </c>
      <c r="C2983" t="str">
        <f>'Inventory as of 12th Aug 2024'!A58</f>
        <v>Safari</v>
      </c>
      <c r="D2983" s="27">
        <v>2</v>
      </c>
      <c r="E2983" s="5">
        <f>Table4[[#This Row],[qty]]*(VLOOKUP(Table4[[#This Row],[item_sold]],Table1[],5,FALSE))</f>
        <v>30</v>
      </c>
      <c r="F2983" s="5">
        <f>(VLOOKUP(Table4[[#This Row],[item_sold]],Table1[],4,FALSE))*Table4[[#This Row],[qty]]</f>
        <v>17</v>
      </c>
      <c r="G2983">
        <f t="shared" si="240"/>
        <v>13</v>
      </c>
      <c r="H2983" t="s">
        <v>247</v>
      </c>
    </row>
    <row r="2984" spans="1:12" x14ac:dyDescent="0.25">
      <c r="A2984" s="15" t="s">
        <v>441</v>
      </c>
      <c r="B2984" s="32">
        <v>0.40277777777777779</v>
      </c>
      <c r="C2984" t="str">
        <f>'Inventory as of 12th Aug 2024'!A58</f>
        <v>Safari</v>
      </c>
      <c r="D2984" s="27">
        <v>2</v>
      </c>
      <c r="E2984" s="5">
        <f>Table4[[#This Row],[qty]]*(VLOOKUP(Table4[[#This Row],[item_sold]],Table1[],5,FALSE))</f>
        <v>30</v>
      </c>
      <c r="F2984" s="5">
        <f>(VLOOKUP(Table4[[#This Row],[item_sold]],Table1[],4,FALSE))*Table4[[#This Row],[qty]]</f>
        <v>17</v>
      </c>
      <c r="G2984">
        <f t="shared" si="240"/>
        <v>13</v>
      </c>
      <c r="H2984" t="s">
        <v>361</v>
      </c>
    </row>
    <row r="2985" spans="1:12" x14ac:dyDescent="0.25">
      <c r="A2985" s="15" t="s">
        <v>441</v>
      </c>
      <c r="B2985" s="32">
        <v>0.4152777777777778</v>
      </c>
      <c r="C2985" t="str">
        <f>'Inventory as of 12th Aug 2024'!A35</f>
        <v>Festive 600g</v>
      </c>
      <c r="D2985" s="27">
        <v>1</v>
      </c>
      <c r="E2985" s="5">
        <f>Table4[[#This Row],[qty]]*(VLOOKUP(Table4[[#This Row],[item_sold]],Table1[],5,FALSE))</f>
        <v>100</v>
      </c>
      <c r="F2985" s="5">
        <f>(VLOOKUP(Table4[[#This Row],[item_sold]],Table1[],4,FALSE))*Table4[[#This Row],[qty]]</f>
        <v>90</v>
      </c>
      <c r="G2985">
        <f t="shared" si="240"/>
        <v>10</v>
      </c>
      <c r="H2985" t="s">
        <v>361</v>
      </c>
    </row>
    <row r="2986" spans="1:12" x14ac:dyDescent="0.25">
      <c r="A2986" s="15" t="s">
        <v>441</v>
      </c>
      <c r="B2986" s="32">
        <v>0.44930555555555557</v>
      </c>
      <c r="C2986" t="str">
        <f>'Inventory as of 12th Aug 2024'!A35</f>
        <v>Festive 600g</v>
      </c>
      <c r="D2986" s="27">
        <v>1</v>
      </c>
      <c r="E2986" s="5">
        <f>Table4[[#This Row],[qty]]*(VLOOKUP(Table4[[#This Row],[item_sold]],Table1[],5,FALSE))</f>
        <v>100</v>
      </c>
      <c r="F2986" s="5">
        <f>(VLOOKUP(Table4[[#This Row],[item_sold]],Table1[],4,FALSE))*Table4[[#This Row],[qty]]</f>
        <v>90</v>
      </c>
      <c r="G2986">
        <f t="shared" ref="G2986:G3000" si="241">E2986-F2986</f>
        <v>10</v>
      </c>
      <c r="H2986" t="s">
        <v>361</v>
      </c>
    </row>
    <row r="2987" spans="1:12" x14ac:dyDescent="0.25">
      <c r="A2987" s="15" t="s">
        <v>441</v>
      </c>
      <c r="B2987" s="32">
        <v>0.4597222222222222</v>
      </c>
      <c r="C2987" t="str">
        <f>'Inventory as of 12th Aug 2024'!A2</f>
        <v>Safaricom 20 Credit</v>
      </c>
      <c r="D2987" s="27">
        <v>1</v>
      </c>
      <c r="E2987" s="5">
        <f>Table4[[#This Row],[qty]]*(VLOOKUP(Table4[[#This Row],[item_sold]],Table1[],5,FALSE))</f>
        <v>20</v>
      </c>
      <c r="F2987" s="5">
        <f>(VLOOKUP(Table4[[#This Row],[item_sold]],Table1[],4,FALSE))*Table4[[#This Row],[qty]]</f>
        <v>18</v>
      </c>
      <c r="G2987">
        <f t="shared" si="241"/>
        <v>2</v>
      </c>
      <c r="H2987" t="s">
        <v>247</v>
      </c>
    </row>
    <row r="2988" spans="1:12" x14ac:dyDescent="0.25">
      <c r="A2988" s="15" t="s">
        <v>441</v>
      </c>
      <c r="B2988" s="32">
        <v>0.45902777777777776</v>
      </c>
      <c r="C2988" t="str">
        <f>'Inventory as of 12th Aug 2024'!A212</f>
        <v>soda 300ml glass</v>
      </c>
      <c r="D2988" s="27">
        <v>1</v>
      </c>
      <c r="E2988" s="5">
        <f>Table4[[#This Row],[qty]]*(VLOOKUP(Table4[[#This Row],[item_sold]],Table1[],5,FALSE))</f>
        <v>40</v>
      </c>
      <c r="F2988" s="5">
        <f>(VLOOKUP(Table4[[#This Row],[item_sold]],Table1[],4,FALSE))*Table4[[#This Row],[qty]]</f>
        <v>32.5</v>
      </c>
      <c r="G2988">
        <f t="shared" si="241"/>
        <v>7.5</v>
      </c>
      <c r="H2988" t="s">
        <v>361</v>
      </c>
    </row>
    <row r="2989" spans="1:12" x14ac:dyDescent="0.25">
      <c r="A2989" s="15" t="s">
        <v>441</v>
      </c>
      <c r="B2989" s="32">
        <v>0.45902777777777776</v>
      </c>
      <c r="C2989" t="str">
        <f>'Inventory as of 12th Aug 2024'!A198</f>
        <v>Mandazi</v>
      </c>
      <c r="D2989" s="27">
        <v>4</v>
      </c>
      <c r="E2989" s="5">
        <f>Table4[[#This Row],[qty]]*(VLOOKUP(Table4[[#This Row],[item_sold]],Table1[],5,FALSE))</f>
        <v>20</v>
      </c>
      <c r="F2989" s="5">
        <f>(VLOOKUP(Table4[[#This Row],[item_sold]],Table1[],4,FALSE))*Table4[[#This Row],[qty]]</f>
        <v>16.666666666666668</v>
      </c>
      <c r="G2989">
        <f t="shared" si="241"/>
        <v>3.3333333333333321</v>
      </c>
      <c r="H2989" t="s">
        <v>361</v>
      </c>
    </row>
    <row r="2990" spans="1:12" x14ac:dyDescent="0.25">
      <c r="A2990" s="15" t="s">
        <v>441</v>
      </c>
      <c r="B2990" s="32">
        <v>0.47083333333333333</v>
      </c>
      <c r="C2990" t="str">
        <f>'Inventory as of 12th Aug 2024'!A8</f>
        <v>eggs</v>
      </c>
      <c r="D2990" s="27">
        <v>2</v>
      </c>
      <c r="E2990" s="5">
        <f>Table4[[#This Row],[qty]]*(VLOOKUP(Table4[[#This Row],[item_sold]],Table1[],5,FALSE))</f>
        <v>40</v>
      </c>
      <c r="F2990" s="5">
        <f>(VLOOKUP(Table4[[#This Row],[item_sold]],Table1[],4,FALSE))*Table4[[#This Row],[qty]]</f>
        <v>28.666666666666668</v>
      </c>
      <c r="G2990">
        <f t="shared" si="241"/>
        <v>11.333333333333332</v>
      </c>
      <c r="H2990" t="s">
        <v>430</v>
      </c>
      <c r="I2990" t="s">
        <v>417</v>
      </c>
      <c r="J2990" t="s">
        <v>417</v>
      </c>
      <c r="K2990">
        <v>40</v>
      </c>
      <c r="L2990" t="s">
        <v>361</v>
      </c>
    </row>
    <row r="2991" spans="1:12" x14ac:dyDescent="0.25">
      <c r="A2991" s="15" t="s">
        <v>441</v>
      </c>
      <c r="B2991" s="32">
        <v>0.47708333333333336</v>
      </c>
      <c r="C2991" t="str">
        <f>'Inventory as of 12th Aug 2024'!A120</f>
        <v>Maramoja</v>
      </c>
      <c r="D2991" s="27">
        <v>1</v>
      </c>
      <c r="E2991" s="5">
        <f>Table4[[#This Row],[qty]]*(VLOOKUP(Table4[[#This Row],[item_sold]],Table1[],5,FALSE))</f>
        <v>10</v>
      </c>
      <c r="F2991" s="5">
        <f>(VLOOKUP(Table4[[#This Row],[item_sold]],Table1[],4,FALSE))*Table4[[#This Row],[qty]]</f>
        <v>7</v>
      </c>
      <c r="G2991">
        <f t="shared" si="241"/>
        <v>3</v>
      </c>
      <c r="H2991" t="s">
        <v>361</v>
      </c>
    </row>
    <row r="2992" spans="1:12" x14ac:dyDescent="0.25">
      <c r="A2992" s="15" t="s">
        <v>441</v>
      </c>
      <c r="B2992" s="32">
        <v>0.47708333333333336</v>
      </c>
      <c r="C2992" t="str">
        <f>'Inventory as of 12th Aug 2024'!A75</f>
        <v>Cooking Oil Measured</v>
      </c>
      <c r="D2992" s="27">
        <v>0.25</v>
      </c>
      <c r="E2992" s="5">
        <f>Table4[[#This Row],[qty]]*(VLOOKUP(Table4[[#This Row],[item_sold]],Table1[],5,FALSE))</f>
        <v>70</v>
      </c>
      <c r="F2992" s="5">
        <f>(VLOOKUP(Table4[[#This Row],[item_sold]],Table1[],4,FALSE))*Table4[[#This Row],[qty]]</f>
        <v>50</v>
      </c>
      <c r="G2992">
        <f t="shared" si="241"/>
        <v>20</v>
      </c>
      <c r="H2992" t="s">
        <v>361</v>
      </c>
    </row>
    <row r="2993" spans="1:12" x14ac:dyDescent="0.25">
      <c r="A2993" s="15" t="s">
        <v>441</v>
      </c>
      <c r="B2993" s="32">
        <v>0.47708333333333336</v>
      </c>
      <c r="C2993" t="str">
        <f>'Inventory as of 12th Aug 2024'!A90</f>
        <v>Onion</v>
      </c>
      <c r="D2993" s="27">
        <v>1</v>
      </c>
      <c r="E2993" s="5">
        <f>Table4[[#This Row],[qty]]*(VLOOKUP(Table4[[#This Row],[item_sold]],Table1[],5,FALSE))</f>
        <v>10</v>
      </c>
      <c r="F2993" s="5">
        <f>(VLOOKUP(Table4[[#This Row],[item_sold]],Table1[],4,FALSE))*Table4[[#This Row],[qty]]</f>
        <v>8</v>
      </c>
      <c r="G2993">
        <f t="shared" si="241"/>
        <v>2</v>
      </c>
      <c r="H2993" t="s">
        <v>361</v>
      </c>
    </row>
    <row r="2994" spans="1:12" x14ac:dyDescent="0.25">
      <c r="A2994" s="15" t="s">
        <v>441</v>
      </c>
      <c r="B2994" s="32">
        <v>0.48888888888888887</v>
      </c>
      <c r="C2994" t="str">
        <f>'Inventory as of 12th Aug 2024'!A198</f>
        <v>Mandazi</v>
      </c>
      <c r="D2994" s="27">
        <v>4</v>
      </c>
      <c r="E2994" s="5">
        <f>Table4[[#This Row],[qty]]*(VLOOKUP(Table4[[#This Row],[item_sold]],Table1[],5,FALSE))</f>
        <v>20</v>
      </c>
      <c r="F2994" s="5">
        <f>(VLOOKUP(Table4[[#This Row],[item_sold]],Table1[],4,FALSE))*Table4[[#This Row],[qty]]</f>
        <v>16.666666666666668</v>
      </c>
      <c r="G2994">
        <f t="shared" si="241"/>
        <v>3.3333333333333321</v>
      </c>
      <c r="H2994" t="s">
        <v>361</v>
      </c>
    </row>
    <row r="2995" spans="1:12" x14ac:dyDescent="0.25">
      <c r="A2995" s="15" t="s">
        <v>441</v>
      </c>
      <c r="B2995" s="32">
        <v>0.49722222222222223</v>
      </c>
      <c r="C2995" t="str">
        <f>'Inventory as of 12th Aug 2024'!A87</f>
        <v>Menengai Bar 1kg</v>
      </c>
      <c r="D2995" s="27">
        <v>0.2</v>
      </c>
      <c r="E2995" s="5">
        <f>Table4[[#This Row],[qty]]*(VLOOKUP(Table4[[#This Row],[item_sold]],Table1[],5,FALSE))</f>
        <v>50</v>
      </c>
      <c r="F2995" s="5">
        <f>(VLOOKUP(Table4[[#This Row],[item_sold]],Table1[],4,FALSE))*Table4[[#This Row],[qty]]</f>
        <v>38</v>
      </c>
      <c r="G2995">
        <f t="shared" si="241"/>
        <v>12</v>
      </c>
      <c r="H2995" t="s">
        <v>361</v>
      </c>
    </row>
    <row r="2996" spans="1:12" x14ac:dyDescent="0.25">
      <c r="A2996" s="15" t="s">
        <v>441</v>
      </c>
      <c r="B2996" s="32">
        <v>0.5444444444444444</v>
      </c>
      <c r="C2996" t="str">
        <f>'Inventory as of 12th Aug 2024'!A211</f>
        <v>predator</v>
      </c>
      <c r="D2996" s="27">
        <v>1</v>
      </c>
      <c r="E2996" s="5">
        <f>Table4[[#This Row],[qty]]*(VLOOKUP(Table4[[#This Row],[item_sold]],Table1[],5,FALSE))</f>
        <v>70</v>
      </c>
      <c r="F2996" s="5">
        <f>(VLOOKUP(Table4[[#This Row],[item_sold]],Table1[],4,FALSE))*Table4[[#This Row],[qty]]</f>
        <v>54.166666666666664</v>
      </c>
      <c r="G2996">
        <f t="shared" si="241"/>
        <v>15.833333333333336</v>
      </c>
      <c r="H2996" t="s">
        <v>361</v>
      </c>
    </row>
    <row r="2997" spans="1:12" x14ac:dyDescent="0.25">
      <c r="A2997" s="15" t="s">
        <v>441</v>
      </c>
      <c r="B2997" s="32">
        <v>0.56805555555555554</v>
      </c>
      <c r="C2997" t="str">
        <f>'Inventory as of 12th Aug 2024'!A42</f>
        <v>Indomie chicken</v>
      </c>
      <c r="D2997" s="27">
        <v>1</v>
      </c>
      <c r="E2997" s="5">
        <f>Table4[[#This Row],[qty]]*(VLOOKUP(Table4[[#This Row],[item_sold]],Table1[],5,FALSE))</f>
        <v>50</v>
      </c>
      <c r="F2997" s="5">
        <f>(VLOOKUP(Table4[[#This Row],[item_sold]],Table1[],4,FALSE))*Table4[[#This Row],[qty]]</f>
        <v>37.5</v>
      </c>
      <c r="G2997">
        <f t="shared" si="241"/>
        <v>12.5</v>
      </c>
      <c r="H2997" t="s">
        <v>430</v>
      </c>
      <c r="I2997" t="s">
        <v>395</v>
      </c>
    </row>
    <row r="2998" spans="1:12" x14ac:dyDescent="0.25">
      <c r="A2998" s="15" t="s">
        <v>441</v>
      </c>
      <c r="B2998" s="32">
        <v>0.56805555555555554</v>
      </c>
      <c r="C2998" t="str">
        <f>'Inventory as of 12th Aug 2024'!A50</f>
        <v>Pishori rice</v>
      </c>
      <c r="D2998" s="27">
        <v>0.5</v>
      </c>
      <c r="E2998" s="5">
        <f>Table4[[#This Row],[qty]]*(VLOOKUP(Table4[[#This Row],[item_sold]],Table1[],5,FALSE))</f>
        <v>110</v>
      </c>
      <c r="F2998" s="5">
        <f>(VLOOKUP(Table4[[#This Row],[item_sold]],Table1[],4,FALSE))*Table4[[#This Row],[qty]]</f>
        <v>90</v>
      </c>
      <c r="G2998">
        <f t="shared" si="241"/>
        <v>20</v>
      </c>
      <c r="H2998" t="s">
        <v>430</v>
      </c>
      <c r="I2998" t="s">
        <v>395</v>
      </c>
    </row>
    <row r="2999" spans="1:12" x14ac:dyDescent="0.25">
      <c r="A2999" s="15" t="s">
        <v>441</v>
      </c>
      <c r="B2999" s="32">
        <v>0.56805555555555554</v>
      </c>
      <c r="C2999" t="str">
        <f>'Inventory as of 12th Aug 2024'!A91</f>
        <v>Tomatoes</v>
      </c>
      <c r="D2999" s="27">
        <v>2</v>
      </c>
      <c r="E2999" s="5">
        <f>Table4[[#This Row],[qty]]*(VLOOKUP(Table4[[#This Row],[item_sold]],Table1[],5,FALSE))</f>
        <v>20</v>
      </c>
      <c r="F2999" s="5">
        <f>(VLOOKUP(Table4[[#This Row],[item_sold]],Table1[],4,FALSE))*Table4[[#This Row],[qty]]</f>
        <v>10</v>
      </c>
      <c r="G2999">
        <f t="shared" si="241"/>
        <v>10</v>
      </c>
      <c r="H2999" t="s">
        <v>247</v>
      </c>
    </row>
    <row r="3000" spans="1:12" x14ac:dyDescent="0.25">
      <c r="A3000" s="15" t="s">
        <v>441</v>
      </c>
      <c r="B3000" s="32">
        <v>0.55069444444444449</v>
      </c>
      <c r="C3000" t="str">
        <f>'Inventory as of 12th Aug 2024'!A58</f>
        <v>Safari</v>
      </c>
      <c r="D3000" s="27">
        <v>2</v>
      </c>
      <c r="E3000" s="5">
        <f>Table4[[#This Row],[qty]]*(VLOOKUP(Table4[[#This Row],[item_sold]],Table1[],5,FALSE))</f>
        <v>30</v>
      </c>
      <c r="F3000" s="5">
        <f>(VLOOKUP(Table4[[#This Row],[item_sold]],Table1[],4,FALSE))*Table4[[#This Row],[qty]]</f>
        <v>17</v>
      </c>
      <c r="G3000">
        <f t="shared" si="241"/>
        <v>13</v>
      </c>
      <c r="H3000" t="s">
        <v>361</v>
      </c>
    </row>
    <row r="3001" spans="1:12" x14ac:dyDescent="0.25">
      <c r="A3001" s="15" t="s">
        <v>441</v>
      </c>
      <c r="B3001" s="32">
        <v>0.6118055555555556</v>
      </c>
      <c r="C3001" t="str">
        <f>'Inventory as of 12th Aug 2024'!A42</f>
        <v>Indomie chicken</v>
      </c>
      <c r="D3001" s="26">
        <v>3</v>
      </c>
      <c r="E3001" s="5">
        <f>Table4[[#This Row],[qty]]*(VLOOKUP(Table4[[#This Row],[item_sold]],Table1[],5,FALSE))</f>
        <v>150</v>
      </c>
      <c r="F3001" s="5">
        <f>(VLOOKUP(Table4[[#This Row],[item_sold]],Table1[],4,FALSE))*Table4[[#This Row],[qty]]</f>
        <v>112.5</v>
      </c>
      <c r="G3001">
        <f t="shared" ref="G3001:G3064" si="242">E3001-F3001</f>
        <v>37.5</v>
      </c>
      <c r="H3001" t="s">
        <v>430</v>
      </c>
      <c r="I3001" t="s">
        <v>394</v>
      </c>
      <c r="J3001" t="s">
        <v>394</v>
      </c>
      <c r="K3001">
        <v>150</v>
      </c>
      <c r="L3001" t="s">
        <v>361</v>
      </c>
    </row>
    <row r="3002" spans="1:12" x14ac:dyDescent="0.25">
      <c r="A3002" s="15" t="s">
        <v>441</v>
      </c>
      <c r="B3002" s="32">
        <v>0.65347222222222223</v>
      </c>
      <c r="C3002" t="str">
        <f>'Inventory as of 12th Aug 2024'!A57</f>
        <v>Sportsman</v>
      </c>
      <c r="D3002" s="26">
        <v>1</v>
      </c>
      <c r="E3002" s="5">
        <f>Table4[[#This Row],[qty]]*(VLOOKUP(Table4[[#This Row],[item_sold]],Table1[],5,FALSE))</f>
        <v>20</v>
      </c>
      <c r="F3002" s="5">
        <f>(VLOOKUP(Table4[[#This Row],[item_sold]],Table1[],4,FALSE))*Table4[[#This Row],[qty]]</f>
        <v>13</v>
      </c>
      <c r="G3002">
        <f t="shared" ref="G3002:G3005" si="243">E3002-F3002</f>
        <v>7</v>
      </c>
      <c r="H3002" t="s">
        <v>247</v>
      </c>
    </row>
    <row r="3003" spans="1:12" x14ac:dyDescent="0.25">
      <c r="A3003" s="15" t="s">
        <v>441</v>
      </c>
      <c r="B3003" s="32">
        <v>0.67569444444444449</v>
      </c>
      <c r="C3003" t="str">
        <f>'Inventory as of 12th Aug 2024'!A17</f>
        <v>Brookside milk 500ml</v>
      </c>
      <c r="D3003" s="26">
        <v>1</v>
      </c>
      <c r="E3003" s="5">
        <f>Table4[[#This Row],[qty]]*(VLOOKUP(Table4[[#This Row],[item_sold]],Table1[],5,FALSE))</f>
        <v>70</v>
      </c>
      <c r="F3003" s="5">
        <f>(VLOOKUP(Table4[[#This Row],[item_sold]],Table1[],4,FALSE))*Table4[[#This Row],[qty]]</f>
        <v>59</v>
      </c>
      <c r="G3003">
        <f t="shared" si="243"/>
        <v>11</v>
      </c>
      <c r="H3003" t="s">
        <v>361</v>
      </c>
    </row>
    <row r="3004" spans="1:12" x14ac:dyDescent="0.25">
      <c r="A3004" s="15" t="s">
        <v>441</v>
      </c>
      <c r="B3004" s="32">
        <v>0.68263888888888891</v>
      </c>
      <c r="C3004" t="str">
        <f>'Inventory as of 12th Aug 2024'!A42</f>
        <v>Indomie chicken</v>
      </c>
      <c r="D3004" s="26">
        <v>1</v>
      </c>
      <c r="E3004" s="5">
        <f>Table4[[#This Row],[qty]]*(VLOOKUP(Table4[[#This Row],[item_sold]],Table1[],5,FALSE))</f>
        <v>50</v>
      </c>
      <c r="F3004" s="5">
        <f>(VLOOKUP(Table4[[#This Row],[item_sold]],Table1[],4,FALSE))*Table4[[#This Row],[qty]]</f>
        <v>37.5</v>
      </c>
      <c r="G3004">
        <f t="shared" si="243"/>
        <v>12.5</v>
      </c>
      <c r="H3004" t="s">
        <v>430</v>
      </c>
      <c r="I3004" t="s">
        <v>394</v>
      </c>
      <c r="J3004" t="s">
        <v>394</v>
      </c>
      <c r="K3004">
        <v>50</v>
      </c>
      <c r="L3004" t="s">
        <v>361</v>
      </c>
    </row>
    <row r="3005" spans="1:12" x14ac:dyDescent="0.25">
      <c r="A3005" s="15" t="s">
        <v>441</v>
      </c>
      <c r="B3005" s="32">
        <v>0.69861111111111107</v>
      </c>
      <c r="C3005" t="str">
        <f>'Inventory as of 12th Aug 2024'!A2</f>
        <v>Safaricom 20 Credit</v>
      </c>
      <c r="D3005" s="26">
        <v>2</v>
      </c>
      <c r="E3005" s="5">
        <f>Table4[[#This Row],[qty]]*(VLOOKUP(Table4[[#This Row],[item_sold]],Table1[],5,FALSE))</f>
        <v>40</v>
      </c>
      <c r="F3005" s="5">
        <f>(VLOOKUP(Table4[[#This Row],[item_sold]],Table1[],4,FALSE))*Table4[[#This Row],[qty]]</f>
        <v>36</v>
      </c>
      <c r="G3005">
        <f t="shared" si="243"/>
        <v>4</v>
      </c>
      <c r="H3005" t="s">
        <v>247</v>
      </c>
    </row>
    <row r="3006" spans="1:12" x14ac:dyDescent="0.25">
      <c r="A3006" s="15" t="s">
        <v>441</v>
      </c>
      <c r="B3006" s="32">
        <v>0.69861111111111107</v>
      </c>
      <c r="C3006" t="str">
        <f>'Inventory as of 12th Aug 2024'!A250</f>
        <v>Container 20ltrs</v>
      </c>
      <c r="D3006" s="26">
        <v>2</v>
      </c>
      <c r="E3006" s="5">
        <f>Table4[[#This Row],[qty]]*(VLOOKUP(Table4[[#This Row],[item_sold]],Table1[],5,FALSE))</f>
        <v>100</v>
      </c>
      <c r="F3006" s="5">
        <f>(VLOOKUP(Table4[[#This Row],[item_sold]],Table1[],4,FALSE))*Table4[[#This Row],[qty]]</f>
        <v>0</v>
      </c>
      <c r="G3006">
        <f t="shared" si="242"/>
        <v>100</v>
      </c>
      <c r="H3006" t="s">
        <v>247</v>
      </c>
    </row>
    <row r="3007" spans="1:12" x14ac:dyDescent="0.25">
      <c r="A3007" s="15" t="s">
        <v>441</v>
      </c>
      <c r="B3007" s="32">
        <v>0.70833333333333337</v>
      </c>
      <c r="C3007" t="str">
        <f>'Inventory as of 12th Aug 2024'!A238</f>
        <v>Tropical</v>
      </c>
      <c r="D3007" s="26">
        <v>4</v>
      </c>
      <c r="E3007" s="5">
        <f>Table4[[#This Row],[qty]]*(VLOOKUP(Table4[[#This Row],[item_sold]],Table1[],5,FALSE))</f>
        <v>20</v>
      </c>
      <c r="F3007" s="5">
        <f>(VLOOKUP(Table4[[#This Row],[item_sold]],Table1[],4,FALSE))*Table4[[#This Row],[qty]]</f>
        <v>6</v>
      </c>
      <c r="G3007">
        <f t="shared" si="242"/>
        <v>14</v>
      </c>
      <c r="H3007" t="s">
        <v>247</v>
      </c>
    </row>
    <row r="3008" spans="1:12" x14ac:dyDescent="0.25">
      <c r="A3008" s="15" t="s">
        <v>441</v>
      </c>
      <c r="B3008" s="32">
        <v>0.70833333333333337</v>
      </c>
      <c r="C3008" t="str">
        <f>'Inventory as of 12th Aug 2024'!A234</f>
        <v>Bigdaddy</v>
      </c>
      <c r="D3008" s="26">
        <v>3</v>
      </c>
      <c r="E3008" s="5">
        <f>Table4[[#This Row],[qty]]*(VLOOKUP(Table4[[#This Row],[item_sold]],Table1[],5,FALSE))</f>
        <v>30</v>
      </c>
      <c r="F3008" s="5">
        <f>(VLOOKUP(Table4[[#This Row],[item_sold]],Table1[],4,FALSE))*Table4[[#This Row],[qty]]</f>
        <v>18</v>
      </c>
      <c r="G3008">
        <f t="shared" si="242"/>
        <v>12</v>
      </c>
      <c r="H3008" t="s">
        <v>247</v>
      </c>
    </row>
    <row r="3009" spans="1:12" x14ac:dyDescent="0.25">
      <c r="A3009" s="15" t="s">
        <v>441</v>
      </c>
      <c r="B3009" s="32">
        <v>0.70833333333333337</v>
      </c>
      <c r="C3009" t="str">
        <f>'Inventory as of 12th Aug 2024'!A4</f>
        <v>Safaricom 50 Credit</v>
      </c>
      <c r="D3009" s="26">
        <v>1</v>
      </c>
      <c r="E3009" s="5">
        <f>Table4[[#This Row],[qty]]*(VLOOKUP(Table4[[#This Row],[item_sold]],Table1[],5,FALSE))</f>
        <v>50</v>
      </c>
      <c r="F3009" s="5">
        <f>(VLOOKUP(Table4[[#This Row],[item_sold]],Table1[],4,FALSE))*Table4[[#This Row],[qty]]</f>
        <v>47</v>
      </c>
      <c r="G3009">
        <f t="shared" si="242"/>
        <v>3</v>
      </c>
      <c r="H3009" t="s">
        <v>247</v>
      </c>
    </row>
    <row r="3010" spans="1:12" x14ac:dyDescent="0.25">
      <c r="A3010" s="15" t="s">
        <v>441</v>
      </c>
      <c r="B3010" s="32">
        <v>0.71180555555555558</v>
      </c>
      <c r="C3010" t="str">
        <f>'Inventory as of 12th Aug 2024'!A190</f>
        <v>Goodday Cookies</v>
      </c>
      <c r="D3010" s="26">
        <v>2</v>
      </c>
      <c r="E3010" s="5">
        <f>Table4[[#This Row],[qty]]*(VLOOKUP(Table4[[#This Row],[item_sold]],Table1[],5,FALSE))</f>
        <v>30</v>
      </c>
      <c r="F3010" s="5">
        <f>(VLOOKUP(Table4[[#This Row],[item_sold]],Table1[],4,FALSE))*Table4[[#This Row],[qty]]</f>
        <v>18.666666666666668</v>
      </c>
      <c r="G3010">
        <f t="shared" si="242"/>
        <v>11.333333333333332</v>
      </c>
      <c r="H3010" t="s">
        <v>247</v>
      </c>
    </row>
    <row r="3011" spans="1:12" x14ac:dyDescent="0.25">
      <c r="A3011" s="15" t="s">
        <v>441</v>
      </c>
      <c r="B3011" s="32">
        <v>0.71180555555555558</v>
      </c>
      <c r="C3011" t="str">
        <f>'Inventory as of 12th Aug 2024'!A177</f>
        <v>Ringoz Barbeque</v>
      </c>
      <c r="D3011" s="26">
        <v>1</v>
      </c>
      <c r="E3011" s="5">
        <f>Table4[[#This Row],[qty]]*(VLOOKUP(Table4[[#This Row],[item_sold]],Table1[],5,FALSE))</f>
        <v>15</v>
      </c>
      <c r="F3011" s="5">
        <f>(VLOOKUP(Table4[[#This Row],[item_sold]],Table1[],4,FALSE))*Table4[[#This Row],[qty]]</f>
        <v>8.6</v>
      </c>
      <c r="G3011">
        <f t="shared" si="242"/>
        <v>6.4</v>
      </c>
      <c r="H3011" t="s">
        <v>247</v>
      </c>
    </row>
    <row r="3012" spans="1:12" x14ac:dyDescent="0.25">
      <c r="A3012" s="15" t="s">
        <v>441</v>
      </c>
      <c r="B3012" s="32">
        <v>0.71180555555555558</v>
      </c>
      <c r="C3012" t="str">
        <f>'Inventory as of 12th Aug 2024'!A195</f>
        <v>Ring Cake</v>
      </c>
      <c r="D3012" s="26">
        <v>1</v>
      </c>
      <c r="E3012" s="5">
        <f>Table4[[#This Row],[qty]]*(VLOOKUP(Table4[[#This Row],[item_sold]],Table1[],5,FALSE))</f>
        <v>50</v>
      </c>
      <c r="F3012" s="5">
        <f>(VLOOKUP(Table4[[#This Row],[item_sold]],Table1[],4,FALSE))*Table4[[#This Row],[qty]]</f>
        <v>45</v>
      </c>
      <c r="G3012">
        <f t="shared" si="242"/>
        <v>5</v>
      </c>
      <c r="H3012" t="s">
        <v>247</v>
      </c>
    </row>
    <row r="3013" spans="1:12" x14ac:dyDescent="0.25">
      <c r="A3013" s="15" t="s">
        <v>441</v>
      </c>
      <c r="B3013" s="32">
        <v>0.71180555555555558</v>
      </c>
      <c r="C3013" t="str">
        <f>'Inventory as of 12th Aug 2024'!A240</f>
        <v>Bigboss</v>
      </c>
      <c r="D3013" s="26">
        <v>1</v>
      </c>
      <c r="E3013" s="5">
        <f>Table4[[#This Row],[qty]]*(VLOOKUP(Table4[[#This Row],[item_sold]],Table1[],5,FALSE))</f>
        <v>5</v>
      </c>
      <c r="F3013" s="5">
        <f>(VLOOKUP(Table4[[#This Row],[item_sold]],Table1[],4,FALSE))*Table4[[#This Row],[qty]]</f>
        <v>3.5</v>
      </c>
      <c r="G3013">
        <f t="shared" si="242"/>
        <v>1.5</v>
      </c>
      <c r="H3013" t="s">
        <v>247</v>
      </c>
    </row>
    <row r="3014" spans="1:12" x14ac:dyDescent="0.25">
      <c r="A3014" s="15" t="s">
        <v>441</v>
      </c>
      <c r="B3014" s="32">
        <v>0.75208333333333333</v>
      </c>
      <c r="C3014" t="str">
        <f>'Inventory as of 12th Aug 2024'!A91</f>
        <v>Tomatoes</v>
      </c>
      <c r="D3014" s="26">
        <v>1</v>
      </c>
      <c r="E3014" s="5">
        <f>Table4[[#This Row],[qty]]*(VLOOKUP(Table4[[#This Row],[item_sold]],Table1[],5,FALSE))</f>
        <v>10</v>
      </c>
      <c r="F3014" s="5">
        <f>(VLOOKUP(Table4[[#This Row],[item_sold]],Table1[],4,FALSE))*Table4[[#This Row],[qty]]</f>
        <v>5</v>
      </c>
      <c r="G3014">
        <f t="shared" si="242"/>
        <v>5</v>
      </c>
      <c r="H3014" t="s">
        <v>361</v>
      </c>
    </row>
    <row r="3015" spans="1:12" x14ac:dyDescent="0.25">
      <c r="A3015" s="15" t="s">
        <v>441</v>
      </c>
      <c r="B3015" s="32">
        <v>0.75208333333333333</v>
      </c>
      <c r="C3015" t="str">
        <f>'Inventory as of 12th Aug 2024'!A8</f>
        <v>eggs</v>
      </c>
      <c r="D3015" s="26">
        <v>1</v>
      </c>
      <c r="E3015" s="5">
        <f>Table4[[#This Row],[qty]]*(VLOOKUP(Table4[[#This Row],[item_sold]],Table1[],5,FALSE))</f>
        <v>20</v>
      </c>
      <c r="F3015" s="5">
        <f>(VLOOKUP(Table4[[#This Row],[item_sold]],Table1[],4,FALSE))*Table4[[#This Row],[qty]]</f>
        <v>14.333333333333334</v>
      </c>
      <c r="G3015">
        <f t="shared" si="242"/>
        <v>5.6666666666666661</v>
      </c>
      <c r="H3015" t="s">
        <v>247</v>
      </c>
    </row>
    <row r="3016" spans="1:12" x14ac:dyDescent="0.25">
      <c r="A3016" s="15" t="s">
        <v>441</v>
      </c>
      <c r="B3016" s="32">
        <v>0.75902777777777775</v>
      </c>
      <c r="C3016" t="str">
        <f>'Inventory as of 12th Aug 2024'!A242</f>
        <v>Icepop</v>
      </c>
      <c r="D3016" s="26">
        <v>2</v>
      </c>
      <c r="E3016" s="5">
        <f>Table4[[#This Row],[qty]]*(VLOOKUP(Table4[[#This Row],[item_sold]],Table1[],5,FALSE))</f>
        <v>30</v>
      </c>
      <c r="F3016" s="5">
        <f>(VLOOKUP(Table4[[#This Row],[item_sold]],Table1[],4,FALSE))*Table4[[#This Row],[qty]]</f>
        <v>15</v>
      </c>
      <c r="G3016">
        <f t="shared" si="242"/>
        <v>15</v>
      </c>
      <c r="H3016" t="s">
        <v>247</v>
      </c>
    </row>
    <row r="3017" spans="1:12" x14ac:dyDescent="0.25">
      <c r="A3017" s="15" t="s">
        <v>441</v>
      </c>
      <c r="B3017" s="32">
        <v>0.75902777777777775</v>
      </c>
      <c r="C3017" t="str">
        <f>'Inventory as of 12th Aug 2024'!A231</f>
        <v>Patco</v>
      </c>
      <c r="D3017" s="26">
        <v>12</v>
      </c>
      <c r="E3017" s="5">
        <f>Table4[[#This Row],[qty]]*(VLOOKUP(Table4[[#This Row],[item_sold]],Table1[],5,FALSE))</f>
        <v>30</v>
      </c>
      <c r="F3017" s="5">
        <f>(VLOOKUP(Table4[[#This Row],[item_sold]],Table1[],4,FALSE))*Table4[[#This Row],[qty]]</f>
        <v>14.399999999999999</v>
      </c>
      <c r="G3017">
        <f t="shared" si="242"/>
        <v>15.600000000000001</v>
      </c>
      <c r="H3017" t="s">
        <v>247</v>
      </c>
    </row>
    <row r="3018" spans="1:12" x14ac:dyDescent="0.25">
      <c r="A3018" s="15" t="s">
        <v>441</v>
      </c>
      <c r="B3018" s="32">
        <v>0.75902777777777775</v>
      </c>
      <c r="C3018" t="str">
        <f>'Inventory as of 12th Aug 2024'!A234</f>
        <v>Bigdaddy</v>
      </c>
      <c r="D3018" s="26">
        <v>1</v>
      </c>
      <c r="E3018" s="5">
        <f>Table4[[#This Row],[qty]]*(VLOOKUP(Table4[[#This Row],[item_sold]],Table1[],5,FALSE))</f>
        <v>10</v>
      </c>
      <c r="F3018" s="5">
        <f>(VLOOKUP(Table4[[#This Row],[item_sold]],Table1[],4,FALSE))*Table4[[#This Row],[qty]]</f>
        <v>6</v>
      </c>
      <c r="G3018">
        <f t="shared" si="242"/>
        <v>4</v>
      </c>
      <c r="H3018" t="s">
        <v>247</v>
      </c>
    </row>
    <row r="3019" spans="1:12" x14ac:dyDescent="0.25">
      <c r="A3019" s="15" t="s">
        <v>441</v>
      </c>
      <c r="B3019" s="32">
        <v>0.7680555555555556</v>
      </c>
      <c r="C3019" t="str">
        <f>'Inventory as of 12th Aug 2024'!A248</f>
        <v>Soko Maize meal</v>
      </c>
      <c r="D3019" s="26">
        <v>1</v>
      </c>
      <c r="E3019" s="5">
        <f>Table4[[#This Row],[qty]]*(VLOOKUP(Table4[[#This Row],[item_sold]],Table1[],5,FALSE))</f>
        <v>160</v>
      </c>
      <c r="F3019" s="5">
        <f>(VLOOKUP(Table4[[#This Row],[item_sold]],Table1[],4,FALSE))*Table4[[#This Row],[qty]]</f>
        <v>125</v>
      </c>
      <c r="G3019">
        <f t="shared" si="242"/>
        <v>35</v>
      </c>
      <c r="H3019" t="s">
        <v>361</v>
      </c>
    </row>
    <row r="3020" spans="1:12" x14ac:dyDescent="0.25">
      <c r="A3020" s="15" t="s">
        <v>441</v>
      </c>
      <c r="B3020" s="32">
        <v>0.7680555555555556</v>
      </c>
      <c r="C3020" t="str">
        <f>'Inventory as of 12th Aug 2024'!A75</f>
        <v>Cooking Oil Measured</v>
      </c>
      <c r="D3020" s="26">
        <v>0.5</v>
      </c>
      <c r="E3020" s="5">
        <f>Table4[[#This Row],[qty]]*(VLOOKUP(Table4[[#This Row],[item_sold]],Table1[],5,FALSE))</f>
        <v>140</v>
      </c>
      <c r="F3020" s="5">
        <f>(VLOOKUP(Table4[[#This Row],[item_sold]],Table1[],4,FALSE))*Table4[[#This Row],[qty]]</f>
        <v>100</v>
      </c>
      <c r="G3020">
        <f t="shared" si="242"/>
        <v>40</v>
      </c>
      <c r="H3020" t="s">
        <v>361</v>
      </c>
    </row>
    <row r="3021" spans="1:12" x14ac:dyDescent="0.25">
      <c r="A3021" s="15" t="s">
        <v>441</v>
      </c>
      <c r="B3021" s="32">
        <v>0.7680555555555556</v>
      </c>
      <c r="C3021" t="str">
        <f>'Inventory as of 12th Aug 2024'!A8</f>
        <v>eggs</v>
      </c>
      <c r="D3021" s="26">
        <v>5</v>
      </c>
      <c r="E3021" s="5">
        <f>Table4[[#This Row],[qty]]*(VLOOKUP(Table4[[#This Row],[item_sold]],Table1[],5,FALSE))</f>
        <v>100</v>
      </c>
      <c r="F3021" s="5">
        <f>(VLOOKUP(Table4[[#This Row],[item_sold]],Table1[],4,FALSE))*Table4[[#This Row],[qty]]</f>
        <v>71.666666666666671</v>
      </c>
      <c r="G3021">
        <f t="shared" si="242"/>
        <v>28.333333333333329</v>
      </c>
      <c r="H3021" t="s">
        <v>361</v>
      </c>
    </row>
    <row r="3022" spans="1:12" x14ac:dyDescent="0.25">
      <c r="A3022" s="15" t="s">
        <v>441</v>
      </c>
      <c r="B3022" s="32">
        <v>0.78125</v>
      </c>
      <c r="C3022" t="str">
        <f>'Inventory as of 12th Aug 2024'!A16</f>
        <v>Mt kenya milk 500ml</v>
      </c>
      <c r="D3022" s="26">
        <v>1</v>
      </c>
      <c r="E3022" s="5">
        <f>Table4[[#This Row],[qty]]*(VLOOKUP(Table4[[#This Row],[item_sold]],Table1[],5,FALSE))</f>
        <v>65</v>
      </c>
      <c r="F3022" s="5">
        <f>(VLOOKUP(Table4[[#This Row],[item_sold]],Table1[],4,FALSE))*Table4[[#This Row],[qty]]</f>
        <v>48.333333333333336</v>
      </c>
      <c r="G3022">
        <f t="shared" si="242"/>
        <v>16.666666666666664</v>
      </c>
      <c r="H3022" t="s">
        <v>361</v>
      </c>
    </row>
    <row r="3023" spans="1:12" x14ac:dyDescent="0.25">
      <c r="A3023" s="15" t="s">
        <v>441</v>
      </c>
      <c r="B3023" s="32">
        <v>0.7944444444444444</v>
      </c>
      <c r="C3023" t="str">
        <f>'Inventory as of 12th Aug 2024'!A60</f>
        <v>kensalt 200g</v>
      </c>
      <c r="D3023" s="26">
        <v>1</v>
      </c>
      <c r="E3023" s="5">
        <f>Table4[[#This Row],[qty]]*(VLOOKUP(Table4[[#This Row],[item_sold]],Table1[],5,FALSE))</f>
        <v>15</v>
      </c>
      <c r="F3023" s="5">
        <f>(VLOOKUP(Table4[[#This Row],[item_sold]],Table1[],4,FALSE))*Table4[[#This Row],[qty]]</f>
        <v>5.5</v>
      </c>
      <c r="G3023">
        <f t="shared" si="242"/>
        <v>9.5</v>
      </c>
      <c r="H3023" t="s">
        <v>361</v>
      </c>
      <c r="I3023" t="s">
        <v>444</v>
      </c>
      <c r="J3023" t="s">
        <v>444</v>
      </c>
      <c r="K3023">
        <v>5</v>
      </c>
      <c r="L3023" t="s">
        <v>361</v>
      </c>
    </row>
    <row r="3024" spans="1:12" x14ac:dyDescent="0.25">
      <c r="A3024" s="15" t="s">
        <v>441</v>
      </c>
      <c r="B3024" s="32">
        <v>0.7944444444444444</v>
      </c>
      <c r="C3024" t="str">
        <f>'Inventory as of 12th Aug 2024'!A57</f>
        <v>Sportsman</v>
      </c>
      <c r="D3024" s="26">
        <v>1</v>
      </c>
      <c r="E3024" s="5">
        <f>Table4[[#This Row],[qty]]*(VLOOKUP(Table4[[#This Row],[item_sold]],Table1[],5,FALSE))</f>
        <v>20</v>
      </c>
      <c r="F3024" s="5">
        <f>(VLOOKUP(Table4[[#This Row],[item_sold]],Table1[],4,FALSE))*Table4[[#This Row],[qty]]</f>
        <v>13</v>
      </c>
      <c r="G3024">
        <f t="shared" si="242"/>
        <v>7</v>
      </c>
      <c r="H3024" t="s">
        <v>361</v>
      </c>
      <c r="I3024" t="s">
        <v>444</v>
      </c>
    </row>
    <row r="3025" spans="1:12" x14ac:dyDescent="0.25">
      <c r="A3025" s="15" t="s">
        <v>441</v>
      </c>
      <c r="B3025" s="32">
        <v>0.79513888888888884</v>
      </c>
      <c r="C3025" t="str">
        <f>'Inventory as of 12th Aug 2024'!A242</f>
        <v>Icepop</v>
      </c>
      <c r="D3025" s="26">
        <v>1</v>
      </c>
      <c r="E3025" s="5">
        <f>Table4[[#This Row],[qty]]*(VLOOKUP(Table4[[#This Row],[item_sold]],Table1[],5,FALSE))</f>
        <v>15</v>
      </c>
      <c r="F3025" s="5">
        <f>(VLOOKUP(Table4[[#This Row],[item_sold]],Table1[],4,FALSE))*Table4[[#This Row],[qty]]</f>
        <v>7.5</v>
      </c>
      <c r="G3025">
        <f t="shared" si="242"/>
        <v>7.5</v>
      </c>
      <c r="H3025" t="s">
        <v>361</v>
      </c>
    </row>
    <row r="3026" spans="1:12" x14ac:dyDescent="0.25">
      <c r="A3026" s="15" t="s">
        <v>441</v>
      </c>
      <c r="B3026" s="32">
        <v>0.79513888888888884</v>
      </c>
      <c r="C3026" t="str">
        <f>'Inventory as of 12th Aug 2024'!A231</f>
        <v>Patco</v>
      </c>
      <c r="D3026" s="26">
        <v>8</v>
      </c>
      <c r="E3026" s="5">
        <f>Table4[[#This Row],[qty]]*(VLOOKUP(Table4[[#This Row],[item_sold]],Table1[],5,FALSE))</f>
        <v>20</v>
      </c>
      <c r="F3026" s="5">
        <f>(VLOOKUP(Table4[[#This Row],[item_sold]],Table1[],4,FALSE))*Table4[[#This Row],[qty]]</f>
        <v>9.6</v>
      </c>
      <c r="G3026">
        <f t="shared" si="242"/>
        <v>10.4</v>
      </c>
      <c r="H3026" t="s">
        <v>247</v>
      </c>
    </row>
    <row r="3027" spans="1:12" x14ac:dyDescent="0.25">
      <c r="A3027" s="15" t="s">
        <v>441</v>
      </c>
      <c r="B3027" s="32">
        <v>0.79513888888888884</v>
      </c>
      <c r="C3027" t="str">
        <f>'Inventory as of 12th Aug 2024'!A138</f>
        <v>Softcare pads</v>
      </c>
      <c r="D3027" s="26">
        <v>1</v>
      </c>
      <c r="E3027" s="5">
        <f>Table4[[#This Row],[qty]]*(VLOOKUP(Table4[[#This Row],[item_sold]],Table1[],5,FALSE))</f>
        <v>85</v>
      </c>
      <c r="F3027" s="5">
        <f>(VLOOKUP(Table4[[#This Row],[item_sold]],Table1[],4,FALSE))*Table4[[#This Row],[qty]]</f>
        <v>66</v>
      </c>
      <c r="G3027">
        <f t="shared" si="242"/>
        <v>19</v>
      </c>
      <c r="H3027" t="s">
        <v>361</v>
      </c>
    </row>
    <row r="3028" spans="1:12" x14ac:dyDescent="0.25">
      <c r="A3028" s="15" t="s">
        <v>441</v>
      </c>
      <c r="B3028" s="32">
        <v>0.79513888888888884</v>
      </c>
      <c r="C3028" t="str">
        <f>'Inventory as of 12th Aug 2024'!A2</f>
        <v>Safaricom 20 Credit</v>
      </c>
      <c r="D3028" s="26">
        <v>1</v>
      </c>
      <c r="E3028" s="5">
        <f>Table4[[#This Row],[qty]]*(VLOOKUP(Table4[[#This Row],[item_sold]],Table1[],5,FALSE))</f>
        <v>20</v>
      </c>
      <c r="F3028" s="5">
        <f>(VLOOKUP(Table4[[#This Row],[item_sold]],Table1[],4,FALSE))*Table4[[#This Row],[qty]]</f>
        <v>18</v>
      </c>
      <c r="G3028">
        <f t="shared" si="242"/>
        <v>2</v>
      </c>
      <c r="H3028" t="s">
        <v>247</v>
      </c>
    </row>
    <row r="3029" spans="1:12" x14ac:dyDescent="0.25">
      <c r="A3029" s="15" t="s">
        <v>441</v>
      </c>
      <c r="B3029" s="32">
        <v>0.79583333333333328</v>
      </c>
      <c r="C3029" t="str">
        <f>'Inventory as of 12th Aug 2024'!A50</f>
        <v>Pishori rice</v>
      </c>
      <c r="D3029" s="26">
        <v>1</v>
      </c>
      <c r="E3029" s="5">
        <f>Table4[[#This Row],[qty]]*(VLOOKUP(Table4[[#This Row],[item_sold]],Table1[],5,FALSE))</f>
        <v>220</v>
      </c>
      <c r="F3029" s="5">
        <f>(VLOOKUP(Table4[[#This Row],[item_sold]],Table1[],4,FALSE))*Table4[[#This Row],[qty]]</f>
        <v>180</v>
      </c>
      <c r="G3029">
        <f t="shared" si="242"/>
        <v>40</v>
      </c>
      <c r="H3029" t="s">
        <v>247</v>
      </c>
    </row>
    <row r="3030" spans="1:12" x14ac:dyDescent="0.25">
      <c r="A3030" s="15" t="s">
        <v>441</v>
      </c>
      <c r="B3030" s="32">
        <v>0.79652777777777772</v>
      </c>
      <c r="C3030" t="str">
        <f>'Inventory as of 12th Aug 2024'!A242</f>
        <v>Icepop</v>
      </c>
      <c r="D3030" s="26">
        <v>1</v>
      </c>
      <c r="E3030" s="5">
        <f>Table4[[#This Row],[qty]]*(VLOOKUP(Table4[[#This Row],[item_sold]],Table1[],5,FALSE))</f>
        <v>15</v>
      </c>
      <c r="F3030" s="5">
        <f>(VLOOKUP(Table4[[#This Row],[item_sold]],Table1[],4,FALSE))*Table4[[#This Row],[qty]]</f>
        <v>7.5</v>
      </c>
      <c r="G3030">
        <f t="shared" si="242"/>
        <v>7.5</v>
      </c>
      <c r="H3030" t="s">
        <v>247</v>
      </c>
    </row>
    <row r="3031" spans="1:12" x14ac:dyDescent="0.25">
      <c r="A3031" s="15" t="s">
        <v>441</v>
      </c>
      <c r="B3031" s="32">
        <v>0.80486111111111114</v>
      </c>
      <c r="C3031" t="str">
        <f>'Inventory as of 12th Aug 2024'!A37</f>
        <v>Festive Bread 400g</v>
      </c>
      <c r="D3031" s="26">
        <v>2</v>
      </c>
      <c r="E3031" s="5">
        <f>Table4[[#This Row],[qty]]*(VLOOKUP(Table4[[#This Row],[item_sold]],Table1[],5,FALSE))</f>
        <v>130</v>
      </c>
      <c r="F3031" s="5">
        <f>(VLOOKUP(Table4[[#This Row],[item_sold]],Table1[],4,FALSE))*Table4[[#This Row],[qty]]</f>
        <v>120</v>
      </c>
      <c r="G3031">
        <f t="shared" si="242"/>
        <v>10</v>
      </c>
      <c r="H3031" t="s">
        <v>361</v>
      </c>
    </row>
    <row r="3032" spans="1:12" x14ac:dyDescent="0.25">
      <c r="A3032" s="15" t="s">
        <v>441</v>
      </c>
      <c r="B3032" s="32">
        <v>0.80486111111111114</v>
      </c>
      <c r="C3032" t="str">
        <f>'Inventory as of 12th Aug 2024'!A68</f>
        <v>Royco cubes</v>
      </c>
      <c r="D3032" s="26">
        <v>2</v>
      </c>
      <c r="E3032" s="5">
        <f>Table4[[#This Row],[qty]]*(VLOOKUP(Table4[[#This Row],[item_sold]],Table1[],5,FALSE))</f>
        <v>10</v>
      </c>
      <c r="F3032" s="5">
        <f>(VLOOKUP(Table4[[#This Row],[item_sold]],Table1[],4,FALSE))*Table4[[#This Row],[qty]]</f>
        <v>6</v>
      </c>
      <c r="G3032">
        <f t="shared" si="242"/>
        <v>4</v>
      </c>
      <c r="H3032" t="s">
        <v>361</v>
      </c>
    </row>
    <row r="3033" spans="1:12" x14ac:dyDescent="0.25">
      <c r="A3033" s="15" t="s">
        <v>441</v>
      </c>
      <c r="B3033" s="32">
        <v>0.83263888888888893</v>
      </c>
      <c r="C3033" t="str">
        <f>'Inventory as of 12th Aug 2024'!A208</f>
        <v>minutemaid 400ml</v>
      </c>
      <c r="D3033" s="26">
        <v>1</v>
      </c>
      <c r="E3033" s="5">
        <f>Table4[[#This Row],[qty]]*(VLOOKUP(Table4[[#This Row],[item_sold]],Table1[],5,FALSE))</f>
        <v>85</v>
      </c>
      <c r="F3033" s="5">
        <f>(VLOOKUP(Table4[[#This Row],[item_sold]],Table1[],4,FALSE))*Table4[[#This Row],[qty]]</f>
        <v>62.5</v>
      </c>
      <c r="G3033">
        <f t="shared" si="242"/>
        <v>22.5</v>
      </c>
      <c r="H3033" t="s">
        <v>361</v>
      </c>
    </row>
    <row r="3034" spans="1:12" x14ac:dyDescent="0.25">
      <c r="A3034" s="15" t="s">
        <v>441</v>
      </c>
      <c r="B3034" s="32">
        <v>0.83819444444444446</v>
      </c>
      <c r="C3034" t="str">
        <f>'Inventory as of 12th Aug 2024'!A75</f>
        <v>Cooking Oil Measured</v>
      </c>
      <c r="D3034" s="26">
        <v>0.25</v>
      </c>
      <c r="E3034" s="5">
        <f>Table4[[#This Row],[qty]]*(VLOOKUP(Table4[[#This Row],[item_sold]],Table1[],5,FALSE))</f>
        <v>70</v>
      </c>
      <c r="F3034" s="5">
        <f>(VLOOKUP(Table4[[#This Row],[item_sold]],Table1[],4,FALSE))*Table4[[#This Row],[qty]]</f>
        <v>50</v>
      </c>
      <c r="G3034">
        <f t="shared" si="242"/>
        <v>20</v>
      </c>
      <c r="H3034" t="s">
        <v>247</v>
      </c>
    </row>
    <row r="3035" spans="1:12" x14ac:dyDescent="0.25">
      <c r="A3035" s="15" t="s">
        <v>441</v>
      </c>
      <c r="B3035" s="32">
        <v>0.84652777777777777</v>
      </c>
      <c r="C3035" t="str">
        <f>'Inventory as of 12th Aug 2024'!A57</f>
        <v>Sportsman</v>
      </c>
      <c r="D3035" s="26">
        <v>2</v>
      </c>
      <c r="E3035" s="5">
        <f>Table4[[#This Row],[qty]]*(VLOOKUP(Table4[[#This Row],[item_sold]],Table1[],5,FALSE))</f>
        <v>40</v>
      </c>
      <c r="F3035" s="5">
        <f>(VLOOKUP(Table4[[#This Row],[item_sold]],Table1[],4,FALSE))*Table4[[#This Row],[qty]]</f>
        <v>26</v>
      </c>
      <c r="G3035">
        <f t="shared" si="242"/>
        <v>14</v>
      </c>
      <c r="H3035" t="s">
        <v>247</v>
      </c>
    </row>
    <row r="3036" spans="1:12" x14ac:dyDescent="0.25">
      <c r="A3036" s="15" t="s">
        <v>441</v>
      </c>
      <c r="B3036" s="32">
        <v>0.84652777777777777</v>
      </c>
      <c r="C3036" t="str">
        <f>'Inventory as of 12th Aug 2024'!A120</f>
        <v>Maramoja</v>
      </c>
      <c r="D3036" s="26">
        <v>1</v>
      </c>
      <c r="E3036" s="5">
        <f>Table4[[#This Row],[qty]]*(VLOOKUP(Table4[[#This Row],[item_sold]],Table1[],5,FALSE))</f>
        <v>10</v>
      </c>
      <c r="F3036" s="5">
        <f>(VLOOKUP(Table4[[#This Row],[item_sold]],Table1[],4,FALSE))*Table4[[#This Row],[qty]]</f>
        <v>7</v>
      </c>
      <c r="G3036">
        <f t="shared" si="242"/>
        <v>3</v>
      </c>
      <c r="H3036" t="s">
        <v>247</v>
      </c>
    </row>
    <row r="3037" spans="1:12" x14ac:dyDescent="0.25">
      <c r="A3037" s="15" t="s">
        <v>441</v>
      </c>
      <c r="B3037" s="32">
        <v>0.80555555555555558</v>
      </c>
      <c r="C3037" t="str">
        <f>'Inventory as of 12th Aug 2024'!A36</f>
        <v>Festive 800g</v>
      </c>
      <c r="D3037" s="26">
        <v>1</v>
      </c>
      <c r="E3037" s="5">
        <f>Table4[[#This Row],[qty]]*(VLOOKUP(Table4[[#This Row],[item_sold]],Table1[],5,FALSE))</f>
        <v>130</v>
      </c>
      <c r="F3037" s="5">
        <f>(VLOOKUP(Table4[[#This Row],[item_sold]],Table1[],4,FALSE))*Table4[[#This Row],[qty]]</f>
        <v>120</v>
      </c>
      <c r="G3037">
        <f t="shared" si="242"/>
        <v>10</v>
      </c>
      <c r="H3037" t="s">
        <v>361</v>
      </c>
    </row>
    <row r="3038" spans="1:12" x14ac:dyDescent="0.25">
      <c r="A3038" s="15" t="s">
        <v>441</v>
      </c>
      <c r="B3038" s="32">
        <v>0.84930555555555554</v>
      </c>
      <c r="C3038" t="str">
        <f>'Inventory as of 12th Aug 2024'!A144</f>
        <v>Kiwi</v>
      </c>
      <c r="D3038" s="26">
        <v>1</v>
      </c>
      <c r="E3038" s="5">
        <f>Table4[[#This Row],[qty]]*(VLOOKUP(Table4[[#This Row],[item_sold]],Table1[],5,FALSE))</f>
        <v>50</v>
      </c>
      <c r="F3038" s="5">
        <f>(VLOOKUP(Table4[[#This Row],[item_sold]],Table1[],4,FALSE))*Table4[[#This Row],[qty]]</f>
        <v>37.5</v>
      </c>
      <c r="G3038">
        <f t="shared" si="242"/>
        <v>12.5</v>
      </c>
      <c r="H3038" t="s">
        <v>430</v>
      </c>
      <c r="I3038" t="s">
        <v>394</v>
      </c>
      <c r="J3038" t="s">
        <v>394</v>
      </c>
      <c r="K3038">
        <v>100</v>
      </c>
      <c r="L3038" t="s">
        <v>361</v>
      </c>
    </row>
    <row r="3039" spans="1:12" x14ac:dyDescent="0.25">
      <c r="A3039" s="15" t="s">
        <v>441</v>
      </c>
      <c r="B3039" s="32">
        <v>0.84930555555555554</v>
      </c>
      <c r="C3039" t="str">
        <f>'Inventory as of 12th Aug 2024'!A87</f>
        <v>Menengai Bar 1kg</v>
      </c>
      <c r="D3039" s="26">
        <v>0.2</v>
      </c>
      <c r="E3039" s="5">
        <f>Table4[[#This Row],[qty]]*(VLOOKUP(Table4[[#This Row],[item_sold]],Table1[],5,FALSE))</f>
        <v>50</v>
      </c>
      <c r="F3039" s="5">
        <f>(VLOOKUP(Table4[[#This Row],[item_sold]],Table1[],4,FALSE))*Table4[[#This Row],[qty]]</f>
        <v>38</v>
      </c>
      <c r="G3039">
        <f t="shared" si="242"/>
        <v>12</v>
      </c>
      <c r="H3039" t="s">
        <v>430</v>
      </c>
      <c r="I3039" t="s">
        <v>394</v>
      </c>
    </row>
    <row r="3040" spans="1:12" x14ac:dyDescent="0.25">
      <c r="A3040" s="15" t="s">
        <v>441</v>
      </c>
      <c r="B3040" s="32">
        <v>0.84930555555555554</v>
      </c>
      <c r="C3040" t="str">
        <f>'Inventory as of 12th Aug 2024'!A193</f>
        <v>Ginger Bisquit</v>
      </c>
      <c r="D3040" s="26">
        <v>6</v>
      </c>
      <c r="E3040" s="5">
        <f>Table4[[#This Row],[qty]]*(VLOOKUP(Table4[[#This Row],[item_sold]],Table1[],5,FALSE))</f>
        <v>30</v>
      </c>
      <c r="F3040" s="5">
        <f>(VLOOKUP(Table4[[#This Row],[item_sold]],Table1[],4,FALSE))*Table4[[#This Row],[qty]]</f>
        <v>26</v>
      </c>
      <c r="G3040">
        <f t="shared" si="242"/>
        <v>4</v>
      </c>
      <c r="H3040" t="s">
        <v>247</v>
      </c>
    </row>
    <row r="3041" spans="1:12" x14ac:dyDescent="0.25">
      <c r="A3041" s="15" t="s">
        <v>441</v>
      </c>
      <c r="B3041" s="32">
        <v>0.84930555555555554</v>
      </c>
      <c r="C3041" t="str">
        <f>'Inventory as of 12th Aug 2024'!A206</f>
        <v>soda 500ml plastic</v>
      </c>
      <c r="D3041" s="26">
        <v>3</v>
      </c>
      <c r="E3041" s="5">
        <f>Table4[[#This Row],[qty]]*(VLOOKUP(Table4[[#This Row],[item_sold]],Table1[],5,FALSE))</f>
        <v>210</v>
      </c>
      <c r="F3041" s="5">
        <f>(VLOOKUP(Table4[[#This Row],[item_sold]],Table1[],4,FALSE))*Table4[[#This Row],[qty]]</f>
        <v>181.25</v>
      </c>
      <c r="G3041">
        <f t="shared" si="242"/>
        <v>28.75</v>
      </c>
      <c r="H3041" t="s">
        <v>247</v>
      </c>
    </row>
    <row r="3042" spans="1:12" x14ac:dyDescent="0.25">
      <c r="A3042" s="15" t="s">
        <v>441</v>
      </c>
      <c r="B3042" s="32">
        <v>0.84930555555555554</v>
      </c>
      <c r="C3042" t="str">
        <f>'Inventory as of 12th Aug 2024'!A185</f>
        <v>Glucose 10g</v>
      </c>
      <c r="D3042" s="26">
        <v>3</v>
      </c>
      <c r="E3042" s="5">
        <f>Table4[[#This Row],[qty]]*(VLOOKUP(Table4[[#This Row],[item_sold]],Table1[],5,FALSE))</f>
        <v>15</v>
      </c>
      <c r="F3042" s="5">
        <f>(VLOOKUP(Table4[[#This Row],[item_sold]],Table1[],4,FALSE))*Table4[[#This Row],[qty]]</f>
        <v>11.25</v>
      </c>
      <c r="G3042">
        <f t="shared" si="242"/>
        <v>3.75</v>
      </c>
      <c r="H3042" t="s">
        <v>247</v>
      </c>
    </row>
    <row r="3043" spans="1:12" x14ac:dyDescent="0.25">
      <c r="A3043" s="15" t="s">
        <v>441</v>
      </c>
      <c r="B3043" s="32">
        <v>0.875</v>
      </c>
      <c r="C3043" t="str">
        <f>'Inventory as of 12th Aug 2024'!A234</f>
        <v>Bigdaddy</v>
      </c>
      <c r="D3043" s="26">
        <v>5</v>
      </c>
      <c r="E3043" s="5">
        <f>Table4[[#This Row],[qty]]*(VLOOKUP(Table4[[#This Row],[item_sold]],Table1[],5,FALSE))</f>
        <v>50</v>
      </c>
      <c r="F3043" s="5">
        <f>(VLOOKUP(Table4[[#This Row],[item_sold]],Table1[],4,FALSE))*Table4[[#This Row],[qty]]</f>
        <v>30</v>
      </c>
      <c r="G3043">
        <f t="shared" si="242"/>
        <v>20</v>
      </c>
      <c r="H3043" t="s">
        <v>247</v>
      </c>
    </row>
    <row r="3044" spans="1:12" x14ac:dyDescent="0.25">
      <c r="A3044" s="15" t="s">
        <v>441</v>
      </c>
      <c r="B3044" s="32">
        <v>0.875</v>
      </c>
      <c r="C3044" t="str">
        <f>'Inventory as of 12th Aug 2024'!A243</f>
        <v>Ballon</v>
      </c>
      <c r="D3044" s="26">
        <v>4</v>
      </c>
      <c r="E3044" s="5">
        <f>Table4[[#This Row],[qty]]*(VLOOKUP(Table4[[#This Row],[item_sold]],Table1[],5,FALSE))</f>
        <v>40</v>
      </c>
      <c r="F3044" s="5">
        <f>(VLOOKUP(Table4[[#This Row],[item_sold]],Table1[],4,FALSE))*Table4[[#This Row],[qty]]</f>
        <v>30</v>
      </c>
      <c r="G3044">
        <f t="shared" si="242"/>
        <v>10</v>
      </c>
      <c r="H3044" t="s">
        <v>247</v>
      </c>
    </row>
    <row r="3045" spans="1:12" x14ac:dyDescent="0.25">
      <c r="A3045" s="15" t="s">
        <v>441</v>
      </c>
      <c r="B3045" s="32">
        <v>0.875</v>
      </c>
      <c r="C3045" t="str">
        <f>'Inventory as of 12th Aug 2024'!A224</f>
        <v>pens black</v>
      </c>
      <c r="D3045" s="26">
        <v>4</v>
      </c>
      <c r="E3045" s="5">
        <f>Table4[[#This Row],[qty]]*(VLOOKUP(Table4[[#This Row],[item_sold]],Table1[],5,FALSE))</f>
        <v>40</v>
      </c>
      <c r="F3045" s="5">
        <f>(VLOOKUP(Table4[[#This Row],[item_sold]],Table1[],4,FALSE))*Table4[[#This Row],[qty]]</f>
        <v>20</v>
      </c>
      <c r="G3045">
        <f t="shared" si="242"/>
        <v>20</v>
      </c>
      <c r="H3045" t="s">
        <v>247</v>
      </c>
    </row>
    <row r="3046" spans="1:12" x14ac:dyDescent="0.25">
      <c r="A3046" s="15" t="s">
        <v>441</v>
      </c>
      <c r="B3046" s="32">
        <v>0.875</v>
      </c>
      <c r="C3046" t="str">
        <f>'Inventory as of 12th Aug 2024'!A225</f>
        <v>pens red</v>
      </c>
      <c r="D3046" s="26">
        <v>4</v>
      </c>
      <c r="E3046" s="5">
        <f>Table4[[#This Row],[qty]]*(VLOOKUP(Table4[[#This Row],[item_sold]],Table1[],5,FALSE))</f>
        <v>40</v>
      </c>
      <c r="F3046" s="5">
        <f>(VLOOKUP(Table4[[#This Row],[item_sold]],Table1[],4,FALSE))*Table4[[#This Row],[qty]]</f>
        <v>20</v>
      </c>
      <c r="G3046">
        <f t="shared" si="242"/>
        <v>20</v>
      </c>
      <c r="H3046" t="s">
        <v>247</v>
      </c>
    </row>
    <row r="3047" spans="1:12" x14ac:dyDescent="0.25">
      <c r="A3047" s="15" t="s">
        <v>441</v>
      </c>
      <c r="B3047" s="32">
        <v>0.875</v>
      </c>
      <c r="C3047" t="str">
        <f>'Inventory as of 12th Aug 2024'!A173</f>
        <v>Carrier bag big</v>
      </c>
      <c r="D3047" s="26">
        <v>1</v>
      </c>
      <c r="E3047" s="5">
        <f>Table4[[#This Row],[qty]]*(VLOOKUP(Table4[[#This Row],[item_sold]],Table1[],5,FALSE))</f>
        <v>20</v>
      </c>
      <c r="F3047" s="5">
        <f>(VLOOKUP(Table4[[#This Row],[item_sold]],Table1[],4,FALSE))*Table4[[#This Row],[qty]]</f>
        <v>5</v>
      </c>
      <c r="G3047">
        <f t="shared" si="242"/>
        <v>15</v>
      </c>
      <c r="H3047" t="s">
        <v>430</v>
      </c>
      <c r="I3047" t="s">
        <v>385</v>
      </c>
    </row>
    <row r="3048" spans="1:12" x14ac:dyDescent="0.25">
      <c r="A3048" s="15" t="s">
        <v>441</v>
      </c>
      <c r="B3048" s="32">
        <v>0.87986111111111109</v>
      </c>
      <c r="C3048" t="str">
        <f>'Inventory as of 12th Aug 2024'!A17</f>
        <v>Brookside milk 500ml</v>
      </c>
      <c r="D3048" s="26">
        <v>1</v>
      </c>
      <c r="E3048" s="5">
        <f>Table4[[#This Row],[qty]]*(VLOOKUP(Table4[[#This Row],[item_sold]],Table1[],5,FALSE))</f>
        <v>70</v>
      </c>
      <c r="F3048" s="5">
        <f>(VLOOKUP(Table4[[#This Row],[item_sold]],Table1[],4,FALSE))*Table4[[#This Row],[qty]]</f>
        <v>59</v>
      </c>
      <c r="G3048">
        <f t="shared" si="242"/>
        <v>11</v>
      </c>
      <c r="H3048" t="s">
        <v>430</v>
      </c>
      <c r="I3048" t="s">
        <v>390</v>
      </c>
    </row>
    <row r="3049" spans="1:12" x14ac:dyDescent="0.25">
      <c r="A3049" s="15" t="s">
        <v>441</v>
      </c>
      <c r="B3049" s="32">
        <v>0.69930555555555562</v>
      </c>
      <c r="C3049" t="str">
        <f>'Inventory as of 12th Aug 2024'!A212</f>
        <v>soda 300ml glass</v>
      </c>
      <c r="D3049" s="26">
        <v>1</v>
      </c>
      <c r="E3049" s="5">
        <f>Table4[[#This Row],[qty]]*(VLOOKUP(Table4[[#This Row],[item_sold]],Table1[],5,FALSE))</f>
        <v>40</v>
      </c>
      <c r="F3049" s="5">
        <f>(VLOOKUP(Table4[[#This Row],[item_sold]],Table1[],4,FALSE))*Table4[[#This Row],[qty]]</f>
        <v>32.5</v>
      </c>
      <c r="G3049">
        <f t="shared" si="242"/>
        <v>7.5</v>
      </c>
      <c r="H3049" t="s">
        <v>430</v>
      </c>
      <c r="I3049" t="s">
        <v>395</v>
      </c>
    </row>
    <row r="3050" spans="1:12" x14ac:dyDescent="0.25">
      <c r="A3050" s="15" t="s">
        <v>441</v>
      </c>
      <c r="B3050" s="32">
        <v>0.5493055555555556</v>
      </c>
      <c r="C3050" t="str">
        <f>'Inventory as of 12th Aug 2024'!A8</f>
        <v>eggs</v>
      </c>
      <c r="D3050" s="26">
        <v>2</v>
      </c>
      <c r="E3050" s="5">
        <f>Table4[[#This Row],[qty]]*(VLOOKUP(Table4[[#This Row],[item_sold]],Table1[],5,FALSE))</f>
        <v>40</v>
      </c>
      <c r="F3050" s="5">
        <f>(VLOOKUP(Table4[[#This Row],[item_sold]],Table1[],4,FALSE))*Table4[[#This Row],[qty]]</f>
        <v>28.666666666666668</v>
      </c>
      <c r="G3050">
        <f t="shared" si="242"/>
        <v>11.333333333333332</v>
      </c>
      <c r="H3050" t="s">
        <v>430</v>
      </c>
      <c r="I3050" t="s">
        <v>417</v>
      </c>
      <c r="J3050" t="s">
        <v>417</v>
      </c>
      <c r="K3050">
        <v>40</v>
      </c>
      <c r="L3050" t="s">
        <v>361</v>
      </c>
    </row>
    <row r="3051" spans="1:12" x14ac:dyDescent="0.25">
      <c r="A3051" s="15">
        <f t="shared" ref="A3051:A3090" si="244">DATE(2024,8,29)</f>
        <v>45533</v>
      </c>
      <c r="B3051" s="31">
        <f>TIME(7,17,0)</f>
        <v>0.3034722222222222</v>
      </c>
      <c r="C3051" t="str">
        <f>'Inventory as of 12th Aug 2024'!A57</f>
        <v>Sportsman</v>
      </c>
      <c r="D3051" s="26">
        <v>1</v>
      </c>
      <c r="E3051" s="5">
        <f>Table4[[#This Row],[qty]]*(VLOOKUP(Table4[[#This Row],[item_sold]],Table1[],5,FALSE))</f>
        <v>20</v>
      </c>
      <c r="F3051" s="5">
        <f>(VLOOKUP(Table4[[#This Row],[item_sold]],Table1[],4,FALSE))*Table4[[#This Row],[qty]]</f>
        <v>13</v>
      </c>
      <c r="G3051">
        <f t="shared" si="242"/>
        <v>7</v>
      </c>
      <c r="H3051" t="s">
        <v>361</v>
      </c>
    </row>
    <row r="3052" spans="1:12" x14ac:dyDescent="0.25">
      <c r="A3052" s="15">
        <f t="shared" si="244"/>
        <v>45533</v>
      </c>
      <c r="B3052" s="31">
        <f>TIME(7,30,0)</f>
        <v>0.3125</v>
      </c>
      <c r="C3052" t="str">
        <f>'Inventory as of 12th Aug 2024'!A106</f>
        <v>Steel Wool 15g</v>
      </c>
      <c r="D3052" s="26">
        <v>2</v>
      </c>
      <c r="E3052" s="5">
        <f>Table4[[#This Row],[qty]]*(VLOOKUP(Table4[[#This Row],[item_sold]],Table1[],5,FALSE))</f>
        <v>20</v>
      </c>
      <c r="F3052" s="5">
        <f>(VLOOKUP(Table4[[#This Row],[item_sold]],Table1[],4,FALSE))*Table4[[#This Row],[qty]]</f>
        <v>10.466666666666667</v>
      </c>
      <c r="G3052">
        <f t="shared" si="242"/>
        <v>9.5333333333333332</v>
      </c>
      <c r="H3052" t="s">
        <v>361</v>
      </c>
    </row>
    <row r="3053" spans="1:12" x14ac:dyDescent="0.25">
      <c r="A3053" s="15">
        <f t="shared" si="244"/>
        <v>45533</v>
      </c>
      <c r="B3053" s="31">
        <f>TIME(8,8,0)</f>
        <v>0.33888888888888885</v>
      </c>
      <c r="C3053" t="str">
        <f>'Inventory as of 12th Aug 2024'!A2</f>
        <v>Safaricom 20 Credit</v>
      </c>
      <c r="D3053" s="26">
        <v>1</v>
      </c>
      <c r="E3053" s="5">
        <f>Table4[[#This Row],[qty]]*(VLOOKUP(Table4[[#This Row],[item_sold]],Table1[],5,FALSE))</f>
        <v>20</v>
      </c>
      <c r="F3053" s="5">
        <f>(VLOOKUP(Table4[[#This Row],[item_sold]],Table1[],4,FALSE))*Table4[[#This Row],[qty]]</f>
        <v>18</v>
      </c>
      <c r="G3053">
        <f t="shared" si="242"/>
        <v>2</v>
      </c>
      <c r="H3053" t="s">
        <v>247</v>
      </c>
    </row>
    <row r="3054" spans="1:12" x14ac:dyDescent="0.25">
      <c r="A3054" s="15">
        <f t="shared" si="244"/>
        <v>45533</v>
      </c>
      <c r="B3054" s="31">
        <f>TIME(8,36,0)</f>
        <v>0.35833333333333334</v>
      </c>
      <c r="C3054" t="str">
        <f>'Inventory as of 12th Aug 2024'!A57</f>
        <v>Sportsman</v>
      </c>
      <c r="D3054" s="26">
        <v>1</v>
      </c>
      <c r="E3054" s="5">
        <f>Table4[[#This Row],[qty]]*(VLOOKUP(Table4[[#This Row],[item_sold]],Table1[],5,FALSE))</f>
        <v>20</v>
      </c>
      <c r="F3054" s="5">
        <f>(VLOOKUP(Table4[[#This Row],[item_sold]],Table1[],4,FALSE))*Table4[[#This Row],[qty]]</f>
        <v>13</v>
      </c>
      <c r="G3054">
        <f t="shared" si="242"/>
        <v>7</v>
      </c>
      <c r="H3054" t="s">
        <v>361</v>
      </c>
    </row>
    <row r="3055" spans="1:12" x14ac:dyDescent="0.25">
      <c r="A3055" s="15">
        <f t="shared" si="244"/>
        <v>45533</v>
      </c>
      <c r="B3055" s="31">
        <f>TIME(8,45,0)</f>
        <v>0.36458333333333331</v>
      </c>
      <c r="C3055" t="str">
        <f>'Inventory as of 12th Aug 2024'!A245</f>
        <v>1.5ltrs water</v>
      </c>
      <c r="D3055" s="26">
        <v>1</v>
      </c>
      <c r="E3055" s="5">
        <f>Table4[[#This Row],[qty]]*(VLOOKUP(Table4[[#This Row],[item_sold]],Table1[],5,FALSE))</f>
        <v>70</v>
      </c>
      <c r="F3055" s="5">
        <f>(VLOOKUP(Table4[[#This Row],[item_sold]],Table1[],4,FALSE))*Table4[[#This Row],[qty]]</f>
        <v>25</v>
      </c>
      <c r="G3055">
        <f t="shared" si="242"/>
        <v>45</v>
      </c>
      <c r="H3055" t="s">
        <v>361</v>
      </c>
    </row>
    <row r="3056" spans="1:12" x14ac:dyDescent="0.25">
      <c r="A3056" s="15">
        <f t="shared" si="244"/>
        <v>45533</v>
      </c>
      <c r="B3056" s="31">
        <f>TIME(8,58,0)</f>
        <v>0.37361111111111112</v>
      </c>
      <c r="C3056" t="str">
        <f>'Inventory as of 12th Aug 2024'!A57</f>
        <v>Sportsman</v>
      </c>
      <c r="D3056" s="26">
        <v>1</v>
      </c>
      <c r="E3056" s="5">
        <f>Table4[[#This Row],[qty]]*(VLOOKUP(Table4[[#This Row],[item_sold]],Table1[],5,FALSE))</f>
        <v>20</v>
      </c>
      <c r="F3056" s="5">
        <f>(VLOOKUP(Table4[[#This Row],[item_sold]],Table1[],4,FALSE))*Table4[[#This Row],[qty]]</f>
        <v>13</v>
      </c>
      <c r="G3056">
        <f t="shared" si="242"/>
        <v>7</v>
      </c>
      <c r="H3056" t="s">
        <v>247</v>
      </c>
    </row>
    <row r="3057" spans="1:9" x14ac:dyDescent="0.25">
      <c r="A3057" s="15">
        <f t="shared" si="244"/>
        <v>45533</v>
      </c>
      <c r="B3057" s="31">
        <f>TIME(9,16,0)</f>
        <v>0.38611111111111113</v>
      </c>
      <c r="C3057" t="str">
        <f>'Inventory as of 12th Aug 2024'!A57</f>
        <v>Sportsman</v>
      </c>
      <c r="D3057" s="26">
        <v>3</v>
      </c>
      <c r="E3057" s="5">
        <f>Table4[[#This Row],[qty]]*(VLOOKUP(Table4[[#This Row],[item_sold]],Table1[],5,FALSE))</f>
        <v>60</v>
      </c>
      <c r="F3057" s="5">
        <f>(VLOOKUP(Table4[[#This Row],[item_sold]],Table1[],4,FALSE))*Table4[[#This Row],[qty]]</f>
        <v>39</v>
      </c>
      <c r="G3057">
        <f t="shared" si="242"/>
        <v>21</v>
      </c>
      <c r="H3057" t="s">
        <v>247</v>
      </c>
    </row>
    <row r="3058" spans="1:9" x14ac:dyDescent="0.25">
      <c r="A3058" s="15">
        <f t="shared" si="244"/>
        <v>45533</v>
      </c>
      <c r="B3058" s="31">
        <f>TIME(9,38,0)</f>
        <v>0.40138888888888885</v>
      </c>
      <c r="C3058" t="str">
        <f>'Inventory as of 12th Aug 2024'!A91</f>
        <v>Tomatoes</v>
      </c>
      <c r="D3058" s="26">
        <v>1</v>
      </c>
      <c r="E3058" s="5">
        <f>Table4[[#This Row],[qty]]*(VLOOKUP(Table4[[#This Row],[item_sold]],Table1[],5,FALSE))</f>
        <v>10</v>
      </c>
      <c r="F3058" s="5">
        <f>(VLOOKUP(Table4[[#This Row],[item_sold]],Table1[],4,FALSE))*Table4[[#This Row],[qty]]</f>
        <v>5</v>
      </c>
      <c r="G3058">
        <f t="shared" si="242"/>
        <v>5</v>
      </c>
      <c r="H3058" t="s">
        <v>361</v>
      </c>
    </row>
    <row r="3059" spans="1:9" x14ac:dyDescent="0.25">
      <c r="A3059" s="15">
        <f t="shared" si="244"/>
        <v>45533</v>
      </c>
      <c r="B3059" s="31">
        <f t="shared" ref="B3059" si="245">TIME(9,38,0)</f>
        <v>0.40138888888888885</v>
      </c>
      <c r="C3059" t="str">
        <f>'Inventory as of 12th Aug 2024'!A90</f>
        <v>Onion</v>
      </c>
      <c r="D3059" s="26">
        <v>1</v>
      </c>
      <c r="E3059" s="5">
        <f>Table4[[#This Row],[qty]]*(VLOOKUP(Table4[[#This Row],[item_sold]],Table1[],5,FALSE))</f>
        <v>10</v>
      </c>
      <c r="F3059" s="5">
        <f>(VLOOKUP(Table4[[#This Row],[item_sold]],Table1[],4,FALSE))*Table4[[#This Row],[qty]]</f>
        <v>8</v>
      </c>
      <c r="G3059">
        <f t="shared" si="242"/>
        <v>2</v>
      </c>
      <c r="H3059" t="s">
        <v>361</v>
      </c>
    </row>
    <row r="3060" spans="1:9" x14ac:dyDescent="0.25">
      <c r="A3060" s="15">
        <f t="shared" si="244"/>
        <v>45533</v>
      </c>
      <c r="B3060" s="31">
        <f>TIME(10,21,0)</f>
        <v>0.43124999999999997</v>
      </c>
      <c r="C3060" t="str">
        <f>'Inventory as of 12th Aug 2024'!A37</f>
        <v>Festive Bread 400g</v>
      </c>
      <c r="D3060" s="26">
        <v>1</v>
      </c>
      <c r="E3060" s="5">
        <f>Table4[[#This Row],[qty]]*(VLOOKUP(Table4[[#This Row],[item_sold]],Table1[],5,FALSE))</f>
        <v>65</v>
      </c>
      <c r="F3060" s="5">
        <f>(VLOOKUP(Table4[[#This Row],[item_sold]],Table1[],4,FALSE))*Table4[[#This Row],[qty]]</f>
        <v>60</v>
      </c>
      <c r="G3060">
        <f t="shared" si="242"/>
        <v>5</v>
      </c>
      <c r="H3060" t="s">
        <v>247</v>
      </c>
    </row>
    <row r="3061" spans="1:9" x14ac:dyDescent="0.25">
      <c r="A3061" s="15">
        <f t="shared" si="244"/>
        <v>45533</v>
      </c>
      <c r="B3061" s="31">
        <f t="shared" ref="B3061" si="246">TIME(10,21,0)</f>
        <v>0.43124999999999997</v>
      </c>
      <c r="C3061" t="str">
        <f>'Inventory as of 12th Aug 2024'!A82</f>
        <v>ariel 10g</v>
      </c>
      <c r="D3061" s="26">
        <v>1</v>
      </c>
      <c r="E3061" s="5">
        <f>Table4[[#This Row],[qty]]*(VLOOKUP(Table4[[#This Row],[item_sold]],Table1[],5,FALSE))</f>
        <v>15</v>
      </c>
      <c r="F3061" s="5">
        <f>(VLOOKUP(Table4[[#This Row],[item_sold]],Table1[],4,FALSE))*Table4[[#This Row],[qty]]</f>
        <v>9.1666666666666661</v>
      </c>
      <c r="G3061">
        <f t="shared" si="242"/>
        <v>5.8333333333333339</v>
      </c>
      <c r="H3061" t="s">
        <v>247</v>
      </c>
    </row>
    <row r="3062" spans="1:9" x14ac:dyDescent="0.25">
      <c r="A3062" s="15">
        <f t="shared" si="244"/>
        <v>45533</v>
      </c>
      <c r="B3062" s="31">
        <f>TIME(10,52,0)</f>
        <v>0.45277777777777778</v>
      </c>
      <c r="C3062" t="str">
        <f>'Inventory as of 12th Aug 2024'!A193</f>
        <v>Ginger Bisquit</v>
      </c>
      <c r="D3062" s="26">
        <v>1</v>
      </c>
      <c r="E3062" s="5">
        <f>Table4[[#This Row],[qty]]*(VLOOKUP(Table4[[#This Row],[item_sold]],Table1[],5,FALSE))</f>
        <v>5</v>
      </c>
      <c r="F3062" s="5">
        <f>(VLOOKUP(Table4[[#This Row],[item_sold]],Table1[],4,FALSE))*Table4[[#This Row],[qty]]</f>
        <v>4.333333333333333</v>
      </c>
      <c r="G3062">
        <f t="shared" si="242"/>
        <v>0.66666666666666696</v>
      </c>
      <c r="H3062" t="s">
        <v>361</v>
      </c>
    </row>
    <row r="3063" spans="1:9" x14ac:dyDescent="0.25">
      <c r="A3063" s="15">
        <f t="shared" si="244"/>
        <v>45533</v>
      </c>
      <c r="B3063" s="31">
        <f>TIME(10,52,0)</f>
        <v>0.45277777777777778</v>
      </c>
      <c r="C3063" t="str">
        <f>'Inventory as of 12th Aug 2024'!A37</f>
        <v>Festive Bread 400g</v>
      </c>
      <c r="D3063" s="26">
        <v>1</v>
      </c>
      <c r="E3063" s="5">
        <f>Table4[[#This Row],[qty]]*(VLOOKUP(Table4[[#This Row],[item_sold]],Table1[],5,FALSE))</f>
        <v>65</v>
      </c>
      <c r="F3063" s="5">
        <f>(VLOOKUP(Table4[[#This Row],[item_sold]],Table1[],4,FALSE))*Table4[[#This Row],[qty]]</f>
        <v>60</v>
      </c>
      <c r="G3063">
        <f t="shared" si="242"/>
        <v>5</v>
      </c>
      <c r="H3063" t="s">
        <v>361</v>
      </c>
    </row>
    <row r="3064" spans="1:9" x14ac:dyDescent="0.25">
      <c r="A3064" s="15">
        <f t="shared" si="244"/>
        <v>45533</v>
      </c>
      <c r="B3064" s="31">
        <f>TIME(11,9,0)</f>
        <v>0.46458333333333335</v>
      </c>
      <c r="C3064" t="str">
        <f>'Inventory as of 12th Aug 2024'!A33</f>
        <v>BB Bread 400g</v>
      </c>
      <c r="D3064" s="26">
        <v>1</v>
      </c>
      <c r="E3064" s="5">
        <f>Table4[[#This Row],[qty]]*(VLOOKUP(Table4[[#This Row],[item_sold]],Table1[],5,FALSE))</f>
        <v>65</v>
      </c>
      <c r="F3064" s="5">
        <f>(VLOOKUP(Table4[[#This Row],[item_sold]],Table1[],4,FALSE))*Table4[[#This Row],[qty]]</f>
        <v>60</v>
      </c>
      <c r="G3064">
        <f t="shared" si="242"/>
        <v>5</v>
      </c>
      <c r="H3064" t="s">
        <v>361</v>
      </c>
    </row>
    <row r="3065" spans="1:9" x14ac:dyDescent="0.25">
      <c r="A3065" s="15">
        <f t="shared" si="244"/>
        <v>45533</v>
      </c>
      <c r="B3065" s="31">
        <f t="shared" ref="B3065:B3066" si="247">TIME(11,9,0)</f>
        <v>0.46458333333333335</v>
      </c>
      <c r="C3065" t="str">
        <f>'Inventory as of 12th Aug 2024'!A16</f>
        <v>Mt kenya milk 500ml</v>
      </c>
      <c r="D3065" s="26">
        <v>1</v>
      </c>
      <c r="E3065" s="5">
        <f>Table4[[#This Row],[qty]]*(VLOOKUP(Table4[[#This Row],[item_sold]],Table1[],5,FALSE))</f>
        <v>65</v>
      </c>
      <c r="F3065" s="5">
        <f>(VLOOKUP(Table4[[#This Row],[item_sold]],Table1[],4,FALSE))*Table4[[#This Row],[qty]]</f>
        <v>48.333333333333336</v>
      </c>
      <c r="G3065">
        <f t="shared" ref="G3065:G3128" si="248">E3065-F3065</f>
        <v>16.666666666666664</v>
      </c>
      <c r="H3065" t="s">
        <v>361</v>
      </c>
    </row>
    <row r="3066" spans="1:9" x14ac:dyDescent="0.25">
      <c r="A3066" s="15">
        <f t="shared" si="244"/>
        <v>45533</v>
      </c>
      <c r="B3066" s="31">
        <f t="shared" si="247"/>
        <v>0.46458333333333335</v>
      </c>
      <c r="C3066" t="str">
        <f>'Inventory as of 12th Aug 2024'!A91</f>
        <v>Tomatoes</v>
      </c>
      <c r="D3066" s="26">
        <v>5</v>
      </c>
      <c r="E3066" s="5">
        <f>Table4[[#This Row],[qty]]*(VLOOKUP(Table4[[#This Row],[item_sold]],Table1[],5,FALSE))</f>
        <v>50</v>
      </c>
      <c r="F3066" s="5">
        <f>(VLOOKUP(Table4[[#This Row],[item_sold]],Table1[],4,FALSE))*Table4[[#This Row],[qty]]</f>
        <v>25</v>
      </c>
      <c r="G3066">
        <f t="shared" si="248"/>
        <v>25</v>
      </c>
      <c r="H3066" t="s">
        <v>361</v>
      </c>
    </row>
    <row r="3067" spans="1:9" x14ac:dyDescent="0.25">
      <c r="A3067" s="15">
        <f t="shared" si="244"/>
        <v>45533</v>
      </c>
      <c r="B3067" s="31">
        <f>TIME(11,11,0)</f>
        <v>0.46597222222222223</v>
      </c>
      <c r="C3067" t="str">
        <f>'Inventory as of 12th Aug 2024'!A79</f>
        <v xml:space="preserve">Whitewash </v>
      </c>
      <c r="D3067" s="26">
        <v>1</v>
      </c>
      <c r="E3067" s="5">
        <f>Table4[[#This Row],[qty]]*(VLOOKUP(Table4[[#This Row],[item_sold]],Table1[],5,FALSE))</f>
        <v>50</v>
      </c>
      <c r="F3067" s="5">
        <f>(VLOOKUP(Table4[[#This Row],[item_sold]],Table1[],4,FALSE))*Table4[[#This Row],[qty]]</f>
        <v>33.75</v>
      </c>
      <c r="G3067">
        <f t="shared" si="248"/>
        <v>16.25</v>
      </c>
      <c r="H3067" t="s">
        <v>361</v>
      </c>
    </row>
    <row r="3068" spans="1:9" x14ac:dyDescent="0.25">
      <c r="A3068" s="15">
        <f t="shared" si="244"/>
        <v>45533</v>
      </c>
      <c r="B3068" s="31">
        <f>TIME(11,30,0)</f>
        <v>0.47916666666666669</v>
      </c>
      <c r="C3068" t="str">
        <f>'Inventory as of 12th Aug 2024'!A57</f>
        <v>Sportsman</v>
      </c>
      <c r="D3068" s="26">
        <v>1</v>
      </c>
      <c r="E3068" s="5">
        <f>Table4[[#This Row],[qty]]*(VLOOKUP(Table4[[#This Row],[item_sold]],Table1[],5,FALSE))</f>
        <v>20</v>
      </c>
      <c r="F3068" s="5">
        <f>(VLOOKUP(Table4[[#This Row],[item_sold]],Table1[],4,FALSE))*Table4[[#This Row],[qty]]</f>
        <v>13</v>
      </c>
      <c r="G3068">
        <f t="shared" si="248"/>
        <v>7</v>
      </c>
      <c r="H3068" t="s">
        <v>361</v>
      </c>
    </row>
    <row r="3069" spans="1:9" x14ac:dyDescent="0.25">
      <c r="A3069" s="15">
        <f t="shared" si="244"/>
        <v>45533</v>
      </c>
      <c r="B3069" s="31">
        <f>TIME(11,59,0)</f>
        <v>0.4993055555555555</v>
      </c>
      <c r="C3069" t="str">
        <f>'Inventory as of 12th Aug 2024'!A6</f>
        <v>Airtel 10 Credit</v>
      </c>
      <c r="D3069" s="26">
        <v>2</v>
      </c>
      <c r="E3069" s="5">
        <f>Table4[[#This Row],[qty]]*(VLOOKUP(Table4[[#This Row],[item_sold]],Table1[],5,FALSE))</f>
        <v>20</v>
      </c>
      <c r="F3069" s="5">
        <f>(VLOOKUP(Table4[[#This Row],[item_sold]],Table1[],4,FALSE))*Table4[[#This Row],[qty]]</f>
        <v>18</v>
      </c>
      <c r="G3069">
        <f t="shared" si="248"/>
        <v>2</v>
      </c>
      <c r="H3069" t="s">
        <v>247</v>
      </c>
    </row>
    <row r="3070" spans="1:9" x14ac:dyDescent="0.25">
      <c r="A3070" s="15">
        <f t="shared" si="244"/>
        <v>45533</v>
      </c>
      <c r="B3070" s="31">
        <f>TIME(11,59,0)</f>
        <v>0.4993055555555555</v>
      </c>
      <c r="C3070" t="str">
        <f>'Inventory as of 12th Aug 2024'!A3</f>
        <v>Safaricom 10 Credit</v>
      </c>
      <c r="D3070" s="26">
        <v>3</v>
      </c>
      <c r="E3070" s="5">
        <f>Table4[[#This Row],[qty]]*(VLOOKUP(Table4[[#This Row],[item_sold]],Table1[],5,FALSE))</f>
        <v>30</v>
      </c>
      <c r="F3070" s="5">
        <f>(VLOOKUP(Table4[[#This Row],[item_sold]],Table1[],4,FALSE))*Table4[[#This Row],[qty]]</f>
        <v>27</v>
      </c>
      <c r="G3070">
        <f t="shared" si="248"/>
        <v>3</v>
      </c>
      <c r="H3070" t="s">
        <v>247</v>
      </c>
    </row>
    <row r="3071" spans="1:9" x14ac:dyDescent="0.25">
      <c r="A3071" s="15">
        <f t="shared" si="244"/>
        <v>45533</v>
      </c>
      <c r="B3071" s="31">
        <f>TIME(12,28,0)</f>
        <v>0.51944444444444449</v>
      </c>
      <c r="C3071" t="str">
        <f>'Inventory as of 12th Aug 2024'!A213</f>
        <v>soda 500ml glass</v>
      </c>
      <c r="D3071" s="26">
        <v>1</v>
      </c>
      <c r="E3071" s="5">
        <f>Table4[[#This Row],[qty]]*(VLOOKUP(Table4[[#This Row],[item_sold]],Table1[],5,FALSE))</f>
        <v>55</v>
      </c>
      <c r="F3071" s="5">
        <f>(VLOOKUP(Table4[[#This Row],[item_sold]],Table1[],4,FALSE))*Table4[[#This Row],[qty]]</f>
        <v>50</v>
      </c>
      <c r="G3071">
        <f t="shared" si="248"/>
        <v>5</v>
      </c>
      <c r="H3071" t="s">
        <v>361</v>
      </c>
    </row>
    <row r="3072" spans="1:9" x14ac:dyDescent="0.25">
      <c r="A3072" s="15">
        <f t="shared" si="244"/>
        <v>45533</v>
      </c>
      <c r="B3072" s="31">
        <f>TIME(12,31,0)</f>
        <v>0.52152777777777781</v>
      </c>
      <c r="C3072" t="str">
        <f>'Inventory as of 12th Aug 2024'!A51</f>
        <v>Sindano rice</v>
      </c>
      <c r="D3072" s="26">
        <v>1</v>
      </c>
      <c r="E3072" s="5">
        <f>Table4[[#This Row],[qty]]*(VLOOKUP(Table4[[#This Row],[item_sold]],Table1[],5,FALSE))</f>
        <v>150</v>
      </c>
      <c r="F3072" s="5">
        <f>(VLOOKUP(Table4[[#This Row],[item_sold]],Table1[],4,FALSE))*Table4[[#This Row],[qty]]</f>
        <v>120</v>
      </c>
      <c r="G3072">
        <f t="shared" si="248"/>
        <v>30</v>
      </c>
      <c r="H3072" t="s">
        <v>430</v>
      </c>
      <c r="I3072" t="s">
        <v>389</v>
      </c>
    </row>
    <row r="3073" spans="1:12" x14ac:dyDescent="0.25">
      <c r="A3073" s="15">
        <f t="shared" si="244"/>
        <v>45533</v>
      </c>
      <c r="B3073" s="31">
        <f>TIME(12,40,0)</f>
        <v>0.52777777777777779</v>
      </c>
      <c r="C3073" t="str">
        <f>'Inventory as of 12th Aug 2024'!A238</f>
        <v>Tropical</v>
      </c>
      <c r="D3073" s="26">
        <v>4</v>
      </c>
      <c r="E3073" s="5">
        <f>Table4[[#This Row],[qty]]*(VLOOKUP(Table4[[#This Row],[item_sold]],Table1[],5,FALSE))</f>
        <v>20</v>
      </c>
      <c r="F3073" s="5">
        <f>(VLOOKUP(Table4[[#This Row],[item_sold]],Table1[],4,FALSE))*Table4[[#This Row],[qty]]</f>
        <v>6</v>
      </c>
      <c r="G3073">
        <f t="shared" si="248"/>
        <v>14</v>
      </c>
      <c r="H3073" t="s">
        <v>247</v>
      </c>
    </row>
    <row r="3074" spans="1:12" x14ac:dyDescent="0.25">
      <c r="A3074" s="15">
        <f t="shared" si="244"/>
        <v>45533</v>
      </c>
      <c r="B3074" s="31">
        <f>TIME(12,52,0)</f>
        <v>0.53611111111111109</v>
      </c>
      <c r="C3074" t="str">
        <f>'Inventory as of 12th Aug 2024'!A129</f>
        <v>Eno</v>
      </c>
      <c r="D3074" s="26">
        <v>2</v>
      </c>
      <c r="E3074" s="5">
        <f>Table4[[#This Row],[qty]]*(VLOOKUP(Table4[[#This Row],[item_sold]],Table1[],5,FALSE))</f>
        <v>40</v>
      </c>
      <c r="F3074" s="5">
        <f>(VLOOKUP(Table4[[#This Row],[item_sold]],Table1[],4,FALSE))*Table4[[#This Row],[qty]]</f>
        <v>22</v>
      </c>
      <c r="G3074">
        <f t="shared" si="248"/>
        <v>18</v>
      </c>
      <c r="H3074" t="s">
        <v>361</v>
      </c>
    </row>
    <row r="3075" spans="1:12" x14ac:dyDescent="0.25">
      <c r="A3075" s="15">
        <f t="shared" si="244"/>
        <v>45533</v>
      </c>
      <c r="B3075" s="31">
        <f>TIME(13,4,0)</f>
        <v>0.5444444444444444</v>
      </c>
      <c r="C3075" t="str">
        <f>'Inventory as of 12th Aug 2024'!A211</f>
        <v>predator</v>
      </c>
      <c r="D3075" s="26">
        <v>1</v>
      </c>
      <c r="E3075" s="5">
        <f>Table4[[#This Row],[qty]]*(VLOOKUP(Table4[[#This Row],[item_sold]],Table1[],5,FALSE))</f>
        <v>70</v>
      </c>
      <c r="F3075" s="5">
        <f>(VLOOKUP(Table4[[#This Row],[item_sold]],Table1[],4,FALSE))*Table4[[#This Row],[qty]]</f>
        <v>54.166666666666664</v>
      </c>
      <c r="G3075">
        <f t="shared" si="248"/>
        <v>15.833333333333336</v>
      </c>
      <c r="H3075" t="s">
        <v>430</v>
      </c>
      <c r="I3075" t="s">
        <v>401</v>
      </c>
    </row>
    <row r="3076" spans="1:12" x14ac:dyDescent="0.25">
      <c r="A3076" s="15">
        <f t="shared" si="244"/>
        <v>45533</v>
      </c>
      <c r="B3076" s="31">
        <f t="shared" ref="B3076" si="249">TIME(13,4,0)</f>
        <v>0.5444444444444444</v>
      </c>
      <c r="C3076" t="str">
        <f>'Inventory as of 12th Aug 2024'!A194</f>
        <v>Half pound cake</v>
      </c>
      <c r="D3076" s="26">
        <v>1</v>
      </c>
      <c r="E3076" s="5">
        <f>Table4[[#This Row],[qty]]*(VLOOKUP(Table4[[#This Row],[item_sold]],Table1[],5,FALSE))</f>
        <v>100</v>
      </c>
      <c r="F3076" s="5">
        <f>(VLOOKUP(Table4[[#This Row],[item_sold]],Table1[],4,FALSE))*Table4[[#This Row],[qty]]</f>
        <v>90</v>
      </c>
      <c r="G3076">
        <f t="shared" si="248"/>
        <v>10</v>
      </c>
      <c r="H3076" t="s">
        <v>430</v>
      </c>
      <c r="I3076" t="s">
        <v>401</v>
      </c>
      <c r="J3076" t="s">
        <v>384</v>
      </c>
      <c r="K3076">
        <v>245</v>
      </c>
      <c r="L3076" t="s">
        <v>361</v>
      </c>
    </row>
    <row r="3077" spans="1:12" x14ac:dyDescent="0.25">
      <c r="A3077" s="15">
        <f t="shared" si="244"/>
        <v>45533</v>
      </c>
      <c r="B3077" s="31">
        <f>TIME(13,15,0)</f>
        <v>0.55208333333333337</v>
      </c>
      <c r="C3077" t="str">
        <f>'Inventory as of 12th Aug 2024'!A16</f>
        <v>Mt kenya milk 500ml</v>
      </c>
      <c r="D3077" s="26">
        <v>1</v>
      </c>
      <c r="E3077" s="5">
        <f>Table4[[#This Row],[qty]]*(VLOOKUP(Table4[[#This Row],[item_sold]],Table1[],5,FALSE))</f>
        <v>65</v>
      </c>
      <c r="F3077" s="5">
        <f>(VLOOKUP(Table4[[#This Row],[item_sold]],Table1[],4,FALSE))*Table4[[#This Row],[qty]]</f>
        <v>48.333333333333336</v>
      </c>
      <c r="G3077">
        <f t="shared" si="248"/>
        <v>16.666666666666664</v>
      </c>
      <c r="H3077" t="s">
        <v>361</v>
      </c>
    </row>
    <row r="3078" spans="1:12" x14ac:dyDescent="0.25">
      <c r="A3078" s="15">
        <f t="shared" si="244"/>
        <v>45533</v>
      </c>
      <c r="B3078" s="31">
        <f t="shared" ref="B3078:B3079" si="250">TIME(13,15,0)</f>
        <v>0.55208333333333337</v>
      </c>
      <c r="C3078" t="str">
        <f>'Inventory as of 12th Aug 2024'!A107</f>
        <v>Match Box</v>
      </c>
      <c r="D3078" s="26">
        <v>1</v>
      </c>
      <c r="E3078" s="5">
        <f>Table4[[#This Row],[qty]]*(VLOOKUP(Table4[[#This Row],[item_sold]],Table1[],5,FALSE))</f>
        <v>5</v>
      </c>
      <c r="F3078" s="5">
        <f>(VLOOKUP(Table4[[#This Row],[item_sold]],Table1[],4,FALSE))*Table4[[#This Row],[qty]]</f>
        <v>2.3611111111111112</v>
      </c>
      <c r="G3078">
        <f t="shared" si="248"/>
        <v>2.6388888888888888</v>
      </c>
      <c r="H3078" t="s">
        <v>361</v>
      </c>
    </row>
    <row r="3079" spans="1:12" x14ac:dyDescent="0.25">
      <c r="A3079" s="15">
        <f t="shared" si="244"/>
        <v>45533</v>
      </c>
      <c r="B3079" s="31">
        <f t="shared" si="250"/>
        <v>0.55208333333333337</v>
      </c>
      <c r="C3079" t="str">
        <f>'Inventory as of 12th Aug 2024'!A233</f>
        <v>Lollipop</v>
      </c>
      <c r="D3079" s="26">
        <v>1</v>
      </c>
      <c r="E3079" s="5">
        <f>Table4[[#This Row],[qty]]*(VLOOKUP(Table4[[#This Row],[item_sold]],Table1[],5,FALSE))</f>
        <v>5</v>
      </c>
      <c r="F3079" s="5">
        <f>(VLOOKUP(Table4[[#This Row],[item_sold]],Table1[],4,FALSE))*Table4[[#This Row],[qty]]</f>
        <v>2.4</v>
      </c>
      <c r="G3079">
        <f t="shared" si="248"/>
        <v>2.6</v>
      </c>
      <c r="H3079" t="s">
        <v>361</v>
      </c>
    </row>
    <row r="3080" spans="1:12" x14ac:dyDescent="0.25">
      <c r="A3080" s="15">
        <f t="shared" si="244"/>
        <v>45533</v>
      </c>
      <c r="B3080" s="31">
        <f>TIME(13,21,0)</f>
        <v>0.55625000000000002</v>
      </c>
      <c r="C3080" t="str">
        <f>'Inventory as of 12th Aug 2024'!A33</f>
        <v>BB Bread 400g</v>
      </c>
      <c r="D3080" s="26">
        <v>1</v>
      </c>
      <c r="E3080" s="5">
        <f>Table4[[#This Row],[qty]]*(VLOOKUP(Table4[[#This Row],[item_sold]],Table1[],5,FALSE))</f>
        <v>65</v>
      </c>
      <c r="F3080" s="5">
        <f>(VLOOKUP(Table4[[#This Row],[item_sold]],Table1[],4,FALSE))*Table4[[#This Row],[qty]]</f>
        <v>60</v>
      </c>
      <c r="G3080">
        <f t="shared" si="248"/>
        <v>5</v>
      </c>
      <c r="H3080" t="s">
        <v>361</v>
      </c>
    </row>
    <row r="3081" spans="1:12" x14ac:dyDescent="0.25">
      <c r="A3081" s="15">
        <f t="shared" si="244"/>
        <v>45533</v>
      </c>
      <c r="B3081" s="31">
        <f t="shared" ref="B3081:B3084" si="251">TIME(13,21,0)</f>
        <v>0.55625000000000002</v>
      </c>
      <c r="C3081" t="str">
        <f>'Inventory as of 12th Aug 2024'!A207</f>
        <v>soda 350ml plastic</v>
      </c>
      <c r="D3081" s="26">
        <v>1</v>
      </c>
      <c r="E3081" s="5">
        <f>Table4[[#This Row],[qty]]*(VLOOKUP(Table4[[#This Row],[item_sold]],Table1[],5,FALSE))</f>
        <v>50</v>
      </c>
      <c r="F3081" s="5">
        <f>(VLOOKUP(Table4[[#This Row],[item_sold]],Table1[],4,FALSE))*Table4[[#This Row],[qty]]</f>
        <v>41.666666666666664</v>
      </c>
      <c r="G3081">
        <f t="shared" si="248"/>
        <v>8.3333333333333357</v>
      </c>
      <c r="H3081" t="s">
        <v>361</v>
      </c>
    </row>
    <row r="3082" spans="1:12" x14ac:dyDescent="0.25">
      <c r="A3082" s="15">
        <f t="shared" si="244"/>
        <v>45533</v>
      </c>
      <c r="B3082" s="31">
        <f t="shared" si="251"/>
        <v>0.55625000000000002</v>
      </c>
      <c r="C3082" t="str">
        <f>'Inventory as of 12th Aug 2024'!A16</f>
        <v>Mt kenya milk 500ml</v>
      </c>
      <c r="D3082" s="26">
        <v>1</v>
      </c>
      <c r="E3082" s="5">
        <f>Table4[[#This Row],[qty]]*(VLOOKUP(Table4[[#This Row],[item_sold]],Table1[],5,FALSE))</f>
        <v>65</v>
      </c>
      <c r="F3082" s="5">
        <f>(VLOOKUP(Table4[[#This Row],[item_sold]],Table1[],4,FALSE))*Table4[[#This Row],[qty]]</f>
        <v>48.333333333333336</v>
      </c>
      <c r="G3082">
        <f t="shared" si="248"/>
        <v>16.666666666666664</v>
      </c>
      <c r="H3082" t="s">
        <v>361</v>
      </c>
    </row>
    <row r="3083" spans="1:12" x14ac:dyDescent="0.25">
      <c r="A3083" s="15">
        <f t="shared" si="244"/>
        <v>45533</v>
      </c>
      <c r="B3083" s="31">
        <f t="shared" si="251"/>
        <v>0.55625000000000002</v>
      </c>
      <c r="C3083" t="str">
        <f>'Inventory as of 12th Aug 2024'!A188</f>
        <v>Choc-chip Cookies</v>
      </c>
      <c r="D3083" s="26">
        <v>1</v>
      </c>
      <c r="E3083" s="5">
        <f>Table4[[#This Row],[qty]]*(VLOOKUP(Table4[[#This Row],[item_sold]],Table1[],5,FALSE))</f>
        <v>35</v>
      </c>
      <c r="F3083" s="5">
        <f>(VLOOKUP(Table4[[#This Row],[item_sold]],Table1[],4,FALSE))*Table4[[#This Row],[qty]]</f>
        <v>25</v>
      </c>
      <c r="G3083">
        <f t="shared" si="248"/>
        <v>10</v>
      </c>
      <c r="H3083" t="s">
        <v>361</v>
      </c>
    </row>
    <row r="3084" spans="1:12" x14ac:dyDescent="0.25">
      <c r="A3084" s="15">
        <f t="shared" si="244"/>
        <v>45533</v>
      </c>
      <c r="B3084" s="31">
        <f t="shared" si="251"/>
        <v>0.55625000000000002</v>
      </c>
      <c r="C3084" t="str">
        <f>'Inventory as of 12th Aug 2024'!A234</f>
        <v>Bigdaddy</v>
      </c>
      <c r="D3084" s="26">
        <v>1</v>
      </c>
      <c r="E3084" s="5">
        <f>Table4[[#This Row],[qty]]*(VLOOKUP(Table4[[#This Row],[item_sold]],Table1[],5,FALSE))</f>
        <v>10</v>
      </c>
      <c r="F3084" s="5">
        <f>(VLOOKUP(Table4[[#This Row],[item_sold]],Table1[],4,FALSE))*Table4[[#This Row],[qty]]</f>
        <v>6</v>
      </c>
      <c r="G3084">
        <f t="shared" si="248"/>
        <v>4</v>
      </c>
      <c r="H3084" t="s">
        <v>361</v>
      </c>
    </row>
    <row r="3085" spans="1:12" x14ac:dyDescent="0.25">
      <c r="A3085" s="15">
        <f t="shared" si="244"/>
        <v>45533</v>
      </c>
      <c r="B3085" s="31">
        <f>TIME(12,58,0)</f>
        <v>0.54027777777777775</v>
      </c>
      <c r="C3085" t="str">
        <f>'Inventory as of 12th Aug 2024'!A8</f>
        <v>eggs</v>
      </c>
      <c r="D3085" s="26">
        <v>7</v>
      </c>
      <c r="E3085" s="5">
        <f>Table4[[#This Row],[qty]]*(VLOOKUP(Table4[[#This Row],[item_sold]],Table1[],5,FALSE))</f>
        <v>140</v>
      </c>
      <c r="F3085" s="5">
        <f>(VLOOKUP(Table4[[#This Row],[item_sold]],Table1[],4,FALSE))*Table4[[#This Row],[qty]]</f>
        <v>100.33333333333334</v>
      </c>
      <c r="G3085">
        <f t="shared" si="248"/>
        <v>39.666666666666657</v>
      </c>
      <c r="H3085" t="s">
        <v>361</v>
      </c>
    </row>
    <row r="3086" spans="1:12" x14ac:dyDescent="0.25">
      <c r="A3086" s="15">
        <f t="shared" si="244"/>
        <v>45533</v>
      </c>
      <c r="B3086" s="31">
        <f t="shared" ref="B3086:B3087" si="252">TIME(12,58,0)</f>
        <v>0.54027777777777775</v>
      </c>
      <c r="C3086" t="str">
        <f>'Inventory as of 12th Aug 2024'!A227</f>
        <v>Battery AA</v>
      </c>
      <c r="D3086" s="26">
        <v>2</v>
      </c>
      <c r="E3086" s="5">
        <f>Table4[[#This Row],[qty]]*(VLOOKUP(Table4[[#This Row],[item_sold]],Table1[],5,FALSE))</f>
        <v>30</v>
      </c>
      <c r="F3086" s="5">
        <f>(VLOOKUP(Table4[[#This Row],[item_sold]],Table1[],4,FALSE))*Table4[[#This Row],[qty]]</f>
        <v>20</v>
      </c>
      <c r="G3086">
        <f t="shared" si="248"/>
        <v>10</v>
      </c>
      <c r="H3086" t="s">
        <v>361</v>
      </c>
    </row>
    <row r="3087" spans="1:12" x14ac:dyDescent="0.25">
      <c r="A3087" s="15">
        <f t="shared" si="244"/>
        <v>45533</v>
      </c>
      <c r="B3087" s="31">
        <f t="shared" si="252"/>
        <v>0.54027777777777775</v>
      </c>
      <c r="C3087" t="str">
        <f>'Inventory as of 12th Aug 2024'!A68</f>
        <v>Royco cubes</v>
      </c>
      <c r="D3087" s="26">
        <v>2</v>
      </c>
      <c r="E3087" s="5">
        <f>Table4[[#This Row],[qty]]*(VLOOKUP(Table4[[#This Row],[item_sold]],Table1[],5,FALSE))</f>
        <v>10</v>
      </c>
      <c r="F3087" s="5">
        <f>(VLOOKUP(Table4[[#This Row],[item_sold]],Table1[],4,FALSE))*Table4[[#This Row],[qty]]</f>
        <v>6</v>
      </c>
      <c r="G3087">
        <f t="shared" si="248"/>
        <v>4</v>
      </c>
      <c r="H3087" t="s">
        <v>361</v>
      </c>
    </row>
    <row r="3088" spans="1:12" x14ac:dyDescent="0.25">
      <c r="A3088" s="15">
        <f t="shared" si="244"/>
        <v>45533</v>
      </c>
      <c r="B3088" s="31">
        <f>TIME(14,42,0)</f>
        <v>0.61249999999999993</v>
      </c>
      <c r="C3088" t="str">
        <f>'Inventory as of 12th Aug 2024'!A192</f>
        <v>Lemon Bisquit</v>
      </c>
      <c r="D3088" s="26">
        <v>4</v>
      </c>
      <c r="E3088" s="5">
        <f>Table4[[#This Row],[qty]]*(VLOOKUP(Table4[[#This Row],[item_sold]],Table1[],5,FALSE))</f>
        <v>20</v>
      </c>
      <c r="F3088" s="5">
        <f>(VLOOKUP(Table4[[#This Row],[item_sold]],Table1[],4,FALSE))*Table4[[#This Row],[qty]]</f>
        <v>17.333333333333332</v>
      </c>
      <c r="G3088">
        <f t="shared" si="248"/>
        <v>2.6666666666666679</v>
      </c>
      <c r="H3088" t="s">
        <v>361</v>
      </c>
    </row>
    <row r="3089" spans="1:9" x14ac:dyDescent="0.25">
      <c r="A3089" s="15">
        <f t="shared" si="244"/>
        <v>45533</v>
      </c>
      <c r="B3089" s="31">
        <f>TIME(14,53,0)</f>
        <v>0.62013888888888891</v>
      </c>
      <c r="C3089" t="str">
        <f>'Inventory as of 12th Aug 2024'!A213</f>
        <v>soda 500ml glass</v>
      </c>
      <c r="D3089" s="26">
        <v>1</v>
      </c>
      <c r="E3089" s="5">
        <f>Table4[[#This Row],[qty]]*(VLOOKUP(Table4[[#This Row],[item_sold]],Table1[],5,FALSE))</f>
        <v>55</v>
      </c>
      <c r="F3089" s="5">
        <f>(VLOOKUP(Table4[[#This Row],[item_sold]],Table1[],4,FALSE))*Table4[[#This Row],[qty]]</f>
        <v>50</v>
      </c>
      <c r="G3089">
        <f t="shared" si="248"/>
        <v>5</v>
      </c>
      <c r="H3089" t="s">
        <v>247</v>
      </c>
    </row>
    <row r="3090" spans="1:9" x14ac:dyDescent="0.25">
      <c r="A3090" s="15">
        <f t="shared" si="244"/>
        <v>45533</v>
      </c>
      <c r="B3090" s="31">
        <f t="shared" ref="B3090" si="253">TIME(14,53,0)</f>
        <v>0.62013888888888891</v>
      </c>
      <c r="C3090" t="str">
        <f>'Inventory as of 12th Aug 2024'!A193</f>
        <v>Ginger Bisquit</v>
      </c>
      <c r="D3090" s="26">
        <v>3</v>
      </c>
      <c r="E3090" s="5">
        <f>Table4[[#This Row],[qty]]*(VLOOKUP(Table4[[#This Row],[item_sold]],Table1[],5,FALSE))</f>
        <v>15</v>
      </c>
      <c r="F3090" s="5">
        <f>(VLOOKUP(Table4[[#This Row],[item_sold]],Table1[],4,FALSE))*Table4[[#This Row],[qty]]</f>
        <v>13</v>
      </c>
      <c r="G3090">
        <f t="shared" si="248"/>
        <v>2</v>
      </c>
      <c r="H3090" t="s">
        <v>247</v>
      </c>
    </row>
    <row r="3091" spans="1:9" x14ac:dyDescent="0.25">
      <c r="A3091" s="15">
        <f>DATE(2024,8,29)</f>
        <v>45533</v>
      </c>
      <c r="B3091" s="31">
        <f>TIME(15,9,0)</f>
        <v>0.63124999999999998</v>
      </c>
      <c r="C3091" t="str">
        <f>'Inventory as of 12th Aug 2024'!A68</f>
        <v>Royco cubes</v>
      </c>
      <c r="D3091" s="26">
        <v>4</v>
      </c>
      <c r="E3091" s="5">
        <f>Table4[[#This Row],[qty]]*(VLOOKUP(Table4[[#This Row],[item_sold]],Table1[],5,FALSE))</f>
        <v>20</v>
      </c>
      <c r="F3091" s="5">
        <f>(VLOOKUP(Table4[[#This Row],[item_sold]],Table1[],4,FALSE))*Table4[[#This Row],[qty]]</f>
        <v>12</v>
      </c>
      <c r="G3091">
        <f t="shared" si="248"/>
        <v>8</v>
      </c>
      <c r="H3091" t="s">
        <v>247</v>
      </c>
    </row>
    <row r="3092" spans="1:9" x14ac:dyDescent="0.25">
      <c r="A3092" s="15">
        <f t="shared" ref="A3092:A3134" si="254">DATE(2024,8,29)</f>
        <v>45533</v>
      </c>
      <c r="B3092" s="31">
        <f>TIME(15,44,0)</f>
        <v>0.65555555555555556</v>
      </c>
      <c r="C3092" t="str">
        <f>'Inventory as of 12th Aug 2024'!A134</f>
        <v>Hanaan Tissue</v>
      </c>
      <c r="D3092" s="26">
        <v>1</v>
      </c>
      <c r="E3092" s="5">
        <f>Table4[[#This Row],[qty]]*(VLOOKUP(Table4[[#This Row],[item_sold]],Table1[],5,FALSE))</f>
        <v>55</v>
      </c>
      <c r="F3092" s="5">
        <f>(VLOOKUP(Table4[[#This Row],[item_sold]],Table1[],4,FALSE))*Table4[[#This Row],[qty]]</f>
        <v>43</v>
      </c>
      <c r="G3092">
        <f t="shared" si="248"/>
        <v>12</v>
      </c>
      <c r="H3092" t="s">
        <v>430</v>
      </c>
      <c r="I3092" t="s">
        <v>384</v>
      </c>
    </row>
    <row r="3093" spans="1:9" x14ac:dyDescent="0.25">
      <c r="A3093" s="15">
        <f t="shared" si="254"/>
        <v>45533</v>
      </c>
      <c r="B3093" s="31">
        <f>TIME(15,45,0)</f>
        <v>0.65625</v>
      </c>
      <c r="C3093" t="str">
        <f>'Inventory as of 12th Aug 2024'!A21</f>
        <v>kinangop250g youghurt</v>
      </c>
      <c r="D3093" s="26">
        <v>1</v>
      </c>
      <c r="E3093" s="5">
        <f>Table4[[#This Row],[qty]]*(VLOOKUP(Table4[[#This Row],[item_sold]],Table1[],5,FALSE))</f>
        <v>60</v>
      </c>
      <c r="F3093" s="5">
        <f>(VLOOKUP(Table4[[#This Row],[item_sold]],Table1[],4,FALSE))*Table4[[#This Row],[qty]]</f>
        <v>48.333333333333336</v>
      </c>
      <c r="G3093">
        <f t="shared" si="248"/>
        <v>11.666666666666664</v>
      </c>
      <c r="H3093" t="s">
        <v>430</v>
      </c>
      <c r="I3093" t="s">
        <v>395</v>
      </c>
    </row>
    <row r="3094" spans="1:9" x14ac:dyDescent="0.25">
      <c r="A3094" s="15">
        <f t="shared" si="254"/>
        <v>45533</v>
      </c>
      <c r="B3094" s="31">
        <f>TIME(17,14,0)</f>
        <v>0.71805555555555556</v>
      </c>
      <c r="C3094" t="str">
        <f>'Inventory as of 12th Aug 2024'!A45</f>
        <v>Ajab 1kg</v>
      </c>
      <c r="D3094" s="26">
        <v>1</v>
      </c>
      <c r="E3094" s="5">
        <f>Table4[[#This Row],[qty]]*(VLOOKUP(Table4[[#This Row],[item_sold]],Table1[],5,FALSE))</f>
        <v>120</v>
      </c>
      <c r="F3094" s="5">
        <f>(VLOOKUP(Table4[[#This Row],[item_sold]],Table1[],4,FALSE))*Table4[[#This Row],[qty]]</f>
        <v>87.5</v>
      </c>
      <c r="G3094">
        <f t="shared" si="248"/>
        <v>32.5</v>
      </c>
      <c r="H3094" t="s">
        <v>361</v>
      </c>
    </row>
    <row r="3095" spans="1:9" x14ac:dyDescent="0.25">
      <c r="A3095" s="15">
        <f t="shared" si="254"/>
        <v>45533</v>
      </c>
      <c r="B3095" s="31">
        <f>TIME(17,16,0)</f>
        <v>0.71944444444444444</v>
      </c>
      <c r="C3095" t="str">
        <f>'Inventory as of 12th Aug 2024'!A16</f>
        <v>Mt kenya milk 500ml</v>
      </c>
      <c r="D3095" s="26">
        <v>1</v>
      </c>
      <c r="E3095" s="5">
        <f>Table4[[#This Row],[qty]]*(VLOOKUP(Table4[[#This Row],[item_sold]],Table1[],5,FALSE))</f>
        <v>65</v>
      </c>
      <c r="F3095" s="5">
        <f>(VLOOKUP(Table4[[#This Row],[item_sold]],Table1[],4,FALSE))*Table4[[#This Row],[qty]]</f>
        <v>48.333333333333336</v>
      </c>
      <c r="G3095">
        <f t="shared" si="248"/>
        <v>16.666666666666664</v>
      </c>
      <c r="H3095" t="s">
        <v>430</v>
      </c>
      <c r="I3095" t="s">
        <v>397</v>
      </c>
    </row>
    <row r="3096" spans="1:9" x14ac:dyDescent="0.25">
      <c r="A3096" s="15">
        <f t="shared" si="254"/>
        <v>45533</v>
      </c>
      <c r="B3096" s="31">
        <f>TIME(17,32,0)</f>
        <v>0.73055555555555562</v>
      </c>
      <c r="C3096" t="str">
        <f>'Inventory as of 12th Aug 2024'!A7</f>
        <v>Airtel 50 Credit</v>
      </c>
      <c r="D3096" s="26">
        <v>1</v>
      </c>
      <c r="E3096" s="5">
        <f>Table4[[#This Row],[qty]]*(VLOOKUP(Table4[[#This Row],[item_sold]],Table1[],5,FALSE))</f>
        <v>50</v>
      </c>
      <c r="F3096" s="5">
        <f>(VLOOKUP(Table4[[#This Row],[item_sold]],Table1[],4,FALSE))*Table4[[#This Row],[qty]]</f>
        <v>47</v>
      </c>
      <c r="G3096">
        <f t="shared" si="248"/>
        <v>3</v>
      </c>
      <c r="H3096" t="s">
        <v>247</v>
      </c>
    </row>
    <row r="3097" spans="1:9" x14ac:dyDescent="0.25">
      <c r="A3097" s="15">
        <f t="shared" si="254"/>
        <v>45533</v>
      </c>
      <c r="B3097" s="31">
        <f>TIME(17,46,0)</f>
        <v>0.7402777777777777</v>
      </c>
      <c r="C3097" t="str">
        <f>'Inventory as of 12th Aug 2024'!A135</f>
        <v>Bella Tissue</v>
      </c>
      <c r="D3097" s="26">
        <v>1</v>
      </c>
      <c r="E3097" s="5">
        <f>Table4[[#This Row],[qty]]*(VLOOKUP(Table4[[#This Row],[item_sold]],Table1[],5,FALSE))</f>
        <v>50</v>
      </c>
      <c r="F3097" s="5">
        <f>(VLOOKUP(Table4[[#This Row],[item_sold]],Table1[],4,FALSE))*Table4[[#This Row],[qty]]</f>
        <v>35</v>
      </c>
      <c r="G3097">
        <f t="shared" si="248"/>
        <v>15</v>
      </c>
      <c r="H3097" t="s">
        <v>361</v>
      </c>
    </row>
    <row r="3098" spans="1:9" x14ac:dyDescent="0.25">
      <c r="A3098" s="15">
        <f t="shared" si="254"/>
        <v>45533</v>
      </c>
      <c r="B3098" s="31">
        <f>TIME(17,50,0)</f>
        <v>0.74305555555555547</v>
      </c>
      <c r="C3098" t="str">
        <f>'Inventory as of 12th Aug 2024'!A36</f>
        <v>Festive 800g</v>
      </c>
      <c r="D3098" s="26">
        <v>1</v>
      </c>
      <c r="E3098" s="5">
        <f>Table4[[#This Row],[qty]]*(VLOOKUP(Table4[[#This Row],[item_sold]],Table1[],5,FALSE))</f>
        <v>130</v>
      </c>
      <c r="F3098" s="5">
        <f>(VLOOKUP(Table4[[#This Row],[item_sold]],Table1[],4,FALSE))*Table4[[#This Row],[qty]]</f>
        <v>120</v>
      </c>
      <c r="G3098">
        <f t="shared" si="248"/>
        <v>10</v>
      </c>
      <c r="H3098" t="s">
        <v>361</v>
      </c>
    </row>
    <row r="3099" spans="1:9" x14ac:dyDescent="0.25">
      <c r="A3099" s="15">
        <f t="shared" si="254"/>
        <v>45533</v>
      </c>
      <c r="B3099" s="31">
        <f>TIME(18,15,0)</f>
        <v>0.76041666666666663</v>
      </c>
      <c r="C3099" t="str">
        <f>'Inventory as of 12th Aug 2024'!A33</f>
        <v>BB Bread 400g</v>
      </c>
      <c r="D3099" s="26">
        <v>1</v>
      </c>
      <c r="E3099" s="5">
        <f>Table4[[#This Row],[qty]]*(VLOOKUP(Table4[[#This Row],[item_sold]],Table1[],5,FALSE))</f>
        <v>65</v>
      </c>
      <c r="F3099" s="5">
        <f>(VLOOKUP(Table4[[#This Row],[item_sold]],Table1[],4,FALSE))*Table4[[#This Row],[qty]]</f>
        <v>60</v>
      </c>
      <c r="G3099">
        <f t="shared" si="248"/>
        <v>5</v>
      </c>
      <c r="H3099" t="s">
        <v>361</v>
      </c>
    </row>
    <row r="3100" spans="1:9" x14ac:dyDescent="0.25">
      <c r="A3100" s="15">
        <f t="shared" si="254"/>
        <v>45533</v>
      </c>
      <c r="B3100" s="31">
        <f>TIME(18,17,0)</f>
        <v>0.76180555555555562</v>
      </c>
      <c r="C3100" t="str">
        <f>'Inventory as of 12th Aug 2024'!A91</f>
        <v>Tomatoes</v>
      </c>
      <c r="D3100" s="26">
        <v>2</v>
      </c>
      <c r="E3100" s="5">
        <f>Table4[[#This Row],[qty]]*(VLOOKUP(Table4[[#This Row],[item_sold]],Table1[],5,FALSE))</f>
        <v>20</v>
      </c>
      <c r="F3100" s="5">
        <f>(VLOOKUP(Table4[[#This Row],[item_sold]],Table1[],4,FALSE))*Table4[[#This Row],[qty]]</f>
        <v>10</v>
      </c>
      <c r="G3100">
        <f t="shared" si="248"/>
        <v>10</v>
      </c>
      <c r="H3100" t="s">
        <v>361</v>
      </c>
    </row>
    <row r="3101" spans="1:9" x14ac:dyDescent="0.25">
      <c r="A3101" s="15">
        <f t="shared" si="254"/>
        <v>45533</v>
      </c>
      <c r="B3101" s="31">
        <f>TIME(18,20,0)</f>
        <v>0.76388888888888884</v>
      </c>
      <c r="C3101" t="str">
        <f>'Inventory as of 12th Aug 2024'!A22</f>
        <v>Delamere 450g yoghurt</v>
      </c>
      <c r="D3101" s="26">
        <v>1</v>
      </c>
      <c r="E3101" s="5">
        <f>Table4[[#This Row],[qty]]*(VLOOKUP(Table4[[#This Row],[item_sold]],Table1[],5,FALSE))</f>
        <v>160</v>
      </c>
      <c r="F3101" s="5">
        <f>(VLOOKUP(Table4[[#This Row],[item_sold]],Table1[],4,FALSE))*Table4[[#This Row],[qty]]</f>
        <v>137</v>
      </c>
      <c r="G3101">
        <f t="shared" si="248"/>
        <v>23</v>
      </c>
      <c r="H3101" t="s">
        <v>247</v>
      </c>
    </row>
    <row r="3102" spans="1:9" x14ac:dyDescent="0.25">
      <c r="A3102" s="15">
        <f t="shared" si="254"/>
        <v>45533</v>
      </c>
      <c r="B3102" s="31">
        <f>TIME(18,25,0)</f>
        <v>0.76736111111111116</v>
      </c>
      <c r="C3102" t="str">
        <f>'Inventory as of 12th Aug 2024'!A8</f>
        <v>eggs</v>
      </c>
      <c r="D3102" s="26">
        <v>2</v>
      </c>
      <c r="E3102" s="5">
        <f>Table4[[#This Row],[qty]]*(VLOOKUP(Table4[[#This Row],[item_sold]],Table1[],5,FALSE))</f>
        <v>40</v>
      </c>
      <c r="F3102" s="5">
        <f>(VLOOKUP(Table4[[#This Row],[item_sold]],Table1[],4,FALSE))*Table4[[#This Row],[qty]]</f>
        <v>28.666666666666668</v>
      </c>
      <c r="G3102">
        <f t="shared" si="248"/>
        <v>11.333333333333332</v>
      </c>
      <c r="H3102" t="s">
        <v>361</v>
      </c>
    </row>
    <row r="3103" spans="1:9" x14ac:dyDescent="0.25">
      <c r="A3103" s="15">
        <f t="shared" si="254"/>
        <v>45533</v>
      </c>
      <c r="B3103" s="31">
        <f>TIME(18,25,0)</f>
        <v>0.76736111111111116</v>
      </c>
      <c r="C3103" t="str">
        <f>'Inventory as of 12th Aug 2024'!A192</f>
        <v>Lemon Bisquit</v>
      </c>
      <c r="D3103" s="26">
        <v>2</v>
      </c>
      <c r="E3103" s="5">
        <f>Table4[[#This Row],[qty]]*(VLOOKUP(Table4[[#This Row],[item_sold]],Table1[],5,FALSE))</f>
        <v>10</v>
      </c>
      <c r="F3103" s="5">
        <f>(VLOOKUP(Table4[[#This Row],[item_sold]],Table1[],4,FALSE))*Table4[[#This Row],[qty]]</f>
        <v>8.6666666666666661</v>
      </c>
      <c r="G3103">
        <f t="shared" si="248"/>
        <v>1.3333333333333339</v>
      </c>
      <c r="H3103" t="s">
        <v>361</v>
      </c>
    </row>
    <row r="3104" spans="1:9" x14ac:dyDescent="0.25">
      <c r="A3104" s="15">
        <f t="shared" si="254"/>
        <v>45533</v>
      </c>
      <c r="B3104" s="31">
        <f>TIME(18,36,0)</f>
        <v>0.77500000000000002</v>
      </c>
      <c r="C3104" t="str">
        <f>'Inventory as of 12th Aug 2024'!A68</f>
        <v>Royco cubes</v>
      </c>
      <c r="D3104" s="26">
        <v>2</v>
      </c>
      <c r="E3104" s="5">
        <f>Table4[[#This Row],[qty]]*(VLOOKUP(Table4[[#This Row],[item_sold]],Table1[],5,FALSE))</f>
        <v>10</v>
      </c>
      <c r="F3104" s="5">
        <f>(VLOOKUP(Table4[[#This Row],[item_sold]],Table1[],4,FALSE))*Table4[[#This Row],[qty]]</f>
        <v>6</v>
      </c>
      <c r="G3104">
        <f t="shared" si="248"/>
        <v>4</v>
      </c>
      <c r="H3104" t="s">
        <v>361</v>
      </c>
    </row>
    <row r="3105" spans="1:9" x14ac:dyDescent="0.25">
      <c r="A3105" s="15">
        <f t="shared" si="254"/>
        <v>45533</v>
      </c>
      <c r="B3105" s="31">
        <f>TIME(18,36,0)</f>
        <v>0.77500000000000002</v>
      </c>
      <c r="C3105" t="str">
        <f>'Inventory as of 12th Aug 2024'!A69</f>
        <v>Royco Beef Mchuzi Mix</v>
      </c>
      <c r="D3105" s="26">
        <v>1</v>
      </c>
      <c r="E3105" s="5">
        <f>Table4[[#This Row],[qty]]*(VLOOKUP(Table4[[#This Row],[item_sold]],Table1[],5,FALSE))</f>
        <v>10</v>
      </c>
      <c r="F3105" s="5">
        <f>(VLOOKUP(Table4[[#This Row],[item_sold]],Table1[],4,FALSE))*Table4[[#This Row],[qty]]</f>
        <v>8.3333333333333339</v>
      </c>
      <c r="G3105">
        <f t="shared" si="248"/>
        <v>1.6666666666666661</v>
      </c>
      <c r="H3105" t="s">
        <v>361</v>
      </c>
    </row>
    <row r="3106" spans="1:9" x14ac:dyDescent="0.25">
      <c r="A3106" s="15">
        <f t="shared" si="254"/>
        <v>45533</v>
      </c>
      <c r="B3106" s="31">
        <f>TIME(18,41,0)</f>
        <v>0.77847222222222223</v>
      </c>
      <c r="C3106" t="str">
        <f>'Inventory as of 12th Aug 2024'!A140</f>
        <v>Colgate 15g</v>
      </c>
      <c r="D3106" s="26">
        <v>1</v>
      </c>
      <c r="E3106" s="5">
        <f>Table4[[#This Row],[qty]]*(VLOOKUP(Table4[[#This Row],[item_sold]],Table1[],5,FALSE))</f>
        <v>50</v>
      </c>
      <c r="F3106" s="5">
        <f>(VLOOKUP(Table4[[#This Row],[item_sold]],Table1[],4,FALSE))*Table4[[#This Row],[qty]]</f>
        <v>36.25</v>
      </c>
      <c r="G3106">
        <f t="shared" si="248"/>
        <v>13.75</v>
      </c>
      <c r="H3106" t="s">
        <v>247</v>
      </c>
    </row>
    <row r="3107" spans="1:9" x14ac:dyDescent="0.25">
      <c r="A3107" s="15">
        <f t="shared" si="254"/>
        <v>45533</v>
      </c>
      <c r="B3107" s="31">
        <f t="shared" ref="B3107:B3108" si="255">TIME(18,41,0)</f>
        <v>0.77847222222222223</v>
      </c>
      <c r="C3107" t="str">
        <f>'Inventory as of 12th Aug 2024'!A79</f>
        <v xml:space="preserve">Whitewash </v>
      </c>
      <c r="D3107" s="26">
        <v>1</v>
      </c>
      <c r="E3107" s="5">
        <f>Table4[[#This Row],[qty]]*(VLOOKUP(Table4[[#This Row],[item_sold]],Table1[],5,FALSE))</f>
        <v>50</v>
      </c>
      <c r="F3107" s="5">
        <f>(VLOOKUP(Table4[[#This Row],[item_sold]],Table1[],4,FALSE))*Table4[[#This Row],[qty]]</f>
        <v>33.75</v>
      </c>
      <c r="G3107">
        <f t="shared" si="248"/>
        <v>16.25</v>
      </c>
      <c r="H3107" t="s">
        <v>247</v>
      </c>
    </row>
    <row r="3108" spans="1:9" x14ac:dyDescent="0.25">
      <c r="A3108" s="15">
        <f t="shared" si="254"/>
        <v>45533</v>
      </c>
      <c r="B3108" s="31">
        <f t="shared" si="255"/>
        <v>0.77847222222222223</v>
      </c>
      <c r="C3108" t="str">
        <f>'Inventory as of 12th Aug 2024'!A83</f>
        <v>omo 75g</v>
      </c>
      <c r="D3108" s="26">
        <v>1</v>
      </c>
      <c r="E3108" s="5">
        <f>Table4[[#This Row],[qty]]*(VLOOKUP(Table4[[#This Row],[item_sold]],Table1[],5,FALSE))</f>
        <v>35</v>
      </c>
      <c r="F3108" s="5">
        <f>(VLOOKUP(Table4[[#This Row],[item_sold]],Table1[],4,FALSE))*Table4[[#This Row],[qty]]</f>
        <v>27.5</v>
      </c>
      <c r="G3108">
        <f t="shared" si="248"/>
        <v>7.5</v>
      </c>
      <c r="H3108" t="s">
        <v>247</v>
      </c>
    </row>
    <row r="3109" spans="1:9" x14ac:dyDescent="0.25">
      <c r="A3109" s="15">
        <f t="shared" si="254"/>
        <v>45533</v>
      </c>
      <c r="B3109" s="31">
        <f>TIME(19,10,0)</f>
        <v>0.79861111111111116</v>
      </c>
      <c r="C3109" t="str">
        <f>'Inventory as of 12th Aug 2024'!A16</f>
        <v>Mt kenya milk 500ml</v>
      </c>
      <c r="D3109" s="26">
        <v>2</v>
      </c>
      <c r="E3109" s="5">
        <f>Table4[[#This Row],[qty]]*(VLOOKUP(Table4[[#This Row],[item_sold]],Table1[],5,FALSE))</f>
        <v>130</v>
      </c>
      <c r="F3109" s="5">
        <f>(VLOOKUP(Table4[[#This Row],[item_sold]],Table1[],4,FALSE))*Table4[[#This Row],[qty]]</f>
        <v>96.666666666666671</v>
      </c>
      <c r="G3109">
        <f t="shared" si="248"/>
        <v>33.333333333333329</v>
      </c>
      <c r="H3109" t="s">
        <v>361</v>
      </c>
    </row>
    <row r="3110" spans="1:9" x14ac:dyDescent="0.25">
      <c r="A3110" s="15">
        <f t="shared" si="254"/>
        <v>45533</v>
      </c>
      <c r="B3110" s="31">
        <f>TIME(19,10,0)</f>
        <v>0.79861111111111116</v>
      </c>
      <c r="C3110" t="str">
        <f>'Inventory as of 12th Aug 2024'!A41</f>
        <v>Indomie beef</v>
      </c>
      <c r="D3110" s="26">
        <v>2</v>
      </c>
      <c r="E3110" s="5">
        <f>Table4[[#This Row],[qty]]*(VLOOKUP(Table4[[#This Row],[item_sold]],Table1[],5,FALSE))</f>
        <v>100</v>
      </c>
      <c r="F3110" s="5">
        <f>(VLOOKUP(Table4[[#This Row],[item_sold]],Table1[],4,FALSE))*Table4[[#This Row],[qty]]</f>
        <v>76</v>
      </c>
      <c r="G3110">
        <f t="shared" si="248"/>
        <v>24</v>
      </c>
      <c r="H3110" t="s">
        <v>361</v>
      </c>
    </row>
    <row r="3111" spans="1:9" x14ac:dyDescent="0.25">
      <c r="A3111" s="15">
        <f t="shared" si="254"/>
        <v>45533</v>
      </c>
      <c r="B3111" s="31">
        <f>TIME(19,11,0)</f>
        <v>0.7993055555555556</v>
      </c>
      <c r="C3111" t="str">
        <f>'Inventory as of 12th Aug 2024'!A6</f>
        <v>Airtel 10 Credit</v>
      </c>
      <c r="D3111" s="26">
        <v>1</v>
      </c>
      <c r="E3111" s="5">
        <f>Table4[[#This Row],[qty]]*(VLOOKUP(Table4[[#This Row],[item_sold]],Table1[],5,FALSE))</f>
        <v>10</v>
      </c>
      <c r="F3111" s="5">
        <f>(VLOOKUP(Table4[[#This Row],[item_sold]],Table1[],4,FALSE))*Table4[[#This Row],[qty]]</f>
        <v>9</v>
      </c>
      <c r="G3111">
        <f t="shared" si="248"/>
        <v>1</v>
      </c>
      <c r="H3111" t="s">
        <v>247</v>
      </c>
    </row>
    <row r="3112" spans="1:9" x14ac:dyDescent="0.25">
      <c r="A3112" s="15">
        <f t="shared" si="254"/>
        <v>45533</v>
      </c>
      <c r="B3112" s="31">
        <f>TIME(19,11,0)</f>
        <v>0.7993055555555556</v>
      </c>
      <c r="C3112" t="str">
        <f>'Inventory as of 12th Aug 2024'!A5</f>
        <v>Airtel 20 Credit</v>
      </c>
      <c r="D3112" s="26">
        <v>1</v>
      </c>
      <c r="E3112" s="5">
        <f>Table4[[#This Row],[qty]]*(VLOOKUP(Table4[[#This Row],[item_sold]],Table1[],5,FALSE))</f>
        <v>20</v>
      </c>
      <c r="F3112" s="5">
        <f>(VLOOKUP(Table4[[#This Row],[item_sold]],Table1[],4,FALSE))*Table4[[#This Row],[qty]]</f>
        <v>18</v>
      </c>
      <c r="G3112">
        <f t="shared" si="248"/>
        <v>2</v>
      </c>
      <c r="H3112" t="s">
        <v>247</v>
      </c>
    </row>
    <row r="3113" spans="1:9" x14ac:dyDescent="0.25">
      <c r="A3113" s="15">
        <f t="shared" si="254"/>
        <v>45533</v>
      </c>
      <c r="B3113" s="31">
        <f>TIME(19,13,0)</f>
        <v>0.80069444444444438</v>
      </c>
      <c r="C3113" t="str">
        <f>'Inventory as of 12th Aug 2024'!A91</f>
        <v>Tomatoes</v>
      </c>
      <c r="D3113" s="26">
        <v>2</v>
      </c>
      <c r="E3113" s="5">
        <f>Table4[[#This Row],[qty]]*(VLOOKUP(Table4[[#This Row],[item_sold]],Table1[],5,FALSE))</f>
        <v>20</v>
      </c>
      <c r="F3113" s="5">
        <f>(VLOOKUP(Table4[[#This Row],[item_sold]],Table1[],4,FALSE))*Table4[[#This Row],[qty]]</f>
        <v>10</v>
      </c>
      <c r="G3113">
        <f t="shared" si="248"/>
        <v>10</v>
      </c>
      <c r="H3113" t="s">
        <v>361</v>
      </c>
    </row>
    <row r="3114" spans="1:9" x14ac:dyDescent="0.25">
      <c r="A3114" s="15">
        <f t="shared" si="254"/>
        <v>45533</v>
      </c>
      <c r="B3114" s="31">
        <f t="shared" ref="B3114:B3115" si="256">TIME(19,13,0)</f>
        <v>0.80069444444444438</v>
      </c>
      <c r="C3114" t="str">
        <f>'Inventory as of 12th Aug 2024'!A59</f>
        <v>kabras sugar 1kg</v>
      </c>
      <c r="D3114" s="26">
        <v>1</v>
      </c>
      <c r="E3114" s="5">
        <f>Table4[[#This Row],[qty]]*(VLOOKUP(Table4[[#This Row],[item_sold]],Table1[],5,FALSE))</f>
        <v>180</v>
      </c>
      <c r="F3114" s="5">
        <f>(VLOOKUP(Table4[[#This Row],[item_sold]],Table1[],4,FALSE))*Table4[[#This Row],[qty]]</f>
        <v>140</v>
      </c>
      <c r="G3114">
        <f t="shared" si="248"/>
        <v>40</v>
      </c>
      <c r="H3114" t="s">
        <v>361</v>
      </c>
    </row>
    <row r="3115" spans="1:9" x14ac:dyDescent="0.25">
      <c r="A3115" s="15">
        <f t="shared" si="254"/>
        <v>45533</v>
      </c>
      <c r="B3115" s="31">
        <f t="shared" si="256"/>
        <v>0.80069444444444438</v>
      </c>
      <c r="C3115" t="str">
        <f>'Inventory as of 12th Aug 2024'!A79</f>
        <v xml:space="preserve">Whitewash </v>
      </c>
      <c r="D3115" s="26">
        <v>1</v>
      </c>
      <c r="E3115" s="5">
        <f>Table4[[#This Row],[qty]]*(VLOOKUP(Table4[[#This Row],[item_sold]],Table1[],5,FALSE))</f>
        <v>50</v>
      </c>
      <c r="F3115" s="5">
        <f>(VLOOKUP(Table4[[#This Row],[item_sold]],Table1[],4,FALSE))*Table4[[#This Row],[qty]]</f>
        <v>33.75</v>
      </c>
      <c r="G3115">
        <f t="shared" si="248"/>
        <v>16.25</v>
      </c>
      <c r="H3115" t="s">
        <v>361</v>
      </c>
    </row>
    <row r="3116" spans="1:9" x14ac:dyDescent="0.25">
      <c r="A3116" s="15">
        <f t="shared" si="254"/>
        <v>45533</v>
      </c>
      <c r="B3116" s="31">
        <f>TIME(19,19,0)</f>
        <v>0.80486111111111114</v>
      </c>
      <c r="C3116" t="str">
        <f>'Inventory as of 12th Aug 2024'!A37</f>
        <v>Festive Bread 400g</v>
      </c>
      <c r="D3116" s="26">
        <v>1</v>
      </c>
      <c r="E3116" s="5">
        <f>Table4[[#This Row],[qty]]*(VLOOKUP(Table4[[#This Row],[item_sold]],Table1[],5,FALSE))</f>
        <v>65</v>
      </c>
      <c r="F3116" s="5">
        <f>(VLOOKUP(Table4[[#This Row],[item_sold]],Table1[],4,FALSE))*Table4[[#This Row],[qty]]</f>
        <v>60</v>
      </c>
      <c r="G3116">
        <f t="shared" si="248"/>
        <v>5</v>
      </c>
      <c r="H3116" t="s">
        <v>247</v>
      </c>
    </row>
    <row r="3117" spans="1:9" x14ac:dyDescent="0.25">
      <c r="A3117" s="15">
        <f t="shared" si="254"/>
        <v>45533</v>
      </c>
      <c r="B3117" s="31">
        <f>TIME(19,20,0)</f>
        <v>0.80555555555555547</v>
      </c>
      <c r="C3117" t="str">
        <f>'Inventory as of 12th Aug 2024'!A70</f>
        <v>Sugar 1/2 kg</v>
      </c>
      <c r="D3117" s="26">
        <v>1</v>
      </c>
      <c r="E3117" s="5">
        <f>Table4[[#This Row],[qty]]*(VLOOKUP(Table4[[#This Row],[item_sold]],Table1[],5,FALSE))</f>
        <v>90</v>
      </c>
      <c r="F3117" s="5">
        <f>(VLOOKUP(Table4[[#This Row],[item_sold]],Table1[],4,FALSE))*Table4[[#This Row],[qty]]</f>
        <v>60</v>
      </c>
      <c r="G3117">
        <f t="shared" si="248"/>
        <v>30</v>
      </c>
      <c r="H3117" t="s">
        <v>430</v>
      </c>
      <c r="I3117" t="s">
        <v>384</v>
      </c>
    </row>
    <row r="3118" spans="1:9" x14ac:dyDescent="0.25">
      <c r="A3118" s="15">
        <f t="shared" si="254"/>
        <v>45533</v>
      </c>
      <c r="B3118" s="31">
        <f>TIME(19,26,0)</f>
        <v>0.80972222222222223</v>
      </c>
      <c r="C3118" t="str">
        <f>'Inventory as of 12th Aug 2024'!A33</f>
        <v>BB Bread 400g</v>
      </c>
      <c r="D3118" s="26">
        <v>2</v>
      </c>
      <c r="E3118" s="5">
        <f>Table4[[#This Row],[qty]]*(VLOOKUP(Table4[[#This Row],[item_sold]],Table1[],5,FALSE))</f>
        <v>130</v>
      </c>
      <c r="F3118" s="5">
        <f>(VLOOKUP(Table4[[#This Row],[item_sold]],Table1[],4,FALSE))*Table4[[#This Row],[qty]]</f>
        <v>120</v>
      </c>
      <c r="G3118">
        <f t="shared" si="248"/>
        <v>10</v>
      </c>
      <c r="H3118" t="s">
        <v>247</v>
      </c>
    </row>
    <row r="3119" spans="1:9" x14ac:dyDescent="0.25">
      <c r="A3119" s="15">
        <f t="shared" si="254"/>
        <v>45533</v>
      </c>
      <c r="B3119" s="31">
        <f t="shared" ref="B3119" si="257">TIME(19,26,0)</f>
        <v>0.80972222222222223</v>
      </c>
      <c r="C3119" t="str">
        <f>'Inventory as of 12th Aug 2024'!A188</f>
        <v>Choc-chip Cookies</v>
      </c>
      <c r="D3119" s="26">
        <v>1</v>
      </c>
      <c r="E3119" s="5">
        <f>Table4[[#This Row],[qty]]*(VLOOKUP(Table4[[#This Row],[item_sold]],Table1[],5,FALSE))</f>
        <v>35</v>
      </c>
      <c r="F3119" s="5">
        <f>(VLOOKUP(Table4[[#This Row],[item_sold]],Table1[],4,FALSE))*Table4[[#This Row],[qty]]</f>
        <v>25</v>
      </c>
      <c r="G3119">
        <f t="shared" si="248"/>
        <v>10</v>
      </c>
      <c r="H3119" t="s">
        <v>247</v>
      </c>
    </row>
    <row r="3120" spans="1:9" x14ac:dyDescent="0.25">
      <c r="A3120" s="15">
        <f t="shared" si="254"/>
        <v>45533</v>
      </c>
      <c r="B3120" s="31">
        <f>TIME(19,36,0)</f>
        <v>0.81666666666666676</v>
      </c>
      <c r="C3120" t="str">
        <f>'Inventory as of 12th Aug 2024'!A158</f>
        <v>Vaseline</v>
      </c>
      <c r="D3120" s="26">
        <v>1</v>
      </c>
      <c r="E3120" s="5">
        <f>Table4[[#This Row],[qty]]*(VLOOKUP(Table4[[#This Row],[item_sold]],Table1[],5,FALSE))</f>
        <v>40</v>
      </c>
      <c r="F3120" s="5">
        <f>(VLOOKUP(Table4[[#This Row],[item_sold]],Table1[],4,FALSE))*Table4[[#This Row],[qty]]</f>
        <v>30</v>
      </c>
      <c r="G3120">
        <f t="shared" si="248"/>
        <v>10</v>
      </c>
      <c r="H3120" t="s">
        <v>361</v>
      </c>
    </row>
    <row r="3121" spans="1:12" x14ac:dyDescent="0.25">
      <c r="A3121" s="15">
        <f t="shared" si="254"/>
        <v>45533</v>
      </c>
      <c r="B3121" s="31">
        <f>TIME(19,45,0)</f>
        <v>0.82291666666666663</v>
      </c>
      <c r="C3121" t="str">
        <f>'Inventory as of 12th Aug 2024'!A58</f>
        <v>Safari</v>
      </c>
      <c r="D3121" s="26">
        <v>1</v>
      </c>
      <c r="E3121" s="5">
        <f>Table4[[#This Row],[qty]]*(VLOOKUP(Table4[[#This Row],[item_sold]],Table1[],5,FALSE))</f>
        <v>15</v>
      </c>
      <c r="F3121" s="5">
        <f>(VLOOKUP(Table4[[#This Row],[item_sold]],Table1[],4,FALSE))*Table4[[#This Row],[qty]]</f>
        <v>8.5</v>
      </c>
      <c r="G3121">
        <f t="shared" si="248"/>
        <v>6.5</v>
      </c>
      <c r="H3121" t="s">
        <v>361</v>
      </c>
    </row>
    <row r="3122" spans="1:12" x14ac:dyDescent="0.25">
      <c r="A3122" s="15">
        <f t="shared" si="254"/>
        <v>45533</v>
      </c>
      <c r="B3122" s="31">
        <f>TIME(19,52,0)</f>
        <v>0.82777777777777783</v>
      </c>
      <c r="C3122" t="str">
        <f>'Inventory as of 12th Aug 2024'!A8</f>
        <v>eggs</v>
      </c>
      <c r="D3122" s="26">
        <v>2</v>
      </c>
      <c r="E3122" s="5">
        <f>Table4[[#This Row],[qty]]*(VLOOKUP(Table4[[#This Row],[item_sold]],Table1[],5,FALSE))</f>
        <v>40</v>
      </c>
      <c r="F3122" s="5">
        <f>(VLOOKUP(Table4[[#This Row],[item_sold]],Table1[],4,FALSE))*Table4[[#This Row],[qty]]</f>
        <v>28.666666666666668</v>
      </c>
      <c r="G3122">
        <f t="shared" si="248"/>
        <v>11.333333333333332</v>
      </c>
      <c r="H3122" t="s">
        <v>361</v>
      </c>
    </row>
    <row r="3123" spans="1:12" x14ac:dyDescent="0.25">
      <c r="A3123" s="15">
        <f t="shared" si="254"/>
        <v>45533</v>
      </c>
      <c r="B3123" s="31">
        <f t="shared" ref="B3123" si="258">TIME(19,52,0)</f>
        <v>0.82777777777777783</v>
      </c>
      <c r="C3123" t="str">
        <f>'Inventory as of 12th Aug 2024'!A37</f>
        <v>Festive Bread 400g</v>
      </c>
      <c r="D3123" s="26">
        <v>1</v>
      </c>
      <c r="E3123" s="5">
        <f>Table4[[#This Row],[qty]]*(VLOOKUP(Table4[[#This Row],[item_sold]],Table1[],5,FALSE))</f>
        <v>65</v>
      </c>
      <c r="F3123" s="5">
        <f>(VLOOKUP(Table4[[#This Row],[item_sold]],Table1[],4,FALSE))*Table4[[#This Row],[qty]]</f>
        <v>60</v>
      </c>
      <c r="G3123">
        <f t="shared" si="248"/>
        <v>5</v>
      </c>
      <c r="H3123" t="s">
        <v>247</v>
      </c>
    </row>
    <row r="3124" spans="1:12" x14ac:dyDescent="0.25">
      <c r="A3124" s="15">
        <f t="shared" si="254"/>
        <v>45533</v>
      </c>
      <c r="B3124" s="31">
        <f>TIME(19,59,0)</f>
        <v>0.83263888888888893</v>
      </c>
      <c r="C3124" t="str">
        <f>'Inventory as of 12th Aug 2024'!A217</f>
        <v>Pencil</v>
      </c>
      <c r="D3124" s="26">
        <v>2</v>
      </c>
      <c r="E3124" s="5">
        <f>Table4[[#This Row],[qty]]*(VLOOKUP(Table4[[#This Row],[item_sold]],Table1[],5,FALSE))</f>
        <v>20</v>
      </c>
      <c r="F3124" s="5">
        <f>(VLOOKUP(Table4[[#This Row],[item_sold]],Table1[],4,FALSE))*Table4[[#This Row],[qty]]</f>
        <v>15</v>
      </c>
      <c r="G3124">
        <f t="shared" si="248"/>
        <v>5</v>
      </c>
      <c r="H3124" t="s">
        <v>247</v>
      </c>
    </row>
    <row r="3125" spans="1:12" x14ac:dyDescent="0.25">
      <c r="A3125" s="15">
        <f t="shared" si="254"/>
        <v>45533</v>
      </c>
      <c r="B3125" s="31">
        <f t="shared" ref="B3125:B3126" si="259">TIME(19,59,0)</f>
        <v>0.83263888888888893</v>
      </c>
      <c r="C3125" t="str">
        <f>'Inventory as of 12th Aug 2024'!A10</f>
        <v>Mt Kenya milk 200ml</v>
      </c>
      <c r="D3125" s="26">
        <v>1</v>
      </c>
      <c r="E3125" s="5">
        <f>Table4[[#This Row],[qty]]*(VLOOKUP(Table4[[#This Row],[item_sold]],Table1[],5,FALSE))</f>
        <v>35</v>
      </c>
      <c r="F3125" s="5">
        <f>(VLOOKUP(Table4[[#This Row],[item_sold]],Table1[],4,FALSE))*Table4[[#This Row],[qty]]</f>
        <v>24.285714285714285</v>
      </c>
      <c r="G3125">
        <f t="shared" si="248"/>
        <v>10.714285714285715</v>
      </c>
      <c r="H3125" t="s">
        <v>247</v>
      </c>
    </row>
    <row r="3126" spans="1:12" x14ac:dyDescent="0.25">
      <c r="A3126" s="15">
        <f t="shared" si="254"/>
        <v>45533</v>
      </c>
      <c r="B3126" s="31">
        <f t="shared" si="259"/>
        <v>0.83263888888888893</v>
      </c>
      <c r="C3126" t="str">
        <f>'Inventory as of 12th Aug 2024'!A37</f>
        <v>Festive Bread 400g</v>
      </c>
      <c r="D3126" s="26">
        <v>1</v>
      </c>
      <c r="E3126" s="5">
        <f>Table4[[#This Row],[qty]]*(VLOOKUP(Table4[[#This Row],[item_sold]],Table1[],5,FALSE))</f>
        <v>65</v>
      </c>
      <c r="F3126" s="5">
        <f>(VLOOKUP(Table4[[#This Row],[item_sold]],Table1[],4,FALSE))*Table4[[#This Row],[qty]]</f>
        <v>60</v>
      </c>
      <c r="G3126">
        <f t="shared" si="248"/>
        <v>5</v>
      </c>
      <c r="H3126" t="s">
        <v>247</v>
      </c>
    </row>
    <row r="3127" spans="1:12" x14ac:dyDescent="0.25">
      <c r="A3127" s="15">
        <f t="shared" si="254"/>
        <v>45533</v>
      </c>
      <c r="B3127" s="31">
        <f>TIME(20,2,0)</f>
        <v>0.83472222222222225</v>
      </c>
      <c r="C3127" t="str">
        <f>'Inventory as of 12th Aug 2024'!A17</f>
        <v>Brookside milk 500ml</v>
      </c>
      <c r="D3127" s="26">
        <v>1</v>
      </c>
      <c r="E3127" s="5">
        <f>Table4[[#This Row],[qty]]*(VLOOKUP(Table4[[#This Row],[item_sold]],Table1[],5,FALSE))</f>
        <v>70</v>
      </c>
      <c r="F3127" s="5">
        <f>(VLOOKUP(Table4[[#This Row],[item_sold]],Table1[],4,FALSE))*Table4[[#This Row],[qty]]</f>
        <v>59</v>
      </c>
      <c r="G3127">
        <f t="shared" si="248"/>
        <v>11</v>
      </c>
      <c r="H3127" t="s">
        <v>430</v>
      </c>
      <c r="I3127" t="s">
        <v>389</v>
      </c>
    </row>
    <row r="3128" spans="1:12" x14ac:dyDescent="0.25">
      <c r="A3128" s="15">
        <f t="shared" si="254"/>
        <v>45533</v>
      </c>
      <c r="B3128" s="31">
        <f t="shared" ref="B3128:B3129" si="260">TIME(20,2,0)</f>
        <v>0.83472222222222225</v>
      </c>
      <c r="C3128" t="str">
        <f>'Inventory as of 12th Aug 2024'!A59</f>
        <v>kabras sugar 1kg</v>
      </c>
      <c r="D3128" s="26">
        <v>1</v>
      </c>
      <c r="E3128" s="5">
        <f>Table4[[#This Row],[qty]]*(VLOOKUP(Table4[[#This Row],[item_sold]],Table1[],5,FALSE))</f>
        <v>180</v>
      </c>
      <c r="F3128" s="5">
        <f>(VLOOKUP(Table4[[#This Row],[item_sold]],Table1[],4,FALSE))*Table4[[#This Row],[qty]]</f>
        <v>140</v>
      </c>
      <c r="G3128">
        <f t="shared" si="248"/>
        <v>40</v>
      </c>
      <c r="H3128" t="s">
        <v>430</v>
      </c>
      <c r="I3128" t="s">
        <v>389</v>
      </c>
    </row>
    <row r="3129" spans="1:12" x14ac:dyDescent="0.25">
      <c r="A3129" s="15">
        <f t="shared" si="254"/>
        <v>45533</v>
      </c>
      <c r="B3129" s="31">
        <f t="shared" si="260"/>
        <v>0.83472222222222225</v>
      </c>
      <c r="C3129" t="str">
        <f>'Inventory as of 12th Aug 2024'!A29</f>
        <v>Fahari Tea 50g</v>
      </c>
      <c r="D3129" s="26">
        <v>1</v>
      </c>
      <c r="E3129" s="5">
        <f>Table4[[#This Row],[qty]]*(VLOOKUP(Table4[[#This Row],[item_sold]],Table1[],5,FALSE))</f>
        <v>30</v>
      </c>
      <c r="F3129" s="5">
        <f>(VLOOKUP(Table4[[#This Row],[item_sold]],Table1[],4,FALSE))*Table4[[#This Row],[qty]]</f>
        <v>17.5</v>
      </c>
      <c r="G3129">
        <f t="shared" ref="G3129:G3192" si="261">E3129-F3129</f>
        <v>12.5</v>
      </c>
      <c r="H3129" t="s">
        <v>430</v>
      </c>
      <c r="I3129" t="s">
        <v>389</v>
      </c>
    </row>
    <row r="3130" spans="1:12" x14ac:dyDescent="0.25">
      <c r="A3130" s="15">
        <f t="shared" si="254"/>
        <v>45533</v>
      </c>
      <c r="B3130" s="31">
        <f>TIME(20,19,0)</f>
        <v>0.84652777777777777</v>
      </c>
      <c r="C3130" t="str">
        <f>'Inventory as of 12th Aug 2024'!A27</f>
        <v>Nescafe 1.5g</v>
      </c>
      <c r="D3130" s="26">
        <v>1</v>
      </c>
      <c r="E3130" s="5">
        <f>Table4[[#This Row],[qty]]*(VLOOKUP(Table4[[#This Row],[item_sold]],Table1[],5,FALSE))</f>
        <v>15</v>
      </c>
      <c r="F3130" s="5">
        <f>(VLOOKUP(Table4[[#This Row],[item_sold]],Table1[],4,FALSE))*Table4[[#This Row],[qty]]</f>
        <v>9.1666666666666661</v>
      </c>
      <c r="G3130">
        <f t="shared" si="261"/>
        <v>5.8333333333333339</v>
      </c>
      <c r="H3130" t="s">
        <v>430</v>
      </c>
      <c r="I3130" t="s">
        <v>445</v>
      </c>
    </row>
    <row r="3131" spans="1:12" x14ac:dyDescent="0.25">
      <c r="A3131" s="15">
        <f t="shared" si="254"/>
        <v>45533</v>
      </c>
      <c r="B3131" s="31">
        <f t="shared" ref="B3131:B3133" si="262">TIME(20,19,0)</f>
        <v>0.84652777777777777</v>
      </c>
      <c r="C3131" t="str">
        <f>'Inventory as of 12th Aug 2024'!A50</f>
        <v>Pishori rice</v>
      </c>
      <c r="D3131" s="26">
        <v>0.5</v>
      </c>
      <c r="E3131" s="5">
        <f>Table4[[#This Row],[qty]]*(VLOOKUP(Table4[[#This Row],[item_sold]],Table1[],5,FALSE))</f>
        <v>110</v>
      </c>
      <c r="F3131" s="5">
        <f>(VLOOKUP(Table4[[#This Row],[item_sold]],Table1[],4,FALSE))*Table4[[#This Row],[qty]]</f>
        <v>90</v>
      </c>
      <c r="G3131">
        <f t="shared" si="261"/>
        <v>20</v>
      </c>
      <c r="H3131" t="s">
        <v>430</v>
      </c>
      <c r="I3131" t="s">
        <v>406</v>
      </c>
    </row>
    <row r="3132" spans="1:12" x14ac:dyDescent="0.25">
      <c r="A3132" s="15">
        <f t="shared" si="254"/>
        <v>45533</v>
      </c>
      <c r="B3132" s="31">
        <f t="shared" si="262"/>
        <v>0.84652777777777777</v>
      </c>
      <c r="C3132" t="str">
        <f>'Inventory as of 12th Aug 2024'!A91</f>
        <v>Tomatoes</v>
      </c>
      <c r="D3132" s="26">
        <v>1</v>
      </c>
      <c r="E3132" s="5">
        <f>Table4[[#This Row],[qty]]*(VLOOKUP(Table4[[#This Row],[item_sold]],Table1[],5,FALSE))</f>
        <v>10</v>
      </c>
      <c r="F3132" s="5">
        <f>(VLOOKUP(Table4[[#This Row],[item_sold]],Table1[],4,FALSE))*Table4[[#This Row],[qty]]</f>
        <v>5</v>
      </c>
      <c r="G3132">
        <f t="shared" si="261"/>
        <v>5</v>
      </c>
      <c r="H3132" t="s">
        <v>430</v>
      </c>
      <c r="I3132" t="s">
        <v>406</v>
      </c>
    </row>
    <row r="3133" spans="1:12" x14ac:dyDescent="0.25">
      <c r="A3133" s="15">
        <f t="shared" si="254"/>
        <v>45533</v>
      </c>
      <c r="B3133" s="31">
        <f t="shared" si="262"/>
        <v>0.84652777777777777</v>
      </c>
      <c r="C3133" t="str">
        <f>'Inventory as of 12th Aug 2024'!A254</f>
        <v>Maccofee</v>
      </c>
      <c r="D3133" s="26">
        <v>1</v>
      </c>
      <c r="E3133" s="5">
        <f>Table4[[#This Row],[qty]]*(VLOOKUP(Table4[[#This Row],[item_sold]],Table1[],5,FALSE))</f>
        <v>15</v>
      </c>
      <c r="F3133" s="5">
        <f>(VLOOKUP(Table4[[#This Row],[item_sold]],Table1[],4,FALSE))*Table4[[#This Row],[qty]]</f>
        <v>9.3333333333333339</v>
      </c>
      <c r="G3133">
        <f t="shared" si="261"/>
        <v>5.6666666666666661</v>
      </c>
      <c r="H3133" t="s">
        <v>430</v>
      </c>
      <c r="I3133" t="s">
        <v>445</v>
      </c>
    </row>
    <row r="3134" spans="1:12" x14ac:dyDescent="0.25">
      <c r="A3134" s="15">
        <f t="shared" si="254"/>
        <v>45533</v>
      </c>
      <c r="B3134" s="31">
        <f>TIME(20,20,0)</f>
        <v>0.84722222222222221</v>
      </c>
      <c r="C3134" t="str">
        <f>'Inventory as of 12th Aug 2024'!A16</f>
        <v>Mt kenya milk 500ml</v>
      </c>
      <c r="D3134" s="26">
        <v>1</v>
      </c>
      <c r="E3134" s="5">
        <f>Table4[[#This Row],[qty]]*(VLOOKUP(Table4[[#This Row],[item_sold]],Table1[],5,FALSE))</f>
        <v>65</v>
      </c>
      <c r="F3134" s="5">
        <f>(VLOOKUP(Table4[[#This Row],[item_sold]],Table1[],4,FALSE))*Table4[[#This Row],[qty]]</f>
        <v>48.333333333333336</v>
      </c>
      <c r="G3134">
        <f t="shared" si="261"/>
        <v>16.666666666666664</v>
      </c>
      <c r="H3134" t="s">
        <v>430</v>
      </c>
      <c r="I3134" t="s">
        <v>446</v>
      </c>
      <c r="J3134" t="s">
        <v>446</v>
      </c>
      <c r="K3134">
        <v>65</v>
      </c>
      <c r="L3134" t="s">
        <v>361</v>
      </c>
    </row>
    <row r="3135" spans="1:12" x14ac:dyDescent="0.25">
      <c r="A3135" s="15">
        <f>DATE(2024,8,30)</f>
        <v>45534</v>
      </c>
      <c r="B3135" s="31">
        <f>TIME(9,43,0)</f>
        <v>0.40486111111111112</v>
      </c>
      <c r="C3135" t="str">
        <f>'Inventory as of 12th Aug 2024'!A17</f>
        <v>Brookside milk 500ml</v>
      </c>
      <c r="D3135" s="26">
        <v>1</v>
      </c>
      <c r="E3135" s="5">
        <f>Table4[[#This Row],[qty]]*(VLOOKUP(Table4[[#This Row],[item_sold]],Table1[],5,FALSE))</f>
        <v>70</v>
      </c>
      <c r="F3135" s="5">
        <f>(VLOOKUP(Table4[[#This Row],[item_sold]],Table1[],4,FALSE))*Table4[[#This Row],[qty]]</f>
        <v>59</v>
      </c>
      <c r="G3135">
        <f t="shared" si="261"/>
        <v>11</v>
      </c>
      <c r="H3135" t="s">
        <v>361</v>
      </c>
    </row>
    <row r="3136" spans="1:12" x14ac:dyDescent="0.25">
      <c r="A3136" s="15">
        <f t="shared" ref="A3136:A3191" si="263">DATE(2024,8,30)</f>
        <v>45534</v>
      </c>
      <c r="B3136" s="31">
        <f t="shared" ref="B3136" si="264">TIME(9,43,0)</f>
        <v>0.40486111111111112</v>
      </c>
      <c r="C3136" t="str">
        <f>'Inventory as of 12th Aug 2024'!A33</f>
        <v>BB Bread 400g</v>
      </c>
      <c r="D3136" s="26">
        <v>1</v>
      </c>
      <c r="E3136" s="5">
        <f>Table4[[#This Row],[qty]]*(VLOOKUP(Table4[[#This Row],[item_sold]],Table1[],5,FALSE))</f>
        <v>65</v>
      </c>
      <c r="F3136" s="5">
        <f>(VLOOKUP(Table4[[#This Row],[item_sold]],Table1[],4,FALSE))*Table4[[#This Row],[qty]]</f>
        <v>60</v>
      </c>
      <c r="G3136">
        <f t="shared" si="261"/>
        <v>5</v>
      </c>
      <c r="H3136" t="s">
        <v>361</v>
      </c>
    </row>
    <row r="3137" spans="1:12" x14ac:dyDescent="0.25">
      <c r="A3137" s="15">
        <f t="shared" si="263"/>
        <v>45534</v>
      </c>
      <c r="B3137" s="31">
        <f>TIME(9,46,0)</f>
        <v>0.4069444444444445</v>
      </c>
      <c r="C3137" t="str">
        <f>'Inventory as of 12th Aug 2024'!A8</f>
        <v>eggs</v>
      </c>
      <c r="D3137" s="26">
        <v>4</v>
      </c>
      <c r="E3137" s="5">
        <f>Table4[[#This Row],[qty]]*(VLOOKUP(Table4[[#This Row],[item_sold]],Table1[],5,FALSE))</f>
        <v>80</v>
      </c>
      <c r="F3137" s="5">
        <f>(VLOOKUP(Table4[[#This Row],[item_sold]],Table1[],4,FALSE))*Table4[[#This Row],[qty]]</f>
        <v>57.333333333333336</v>
      </c>
      <c r="G3137">
        <f t="shared" si="261"/>
        <v>22.666666666666664</v>
      </c>
      <c r="H3137" t="s">
        <v>361</v>
      </c>
    </row>
    <row r="3138" spans="1:12" x14ac:dyDescent="0.25">
      <c r="A3138" s="15">
        <f t="shared" si="263"/>
        <v>45534</v>
      </c>
      <c r="B3138" s="31">
        <f t="shared" ref="B3138" si="265">TIME(9,46,0)</f>
        <v>0.4069444444444445</v>
      </c>
      <c r="C3138" t="str">
        <f>'Inventory as of 12th Aug 2024'!A58</f>
        <v>Safari</v>
      </c>
      <c r="D3138" s="26">
        <v>1</v>
      </c>
      <c r="E3138" s="5">
        <f>Table4[[#This Row],[qty]]*(VLOOKUP(Table4[[#This Row],[item_sold]],Table1[],5,FALSE))</f>
        <v>15</v>
      </c>
      <c r="F3138" s="5">
        <f>(VLOOKUP(Table4[[#This Row],[item_sold]],Table1[],4,FALSE))*Table4[[#This Row],[qty]]</f>
        <v>8.5</v>
      </c>
      <c r="G3138">
        <f t="shared" si="261"/>
        <v>6.5</v>
      </c>
      <c r="H3138" t="s">
        <v>361</v>
      </c>
    </row>
    <row r="3139" spans="1:12" x14ac:dyDescent="0.25">
      <c r="A3139" s="15">
        <f t="shared" si="263"/>
        <v>45534</v>
      </c>
      <c r="B3139" s="31">
        <f>TIME(9,53,0)</f>
        <v>0.41180555555555554</v>
      </c>
      <c r="C3139" t="str">
        <f>'Inventory as of 12th Aug 2024'!A133</f>
        <v>Medium Colgate Toothbrush</v>
      </c>
      <c r="D3139" s="26">
        <v>2</v>
      </c>
      <c r="E3139" s="5">
        <f>Table4[[#This Row],[qty]]*(VLOOKUP(Table4[[#This Row],[item_sold]],Table1[],5,FALSE))</f>
        <v>80</v>
      </c>
      <c r="F3139" s="5">
        <f>(VLOOKUP(Table4[[#This Row],[item_sold]],Table1[],4,FALSE))*Table4[[#This Row],[qty]]</f>
        <v>50</v>
      </c>
      <c r="G3139">
        <f t="shared" si="261"/>
        <v>30</v>
      </c>
      <c r="H3139" t="s">
        <v>247</v>
      </c>
    </row>
    <row r="3140" spans="1:12" x14ac:dyDescent="0.25">
      <c r="A3140" s="15">
        <f t="shared" si="263"/>
        <v>45534</v>
      </c>
      <c r="B3140" s="31">
        <f>TIME(9,54,0)</f>
        <v>0.41250000000000003</v>
      </c>
      <c r="C3140" t="str">
        <f>'Inventory as of 12th Aug 2024'!A58</f>
        <v>Safari</v>
      </c>
      <c r="D3140" s="26">
        <v>1</v>
      </c>
      <c r="E3140" s="5">
        <f>Table4[[#This Row],[qty]]*(VLOOKUP(Table4[[#This Row],[item_sold]],Table1[],5,FALSE))</f>
        <v>15</v>
      </c>
      <c r="F3140" s="5">
        <f>(VLOOKUP(Table4[[#This Row],[item_sold]],Table1[],4,FALSE))*Table4[[#This Row],[qty]]</f>
        <v>8.5</v>
      </c>
      <c r="G3140">
        <f t="shared" si="261"/>
        <v>6.5</v>
      </c>
      <c r="H3140" t="s">
        <v>430</v>
      </c>
      <c r="I3140" t="s">
        <v>447</v>
      </c>
      <c r="J3140" t="s">
        <v>447</v>
      </c>
      <c r="K3140">
        <v>15</v>
      </c>
      <c r="L3140" t="s">
        <v>361</v>
      </c>
    </row>
    <row r="3141" spans="1:12" x14ac:dyDescent="0.25">
      <c r="A3141" s="15">
        <f t="shared" si="263"/>
        <v>45534</v>
      </c>
      <c r="B3141" s="31">
        <f>TIME(9,56,0)</f>
        <v>0.41388888888888892</v>
      </c>
      <c r="C3141" t="str">
        <f>'Inventory as of 12th Aug 2024'!A8</f>
        <v>eggs</v>
      </c>
      <c r="D3141" s="26">
        <v>2</v>
      </c>
      <c r="E3141" s="5">
        <f>Table4[[#This Row],[qty]]*(VLOOKUP(Table4[[#This Row],[item_sold]],Table1[],5,FALSE))</f>
        <v>40</v>
      </c>
      <c r="F3141" s="5">
        <f>(VLOOKUP(Table4[[#This Row],[item_sold]],Table1[],4,FALSE))*Table4[[#This Row],[qty]]</f>
        <v>28.666666666666668</v>
      </c>
      <c r="G3141">
        <f t="shared" si="261"/>
        <v>11.333333333333332</v>
      </c>
      <c r="H3141" t="s">
        <v>247</v>
      </c>
    </row>
    <row r="3142" spans="1:12" x14ac:dyDescent="0.25">
      <c r="A3142" s="15">
        <f t="shared" si="263"/>
        <v>45534</v>
      </c>
      <c r="B3142" s="31">
        <f>TIME(9,59,0)</f>
        <v>0.41597222222222219</v>
      </c>
      <c r="C3142" t="str">
        <f>'Inventory as of 12th Aug 2024'!A58</f>
        <v>Safari</v>
      </c>
      <c r="D3142" s="26">
        <v>1</v>
      </c>
      <c r="E3142" s="5">
        <f>Table4[[#This Row],[qty]]*(VLOOKUP(Table4[[#This Row],[item_sold]],Table1[],5,FALSE))</f>
        <v>15</v>
      </c>
      <c r="F3142" s="5">
        <f>(VLOOKUP(Table4[[#This Row],[item_sold]],Table1[],4,FALSE))*Table4[[#This Row],[qty]]</f>
        <v>8.5</v>
      </c>
      <c r="G3142">
        <f t="shared" si="261"/>
        <v>6.5</v>
      </c>
      <c r="H3142" t="s">
        <v>361</v>
      </c>
    </row>
    <row r="3143" spans="1:12" x14ac:dyDescent="0.25">
      <c r="A3143" s="15">
        <f t="shared" si="263"/>
        <v>45534</v>
      </c>
      <c r="B3143" s="31">
        <f>TIME(10,29,0)</f>
        <v>0.4368055555555555</v>
      </c>
      <c r="C3143" t="str">
        <f>'Inventory as of 12th Aug 2024'!A8</f>
        <v>eggs</v>
      </c>
      <c r="D3143" s="26">
        <v>6</v>
      </c>
      <c r="E3143" s="5">
        <f>Table4[[#This Row],[qty]]*(VLOOKUP(Table4[[#This Row],[item_sold]],Table1[],5,FALSE))</f>
        <v>120</v>
      </c>
      <c r="F3143" s="5">
        <f>(VLOOKUP(Table4[[#This Row],[item_sold]],Table1[],4,FALSE))*Table4[[#This Row],[qty]]</f>
        <v>86</v>
      </c>
      <c r="G3143">
        <f t="shared" si="261"/>
        <v>34</v>
      </c>
      <c r="H3143" t="s">
        <v>361</v>
      </c>
    </row>
    <row r="3144" spans="1:12" x14ac:dyDescent="0.25">
      <c r="A3144" s="15">
        <f t="shared" si="263"/>
        <v>45534</v>
      </c>
      <c r="B3144" s="31">
        <f>TIME(10,39,0)</f>
        <v>0.44375000000000003</v>
      </c>
      <c r="C3144" t="str">
        <f>'Inventory as of 12th Aug 2024'!A136</f>
        <v>Poa Pekee Tissue</v>
      </c>
      <c r="D3144" s="26">
        <v>1</v>
      </c>
      <c r="E3144" s="5">
        <f>Table4[[#This Row],[qty]]*(VLOOKUP(Table4[[#This Row],[item_sold]],Table1[],5,FALSE))</f>
        <v>30</v>
      </c>
      <c r="F3144" s="5">
        <f>(VLOOKUP(Table4[[#This Row],[item_sold]],Table1[],4,FALSE))*Table4[[#This Row],[qty]]</f>
        <v>13.333333333333334</v>
      </c>
      <c r="G3144">
        <f t="shared" si="261"/>
        <v>16.666666666666664</v>
      </c>
      <c r="H3144" t="s">
        <v>361</v>
      </c>
    </row>
    <row r="3145" spans="1:12" x14ac:dyDescent="0.25">
      <c r="A3145" s="15">
        <f t="shared" si="263"/>
        <v>45534</v>
      </c>
      <c r="B3145" s="31">
        <f>TIME(10,39,0)</f>
        <v>0.44375000000000003</v>
      </c>
      <c r="C3145" t="str">
        <f>'Inventory as of 12th Aug 2024'!A233</f>
        <v>Lollipop</v>
      </c>
      <c r="D3145" s="26">
        <v>1</v>
      </c>
      <c r="E3145" s="5">
        <f>Table4[[#This Row],[qty]]*(VLOOKUP(Table4[[#This Row],[item_sold]],Table1[],5,FALSE))</f>
        <v>5</v>
      </c>
      <c r="F3145" s="5">
        <f>(VLOOKUP(Table4[[#This Row],[item_sold]],Table1[],4,FALSE))*Table4[[#This Row],[qty]]</f>
        <v>2.4</v>
      </c>
      <c r="G3145">
        <f t="shared" si="261"/>
        <v>2.6</v>
      </c>
      <c r="H3145" t="s">
        <v>361</v>
      </c>
    </row>
    <row r="3146" spans="1:12" x14ac:dyDescent="0.25">
      <c r="A3146" s="15">
        <f t="shared" si="263"/>
        <v>45534</v>
      </c>
      <c r="B3146" s="31">
        <f t="shared" ref="B3146:B3147" si="266">TIME(10,39,0)</f>
        <v>0.44375000000000003</v>
      </c>
      <c r="C3146" t="str">
        <f>'Inventory as of 12th Aug 2024'!A87</f>
        <v>Menengai Bar 1kg</v>
      </c>
      <c r="D3146" s="26">
        <v>1</v>
      </c>
      <c r="E3146" s="5">
        <f>Table4[[#This Row],[qty]]*(VLOOKUP(Table4[[#This Row],[item_sold]],Table1[],5,FALSE))</f>
        <v>250</v>
      </c>
      <c r="F3146" s="5">
        <f>(VLOOKUP(Table4[[#This Row],[item_sold]],Table1[],4,FALSE))*Table4[[#This Row],[qty]]</f>
        <v>190</v>
      </c>
      <c r="G3146">
        <f t="shared" si="261"/>
        <v>60</v>
      </c>
      <c r="H3146" t="s">
        <v>430</v>
      </c>
    </row>
    <row r="3147" spans="1:12" x14ac:dyDescent="0.25">
      <c r="A3147" s="15">
        <f t="shared" si="263"/>
        <v>45534</v>
      </c>
      <c r="B3147" s="31">
        <f t="shared" si="266"/>
        <v>0.44375000000000003</v>
      </c>
      <c r="C3147" t="str">
        <f>'Inventory as of 12th Aug 2024'!A82</f>
        <v>ariel 10g</v>
      </c>
      <c r="D3147" s="26">
        <v>1</v>
      </c>
      <c r="E3147" s="5">
        <f>Table4[[#This Row],[qty]]*(VLOOKUP(Table4[[#This Row],[item_sold]],Table1[],5,FALSE))</f>
        <v>15</v>
      </c>
      <c r="F3147" s="5">
        <f>(VLOOKUP(Table4[[#This Row],[item_sold]],Table1[],4,FALSE))*Table4[[#This Row],[qty]]</f>
        <v>9.1666666666666661</v>
      </c>
      <c r="G3147">
        <f t="shared" si="261"/>
        <v>5.8333333333333339</v>
      </c>
      <c r="H3147" t="s">
        <v>430</v>
      </c>
      <c r="I3147" t="s">
        <v>419</v>
      </c>
      <c r="J3147" t="s">
        <v>419</v>
      </c>
      <c r="K3147">
        <v>30</v>
      </c>
      <c r="L3147" t="s">
        <v>247</v>
      </c>
    </row>
    <row r="3148" spans="1:12" x14ac:dyDescent="0.25">
      <c r="A3148" s="15">
        <f t="shared" si="263"/>
        <v>45534</v>
      </c>
      <c r="B3148" s="31">
        <f>TIME(12,18,0)</f>
        <v>0.51250000000000007</v>
      </c>
      <c r="C3148" t="str">
        <f>'Inventory as of 12th Aug 2024'!A82</f>
        <v>ariel 10g</v>
      </c>
      <c r="D3148" s="26">
        <v>2</v>
      </c>
      <c r="E3148" s="5">
        <f>Table4[[#This Row],[qty]]*(VLOOKUP(Table4[[#This Row],[item_sold]],Table1[],5,FALSE))</f>
        <v>30</v>
      </c>
      <c r="F3148" s="5">
        <f>(VLOOKUP(Table4[[#This Row],[item_sold]],Table1[],4,FALSE))*Table4[[#This Row],[qty]]</f>
        <v>18.333333333333332</v>
      </c>
      <c r="G3148">
        <f t="shared" si="261"/>
        <v>11.666666666666668</v>
      </c>
      <c r="H3148" t="s">
        <v>247</v>
      </c>
    </row>
    <row r="3149" spans="1:12" x14ac:dyDescent="0.25">
      <c r="A3149" s="15">
        <f t="shared" si="263"/>
        <v>45534</v>
      </c>
      <c r="B3149" s="31">
        <f>TIME(13,0,0)</f>
        <v>0.54166666666666663</v>
      </c>
      <c r="C3149" t="str">
        <f>'Inventory as of 12th Aug 2024'!A58</f>
        <v>Safari</v>
      </c>
      <c r="D3149" s="26">
        <v>2</v>
      </c>
      <c r="E3149" s="5">
        <f>Table4[[#This Row],[qty]]*(VLOOKUP(Table4[[#This Row],[item_sold]],Table1[],5,FALSE))</f>
        <v>30</v>
      </c>
      <c r="F3149" s="5">
        <f>(VLOOKUP(Table4[[#This Row],[item_sold]],Table1[],4,FALSE))*Table4[[#This Row],[qty]]</f>
        <v>17</v>
      </c>
      <c r="G3149">
        <f t="shared" si="261"/>
        <v>13</v>
      </c>
      <c r="H3149" t="s">
        <v>247</v>
      </c>
    </row>
    <row r="3150" spans="1:12" x14ac:dyDescent="0.25">
      <c r="A3150" s="15">
        <f t="shared" si="263"/>
        <v>45534</v>
      </c>
      <c r="B3150" s="31">
        <f>TIME(13,57,0)</f>
        <v>0.58124999999999993</v>
      </c>
      <c r="C3150" t="str">
        <f>'Inventory as of 12th Aug 2024'!A194</f>
        <v>Half pound cake</v>
      </c>
      <c r="D3150" s="26">
        <v>1</v>
      </c>
      <c r="E3150" s="5">
        <f>Table4[[#This Row],[qty]]*(VLOOKUP(Table4[[#This Row],[item_sold]],Table1[],5,FALSE))</f>
        <v>100</v>
      </c>
      <c r="F3150" s="5">
        <f>(VLOOKUP(Table4[[#This Row],[item_sold]],Table1[],4,FALSE))*Table4[[#This Row],[qty]]</f>
        <v>90</v>
      </c>
      <c r="G3150">
        <f t="shared" si="261"/>
        <v>10</v>
      </c>
      <c r="H3150" t="s">
        <v>361</v>
      </c>
    </row>
    <row r="3151" spans="1:12" x14ac:dyDescent="0.25">
      <c r="A3151" s="15">
        <f t="shared" si="263"/>
        <v>45534</v>
      </c>
      <c r="B3151" s="31">
        <f>TIME(13,57,0)</f>
        <v>0.58124999999999993</v>
      </c>
      <c r="C3151" t="str">
        <f>'Inventory as of 12th Aug 2024'!A206</f>
        <v>soda 500ml plastic</v>
      </c>
      <c r="D3151" s="26">
        <v>1</v>
      </c>
      <c r="E3151" s="5">
        <f>Table4[[#This Row],[qty]]*(VLOOKUP(Table4[[#This Row],[item_sold]],Table1[],5,FALSE))</f>
        <v>70</v>
      </c>
      <c r="F3151" s="5">
        <f>(VLOOKUP(Table4[[#This Row],[item_sold]],Table1[],4,FALSE))*Table4[[#This Row],[qty]]</f>
        <v>60.416666666666664</v>
      </c>
      <c r="G3151">
        <f t="shared" si="261"/>
        <v>9.5833333333333357</v>
      </c>
      <c r="H3151" t="s">
        <v>430</v>
      </c>
      <c r="I3151" t="s">
        <v>401</v>
      </c>
    </row>
    <row r="3152" spans="1:12" x14ac:dyDescent="0.25">
      <c r="A3152" s="15">
        <f t="shared" si="263"/>
        <v>45534</v>
      </c>
      <c r="B3152" s="31">
        <f>TIME(14,48,0)</f>
        <v>0.6166666666666667</v>
      </c>
      <c r="C3152" t="str">
        <f>'Inventory as of 12th Aug 2024'!A176</f>
        <v>Queen cake</v>
      </c>
      <c r="D3152" s="26">
        <v>1</v>
      </c>
      <c r="E3152" s="5">
        <f>Table4[[#This Row],[qty]]*(VLOOKUP(Table4[[#This Row],[item_sold]],Table1[],5,FALSE))</f>
        <v>10</v>
      </c>
      <c r="F3152" s="5">
        <f>(VLOOKUP(Table4[[#This Row],[item_sold]],Table1[],4,FALSE))*Table4[[#This Row],[qty]]</f>
        <v>8.3333333333333339</v>
      </c>
      <c r="G3152">
        <f t="shared" si="261"/>
        <v>1.6666666666666661</v>
      </c>
      <c r="H3152" t="s">
        <v>361</v>
      </c>
    </row>
    <row r="3153" spans="1:9" x14ac:dyDescent="0.25">
      <c r="A3153" s="15">
        <f t="shared" si="263"/>
        <v>45534</v>
      </c>
      <c r="B3153" s="31">
        <f t="shared" ref="B3153:B3154" si="267">TIME(14,48,0)</f>
        <v>0.6166666666666667</v>
      </c>
      <c r="C3153" t="str">
        <f>'Inventory as of 12th Aug 2024'!A200</f>
        <v>Ngumu</v>
      </c>
      <c r="D3153" s="26">
        <v>1</v>
      </c>
      <c r="E3153" s="5">
        <f>Table4[[#This Row],[qty]]*(VLOOKUP(Table4[[#This Row],[item_sold]],Table1[],5,FALSE))</f>
        <v>10</v>
      </c>
      <c r="F3153" s="5">
        <f>(VLOOKUP(Table4[[#This Row],[item_sold]],Table1[],4,FALSE))*Table4[[#This Row],[qty]]</f>
        <v>8.3333333333333339</v>
      </c>
      <c r="G3153">
        <f t="shared" si="261"/>
        <v>1.6666666666666661</v>
      </c>
      <c r="H3153" t="s">
        <v>361</v>
      </c>
    </row>
    <row r="3154" spans="1:9" x14ac:dyDescent="0.25">
      <c r="A3154" s="15">
        <f t="shared" si="263"/>
        <v>45534</v>
      </c>
      <c r="B3154" s="31">
        <f t="shared" si="267"/>
        <v>0.6166666666666667</v>
      </c>
      <c r="C3154" t="str">
        <f>'Inventory as of 12th Aug 2024'!A234</f>
        <v>Bigdaddy</v>
      </c>
      <c r="D3154" s="26">
        <v>1</v>
      </c>
      <c r="E3154" s="5">
        <f>Table4[[#This Row],[qty]]*(VLOOKUP(Table4[[#This Row],[item_sold]],Table1[],5,FALSE))</f>
        <v>10</v>
      </c>
      <c r="F3154" s="5">
        <f>(VLOOKUP(Table4[[#This Row],[item_sold]],Table1[],4,FALSE))*Table4[[#This Row],[qty]]</f>
        <v>6</v>
      </c>
      <c r="G3154">
        <f t="shared" si="261"/>
        <v>4</v>
      </c>
      <c r="H3154" t="s">
        <v>361</v>
      </c>
    </row>
    <row r="3155" spans="1:9" x14ac:dyDescent="0.25">
      <c r="A3155" s="15">
        <f t="shared" si="263"/>
        <v>45534</v>
      </c>
      <c r="B3155" s="31">
        <f>TIME(14,49,0)</f>
        <v>0.61736111111111114</v>
      </c>
      <c r="C3155" t="str">
        <f>'Inventory as of 12th Aug 2024'!A199</f>
        <v>Kdf</v>
      </c>
      <c r="D3155" s="26">
        <v>1</v>
      </c>
      <c r="E3155" s="5">
        <f>Table4[[#This Row],[qty]]*(VLOOKUP(Table4[[#This Row],[item_sold]],Table1[],5,FALSE))</f>
        <v>10</v>
      </c>
      <c r="F3155" s="5">
        <f>(VLOOKUP(Table4[[#This Row],[item_sold]],Table1[],4,FALSE))*Table4[[#This Row],[qty]]</f>
        <v>8.3333333333333339</v>
      </c>
      <c r="G3155">
        <f t="shared" si="261"/>
        <v>1.6666666666666661</v>
      </c>
      <c r="H3155" t="s">
        <v>247</v>
      </c>
    </row>
    <row r="3156" spans="1:9" x14ac:dyDescent="0.25">
      <c r="A3156" s="15">
        <f t="shared" si="263"/>
        <v>45534</v>
      </c>
      <c r="B3156" s="31">
        <f>TIME(14,50,0)</f>
        <v>0.61805555555555558</v>
      </c>
      <c r="C3156" t="str">
        <f>'Inventory as of 12th Aug 2024'!A17</f>
        <v>Brookside milk 500ml</v>
      </c>
      <c r="D3156" s="26">
        <v>1</v>
      </c>
      <c r="E3156" s="5">
        <f>Table4[[#This Row],[qty]]*(VLOOKUP(Table4[[#This Row],[item_sold]],Table1[],5,FALSE))</f>
        <v>70</v>
      </c>
      <c r="F3156" s="5">
        <f>(VLOOKUP(Table4[[#This Row],[item_sold]],Table1[],4,FALSE))*Table4[[#This Row],[qty]]</f>
        <v>59</v>
      </c>
      <c r="G3156">
        <f t="shared" si="261"/>
        <v>11</v>
      </c>
      <c r="H3156" t="s">
        <v>361</v>
      </c>
    </row>
    <row r="3157" spans="1:9" x14ac:dyDescent="0.25">
      <c r="A3157" s="15">
        <f t="shared" si="263"/>
        <v>45534</v>
      </c>
      <c r="B3157" s="31">
        <f>TIME(15,2,0)</f>
        <v>0.62638888888888888</v>
      </c>
      <c r="C3157" t="str">
        <f>'Inventory as of 12th Aug 2024'!A183</f>
        <v>T.Heat Potato crisps Tomato 25g</v>
      </c>
      <c r="D3157" s="26">
        <v>4</v>
      </c>
      <c r="E3157" s="5">
        <f>Table4[[#This Row],[qty]]*(VLOOKUP(Table4[[#This Row],[item_sold]],Table1[],5,FALSE))</f>
        <v>120</v>
      </c>
      <c r="F3157" s="5">
        <f>(VLOOKUP(Table4[[#This Row],[item_sold]],Table1[],4,FALSE))*Table4[[#This Row],[qty]]</f>
        <v>91.666666666666671</v>
      </c>
      <c r="G3157">
        <f t="shared" si="261"/>
        <v>28.333333333333329</v>
      </c>
      <c r="H3157" t="s">
        <v>361</v>
      </c>
    </row>
    <row r="3158" spans="1:9" x14ac:dyDescent="0.25">
      <c r="A3158" s="15">
        <f t="shared" si="263"/>
        <v>45534</v>
      </c>
      <c r="B3158" s="31">
        <f>TIME(15,2,0)</f>
        <v>0.62638888888888888</v>
      </c>
      <c r="C3158" t="str">
        <f>'Inventory as of 12th Aug 2024'!A234</f>
        <v>Bigdaddy</v>
      </c>
      <c r="D3158" s="26">
        <v>4</v>
      </c>
      <c r="E3158" s="5">
        <f>Table4[[#This Row],[qty]]*(VLOOKUP(Table4[[#This Row],[item_sold]],Table1[],5,FALSE))</f>
        <v>40</v>
      </c>
      <c r="F3158" s="5">
        <f>(VLOOKUP(Table4[[#This Row],[item_sold]],Table1[],4,FALSE))*Table4[[#This Row],[qty]]</f>
        <v>24</v>
      </c>
      <c r="G3158">
        <f t="shared" si="261"/>
        <v>16</v>
      </c>
      <c r="H3158" t="s">
        <v>361</v>
      </c>
    </row>
    <row r="3159" spans="1:9" x14ac:dyDescent="0.25">
      <c r="A3159" s="15">
        <f t="shared" si="263"/>
        <v>45534</v>
      </c>
      <c r="B3159" s="31">
        <f>TIME(15,41,0)</f>
        <v>0.65347222222222223</v>
      </c>
      <c r="C3159" t="str">
        <f>'Inventory as of 12th Aug 2024'!A212</f>
        <v>soda 300ml glass</v>
      </c>
      <c r="D3159" s="26">
        <v>2</v>
      </c>
      <c r="E3159" s="5">
        <f>Table4[[#This Row],[qty]]*(VLOOKUP(Table4[[#This Row],[item_sold]],Table1[],5,FALSE))</f>
        <v>80</v>
      </c>
      <c r="F3159" s="5">
        <f>(VLOOKUP(Table4[[#This Row],[item_sold]],Table1[],4,FALSE))*Table4[[#This Row],[qty]]</f>
        <v>65</v>
      </c>
      <c r="G3159">
        <f t="shared" si="261"/>
        <v>15</v>
      </c>
      <c r="H3159" t="s">
        <v>430</v>
      </c>
      <c r="I3159" t="s">
        <v>395</v>
      </c>
    </row>
    <row r="3160" spans="1:9" x14ac:dyDescent="0.25">
      <c r="A3160" s="15">
        <f t="shared" si="263"/>
        <v>45534</v>
      </c>
      <c r="B3160" s="31">
        <f>TIME(15,41,0)</f>
        <v>0.65347222222222223</v>
      </c>
      <c r="C3160" t="str">
        <f>'Inventory as of 12th Aug 2024'!A199</f>
        <v>Kdf</v>
      </c>
      <c r="D3160" s="26">
        <v>3</v>
      </c>
      <c r="E3160" s="5">
        <f>Table4[[#This Row],[qty]]*(VLOOKUP(Table4[[#This Row],[item_sold]],Table1[],5,FALSE))</f>
        <v>30</v>
      </c>
      <c r="F3160" s="5">
        <f>(VLOOKUP(Table4[[#This Row],[item_sold]],Table1[],4,FALSE))*Table4[[#This Row],[qty]]</f>
        <v>25</v>
      </c>
      <c r="G3160">
        <f t="shared" si="261"/>
        <v>5</v>
      </c>
      <c r="H3160" t="s">
        <v>430</v>
      </c>
      <c r="I3160" t="s">
        <v>395</v>
      </c>
    </row>
    <row r="3161" spans="1:9" x14ac:dyDescent="0.25">
      <c r="A3161" s="15">
        <f t="shared" si="263"/>
        <v>45534</v>
      </c>
      <c r="B3161" s="31">
        <f>TIME(16,13,0)</f>
        <v>0.67569444444444438</v>
      </c>
      <c r="C3161" t="str">
        <f>'Inventory as of 12th Aug 2024'!A58</f>
        <v>Safari</v>
      </c>
      <c r="D3161" s="26">
        <v>1</v>
      </c>
      <c r="E3161" s="5">
        <f>Table4[[#This Row],[qty]]*(VLOOKUP(Table4[[#This Row],[item_sold]],Table1[],5,FALSE))</f>
        <v>15</v>
      </c>
      <c r="F3161" s="5">
        <f>(VLOOKUP(Table4[[#This Row],[item_sold]],Table1[],4,FALSE))*Table4[[#This Row],[qty]]</f>
        <v>8.5</v>
      </c>
      <c r="G3161">
        <f t="shared" si="261"/>
        <v>6.5</v>
      </c>
      <c r="H3161" t="s">
        <v>361</v>
      </c>
    </row>
    <row r="3162" spans="1:9" x14ac:dyDescent="0.25">
      <c r="A3162" s="15">
        <f t="shared" si="263"/>
        <v>45534</v>
      </c>
      <c r="B3162" s="31">
        <f>TIME(16,40,0)</f>
        <v>0.69444444444444453</v>
      </c>
      <c r="C3162" t="str">
        <f>'Inventory as of 12th Aug 2024'!A5</f>
        <v>Airtel 20 Credit</v>
      </c>
      <c r="D3162" s="26">
        <v>2</v>
      </c>
      <c r="E3162" s="5">
        <f>Table4[[#This Row],[qty]]*(VLOOKUP(Table4[[#This Row],[item_sold]],Table1[],5,FALSE))</f>
        <v>40</v>
      </c>
      <c r="F3162" s="5">
        <f>(VLOOKUP(Table4[[#This Row],[item_sold]],Table1[],4,FALSE))*Table4[[#This Row],[qty]]</f>
        <v>36</v>
      </c>
      <c r="G3162">
        <f t="shared" si="261"/>
        <v>4</v>
      </c>
      <c r="H3162" t="s">
        <v>247</v>
      </c>
    </row>
    <row r="3163" spans="1:9" x14ac:dyDescent="0.25">
      <c r="A3163" s="15">
        <f t="shared" si="263"/>
        <v>45534</v>
      </c>
      <c r="B3163" s="31">
        <f>TIME(16,46,0)</f>
        <v>0.69861111111111107</v>
      </c>
      <c r="C3163" t="str">
        <f>'Inventory as of 12th Aug 2024'!A16</f>
        <v>Mt kenya milk 500ml</v>
      </c>
      <c r="D3163" s="26">
        <v>1</v>
      </c>
      <c r="E3163" s="5">
        <f>Table4[[#This Row],[qty]]*(VLOOKUP(Table4[[#This Row],[item_sold]],Table1[],5,FALSE))</f>
        <v>65</v>
      </c>
      <c r="F3163" s="5">
        <f>(VLOOKUP(Table4[[#This Row],[item_sold]],Table1[],4,FALSE))*Table4[[#This Row],[qty]]</f>
        <v>48.333333333333336</v>
      </c>
      <c r="G3163">
        <f t="shared" si="261"/>
        <v>16.666666666666664</v>
      </c>
      <c r="H3163" t="s">
        <v>247</v>
      </c>
    </row>
    <row r="3164" spans="1:9" x14ac:dyDescent="0.25">
      <c r="A3164" s="15">
        <f t="shared" si="263"/>
        <v>45534</v>
      </c>
      <c r="B3164" s="31">
        <f>TIME(17,51,0)</f>
        <v>0.74375000000000002</v>
      </c>
      <c r="C3164" t="str">
        <f>'Inventory as of 12th Aug 2024'!A135</f>
        <v>Bella Tissue</v>
      </c>
      <c r="D3164" s="26">
        <v>2</v>
      </c>
      <c r="E3164" s="5">
        <f>Table4[[#This Row],[qty]]*(VLOOKUP(Table4[[#This Row],[item_sold]],Table1[],5,FALSE))</f>
        <v>100</v>
      </c>
      <c r="F3164" s="5">
        <f>(VLOOKUP(Table4[[#This Row],[item_sold]],Table1[],4,FALSE))*Table4[[#This Row],[qty]]</f>
        <v>70</v>
      </c>
      <c r="G3164">
        <f t="shared" si="261"/>
        <v>30</v>
      </c>
      <c r="H3164" t="s">
        <v>361</v>
      </c>
    </row>
    <row r="3165" spans="1:9" x14ac:dyDescent="0.25">
      <c r="A3165" s="15">
        <f t="shared" si="263"/>
        <v>45534</v>
      </c>
      <c r="B3165" s="31">
        <f t="shared" ref="B3165:B3167" si="268">TIME(17,51,0)</f>
        <v>0.74375000000000002</v>
      </c>
      <c r="C3165" t="str">
        <f>'Inventory as of 12th Aug 2024'!A37</f>
        <v>Festive Bread 400g</v>
      </c>
      <c r="D3165" s="26">
        <v>1</v>
      </c>
      <c r="E3165" s="5">
        <f>Table4[[#This Row],[qty]]*(VLOOKUP(Table4[[#This Row],[item_sold]],Table1[],5,FALSE))</f>
        <v>65</v>
      </c>
      <c r="F3165" s="5">
        <f>(VLOOKUP(Table4[[#This Row],[item_sold]],Table1[],4,FALSE))*Table4[[#This Row],[qty]]</f>
        <v>60</v>
      </c>
      <c r="G3165">
        <f t="shared" si="261"/>
        <v>5</v>
      </c>
      <c r="H3165" t="s">
        <v>361</v>
      </c>
    </row>
    <row r="3166" spans="1:9" x14ac:dyDescent="0.25">
      <c r="A3166" s="15">
        <f t="shared" si="263"/>
        <v>45534</v>
      </c>
      <c r="B3166" s="31">
        <f t="shared" si="268"/>
        <v>0.74375000000000002</v>
      </c>
      <c r="C3166" t="str">
        <f>'Inventory as of 12th Aug 2024'!A200</f>
        <v>Ngumu</v>
      </c>
      <c r="D3166" s="26">
        <v>3</v>
      </c>
      <c r="E3166" s="5">
        <f>Table4[[#This Row],[qty]]*(VLOOKUP(Table4[[#This Row],[item_sold]],Table1[],5,FALSE))</f>
        <v>30</v>
      </c>
      <c r="F3166" s="5">
        <f>(VLOOKUP(Table4[[#This Row],[item_sold]],Table1[],4,FALSE))*Table4[[#This Row],[qty]]</f>
        <v>25</v>
      </c>
      <c r="G3166">
        <f t="shared" si="261"/>
        <v>5</v>
      </c>
      <c r="H3166" t="s">
        <v>361</v>
      </c>
    </row>
    <row r="3167" spans="1:9" x14ac:dyDescent="0.25">
      <c r="A3167" s="15">
        <f t="shared" si="263"/>
        <v>45534</v>
      </c>
      <c r="B3167" s="31">
        <f t="shared" si="268"/>
        <v>0.74375000000000002</v>
      </c>
      <c r="C3167" t="str">
        <f>'Inventory as of 12th Aug 2024'!A192</f>
        <v>Lemon Bisquit</v>
      </c>
      <c r="D3167" s="26">
        <v>1</v>
      </c>
      <c r="E3167" s="5">
        <f>Table4[[#This Row],[qty]]*(VLOOKUP(Table4[[#This Row],[item_sold]],Table1[],5,FALSE))</f>
        <v>5</v>
      </c>
      <c r="F3167" s="5">
        <f>(VLOOKUP(Table4[[#This Row],[item_sold]],Table1[],4,FALSE))*Table4[[#This Row],[qty]]</f>
        <v>4.333333333333333</v>
      </c>
      <c r="G3167">
        <f t="shared" si="261"/>
        <v>0.66666666666666696</v>
      </c>
      <c r="H3167" t="s">
        <v>361</v>
      </c>
    </row>
    <row r="3168" spans="1:9" x14ac:dyDescent="0.25">
      <c r="A3168" s="15">
        <f t="shared" si="263"/>
        <v>45534</v>
      </c>
      <c r="B3168" s="31">
        <f>TIME(19,6,0)</f>
        <v>0.79583333333333339</v>
      </c>
      <c r="C3168" t="str">
        <f>'Inventory as of 12th Aug 2024'!A75</f>
        <v>Cooking Oil Measured</v>
      </c>
      <c r="D3168" s="26">
        <v>0.5</v>
      </c>
      <c r="E3168" s="5">
        <f>Table4[[#This Row],[qty]]*(VLOOKUP(Table4[[#This Row],[item_sold]],Table1[],5,FALSE))</f>
        <v>140</v>
      </c>
      <c r="F3168" s="5">
        <f>(VLOOKUP(Table4[[#This Row],[item_sold]],Table1[],4,FALSE))*Table4[[#This Row],[qty]]</f>
        <v>100</v>
      </c>
      <c r="G3168">
        <f t="shared" si="261"/>
        <v>40</v>
      </c>
      <c r="H3168" t="s">
        <v>361</v>
      </c>
    </row>
    <row r="3169" spans="1:9" x14ac:dyDescent="0.25">
      <c r="A3169" s="15">
        <f t="shared" si="263"/>
        <v>45534</v>
      </c>
      <c r="B3169" s="31">
        <f>TIME(19,13,0)</f>
        <v>0.80069444444444438</v>
      </c>
      <c r="C3169" t="str">
        <f>'Inventory as of 12th Aug 2024'!A197</f>
        <v>Canned cookies</v>
      </c>
      <c r="D3169" s="26">
        <v>1</v>
      </c>
      <c r="E3169" s="5">
        <f>Table4[[#This Row],[qty]]*(VLOOKUP(Table4[[#This Row],[item_sold]],Table1[],5,FALSE))</f>
        <v>60</v>
      </c>
      <c r="F3169" s="5">
        <f>(VLOOKUP(Table4[[#This Row],[item_sold]],Table1[],4,FALSE))*Table4[[#This Row],[qty]]</f>
        <v>50</v>
      </c>
      <c r="G3169">
        <f t="shared" si="261"/>
        <v>10</v>
      </c>
      <c r="H3169" t="s">
        <v>361</v>
      </c>
    </row>
    <row r="3170" spans="1:9" x14ac:dyDescent="0.25">
      <c r="A3170" s="15">
        <f t="shared" si="263"/>
        <v>45534</v>
      </c>
      <c r="B3170" s="31">
        <f t="shared" ref="B3170:B3173" si="269">TIME(19,13,0)</f>
        <v>0.80069444444444438</v>
      </c>
      <c r="C3170" t="str">
        <f>'Inventory as of 12th Aug 2024'!A183</f>
        <v>T.Heat Potato crisps Tomato 25g</v>
      </c>
      <c r="D3170" s="26">
        <v>2</v>
      </c>
      <c r="E3170" s="5">
        <f>Table4[[#This Row],[qty]]*(VLOOKUP(Table4[[#This Row],[item_sold]],Table1[],5,FALSE))</f>
        <v>60</v>
      </c>
      <c r="F3170" s="5">
        <f>(VLOOKUP(Table4[[#This Row],[item_sold]],Table1[],4,FALSE))*Table4[[#This Row],[qty]]</f>
        <v>45.833333333333336</v>
      </c>
      <c r="G3170">
        <f t="shared" si="261"/>
        <v>14.166666666666664</v>
      </c>
      <c r="H3170" t="s">
        <v>361</v>
      </c>
    </row>
    <row r="3171" spans="1:9" x14ac:dyDescent="0.25">
      <c r="A3171" s="15">
        <f t="shared" si="263"/>
        <v>45534</v>
      </c>
      <c r="B3171" s="31">
        <f t="shared" si="269"/>
        <v>0.80069444444444438</v>
      </c>
      <c r="C3171" t="str">
        <f>'Inventory as of 12th Aug 2024'!A22</f>
        <v>Delamere 450g yoghurt</v>
      </c>
      <c r="D3171" s="26">
        <v>1</v>
      </c>
      <c r="E3171" s="5">
        <f>Table4[[#This Row],[qty]]*(VLOOKUP(Table4[[#This Row],[item_sold]],Table1[],5,FALSE))</f>
        <v>160</v>
      </c>
      <c r="F3171" s="5">
        <f>(VLOOKUP(Table4[[#This Row],[item_sold]],Table1[],4,FALSE))*Table4[[#This Row],[qty]]</f>
        <v>137</v>
      </c>
      <c r="G3171">
        <f t="shared" si="261"/>
        <v>23</v>
      </c>
      <c r="H3171" t="s">
        <v>361</v>
      </c>
    </row>
    <row r="3172" spans="1:9" x14ac:dyDescent="0.25">
      <c r="A3172" s="15">
        <f t="shared" si="263"/>
        <v>45534</v>
      </c>
      <c r="B3172" s="31">
        <f t="shared" si="269"/>
        <v>0.80069444444444438</v>
      </c>
      <c r="C3172" t="str">
        <f>'Inventory as of 12th Aug 2024'!A190</f>
        <v>Goodday Cookies</v>
      </c>
      <c r="D3172" s="26">
        <v>1</v>
      </c>
      <c r="E3172" s="5">
        <f>Table4[[#This Row],[qty]]*(VLOOKUP(Table4[[#This Row],[item_sold]],Table1[],5,FALSE))</f>
        <v>15</v>
      </c>
      <c r="F3172" s="5">
        <f>(VLOOKUP(Table4[[#This Row],[item_sold]],Table1[],4,FALSE))*Table4[[#This Row],[qty]]</f>
        <v>9.3333333333333339</v>
      </c>
      <c r="G3172">
        <f t="shared" si="261"/>
        <v>5.6666666666666661</v>
      </c>
      <c r="H3172" t="s">
        <v>361</v>
      </c>
    </row>
    <row r="3173" spans="1:9" x14ac:dyDescent="0.25">
      <c r="A3173" s="15">
        <f t="shared" si="263"/>
        <v>45534</v>
      </c>
      <c r="B3173" s="31">
        <f t="shared" si="269"/>
        <v>0.80069444444444438</v>
      </c>
      <c r="C3173" t="str">
        <f>'Inventory as of 12th Aug 2024'!A186</f>
        <v>Glucose 50g</v>
      </c>
      <c r="D3173" s="26">
        <v>1</v>
      </c>
      <c r="E3173" s="5">
        <f>Table4[[#This Row],[qty]]*(VLOOKUP(Table4[[#This Row],[item_sold]],Table1[],5,FALSE))</f>
        <v>30</v>
      </c>
      <c r="F3173" s="5">
        <f>(VLOOKUP(Table4[[#This Row],[item_sold]],Table1[],4,FALSE))*Table4[[#This Row],[qty]]</f>
        <v>15.833333333333334</v>
      </c>
      <c r="G3173">
        <f t="shared" si="261"/>
        <v>14.166666666666666</v>
      </c>
      <c r="H3173" t="s">
        <v>361</v>
      </c>
    </row>
    <row r="3174" spans="1:9" x14ac:dyDescent="0.25">
      <c r="A3174" s="15">
        <f t="shared" si="263"/>
        <v>45534</v>
      </c>
      <c r="B3174" s="31">
        <f>TIME(19,25,0)</f>
        <v>0.80902777777777779</v>
      </c>
      <c r="C3174" t="str">
        <f>'Inventory as of 12th Aug 2024'!A81</f>
        <v>ariel 75g</v>
      </c>
      <c r="D3174" s="26">
        <v>1</v>
      </c>
      <c r="E3174" s="5">
        <f>Table4[[#This Row],[qty]]*(VLOOKUP(Table4[[#This Row],[item_sold]],Table1[],5,FALSE))</f>
        <v>35</v>
      </c>
      <c r="F3174" s="5">
        <f>(VLOOKUP(Table4[[#This Row],[item_sold]],Table1[],4,FALSE))*Table4[[#This Row],[qty]]</f>
        <v>27.5</v>
      </c>
      <c r="G3174">
        <f t="shared" si="261"/>
        <v>7.5</v>
      </c>
      <c r="H3174" t="s">
        <v>247</v>
      </c>
    </row>
    <row r="3175" spans="1:9" x14ac:dyDescent="0.25">
      <c r="A3175" s="15">
        <f t="shared" si="263"/>
        <v>45534</v>
      </c>
      <c r="B3175" s="31">
        <f t="shared" ref="B3175:B3176" si="270">TIME(19,25,0)</f>
        <v>0.80902777777777779</v>
      </c>
      <c r="C3175" t="str">
        <f>'Inventory as of 12th Aug 2024'!A87</f>
        <v>Menengai Bar 1kg</v>
      </c>
      <c r="D3175" s="26">
        <v>1</v>
      </c>
      <c r="E3175" s="5">
        <f>Table4[[#This Row],[qty]]*(VLOOKUP(Table4[[#This Row],[item_sold]],Table1[],5,FALSE))</f>
        <v>250</v>
      </c>
      <c r="F3175" s="5">
        <f>(VLOOKUP(Table4[[#This Row],[item_sold]],Table1[],4,FALSE))*Table4[[#This Row],[qty]]</f>
        <v>190</v>
      </c>
      <c r="G3175">
        <f t="shared" si="261"/>
        <v>60</v>
      </c>
      <c r="H3175" t="s">
        <v>247</v>
      </c>
    </row>
    <row r="3176" spans="1:9" x14ac:dyDescent="0.25">
      <c r="A3176" s="15">
        <f t="shared" si="263"/>
        <v>45534</v>
      </c>
      <c r="B3176" s="31">
        <f t="shared" si="270"/>
        <v>0.80902777777777779</v>
      </c>
      <c r="C3176" t="str">
        <f>'Inventory as of 12th Aug 2024'!A151</f>
        <v>Arimis big</v>
      </c>
      <c r="D3176" s="26">
        <v>1</v>
      </c>
      <c r="E3176" s="5">
        <f>Table4[[#This Row],[qty]]*(VLOOKUP(Table4[[#This Row],[item_sold]],Table1[],5,FALSE))</f>
        <v>60</v>
      </c>
      <c r="F3176" s="5">
        <f>(VLOOKUP(Table4[[#This Row],[item_sold]],Table1[],4,FALSE))*Table4[[#This Row],[qty]]</f>
        <v>45.833333333333336</v>
      </c>
      <c r="G3176">
        <f t="shared" si="261"/>
        <v>14.166666666666664</v>
      </c>
      <c r="H3176" t="s">
        <v>247</v>
      </c>
    </row>
    <row r="3177" spans="1:9" x14ac:dyDescent="0.25">
      <c r="A3177" s="15">
        <f t="shared" si="263"/>
        <v>45534</v>
      </c>
      <c r="B3177" s="31">
        <f>TIME(19,28,0)</f>
        <v>0.81111111111111101</v>
      </c>
      <c r="C3177" t="str">
        <f>'Inventory as of 12th Aug 2024'!A8</f>
        <v>eggs</v>
      </c>
      <c r="D3177" s="26">
        <v>1</v>
      </c>
      <c r="E3177" s="5">
        <f>Table4[[#This Row],[qty]]*(VLOOKUP(Table4[[#This Row],[item_sold]],Table1[],5,FALSE))</f>
        <v>20</v>
      </c>
      <c r="F3177" s="5">
        <f>(VLOOKUP(Table4[[#This Row],[item_sold]],Table1[],4,FALSE))*Table4[[#This Row],[qty]]</f>
        <v>14.333333333333334</v>
      </c>
      <c r="G3177">
        <f t="shared" si="261"/>
        <v>5.6666666666666661</v>
      </c>
      <c r="H3177" t="s">
        <v>361</v>
      </c>
    </row>
    <row r="3178" spans="1:9" x14ac:dyDescent="0.25">
      <c r="A3178" s="15">
        <f t="shared" si="263"/>
        <v>45534</v>
      </c>
      <c r="B3178" s="31">
        <f t="shared" ref="B3178" si="271">TIME(19,28,0)</f>
        <v>0.81111111111111101</v>
      </c>
      <c r="C3178" t="str">
        <f>'Inventory as of 12th Aug 2024'!A91</f>
        <v>Tomatoes</v>
      </c>
      <c r="D3178" s="26">
        <v>1</v>
      </c>
      <c r="E3178" s="5">
        <f>Table4[[#This Row],[qty]]*(VLOOKUP(Table4[[#This Row],[item_sold]],Table1[],5,FALSE))</f>
        <v>10</v>
      </c>
      <c r="F3178" s="5">
        <f>(VLOOKUP(Table4[[#This Row],[item_sold]],Table1[],4,FALSE))*Table4[[#This Row],[qty]]</f>
        <v>5</v>
      </c>
      <c r="G3178">
        <f t="shared" si="261"/>
        <v>5</v>
      </c>
      <c r="H3178" t="s">
        <v>361</v>
      </c>
    </row>
    <row r="3179" spans="1:9" x14ac:dyDescent="0.25">
      <c r="A3179" s="15">
        <f t="shared" si="263"/>
        <v>45534</v>
      </c>
      <c r="B3179" s="31">
        <f>TIME(19,30,0)</f>
        <v>0.8125</v>
      </c>
      <c r="C3179" t="str">
        <f>'Inventory as of 12th Aug 2024'!A58</f>
        <v>Safari</v>
      </c>
      <c r="D3179" s="26">
        <v>1</v>
      </c>
      <c r="E3179" s="5">
        <f>Table4[[#This Row],[qty]]*(VLOOKUP(Table4[[#This Row],[item_sold]],Table1[],5,FALSE))</f>
        <v>15</v>
      </c>
      <c r="F3179" s="5">
        <f>(VLOOKUP(Table4[[#This Row],[item_sold]],Table1[],4,FALSE))*Table4[[#This Row],[qty]]</f>
        <v>8.5</v>
      </c>
      <c r="G3179">
        <f t="shared" si="261"/>
        <v>6.5</v>
      </c>
      <c r="H3179" t="s">
        <v>361</v>
      </c>
    </row>
    <row r="3180" spans="1:9" x14ac:dyDescent="0.25">
      <c r="A3180" s="15">
        <f t="shared" si="263"/>
        <v>45534</v>
      </c>
      <c r="B3180" s="31">
        <f t="shared" ref="B3180:B3181" si="272">TIME(19,30,0)</f>
        <v>0.8125</v>
      </c>
      <c r="C3180" t="str">
        <f>'Inventory as of 12th Aug 2024'!A153</f>
        <v>mosquito stick</v>
      </c>
      <c r="D3180" s="26">
        <v>1</v>
      </c>
      <c r="E3180" s="5">
        <f>Table4[[#This Row],[qty]]*(VLOOKUP(Table4[[#This Row],[item_sold]],Table1[],5,FALSE))</f>
        <v>10</v>
      </c>
      <c r="F3180" s="5">
        <f>(VLOOKUP(Table4[[#This Row],[item_sold]],Table1[],4,FALSE))*Table4[[#This Row],[qty]]</f>
        <v>9</v>
      </c>
      <c r="G3180">
        <f t="shared" si="261"/>
        <v>1</v>
      </c>
      <c r="H3180" t="s">
        <v>361</v>
      </c>
    </row>
    <row r="3181" spans="1:9" x14ac:dyDescent="0.25">
      <c r="A3181" s="15">
        <f t="shared" si="263"/>
        <v>45534</v>
      </c>
      <c r="B3181" s="31">
        <f t="shared" si="272"/>
        <v>0.8125</v>
      </c>
      <c r="D3181" s="26"/>
      <c r="F3181" s="5"/>
      <c r="G3181"/>
    </row>
    <row r="3182" spans="1:9" x14ac:dyDescent="0.25">
      <c r="A3182" s="15">
        <f t="shared" si="263"/>
        <v>45534</v>
      </c>
      <c r="B3182" s="31">
        <f>TIME(19,33,0)</f>
        <v>0.81458333333333333</v>
      </c>
      <c r="C3182" t="str">
        <f>'Inventory as of 12th Aug 2024'!A58</f>
        <v>Safari</v>
      </c>
      <c r="D3182" s="26">
        <v>1</v>
      </c>
      <c r="E3182" s="5">
        <f>Table4[[#This Row],[qty]]*(VLOOKUP(Table4[[#This Row],[item_sold]],Table1[],5,FALSE))</f>
        <v>15</v>
      </c>
      <c r="F3182" s="5">
        <f>(VLOOKUP(Table4[[#This Row],[item_sold]],Table1[],4,FALSE))*Table4[[#This Row],[qty]]</f>
        <v>8.5</v>
      </c>
      <c r="G3182">
        <f t="shared" si="261"/>
        <v>6.5</v>
      </c>
      <c r="H3182" t="s">
        <v>430</v>
      </c>
      <c r="I3182" t="s">
        <v>447</v>
      </c>
    </row>
    <row r="3183" spans="1:9" x14ac:dyDescent="0.25">
      <c r="A3183" s="15">
        <f t="shared" si="263"/>
        <v>45534</v>
      </c>
      <c r="B3183" s="31">
        <f>TIME(19,45,0)</f>
        <v>0.82291666666666663</v>
      </c>
      <c r="C3183" t="str">
        <f>'Inventory as of 12th Aug 2024'!A227</f>
        <v>Battery AA</v>
      </c>
      <c r="D3183" s="26">
        <v>1</v>
      </c>
      <c r="E3183" s="5">
        <f>Table4[[#This Row],[qty]]*(VLOOKUP(Table4[[#This Row],[item_sold]],Table1[],5,FALSE))</f>
        <v>15</v>
      </c>
      <c r="F3183" s="5">
        <f>(VLOOKUP(Table4[[#This Row],[item_sold]],Table1[],4,FALSE))*Table4[[#This Row],[qty]]</f>
        <v>10</v>
      </c>
      <c r="G3183">
        <f t="shared" si="261"/>
        <v>5</v>
      </c>
      <c r="H3183" t="s">
        <v>430</v>
      </c>
      <c r="I3183" t="s">
        <v>409</v>
      </c>
    </row>
    <row r="3184" spans="1:9" x14ac:dyDescent="0.25">
      <c r="A3184" s="15">
        <f t="shared" si="263"/>
        <v>45534</v>
      </c>
      <c r="B3184" s="31">
        <f>TIME(20,22,0)</f>
        <v>0.84861111111111109</v>
      </c>
      <c r="C3184" t="str">
        <f>'Inventory as of 12th Aug 2024'!A40</f>
        <v>Spagetti</v>
      </c>
      <c r="D3184" s="26">
        <v>1</v>
      </c>
      <c r="E3184" s="5">
        <f>Table4[[#This Row],[qty]]*(VLOOKUP(Table4[[#This Row],[item_sold]],Table1[],5,FALSE))</f>
        <v>85</v>
      </c>
      <c r="F3184" s="5">
        <f>(VLOOKUP(Table4[[#This Row],[item_sold]],Table1[],4,FALSE))*Table4[[#This Row],[qty]]</f>
        <v>75.599999999999994</v>
      </c>
      <c r="G3184">
        <f t="shared" si="261"/>
        <v>9.4000000000000057</v>
      </c>
      <c r="H3184" t="s">
        <v>361</v>
      </c>
    </row>
    <row r="3185" spans="1:12" x14ac:dyDescent="0.25">
      <c r="A3185" s="15">
        <f t="shared" si="263"/>
        <v>45534</v>
      </c>
      <c r="B3185" s="31">
        <f t="shared" ref="B3185" si="273">TIME(20,22,0)</f>
        <v>0.84861111111111109</v>
      </c>
      <c r="C3185" t="str">
        <f>'Inventory as of 12th Aug 2024'!A198</f>
        <v>Mandazi</v>
      </c>
      <c r="D3185" s="26">
        <v>3</v>
      </c>
      <c r="E3185" s="5">
        <f>Table4[[#This Row],[qty]]*(VLOOKUP(Table4[[#This Row],[item_sold]],Table1[],5,FALSE))</f>
        <v>15</v>
      </c>
      <c r="F3185" s="5">
        <f>(VLOOKUP(Table4[[#This Row],[item_sold]],Table1[],4,FALSE))*Table4[[#This Row],[qty]]</f>
        <v>12.5</v>
      </c>
      <c r="G3185">
        <f t="shared" si="261"/>
        <v>2.5</v>
      </c>
      <c r="H3185" t="s">
        <v>361</v>
      </c>
    </row>
    <row r="3186" spans="1:12" x14ac:dyDescent="0.25">
      <c r="A3186" s="15">
        <f t="shared" si="263"/>
        <v>45534</v>
      </c>
      <c r="B3186" s="31">
        <f>TIME(20,47,0)</f>
        <v>0.86597222222222225</v>
      </c>
      <c r="C3186" t="str">
        <f>'Inventory as of 12th Aug 2024'!A16</f>
        <v>Mt kenya milk 500ml</v>
      </c>
      <c r="D3186" s="26">
        <v>2</v>
      </c>
      <c r="E3186" s="5">
        <f>Table4[[#This Row],[qty]]*(VLOOKUP(Table4[[#This Row],[item_sold]],Table1[],5,FALSE))</f>
        <v>130</v>
      </c>
      <c r="F3186" s="5">
        <f>(VLOOKUP(Table4[[#This Row],[item_sold]],Table1[],4,FALSE))*Table4[[#This Row],[qty]]</f>
        <v>96.666666666666671</v>
      </c>
      <c r="G3186">
        <f t="shared" si="261"/>
        <v>33.333333333333329</v>
      </c>
      <c r="H3186" t="s">
        <v>361</v>
      </c>
    </row>
    <row r="3187" spans="1:12" x14ac:dyDescent="0.25">
      <c r="A3187" s="15">
        <f t="shared" si="263"/>
        <v>45534</v>
      </c>
      <c r="B3187" s="31">
        <f t="shared" ref="B3187:B3190" si="274">TIME(20,47,0)</f>
        <v>0.86597222222222225</v>
      </c>
      <c r="C3187" t="str">
        <f>'Inventory as of 12th Aug 2024'!A91</f>
        <v>Tomatoes</v>
      </c>
      <c r="D3187" s="26">
        <v>5</v>
      </c>
      <c r="E3187" s="5">
        <f>Table4[[#This Row],[qty]]*(VLOOKUP(Table4[[#This Row],[item_sold]],Table1[],5,FALSE))</f>
        <v>50</v>
      </c>
      <c r="F3187" s="5">
        <f>(VLOOKUP(Table4[[#This Row],[item_sold]],Table1[],4,FALSE))*Table4[[#This Row],[qty]]</f>
        <v>25</v>
      </c>
      <c r="G3187">
        <f t="shared" si="261"/>
        <v>25</v>
      </c>
      <c r="H3187" t="s">
        <v>361</v>
      </c>
    </row>
    <row r="3188" spans="1:12" x14ac:dyDescent="0.25">
      <c r="A3188" s="15">
        <f t="shared" si="263"/>
        <v>45534</v>
      </c>
      <c r="B3188" s="31">
        <f t="shared" si="274"/>
        <v>0.86597222222222225</v>
      </c>
      <c r="C3188" t="str">
        <f>'Inventory as of 12th Aug 2024'!A68</f>
        <v>Royco cubes</v>
      </c>
      <c r="D3188" s="26">
        <v>6</v>
      </c>
      <c r="E3188" s="5">
        <f>Table4[[#This Row],[qty]]*(VLOOKUP(Table4[[#This Row],[item_sold]],Table1[],5,FALSE))</f>
        <v>30</v>
      </c>
      <c r="F3188" s="5">
        <f>(VLOOKUP(Table4[[#This Row],[item_sold]],Table1[],4,FALSE))*Table4[[#This Row],[qty]]</f>
        <v>18</v>
      </c>
      <c r="G3188">
        <f t="shared" si="261"/>
        <v>12</v>
      </c>
      <c r="H3188" t="s">
        <v>361</v>
      </c>
    </row>
    <row r="3189" spans="1:12" x14ac:dyDescent="0.25">
      <c r="A3189" s="15">
        <f t="shared" si="263"/>
        <v>45534</v>
      </c>
      <c r="B3189" s="31">
        <f t="shared" si="274"/>
        <v>0.86597222222222225</v>
      </c>
      <c r="C3189" t="str">
        <f>'Inventory as of 12th Aug 2024'!A8</f>
        <v>eggs</v>
      </c>
      <c r="D3189" s="26">
        <v>4</v>
      </c>
      <c r="E3189" s="5">
        <f>Table4[[#This Row],[qty]]*(VLOOKUP(Table4[[#This Row],[item_sold]],Table1[],5,FALSE))</f>
        <v>80</v>
      </c>
      <c r="F3189" s="5">
        <f>(VLOOKUP(Table4[[#This Row],[item_sold]],Table1[],4,FALSE))*Table4[[#This Row],[qty]]</f>
        <v>57.333333333333336</v>
      </c>
      <c r="G3189">
        <f t="shared" si="261"/>
        <v>22.666666666666664</v>
      </c>
      <c r="H3189" t="s">
        <v>361</v>
      </c>
    </row>
    <row r="3190" spans="1:12" x14ac:dyDescent="0.25">
      <c r="A3190" s="15">
        <f t="shared" si="263"/>
        <v>45534</v>
      </c>
      <c r="B3190" s="31">
        <f t="shared" si="274"/>
        <v>0.86597222222222225</v>
      </c>
      <c r="C3190" t="str">
        <f>'Inventory as of 12th Aug 2024'!A72</f>
        <v>Curry Powder</v>
      </c>
      <c r="D3190" s="26">
        <v>2</v>
      </c>
      <c r="E3190" s="5">
        <f>Table4[[#This Row],[qty]]*(VLOOKUP(Table4[[#This Row],[item_sold]],Table1[],5,FALSE))</f>
        <v>30</v>
      </c>
      <c r="F3190" s="5">
        <f>(VLOOKUP(Table4[[#This Row],[item_sold]],Table1[],4,FALSE))*Table4[[#This Row],[qty]]</f>
        <v>15</v>
      </c>
      <c r="G3190">
        <f t="shared" si="261"/>
        <v>15</v>
      </c>
      <c r="H3190" t="s">
        <v>361</v>
      </c>
    </row>
    <row r="3191" spans="1:12" x14ac:dyDescent="0.25">
      <c r="A3191" s="15">
        <f t="shared" si="263"/>
        <v>45534</v>
      </c>
      <c r="B3191" s="31">
        <f>TIME(21,24,0)</f>
        <v>0.89166666666666661</v>
      </c>
      <c r="C3191" t="str">
        <f>'Inventory as of 12th Aug 2024'!A127</f>
        <v>tumbocide</v>
      </c>
      <c r="D3191" s="26">
        <v>2</v>
      </c>
      <c r="E3191" s="5">
        <f>Table4[[#This Row],[qty]]*(VLOOKUP(Table4[[#This Row],[item_sold]],Table1[],5,FALSE))</f>
        <v>20</v>
      </c>
      <c r="F3191" s="5">
        <f>(VLOOKUP(Table4[[#This Row],[item_sold]],Table1[],4,FALSE))*Table4[[#This Row],[qty]]</f>
        <v>14</v>
      </c>
      <c r="G3191">
        <f t="shared" si="261"/>
        <v>6</v>
      </c>
      <c r="H3191" t="s">
        <v>430</v>
      </c>
      <c r="I3191" t="s">
        <v>406</v>
      </c>
    </row>
    <row r="3192" spans="1:12" x14ac:dyDescent="0.25">
      <c r="A3192" s="15">
        <f>DATE(2024,8,31)</f>
        <v>45535</v>
      </c>
      <c r="B3192" s="31">
        <f>TIME(8,7,0)</f>
        <v>0.33819444444444446</v>
      </c>
      <c r="C3192" t="str">
        <f>'Inventory as of 12th Aug 2024'!A35</f>
        <v>Festive 600g</v>
      </c>
      <c r="D3192" s="26">
        <v>1</v>
      </c>
      <c r="E3192" s="5">
        <f>Table4[[#This Row],[qty]]*(VLOOKUP(Table4[[#This Row],[item_sold]],Table1[],5,FALSE))</f>
        <v>100</v>
      </c>
      <c r="F3192" s="5">
        <f>(VLOOKUP(Table4[[#This Row],[item_sold]],Table1[],4,FALSE))*Table4[[#This Row],[qty]]</f>
        <v>90</v>
      </c>
      <c r="G3192">
        <f t="shared" si="261"/>
        <v>10</v>
      </c>
      <c r="H3192" t="s">
        <v>247</v>
      </c>
    </row>
    <row r="3193" spans="1:12" x14ac:dyDescent="0.25">
      <c r="A3193" s="15">
        <f t="shared" ref="A3193:A3256" si="275">DATE(2024,8,31)</f>
        <v>45535</v>
      </c>
      <c r="B3193" s="31">
        <f t="shared" ref="B3193" si="276">TIME(8,7,0)</f>
        <v>0.33819444444444446</v>
      </c>
      <c r="C3193" t="str">
        <f>'Inventory as of 12th Aug 2024'!A16</f>
        <v>Mt kenya milk 500ml</v>
      </c>
      <c r="D3193" s="26">
        <v>3</v>
      </c>
      <c r="E3193" s="5">
        <f>Table4[[#This Row],[qty]]*(VLOOKUP(Table4[[#This Row],[item_sold]],Table1[],5,FALSE))</f>
        <v>195</v>
      </c>
      <c r="F3193" s="5">
        <f>(VLOOKUP(Table4[[#This Row],[item_sold]],Table1[],4,FALSE))*Table4[[#This Row],[qty]]</f>
        <v>145</v>
      </c>
      <c r="G3193">
        <f t="shared" ref="G3193:G3196" si="277">E3193-F3193</f>
        <v>50</v>
      </c>
      <c r="H3193" t="s">
        <v>247</v>
      </c>
    </row>
    <row r="3194" spans="1:12" x14ac:dyDescent="0.25">
      <c r="A3194" s="15">
        <f t="shared" si="275"/>
        <v>45535</v>
      </c>
      <c r="B3194" s="31">
        <f>TIME(8,14,0)</f>
        <v>0.3430555555555555</v>
      </c>
      <c r="C3194" t="str">
        <f>'Inventory as of 12th Aug 2024'!A37</f>
        <v>Festive Bread 400g</v>
      </c>
      <c r="D3194" s="26">
        <v>1</v>
      </c>
      <c r="E3194" s="5">
        <f>Table4[[#This Row],[qty]]*(VLOOKUP(Table4[[#This Row],[item_sold]],Table1[],5,FALSE))</f>
        <v>65</v>
      </c>
      <c r="F3194" s="5">
        <f>(VLOOKUP(Table4[[#This Row],[item_sold]],Table1[],4,FALSE))*Table4[[#This Row],[qty]]</f>
        <v>60</v>
      </c>
      <c r="G3194">
        <f t="shared" si="277"/>
        <v>5</v>
      </c>
      <c r="H3194" t="s">
        <v>361</v>
      </c>
    </row>
    <row r="3195" spans="1:12" x14ac:dyDescent="0.25">
      <c r="A3195" s="15">
        <f t="shared" si="275"/>
        <v>45535</v>
      </c>
      <c r="B3195" s="31">
        <f>TIME(8,17,0)</f>
        <v>0.34513888888888888</v>
      </c>
      <c r="C3195" t="str">
        <f>'Inventory as of 12th Aug 2024'!A58</f>
        <v>Safari</v>
      </c>
      <c r="D3195" s="26">
        <v>1</v>
      </c>
      <c r="E3195" s="5">
        <f>Table4[[#This Row],[qty]]*(VLOOKUP(Table4[[#This Row],[item_sold]],Table1[],5,FALSE))</f>
        <v>15</v>
      </c>
      <c r="F3195" s="5">
        <f>(VLOOKUP(Table4[[#This Row],[item_sold]],Table1[],4,FALSE))*Table4[[#This Row],[qty]]</f>
        <v>8.5</v>
      </c>
      <c r="G3195">
        <f t="shared" si="277"/>
        <v>6.5</v>
      </c>
      <c r="H3195" t="s">
        <v>361</v>
      </c>
    </row>
    <row r="3196" spans="1:12" x14ac:dyDescent="0.25">
      <c r="A3196" s="15">
        <f t="shared" si="275"/>
        <v>45535</v>
      </c>
      <c r="B3196" s="31">
        <f>TIME(8,35,0)</f>
        <v>0.3576388888888889</v>
      </c>
      <c r="C3196" t="str">
        <f>'Inventory as of 12th Aug 2024'!A33</f>
        <v>BB Bread 400g</v>
      </c>
      <c r="D3196" s="26">
        <v>2</v>
      </c>
      <c r="E3196" s="5">
        <f>Table4[[#This Row],[qty]]*(VLOOKUP(Table4[[#This Row],[item_sold]],Table1[],5,FALSE))</f>
        <v>130</v>
      </c>
      <c r="F3196" s="5">
        <f>(VLOOKUP(Table4[[#This Row],[item_sold]],Table1[],4,FALSE))*Table4[[#This Row],[qty]]</f>
        <v>120</v>
      </c>
      <c r="G3196">
        <f t="shared" si="277"/>
        <v>10</v>
      </c>
      <c r="H3196" t="s">
        <v>430</v>
      </c>
      <c r="I3196" t="s">
        <v>394</v>
      </c>
      <c r="J3196" t="s">
        <v>394</v>
      </c>
      <c r="K3196">
        <v>180</v>
      </c>
      <c r="L3196" t="s">
        <v>361</v>
      </c>
    </row>
    <row r="3197" spans="1:12" x14ac:dyDescent="0.25">
      <c r="A3197" s="15">
        <f t="shared" si="275"/>
        <v>45535</v>
      </c>
      <c r="B3197" s="31">
        <f>TIME(8,35,0)</f>
        <v>0.3576388888888889</v>
      </c>
      <c r="C3197" t="str">
        <f>'Inventory as of 12th Aug 2024'!A135</f>
        <v>Bella Tissue</v>
      </c>
      <c r="D3197" s="27">
        <v>1</v>
      </c>
      <c r="E3197" s="5">
        <f>Table4[[#This Row],[qty]]*(VLOOKUP(Table4[[#This Row],[item_sold]],Table1[],5,FALSE))</f>
        <v>50</v>
      </c>
      <c r="F3197" s="5">
        <f>(VLOOKUP(Table4[[#This Row],[item_sold]],Table1[],4,FALSE))*Table4[[#This Row],[qty]]</f>
        <v>35</v>
      </c>
      <c r="G3197">
        <f t="shared" ref="G3197:G3241" si="278">E3197-F3197</f>
        <v>15</v>
      </c>
      <c r="H3197" t="s">
        <v>430</v>
      </c>
      <c r="I3197" t="s">
        <v>394</v>
      </c>
    </row>
    <row r="3198" spans="1:12" x14ac:dyDescent="0.25">
      <c r="A3198" s="15">
        <f t="shared" si="275"/>
        <v>45535</v>
      </c>
      <c r="B3198" s="31">
        <f>TIME(9,2,0)</f>
        <v>0.37638888888888888</v>
      </c>
      <c r="C3198" t="str">
        <f>'Inventory as of 12th Aug 2024'!A16</f>
        <v>Mt kenya milk 500ml</v>
      </c>
      <c r="D3198" s="27">
        <v>1</v>
      </c>
      <c r="E3198" s="5">
        <f>Table4[[#This Row],[qty]]*(VLOOKUP(Table4[[#This Row],[item_sold]],Table1[],5,FALSE))</f>
        <v>65</v>
      </c>
      <c r="F3198" s="5">
        <f>(VLOOKUP(Table4[[#This Row],[item_sold]],Table1[],4,FALSE))*Table4[[#This Row],[qty]]</f>
        <v>48.333333333333336</v>
      </c>
      <c r="G3198">
        <f t="shared" si="278"/>
        <v>16.666666666666664</v>
      </c>
      <c r="H3198" t="s">
        <v>361</v>
      </c>
    </row>
    <row r="3199" spans="1:12" x14ac:dyDescent="0.25">
      <c r="A3199" s="15">
        <f t="shared" si="275"/>
        <v>45535</v>
      </c>
      <c r="B3199" s="31">
        <f t="shared" ref="B3199:B3202" si="279">TIME(9,45,0)</f>
        <v>0.40625</v>
      </c>
      <c r="C3199" t="str">
        <f>'Inventory as of 12th Aug 2024'!A35</f>
        <v>Festive 600g</v>
      </c>
      <c r="D3199" s="27">
        <v>1</v>
      </c>
      <c r="E3199" s="5">
        <f>Table4[[#This Row],[qty]]*(VLOOKUP(Table4[[#This Row],[item_sold]],Table1[],5,FALSE))</f>
        <v>100</v>
      </c>
      <c r="F3199" s="5">
        <f>(VLOOKUP(Table4[[#This Row],[item_sold]],Table1[],4,FALSE))*Table4[[#This Row],[qty]]</f>
        <v>90</v>
      </c>
      <c r="G3199">
        <f t="shared" si="278"/>
        <v>10</v>
      </c>
      <c r="H3199" t="s">
        <v>361</v>
      </c>
    </row>
    <row r="3200" spans="1:12" x14ac:dyDescent="0.25">
      <c r="A3200" s="15">
        <f t="shared" si="275"/>
        <v>45535</v>
      </c>
      <c r="B3200" s="31">
        <f t="shared" si="279"/>
        <v>0.40625</v>
      </c>
      <c r="C3200" t="str">
        <f>'Inventory as of 12th Aug 2024'!A138</f>
        <v>Softcare pads</v>
      </c>
      <c r="D3200" s="27">
        <v>1</v>
      </c>
      <c r="E3200" s="5">
        <f>Table4[[#This Row],[qty]]*(VLOOKUP(Table4[[#This Row],[item_sold]],Table1[],5,FALSE))</f>
        <v>85</v>
      </c>
      <c r="F3200" s="5">
        <f>(VLOOKUP(Table4[[#This Row],[item_sold]],Table1[],4,FALSE))*Table4[[#This Row],[qty]]</f>
        <v>66</v>
      </c>
      <c r="G3200">
        <f t="shared" si="278"/>
        <v>19</v>
      </c>
      <c r="H3200" t="s">
        <v>361</v>
      </c>
    </row>
    <row r="3201" spans="1:12" x14ac:dyDescent="0.25">
      <c r="A3201" s="15">
        <f t="shared" si="275"/>
        <v>45535</v>
      </c>
      <c r="B3201" s="31">
        <f t="shared" si="279"/>
        <v>0.40625</v>
      </c>
      <c r="C3201" t="str">
        <f>'Inventory as of 12th Aug 2024'!A8</f>
        <v>eggs</v>
      </c>
      <c r="D3201" s="27">
        <v>1</v>
      </c>
      <c r="E3201" s="5">
        <f>Table4[[#This Row],[qty]]*(VLOOKUP(Table4[[#This Row],[item_sold]],Table1[],5,FALSE))</f>
        <v>20</v>
      </c>
      <c r="F3201" s="5">
        <f>(VLOOKUP(Table4[[#This Row],[item_sold]],Table1[],4,FALSE))*Table4[[#This Row],[qty]]</f>
        <v>14.333333333333334</v>
      </c>
      <c r="G3201">
        <f t="shared" si="278"/>
        <v>5.6666666666666661</v>
      </c>
      <c r="H3201" t="s">
        <v>361</v>
      </c>
    </row>
    <row r="3202" spans="1:12" x14ac:dyDescent="0.25">
      <c r="A3202" s="15">
        <f t="shared" si="275"/>
        <v>45535</v>
      </c>
      <c r="B3202" s="31">
        <f t="shared" si="279"/>
        <v>0.40625</v>
      </c>
      <c r="C3202" t="str">
        <f>'Inventory as of 12th Aug 2024'!A185</f>
        <v>Glucose 10g</v>
      </c>
      <c r="D3202" s="27">
        <v>1</v>
      </c>
      <c r="E3202" s="5">
        <f>Table4[[#This Row],[qty]]*(VLOOKUP(Table4[[#This Row],[item_sold]],Table1[],5,FALSE))</f>
        <v>5</v>
      </c>
      <c r="F3202" s="5">
        <f>(VLOOKUP(Table4[[#This Row],[item_sold]],Table1[],4,FALSE))*Table4[[#This Row],[qty]]</f>
        <v>3.75</v>
      </c>
      <c r="G3202">
        <f t="shared" si="278"/>
        <v>1.25</v>
      </c>
      <c r="H3202" t="s">
        <v>361</v>
      </c>
    </row>
    <row r="3203" spans="1:12" x14ac:dyDescent="0.25">
      <c r="A3203" s="15">
        <f t="shared" si="275"/>
        <v>45535</v>
      </c>
      <c r="B3203" s="31">
        <f>TIME(10,39,0)</f>
        <v>0.44375000000000003</v>
      </c>
      <c r="C3203" t="str">
        <f>'Inventory as of 12th Aug 2024'!A87</f>
        <v>Menengai Bar 1kg</v>
      </c>
      <c r="D3203" s="27">
        <v>0.4</v>
      </c>
      <c r="E3203" s="5">
        <f>Table4[[#This Row],[qty]]*(VLOOKUP(Table4[[#This Row],[item_sold]],Table1[],5,FALSE))</f>
        <v>100</v>
      </c>
      <c r="F3203" s="5">
        <f>(VLOOKUP(Table4[[#This Row],[item_sold]],Table1[],4,FALSE))*Table4[[#This Row],[qty]]</f>
        <v>76</v>
      </c>
      <c r="G3203">
        <f t="shared" si="278"/>
        <v>24</v>
      </c>
      <c r="H3203" t="s">
        <v>247</v>
      </c>
    </row>
    <row r="3204" spans="1:12" x14ac:dyDescent="0.25">
      <c r="A3204" s="15">
        <f t="shared" si="275"/>
        <v>45535</v>
      </c>
      <c r="B3204" s="31">
        <f>TIME(11,32,0)</f>
        <v>0.48055555555555557</v>
      </c>
      <c r="C3204" t="str">
        <f>'Inventory as of 12th Aug 2024'!A211</f>
        <v>predator</v>
      </c>
      <c r="D3204" s="27">
        <v>1</v>
      </c>
      <c r="E3204" s="5">
        <f>Table4[[#This Row],[qty]]*(VLOOKUP(Table4[[#This Row],[item_sold]],Table1[],5,FALSE))</f>
        <v>70</v>
      </c>
      <c r="F3204" s="5">
        <f>(VLOOKUP(Table4[[#This Row],[item_sold]],Table1[],4,FALSE))*Table4[[#This Row],[qty]]</f>
        <v>54.166666666666664</v>
      </c>
      <c r="G3204">
        <f t="shared" si="278"/>
        <v>15.833333333333336</v>
      </c>
      <c r="H3204" t="s">
        <v>361</v>
      </c>
    </row>
    <row r="3205" spans="1:12" x14ac:dyDescent="0.25">
      <c r="A3205" s="15">
        <f t="shared" si="275"/>
        <v>45535</v>
      </c>
      <c r="B3205" s="31">
        <f>TIME(11,32,0)</f>
        <v>0.48055555555555557</v>
      </c>
      <c r="C3205" t="str">
        <f>'Inventory as of 12th Aug 2024'!A199</f>
        <v>Kdf</v>
      </c>
      <c r="D3205" s="27">
        <v>1</v>
      </c>
      <c r="E3205" s="5">
        <f>Table4[[#This Row],[qty]]*(VLOOKUP(Table4[[#This Row],[item_sold]],Table1[],5,FALSE))</f>
        <v>10</v>
      </c>
      <c r="F3205" s="5">
        <f>(VLOOKUP(Table4[[#This Row],[item_sold]],Table1[],4,FALSE))*Table4[[#This Row],[qty]]</f>
        <v>8.3333333333333339</v>
      </c>
      <c r="G3205">
        <f t="shared" si="278"/>
        <v>1.6666666666666661</v>
      </c>
      <c r="H3205" t="s">
        <v>361</v>
      </c>
    </row>
    <row r="3206" spans="1:12" x14ac:dyDescent="0.25">
      <c r="A3206" s="15">
        <f t="shared" si="275"/>
        <v>45535</v>
      </c>
      <c r="B3206" s="31">
        <f>TIME(11,35,0)</f>
        <v>0.4826388888888889</v>
      </c>
      <c r="C3206" t="str">
        <f>'Inventory as of 12th Aug 2024'!A199</f>
        <v>Kdf</v>
      </c>
      <c r="D3206" s="27">
        <v>2</v>
      </c>
      <c r="E3206" s="5">
        <f>Table4[[#This Row],[qty]]*(VLOOKUP(Table4[[#This Row],[item_sold]],Table1[],5,FALSE))</f>
        <v>20</v>
      </c>
      <c r="F3206" s="5">
        <f>(VLOOKUP(Table4[[#This Row],[item_sold]],Table1[],4,FALSE))*Table4[[#This Row],[qty]]</f>
        <v>16.666666666666668</v>
      </c>
      <c r="G3206">
        <f t="shared" si="278"/>
        <v>3.3333333333333321</v>
      </c>
      <c r="H3206" t="s">
        <v>361</v>
      </c>
    </row>
    <row r="3207" spans="1:12" x14ac:dyDescent="0.25">
      <c r="A3207" s="15">
        <f t="shared" si="275"/>
        <v>45535</v>
      </c>
      <c r="B3207" s="31">
        <f t="shared" ref="B3207:B3208" si="280">TIME(12,8,0)</f>
        <v>0.50555555555555554</v>
      </c>
      <c r="C3207" t="str">
        <f>'Inventory as of 12th Aug 2024'!A58</f>
        <v>Safari</v>
      </c>
      <c r="D3207" s="27">
        <v>1</v>
      </c>
      <c r="E3207" s="5">
        <f>Table4[[#This Row],[qty]]*(VLOOKUP(Table4[[#This Row],[item_sold]],Table1[],5,FALSE))</f>
        <v>15</v>
      </c>
      <c r="F3207" s="5">
        <f>(VLOOKUP(Table4[[#This Row],[item_sold]],Table1[],4,FALSE))*Table4[[#This Row],[qty]]</f>
        <v>8.5</v>
      </c>
      <c r="G3207">
        <f t="shared" si="278"/>
        <v>6.5</v>
      </c>
      <c r="H3207" t="s">
        <v>361</v>
      </c>
    </row>
    <row r="3208" spans="1:12" x14ac:dyDescent="0.25">
      <c r="A3208" s="15">
        <f t="shared" si="275"/>
        <v>45535</v>
      </c>
      <c r="B3208" s="31">
        <f t="shared" si="280"/>
        <v>0.50555555555555554</v>
      </c>
      <c r="C3208" t="str">
        <f>'Inventory as of 12th Aug 2024'!A82</f>
        <v>ariel 10g</v>
      </c>
      <c r="D3208" s="27">
        <v>2</v>
      </c>
      <c r="E3208" s="5">
        <f>Table4[[#This Row],[qty]]*(VLOOKUP(Table4[[#This Row],[item_sold]],Table1[],5,FALSE))</f>
        <v>30</v>
      </c>
      <c r="F3208" s="5">
        <f>(VLOOKUP(Table4[[#This Row],[item_sold]],Table1[],4,FALSE))*Table4[[#This Row],[qty]]</f>
        <v>18.333333333333332</v>
      </c>
      <c r="G3208">
        <f t="shared" si="278"/>
        <v>11.666666666666668</v>
      </c>
      <c r="H3208" t="s">
        <v>361</v>
      </c>
    </row>
    <row r="3209" spans="1:12" x14ac:dyDescent="0.25">
      <c r="A3209" s="15">
        <f t="shared" si="275"/>
        <v>45535</v>
      </c>
      <c r="B3209" s="31">
        <f>TIME(12,19,0)</f>
        <v>0.5131944444444444</v>
      </c>
      <c r="C3209" t="str">
        <f>'Inventory as of 12th Aug 2024'!A58</f>
        <v>Safari</v>
      </c>
      <c r="D3209" s="27">
        <v>6</v>
      </c>
      <c r="E3209" s="5">
        <f>Table4[[#This Row],[qty]]*(VLOOKUP(Table4[[#This Row],[item_sold]],Table1[],5,FALSE))</f>
        <v>90</v>
      </c>
      <c r="F3209" s="5">
        <f>(VLOOKUP(Table4[[#This Row],[item_sold]],Table1[],4,FALSE))*Table4[[#This Row],[qty]]</f>
        <v>51</v>
      </c>
      <c r="G3209">
        <f t="shared" si="278"/>
        <v>39</v>
      </c>
      <c r="H3209" t="s">
        <v>361</v>
      </c>
    </row>
    <row r="3210" spans="1:12" x14ac:dyDescent="0.25">
      <c r="A3210" s="15">
        <f t="shared" si="275"/>
        <v>45535</v>
      </c>
      <c r="B3210" s="31">
        <f>TIME(12,30,0)</f>
        <v>0.52083333333333337</v>
      </c>
      <c r="C3210" t="str">
        <f>'Inventory as of 12th Aug 2024'!A35</f>
        <v>Festive 600g</v>
      </c>
      <c r="D3210" s="27">
        <v>1</v>
      </c>
      <c r="E3210" s="5">
        <f>Table4[[#This Row],[qty]]*(VLOOKUP(Table4[[#This Row],[item_sold]],Table1[],5,FALSE))</f>
        <v>100</v>
      </c>
      <c r="F3210" s="5">
        <f>(VLOOKUP(Table4[[#This Row],[item_sold]],Table1[],4,FALSE))*Table4[[#This Row],[qty]]</f>
        <v>90</v>
      </c>
      <c r="G3210">
        <f t="shared" si="278"/>
        <v>10</v>
      </c>
      <c r="H3210" t="s">
        <v>247</v>
      </c>
    </row>
    <row r="3211" spans="1:12" x14ac:dyDescent="0.25">
      <c r="A3211" s="15">
        <f t="shared" si="275"/>
        <v>45535</v>
      </c>
      <c r="B3211" s="31">
        <f>TIME(13,33,0)</f>
        <v>0.56458333333333333</v>
      </c>
      <c r="C3211" t="str">
        <f>'Inventory as of 12th Aug 2024'!A58</f>
        <v>Safari</v>
      </c>
      <c r="D3211" s="27">
        <v>1</v>
      </c>
      <c r="E3211" s="5">
        <f>Table4[[#This Row],[qty]]*(VLOOKUP(Table4[[#This Row],[item_sold]],Table1[],5,FALSE))</f>
        <v>15</v>
      </c>
      <c r="F3211" s="5">
        <f>(VLOOKUP(Table4[[#This Row],[item_sold]],Table1[],4,FALSE))*Table4[[#This Row],[qty]]</f>
        <v>8.5</v>
      </c>
      <c r="G3211">
        <f t="shared" si="278"/>
        <v>6.5</v>
      </c>
      <c r="H3211" t="s">
        <v>247</v>
      </c>
    </row>
    <row r="3212" spans="1:12" x14ac:dyDescent="0.25">
      <c r="A3212" s="15">
        <f t="shared" si="275"/>
        <v>45535</v>
      </c>
      <c r="B3212" s="31">
        <f>TIME(13,36,0)</f>
        <v>0.56666666666666665</v>
      </c>
      <c r="C3212" t="str">
        <f>'Inventory as of 12th Aug 2024'!A240</f>
        <v>Bigboss</v>
      </c>
      <c r="D3212" s="27">
        <v>3</v>
      </c>
      <c r="E3212" s="5">
        <f>Table4[[#This Row],[qty]]*(VLOOKUP(Table4[[#This Row],[item_sold]],Table1[],5,FALSE))</f>
        <v>15</v>
      </c>
      <c r="F3212" s="5">
        <f>(VLOOKUP(Table4[[#This Row],[item_sold]],Table1[],4,FALSE))*Table4[[#This Row],[qty]]</f>
        <v>10.5</v>
      </c>
      <c r="G3212">
        <f t="shared" si="278"/>
        <v>4.5</v>
      </c>
      <c r="H3212" t="s">
        <v>247</v>
      </c>
    </row>
    <row r="3213" spans="1:12" x14ac:dyDescent="0.25">
      <c r="A3213" s="15">
        <f t="shared" si="275"/>
        <v>45535</v>
      </c>
      <c r="B3213" s="31">
        <f>TIME(13,47,0)</f>
        <v>0.57430555555555551</v>
      </c>
      <c r="C3213" t="str">
        <f>'Inventory as of 12th Aug 2024'!A199</f>
        <v>Kdf</v>
      </c>
      <c r="D3213" s="27">
        <v>4</v>
      </c>
      <c r="E3213" s="5">
        <f>Table4[[#This Row],[qty]]*(VLOOKUP(Table4[[#This Row],[item_sold]],Table1[],5,FALSE))</f>
        <v>40</v>
      </c>
      <c r="F3213" s="5">
        <f>(VLOOKUP(Table4[[#This Row],[item_sold]],Table1[],4,FALSE))*Table4[[#This Row],[qty]]</f>
        <v>33.333333333333336</v>
      </c>
      <c r="G3213">
        <f t="shared" si="278"/>
        <v>6.6666666666666643</v>
      </c>
      <c r="H3213" t="s">
        <v>361</v>
      </c>
      <c r="I3213" t="s">
        <v>419</v>
      </c>
      <c r="J3213" t="s">
        <v>419</v>
      </c>
      <c r="K3213">
        <v>35</v>
      </c>
      <c r="L3213" t="s">
        <v>361</v>
      </c>
    </row>
    <row r="3214" spans="1:12" x14ac:dyDescent="0.25">
      <c r="A3214" s="15">
        <f t="shared" si="275"/>
        <v>45535</v>
      </c>
      <c r="B3214" s="31">
        <f>TIME(13,47,0)</f>
        <v>0.57430555555555551</v>
      </c>
      <c r="C3214" t="str">
        <f>'Inventory as of 12th Aug 2024'!A213</f>
        <v>soda 500ml glass</v>
      </c>
      <c r="D3214" s="27">
        <v>1</v>
      </c>
      <c r="E3214" s="5">
        <f>Table4[[#This Row],[qty]]*(VLOOKUP(Table4[[#This Row],[item_sold]],Table1[],5,FALSE))</f>
        <v>55</v>
      </c>
      <c r="F3214" s="5">
        <f>(VLOOKUP(Table4[[#This Row],[item_sold]],Table1[],4,FALSE))*Table4[[#This Row],[qty]]</f>
        <v>50</v>
      </c>
      <c r="G3214">
        <f t="shared" si="278"/>
        <v>5</v>
      </c>
      <c r="H3214" t="s">
        <v>361</v>
      </c>
    </row>
    <row r="3215" spans="1:12" x14ac:dyDescent="0.25">
      <c r="A3215" s="15">
        <f t="shared" si="275"/>
        <v>45535</v>
      </c>
      <c r="B3215" s="31">
        <f>TIME(13,57,0)</f>
        <v>0.58124999999999993</v>
      </c>
      <c r="C3215" t="str">
        <f>'Inventory as of 12th Aug 2024'!A138</f>
        <v>Softcare pads</v>
      </c>
      <c r="D3215" s="27">
        <v>1</v>
      </c>
      <c r="E3215" s="5">
        <f>Table4[[#This Row],[qty]]*(VLOOKUP(Table4[[#This Row],[item_sold]],Table1[],5,FALSE))</f>
        <v>85</v>
      </c>
      <c r="F3215" s="5">
        <f>(VLOOKUP(Table4[[#This Row],[item_sold]],Table1[],4,FALSE))*Table4[[#This Row],[qty]]</f>
        <v>66</v>
      </c>
      <c r="G3215">
        <f t="shared" si="278"/>
        <v>19</v>
      </c>
      <c r="H3215" t="s">
        <v>430</v>
      </c>
      <c r="I3215" t="s">
        <v>448</v>
      </c>
      <c r="J3215" t="s">
        <v>448</v>
      </c>
      <c r="K3215">
        <v>105</v>
      </c>
      <c r="L3215" t="s">
        <v>361</v>
      </c>
    </row>
    <row r="3216" spans="1:12" x14ac:dyDescent="0.25">
      <c r="A3216" s="15">
        <f t="shared" si="275"/>
        <v>45535</v>
      </c>
      <c r="B3216" s="31">
        <f>TIME(13,57,0)</f>
        <v>0.58124999999999993</v>
      </c>
      <c r="C3216" t="str">
        <f>'Inventory as of 12th Aug 2024'!A198</f>
        <v>Mandazi</v>
      </c>
      <c r="D3216" s="27">
        <v>4</v>
      </c>
      <c r="E3216" s="5">
        <f>Table4[[#This Row],[qty]]*(VLOOKUP(Table4[[#This Row],[item_sold]],Table1[],5,FALSE))</f>
        <v>20</v>
      </c>
      <c r="F3216" s="5">
        <f>(VLOOKUP(Table4[[#This Row],[item_sold]],Table1[],4,FALSE))*Table4[[#This Row],[qty]]</f>
        <v>16.666666666666668</v>
      </c>
      <c r="G3216">
        <f t="shared" si="278"/>
        <v>3.3333333333333321</v>
      </c>
      <c r="H3216" t="s">
        <v>430</v>
      </c>
      <c r="I3216" t="s">
        <v>448</v>
      </c>
    </row>
    <row r="3217" spans="1:9" x14ac:dyDescent="0.25">
      <c r="A3217" s="15">
        <f t="shared" si="275"/>
        <v>45535</v>
      </c>
      <c r="B3217" s="31">
        <f t="shared" ref="B3217" si="281">TIME(13,57,0)</f>
        <v>0.58124999999999993</v>
      </c>
      <c r="C3217" t="str">
        <f>'Inventory as of 12th Aug 2024'!A42</f>
        <v>Indomie chicken</v>
      </c>
      <c r="D3217" s="27">
        <v>5</v>
      </c>
      <c r="E3217" s="5">
        <f>Table4[[#This Row],[qty]]*(VLOOKUP(Table4[[#This Row],[item_sold]],Table1[],5,FALSE))</f>
        <v>250</v>
      </c>
      <c r="F3217" s="5">
        <f>(VLOOKUP(Table4[[#This Row],[item_sold]],Table1[],4,FALSE))*Table4[[#This Row],[qty]]</f>
        <v>187.5</v>
      </c>
      <c r="G3217">
        <f t="shared" si="278"/>
        <v>62.5</v>
      </c>
      <c r="H3217" t="s">
        <v>361</v>
      </c>
    </row>
    <row r="3218" spans="1:9" x14ac:dyDescent="0.25">
      <c r="A3218" s="15">
        <f t="shared" si="275"/>
        <v>45535</v>
      </c>
      <c r="B3218" s="31">
        <f>TIME(14,5,0)</f>
        <v>0.58680555555555558</v>
      </c>
      <c r="C3218" t="str">
        <f>'Inventory as of 12th Aug 2024'!A191</f>
        <v>Nuvita Bisquit</v>
      </c>
      <c r="D3218" s="27">
        <v>2</v>
      </c>
      <c r="E3218" s="5">
        <f>Table4[[#This Row],[qty]]*(VLOOKUP(Table4[[#This Row],[item_sold]],Table1[],5,FALSE))</f>
        <v>10</v>
      </c>
      <c r="F3218" s="5">
        <f>(VLOOKUP(Table4[[#This Row],[item_sold]],Table1[],4,FALSE))*Table4[[#This Row],[qty]]</f>
        <v>8.3333333333333339</v>
      </c>
      <c r="G3218">
        <f t="shared" si="278"/>
        <v>1.6666666666666661</v>
      </c>
      <c r="H3218" t="s">
        <v>247</v>
      </c>
    </row>
    <row r="3219" spans="1:9" x14ac:dyDescent="0.25">
      <c r="A3219" s="15">
        <f t="shared" si="275"/>
        <v>45535</v>
      </c>
      <c r="B3219" s="31">
        <f>TIME(14,17,0)</f>
        <v>0.59513888888888888</v>
      </c>
      <c r="C3219" t="str">
        <f>'Inventory as of 12th Aug 2024'!A188</f>
        <v>Choc-chip Cookies</v>
      </c>
      <c r="D3219" s="27">
        <v>1</v>
      </c>
      <c r="E3219" s="5">
        <f>Table4[[#This Row],[qty]]*(VLOOKUP(Table4[[#This Row],[item_sold]],Table1[],5,FALSE))</f>
        <v>35</v>
      </c>
      <c r="F3219" s="5">
        <f>(VLOOKUP(Table4[[#This Row],[item_sold]],Table1[],4,FALSE))*Table4[[#This Row],[qty]]</f>
        <v>25</v>
      </c>
      <c r="G3219">
        <f t="shared" si="278"/>
        <v>10</v>
      </c>
      <c r="H3219" t="s">
        <v>247</v>
      </c>
    </row>
    <row r="3220" spans="1:9" x14ac:dyDescent="0.25">
      <c r="A3220" s="15">
        <f t="shared" si="275"/>
        <v>45535</v>
      </c>
      <c r="B3220" s="31">
        <f>TIME(14,5,0)</f>
        <v>0.58680555555555558</v>
      </c>
      <c r="C3220" t="str">
        <f>'Inventory as of 12th Aug 2024'!A242</f>
        <v>Icepop</v>
      </c>
      <c r="D3220" s="27">
        <v>3</v>
      </c>
      <c r="E3220" s="5">
        <f>Table4[[#This Row],[qty]]*(VLOOKUP(Table4[[#This Row],[item_sold]],Table1[],5,FALSE))</f>
        <v>45</v>
      </c>
      <c r="F3220" s="5">
        <f>(VLOOKUP(Table4[[#This Row],[item_sold]],Table1[],4,FALSE))*Table4[[#This Row],[qty]]</f>
        <v>22.5</v>
      </c>
      <c r="G3220">
        <f t="shared" si="278"/>
        <v>22.5</v>
      </c>
      <c r="H3220" t="s">
        <v>247</v>
      </c>
    </row>
    <row r="3221" spans="1:9" x14ac:dyDescent="0.25">
      <c r="A3221" s="15">
        <f t="shared" si="275"/>
        <v>45535</v>
      </c>
      <c r="B3221" s="31">
        <f>TIME(14,17,0)</f>
        <v>0.59513888888888888</v>
      </c>
      <c r="C3221" t="str">
        <f>'Inventory as of 12th Aug 2024'!A191</f>
        <v>Nuvita Bisquit</v>
      </c>
      <c r="D3221" s="27">
        <v>1</v>
      </c>
      <c r="E3221" s="5">
        <f>Table4[[#This Row],[qty]]*(VLOOKUP(Table4[[#This Row],[item_sold]],Table1[],5,FALSE))</f>
        <v>5</v>
      </c>
      <c r="F3221" s="5">
        <f>(VLOOKUP(Table4[[#This Row],[item_sold]],Table1[],4,FALSE))*Table4[[#This Row],[qty]]</f>
        <v>4.166666666666667</v>
      </c>
      <c r="G3221">
        <f t="shared" si="278"/>
        <v>0.83333333333333304</v>
      </c>
      <c r="H3221" t="s">
        <v>247</v>
      </c>
    </row>
    <row r="3222" spans="1:9" x14ac:dyDescent="0.25">
      <c r="A3222" s="15">
        <f t="shared" si="275"/>
        <v>45535</v>
      </c>
      <c r="B3222" s="31">
        <f>TIME(14,19,0)</f>
        <v>0.59652777777777777</v>
      </c>
      <c r="C3222" t="str">
        <f>'Inventory as of 12th Aug 2024'!A191</f>
        <v>Nuvita Bisquit</v>
      </c>
      <c r="D3222" s="27">
        <v>3</v>
      </c>
      <c r="E3222" s="5">
        <f>Table4[[#This Row],[qty]]*(VLOOKUP(Table4[[#This Row],[item_sold]],Table1[],5,FALSE))</f>
        <v>15</v>
      </c>
      <c r="F3222" s="5">
        <f>(VLOOKUP(Table4[[#This Row],[item_sold]],Table1[],4,FALSE))*Table4[[#This Row],[qty]]</f>
        <v>12.5</v>
      </c>
      <c r="G3222">
        <f t="shared" si="278"/>
        <v>2.5</v>
      </c>
      <c r="H3222" t="s">
        <v>430</v>
      </c>
      <c r="I3222" t="s">
        <v>419</v>
      </c>
    </row>
    <row r="3223" spans="1:9" x14ac:dyDescent="0.25">
      <c r="A3223" s="15">
        <f t="shared" si="275"/>
        <v>45535</v>
      </c>
      <c r="B3223" s="31">
        <f>TIME(14,27,0)</f>
        <v>0.6020833333333333</v>
      </c>
      <c r="C3223" t="str">
        <f>'Inventory as of 12th Aug 2024'!A120</f>
        <v>Maramoja</v>
      </c>
      <c r="D3223" s="27">
        <v>1</v>
      </c>
      <c r="E3223" s="5">
        <f>Table4[[#This Row],[qty]]*(VLOOKUP(Table4[[#This Row],[item_sold]],Table1[],5,FALSE))</f>
        <v>10</v>
      </c>
      <c r="F3223" s="5">
        <f>(VLOOKUP(Table4[[#This Row],[item_sold]],Table1[],4,FALSE))*Table4[[#This Row],[qty]]</f>
        <v>7</v>
      </c>
      <c r="G3223">
        <f t="shared" si="278"/>
        <v>3</v>
      </c>
      <c r="H3223" t="s">
        <v>361</v>
      </c>
    </row>
    <row r="3224" spans="1:9" x14ac:dyDescent="0.25">
      <c r="A3224" s="15">
        <f t="shared" si="275"/>
        <v>45535</v>
      </c>
      <c r="B3224" s="31">
        <f>TIME(14,29,0)</f>
        <v>0.60347222222222219</v>
      </c>
      <c r="C3224" t="str">
        <f>'Inventory as of 12th Aug 2024'!A211</f>
        <v>predator</v>
      </c>
      <c r="D3224" s="27">
        <v>1</v>
      </c>
      <c r="E3224" s="5">
        <f>Table4[[#This Row],[qty]]*(VLOOKUP(Table4[[#This Row],[item_sold]],Table1[],5,FALSE))</f>
        <v>70</v>
      </c>
      <c r="F3224" s="5">
        <f>(VLOOKUP(Table4[[#This Row],[item_sold]],Table1[],4,FALSE))*Table4[[#This Row],[qty]]</f>
        <v>54.166666666666664</v>
      </c>
      <c r="G3224">
        <f t="shared" si="278"/>
        <v>15.833333333333336</v>
      </c>
      <c r="H3224" t="s">
        <v>361</v>
      </c>
    </row>
    <row r="3225" spans="1:9" x14ac:dyDescent="0.25">
      <c r="A3225" s="15">
        <f t="shared" si="275"/>
        <v>45535</v>
      </c>
      <c r="B3225" s="31">
        <f>TIME(14,51,0)</f>
        <v>0.61875000000000002</v>
      </c>
      <c r="C3225" t="str">
        <f>'Inventory as of 12th Aug 2024'!A199</f>
        <v>Kdf</v>
      </c>
      <c r="D3225" s="27">
        <v>3</v>
      </c>
      <c r="E3225" s="5">
        <f>Table4[[#This Row],[qty]]*(VLOOKUP(Table4[[#This Row],[item_sold]],Table1[],5,FALSE))</f>
        <v>30</v>
      </c>
      <c r="F3225" s="5">
        <f>(VLOOKUP(Table4[[#This Row],[item_sold]],Table1[],4,FALSE))*Table4[[#This Row],[qty]]</f>
        <v>25</v>
      </c>
      <c r="G3225">
        <f t="shared" si="278"/>
        <v>5</v>
      </c>
      <c r="H3225" t="s">
        <v>247</v>
      </c>
    </row>
    <row r="3226" spans="1:9" x14ac:dyDescent="0.25">
      <c r="A3226" s="15">
        <f t="shared" si="275"/>
        <v>45535</v>
      </c>
      <c r="B3226" s="31">
        <f>TIME(15,10,0)</f>
        <v>0.63194444444444442</v>
      </c>
      <c r="C3226" t="str">
        <f>'Inventory as of 12th Aug 2024'!A17</f>
        <v>Brookside milk 500ml</v>
      </c>
      <c r="D3226" s="27">
        <v>1</v>
      </c>
      <c r="E3226" s="5">
        <f>Table4[[#This Row],[qty]]*(VLOOKUP(Table4[[#This Row],[item_sold]],Table1[],5,FALSE))</f>
        <v>70</v>
      </c>
      <c r="F3226" s="5">
        <f>(VLOOKUP(Table4[[#This Row],[item_sold]],Table1[],4,FALSE))*Table4[[#This Row],[qty]]</f>
        <v>59</v>
      </c>
      <c r="G3226">
        <f t="shared" si="278"/>
        <v>11</v>
      </c>
      <c r="H3226" t="s">
        <v>361</v>
      </c>
    </row>
    <row r="3227" spans="1:9" x14ac:dyDescent="0.25">
      <c r="A3227" s="15">
        <f t="shared" si="275"/>
        <v>45535</v>
      </c>
      <c r="B3227" s="31">
        <f>TIME(15,21,0)</f>
        <v>0.63958333333333328</v>
      </c>
      <c r="C3227" t="str">
        <f>'Inventory as of 12th Aug 2024'!A242</f>
        <v>Icepop</v>
      </c>
      <c r="D3227" s="27">
        <v>3</v>
      </c>
      <c r="E3227" s="5">
        <f>Table4[[#This Row],[qty]]*(VLOOKUP(Table4[[#This Row],[item_sold]],Table1[],5,FALSE))</f>
        <v>45</v>
      </c>
      <c r="F3227" s="5">
        <f>(VLOOKUP(Table4[[#This Row],[item_sold]],Table1[],4,FALSE))*Table4[[#This Row],[qty]]</f>
        <v>22.5</v>
      </c>
      <c r="G3227">
        <f t="shared" si="278"/>
        <v>22.5</v>
      </c>
      <c r="H3227" t="s">
        <v>361</v>
      </c>
    </row>
    <row r="3228" spans="1:9" x14ac:dyDescent="0.25">
      <c r="A3228" s="15">
        <f t="shared" si="275"/>
        <v>45535</v>
      </c>
      <c r="B3228" s="31">
        <f>TIME(15,21,0)</f>
        <v>0.63958333333333328</v>
      </c>
      <c r="C3228" t="str">
        <f>'Inventory as of 12th Aug 2024'!A176</f>
        <v>Queen cake</v>
      </c>
      <c r="D3228" s="27">
        <v>2</v>
      </c>
      <c r="E3228" s="5">
        <f>Table4[[#This Row],[qty]]*(VLOOKUP(Table4[[#This Row],[item_sold]],Table1[],5,FALSE))</f>
        <v>20</v>
      </c>
      <c r="F3228" s="5">
        <f>(VLOOKUP(Table4[[#This Row],[item_sold]],Table1[],4,FALSE))*Table4[[#This Row],[qty]]</f>
        <v>16.666666666666668</v>
      </c>
      <c r="G3228">
        <f t="shared" si="278"/>
        <v>3.3333333333333321</v>
      </c>
      <c r="H3228" t="s">
        <v>361</v>
      </c>
    </row>
    <row r="3229" spans="1:9" x14ac:dyDescent="0.25">
      <c r="A3229" s="15">
        <f t="shared" si="275"/>
        <v>45535</v>
      </c>
      <c r="B3229" s="31">
        <f>TIME(15,21,0)</f>
        <v>0.63958333333333328</v>
      </c>
      <c r="C3229" t="str">
        <f>'Inventory as of 12th Aug 2024'!A45</f>
        <v>Ajab 1kg</v>
      </c>
      <c r="D3229" s="27">
        <v>1</v>
      </c>
      <c r="E3229" s="5">
        <f>Table4[[#This Row],[qty]]*(VLOOKUP(Table4[[#This Row],[item_sold]],Table1[],5,FALSE))</f>
        <v>120</v>
      </c>
      <c r="F3229" s="5">
        <f>(VLOOKUP(Table4[[#This Row],[item_sold]],Table1[],4,FALSE))*Table4[[#This Row],[qty]]</f>
        <v>87.5</v>
      </c>
      <c r="G3229">
        <f t="shared" si="278"/>
        <v>32.5</v>
      </c>
      <c r="H3229" t="s">
        <v>361</v>
      </c>
    </row>
    <row r="3230" spans="1:9" x14ac:dyDescent="0.25">
      <c r="A3230" s="15">
        <f t="shared" si="275"/>
        <v>45535</v>
      </c>
      <c r="B3230" s="31">
        <f>TIME(16,15,0)</f>
        <v>0.67708333333333337</v>
      </c>
      <c r="C3230" t="str">
        <f>'Inventory as of 12th Aug 2024'!A58</f>
        <v>Safari</v>
      </c>
      <c r="D3230" s="27">
        <v>2</v>
      </c>
      <c r="E3230" s="5">
        <f>Table4[[#This Row],[qty]]*(VLOOKUP(Table4[[#This Row],[item_sold]],Table1[],5,FALSE))</f>
        <v>30</v>
      </c>
      <c r="F3230" s="5">
        <f>(VLOOKUP(Table4[[#This Row],[item_sold]],Table1[],4,FALSE))*Table4[[#This Row],[qty]]</f>
        <v>17</v>
      </c>
      <c r="G3230">
        <f t="shared" si="278"/>
        <v>13</v>
      </c>
      <c r="H3230" t="s">
        <v>361</v>
      </c>
    </row>
    <row r="3231" spans="1:9" x14ac:dyDescent="0.25">
      <c r="A3231" s="15">
        <f t="shared" si="275"/>
        <v>45535</v>
      </c>
      <c r="B3231" s="31">
        <f>TIME(16,29,0)</f>
        <v>0.68680555555555556</v>
      </c>
      <c r="C3231" t="str">
        <f>'Inventory as of 12th Aug 2024'!A242</f>
        <v>Icepop</v>
      </c>
      <c r="D3231" s="27">
        <v>1</v>
      </c>
      <c r="E3231" s="5">
        <f>Table4[[#This Row],[qty]]*(VLOOKUP(Table4[[#This Row],[item_sold]],Table1[],5,FALSE))</f>
        <v>15</v>
      </c>
      <c r="F3231" s="5">
        <f>(VLOOKUP(Table4[[#This Row],[item_sold]],Table1[],4,FALSE))*Table4[[#This Row],[qty]]</f>
        <v>7.5</v>
      </c>
      <c r="G3231">
        <f t="shared" si="278"/>
        <v>7.5</v>
      </c>
      <c r="H3231" t="s">
        <v>247</v>
      </c>
    </row>
    <row r="3232" spans="1:9" x14ac:dyDescent="0.25">
      <c r="A3232" s="15">
        <f t="shared" si="275"/>
        <v>45535</v>
      </c>
      <c r="B3232" s="31">
        <f>TIME(16,29,0)</f>
        <v>0.68680555555555556</v>
      </c>
      <c r="C3232" t="str">
        <f>'Inventory as of 12th Aug 2024'!A234</f>
        <v>Bigdaddy</v>
      </c>
      <c r="D3232" s="27">
        <v>2</v>
      </c>
      <c r="E3232" s="5">
        <f>Table4[[#This Row],[qty]]*(VLOOKUP(Table4[[#This Row],[item_sold]],Table1[],5,FALSE))</f>
        <v>20</v>
      </c>
      <c r="F3232" s="5">
        <f>(VLOOKUP(Table4[[#This Row],[item_sold]],Table1[],4,FALSE))*Table4[[#This Row],[qty]]</f>
        <v>12</v>
      </c>
      <c r="G3232">
        <f t="shared" si="278"/>
        <v>8</v>
      </c>
      <c r="H3232" t="s">
        <v>247</v>
      </c>
    </row>
    <row r="3233" spans="1:12" x14ac:dyDescent="0.25">
      <c r="A3233" s="15">
        <f t="shared" si="275"/>
        <v>45535</v>
      </c>
      <c r="B3233" s="31">
        <f>TIME(16,50,0)</f>
        <v>0.70138888888888884</v>
      </c>
      <c r="C3233" t="str">
        <f>'Inventory as of 12th Aug 2024'!A2</f>
        <v>Safaricom 20 Credit</v>
      </c>
      <c r="D3233" s="27">
        <v>1</v>
      </c>
      <c r="E3233" s="5">
        <f>Table4[[#This Row],[qty]]*(VLOOKUP(Table4[[#This Row],[item_sold]],Table1[],5,FALSE))</f>
        <v>20</v>
      </c>
      <c r="F3233" s="5">
        <f>(VLOOKUP(Table4[[#This Row],[item_sold]],Table1[],4,FALSE))*Table4[[#This Row],[qty]]</f>
        <v>18</v>
      </c>
      <c r="G3233">
        <f t="shared" si="278"/>
        <v>2</v>
      </c>
      <c r="H3233" t="s">
        <v>247</v>
      </c>
    </row>
    <row r="3234" spans="1:12" x14ac:dyDescent="0.25">
      <c r="A3234" s="15">
        <f t="shared" si="275"/>
        <v>45535</v>
      </c>
      <c r="B3234" s="31">
        <f>TIME(17,6,0)</f>
        <v>0.71250000000000002</v>
      </c>
      <c r="C3234" t="str">
        <f>'Inventory as of 12th Aug 2024'!A18</f>
        <v>Crown Gold Milk 500ml</v>
      </c>
      <c r="D3234" s="27">
        <v>2</v>
      </c>
      <c r="E3234" s="5">
        <f>Table4[[#This Row],[qty]]*(VLOOKUP(Table4[[#This Row],[item_sold]],Table1[],5,FALSE))</f>
        <v>130</v>
      </c>
      <c r="F3234" s="5">
        <f>(VLOOKUP(Table4[[#This Row],[item_sold]],Table1[],4,FALSE))*Table4[[#This Row],[qty]]</f>
        <v>108.33333333333333</v>
      </c>
      <c r="G3234">
        <f t="shared" si="278"/>
        <v>21.666666666666671</v>
      </c>
      <c r="H3234" t="s">
        <v>361</v>
      </c>
    </row>
    <row r="3235" spans="1:12" x14ac:dyDescent="0.25">
      <c r="A3235" s="15">
        <f t="shared" si="275"/>
        <v>45535</v>
      </c>
      <c r="B3235" s="31">
        <f t="shared" ref="B3235:B3236" si="282">TIME(17,6,0)</f>
        <v>0.71250000000000002</v>
      </c>
      <c r="C3235" t="str">
        <f>'Inventory as of 12th Aug 2024'!A36</f>
        <v>Festive 800g</v>
      </c>
      <c r="D3235" s="27">
        <v>1</v>
      </c>
      <c r="E3235" s="5">
        <f>Table4[[#This Row],[qty]]*(VLOOKUP(Table4[[#This Row],[item_sold]],Table1[],5,FALSE))</f>
        <v>130</v>
      </c>
      <c r="F3235" s="5">
        <f>(VLOOKUP(Table4[[#This Row],[item_sold]],Table1[],4,FALSE))*Table4[[#This Row],[qty]]</f>
        <v>120</v>
      </c>
      <c r="G3235">
        <f t="shared" si="278"/>
        <v>10</v>
      </c>
      <c r="H3235" t="s">
        <v>361</v>
      </c>
    </row>
    <row r="3236" spans="1:12" x14ac:dyDescent="0.25">
      <c r="A3236" s="15">
        <f t="shared" si="275"/>
        <v>45535</v>
      </c>
      <c r="B3236" s="31">
        <f t="shared" si="282"/>
        <v>0.71250000000000002</v>
      </c>
      <c r="C3236" t="str">
        <f>'Inventory as of 12th Aug 2024'!A120</f>
        <v>Maramoja</v>
      </c>
      <c r="D3236" s="27">
        <v>2</v>
      </c>
      <c r="E3236" s="5">
        <f>Table4[[#This Row],[qty]]*(VLOOKUP(Table4[[#This Row],[item_sold]],Table1[],5,FALSE))</f>
        <v>20</v>
      </c>
      <c r="F3236" s="5">
        <f>(VLOOKUP(Table4[[#This Row],[item_sold]],Table1[],4,FALSE))*Table4[[#This Row],[qty]]</f>
        <v>14</v>
      </c>
      <c r="G3236">
        <f t="shared" si="278"/>
        <v>6</v>
      </c>
      <c r="H3236" t="s">
        <v>361</v>
      </c>
    </row>
    <row r="3237" spans="1:12" x14ac:dyDescent="0.25">
      <c r="A3237" s="15">
        <f t="shared" si="275"/>
        <v>45535</v>
      </c>
      <c r="B3237" s="31">
        <f>TIME(17,7,0)</f>
        <v>0.71319444444444446</v>
      </c>
      <c r="C3237" t="str">
        <f>'Inventory as of 12th Aug 2024'!A234</f>
        <v>Bigdaddy</v>
      </c>
      <c r="D3237" s="27">
        <v>1</v>
      </c>
      <c r="E3237" s="5">
        <f>Table4[[#This Row],[qty]]*(VLOOKUP(Table4[[#This Row],[item_sold]],Table1[],5,FALSE))</f>
        <v>10</v>
      </c>
      <c r="F3237" s="5">
        <f>(VLOOKUP(Table4[[#This Row],[item_sold]],Table1[],4,FALSE))*Table4[[#This Row],[qty]]</f>
        <v>6</v>
      </c>
      <c r="G3237">
        <f t="shared" si="278"/>
        <v>4</v>
      </c>
      <c r="H3237" t="s">
        <v>361</v>
      </c>
    </row>
    <row r="3238" spans="1:12" x14ac:dyDescent="0.25">
      <c r="A3238" s="15">
        <f t="shared" si="275"/>
        <v>45535</v>
      </c>
      <c r="B3238" s="31">
        <f>TIME(17,14,0)</f>
        <v>0.71805555555555556</v>
      </c>
      <c r="C3238" t="str">
        <f>'Inventory as of 12th Aug 2024'!A184</f>
        <v>T.Heat Potato crisps vinegar and salt 25g</v>
      </c>
      <c r="D3238" s="27">
        <v>1</v>
      </c>
      <c r="E3238" s="5">
        <f>Table4[[#This Row],[qty]]*(VLOOKUP(Table4[[#This Row],[item_sold]],Table1[],5,FALSE))</f>
        <v>30</v>
      </c>
      <c r="F3238" s="5">
        <f>(VLOOKUP(Table4[[#This Row],[item_sold]],Table1[],4,FALSE))*Table4[[#This Row],[qty]]</f>
        <v>22.916666666666668</v>
      </c>
      <c r="G3238">
        <f t="shared" si="278"/>
        <v>7.0833333333333321</v>
      </c>
      <c r="H3238" t="s">
        <v>361</v>
      </c>
    </row>
    <row r="3239" spans="1:12" x14ac:dyDescent="0.25">
      <c r="A3239" s="15">
        <f t="shared" si="275"/>
        <v>45535</v>
      </c>
      <c r="B3239" s="31">
        <f t="shared" ref="B3239" si="283">TIME(17,14,0)</f>
        <v>0.71805555555555556</v>
      </c>
      <c r="C3239" t="str">
        <f>'Inventory as of 12th Aug 2024'!A3</f>
        <v>Safaricom 10 Credit</v>
      </c>
      <c r="D3239" s="27">
        <v>1</v>
      </c>
      <c r="E3239" s="5">
        <f>Table4[[#This Row],[qty]]*(VLOOKUP(Table4[[#This Row],[item_sold]],Table1[],5,FALSE))</f>
        <v>10</v>
      </c>
      <c r="F3239" s="5">
        <f>(VLOOKUP(Table4[[#This Row],[item_sold]],Table1[],4,FALSE))*Table4[[#This Row],[qty]]</f>
        <v>9</v>
      </c>
      <c r="G3239">
        <f t="shared" si="278"/>
        <v>1</v>
      </c>
      <c r="H3239" t="s">
        <v>247</v>
      </c>
    </row>
    <row r="3240" spans="1:12" x14ac:dyDescent="0.25">
      <c r="A3240" s="15">
        <f t="shared" si="275"/>
        <v>45535</v>
      </c>
      <c r="B3240" s="31">
        <f>TIME(17,15,0)</f>
        <v>0.71875</v>
      </c>
      <c r="C3240" t="str">
        <f>'Inventory as of 12th Aug 2024'!A2</f>
        <v>Safaricom 20 Credit</v>
      </c>
      <c r="D3240" s="27">
        <v>1</v>
      </c>
      <c r="E3240" s="5">
        <f>Table4[[#This Row],[qty]]*(VLOOKUP(Table4[[#This Row],[item_sold]],Table1[],5,FALSE))</f>
        <v>20</v>
      </c>
      <c r="F3240" s="5">
        <f>(VLOOKUP(Table4[[#This Row],[item_sold]],Table1[],4,FALSE))*Table4[[#This Row],[qty]]</f>
        <v>18</v>
      </c>
      <c r="G3240">
        <f t="shared" si="278"/>
        <v>2</v>
      </c>
      <c r="H3240" t="s">
        <v>247</v>
      </c>
    </row>
    <row r="3241" spans="1:12" x14ac:dyDescent="0.25">
      <c r="A3241" s="15">
        <f t="shared" si="275"/>
        <v>45535</v>
      </c>
      <c r="B3241" s="31">
        <f t="shared" ref="B3241" si="284">TIME(17,15,0)</f>
        <v>0.71875</v>
      </c>
      <c r="C3241" t="str">
        <f>'Inventory as of 12th Aug 2024'!A214</f>
        <v>smash juice</v>
      </c>
      <c r="D3241" s="27">
        <v>1</v>
      </c>
      <c r="E3241" s="5">
        <f>Table4[[#This Row],[qty]]*(VLOOKUP(Table4[[#This Row],[item_sold]],Table1[],5,FALSE))</f>
        <v>20</v>
      </c>
      <c r="F3241" s="5">
        <f>(VLOOKUP(Table4[[#This Row],[item_sold]],Table1[],4,FALSE))*Table4[[#This Row],[qty]]</f>
        <v>15</v>
      </c>
      <c r="G3241">
        <f t="shared" si="278"/>
        <v>5</v>
      </c>
      <c r="H3241" t="s">
        <v>430</v>
      </c>
      <c r="I3241" t="s">
        <v>394</v>
      </c>
      <c r="J3241" t="s">
        <v>394</v>
      </c>
      <c r="K3241">
        <v>15</v>
      </c>
      <c r="L3241" t="s">
        <v>247</v>
      </c>
    </row>
    <row r="3242" spans="1:12" x14ac:dyDescent="0.25">
      <c r="A3242" s="15">
        <f t="shared" si="275"/>
        <v>45535</v>
      </c>
      <c r="B3242" s="31">
        <f>TIME(17,41,0)</f>
        <v>0.7368055555555556</v>
      </c>
      <c r="C3242" t="str">
        <f>'Inventory as of 12th Aug 2024'!A234</f>
        <v>Bigdaddy</v>
      </c>
      <c r="D3242" s="27">
        <v>1</v>
      </c>
      <c r="E3242" s="5">
        <f>Table4[[#This Row],[qty]]*(VLOOKUP(Table4[[#This Row],[item_sold]],Table1[],5,FALSE))</f>
        <v>10</v>
      </c>
      <c r="F3242" s="5">
        <f>(VLOOKUP(Table4[[#This Row],[item_sold]],Table1[],4,FALSE))*Table4[[#This Row],[qty]]</f>
        <v>6</v>
      </c>
      <c r="G3242">
        <f t="shared" ref="G3242:G3305" si="285">E3242-F3242</f>
        <v>4</v>
      </c>
      <c r="H3242" t="s">
        <v>361</v>
      </c>
    </row>
    <row r="3243" spans="1:12" x14ac:dyDescent="0.25">
      <c r="A3243" s="15">
        <f t="shared" si="275"/>
        <v>45535</v>
      </c>
      <c r="B3243" s="31">
        <f t="shared" ref="B3243" si="286">TIME(17,41,0)</f>
        <v>0.7368055555555556</v>
      </c>
      <c r="C3243" t="str">
        <f>'Inventory as of 12th Aug 2024'!A58</f>
        <v>Safari</v>
      </c>
      <c r="D3243" s="27">
        <v>3</v>
      </c>
      <c r="E3243" s="5">
        <f>Table4[[#This Row],[qty]]*(VLOOKUP(Table4[[#This Row],[item_sold]],Table1[],5,FALSE))</f>
        <v>45</v>
      </c>
      <c r="F3243" s="5">
        <f>(VLOOKUP(Table4[[#This Row],[item_sold]],Table1[],4,FALSE))*Table4[[#This Row],[qty]]</f>
        <v>25.5</v>
      </c>
      <c r="G3243">
        <f t="shared" si="285"/>
        <v>19.5</v>
      </c>
      <c r="H3243" t="s">
        <v>361</v>
      </c>
    </row>
    <row r="3244" spans="1:12" x14ac:dyDescent="0.25">
      <c r="A3244" s="15">
        <f t="shared" si="275"/>
        <v>45535</v>
      </c>
      <c r="B3244" s="31">
        <f>TIME(18,15,0)</f>
        <v>0.76041666666666663</v>
      </c>
      <c r="C3244" t="str">
        <f>'Inventory as of 12th Aug 2024'!A242</f>
        <v>Icepop</v>
      </c>
      <c r="D3244" s="27">
        <v>1</v>
      </c>
      <c r="E3244" s="5">
        <f>Table4[[#This Row],[qty]]*(VLOOKUP(Table4[[#This Row],[item_sold]],Table1[],5,FALSE))</f>
        <v>15</v>
      </c>
      <c r="F3244" s="5">
        <f>(VLOOKUP(Table4[[#This Row],[item_sold]],Table1[],4,FALSE))*Table4[[#This Row],[qty]]</f>
        <v>7.5</v>
      </c>
      <c r="G3244">
        <f t="shared" si="285"/>
        <v>7.5</v>
      </c>
      <c r="H3244" t="s">
        <v>247</v>
      </c>
    </row>
    <row r="3245" spans="1:12" x14ac:dyDescent="0.25">
      <c r="A3245" s="15">
        <f t="shared" si="275"/>
        <v>45535</v>
      </c>
      <c r="B3245" s="31">
        <f>TIME(18,31,0)</f>
        <v>0.7715277777777777</v>
      </c>
      <c r="C3245" t="str">
        <f>'Inventory as of 12th Aug 2024'!A58</f>
        <v>Safari</v>
      </c>
      <c r="D3245" s="27">
        <v>3</v>
      </c>
      <c r="E3245" s="5">
        <f>Table4[[#This Row],[qty]]*(VLOOKUP(Table4[[#This Row],[item_sold]],Table1[],5,FALSE))</f>
        <v>45</v>
      </c>
      <c r="F3245" s="5">
        <f>(VLOOKUP(Table4[[#This Row],[item_sold]],Table1[],4,FALSE))*Table4[[#This Row],[qty]]</f>
        <v>25.5</v>
      </c>
      <c r="G3245">
        <f t="shared" si="285"/>
        <v>19.5</v>
      </c>
      <c r="H3245" t="s">
        <v>361</v>
      </c>
    </row>
    <row r="3246" spans="1:12" x14ac:dyDescent="0.25">
      <c r="A3246" s="15">
        <f t="shared" si="275"/>
        <v>45535</v>
      </c>
      <c r="B3246" s="31">
        <f>TIME(18,45,0)</f>
        <v>0.78125</v>
      </c>
      <c r="C3246" t="str">
        <f>'Inventory as of 12th Aug 2024'!A7</f>
        <v>Airtel 50 Credit</v>
      </c>
      <c r="D3246" s="27">
        <v>1</v>
      </c>
      <c r="E3246" s="5">
        <f>Table4[[#This Row],[qty]]*(VLOOKUP(Table4[[#This Row],[item_sold]],Table1[],5,FALSE))</f>
        <v>50</v>
      </c>
      <c r="F3246" s="5">
        <f>(VLOOKUP(Table4[[#This Row],[item_sold]],Table1[],4,FALSE))*Table4[[#This Row],[qty]]</f>
        <v>47</v>
      </c>
      <c r="G3246">
        <f t="shared" si="285"/>
        <v>3</v>
      </c>
      <c r="H3246" t="s">
        <v>247</v>
      </c>
    </row>
    <row r="3247" spans="1:12" x14ac:dyDescent="0.25">
      <c r="A3247" s="15">
        <f t="shared" si="275"/>
        <v>45535</v>
      </c>
      <c r="B3247" s="31">
        <f t="shared" ref="B3247:B3248" si="287">TIME(18,45,0)</f>
        <v>0.78125</v>
      </c>
      <c r="C3247" t="str">
        <f>'Inventory as of 12th Aug 2024'!A231</f>
        <v>Patco</v>
      </c>
      <c r="D3247" s="27">
        <v>2</v>
      </c>
      <c r="E3247" s="5">
        <f>Table4[[#This Row],[qty]]*(VLOOKUP(Table4[[#This Row],[item_sold]],Table1[],5,FALSE))</f>
        <v>5</v>
      </c>
      <c r="F3247" s="5">
        <f>(VLOOKUP(Table4[[#This Row],[item_sold]],Table1[],4,FALSE))*Table4[[#This Row],[qty]]</f>
        <v>2.4</v>
      </c>
      <c r="G3247">
        <f t="shared" si="285"/>
        <v>2.6</v>
      </c>
      <c r="H3247" t="s">
        <v>247</v>
      </c>
    </row>
    <row r="3248" spans="1:12" x14ac:dyDescent="0.25">
      <c r="A3248" s="15">
        <f t="shared" si="275"/>
        <v>45535</v>
      </c>
      <c r="B3248" s="31">
        <f t="shared" si="287"/>
        <v>0.78125</v>
      </c>
      <c r="C3248" t="str">
        <f>'Inventory as of 12th Aug 2024'!A239</f>
        <v>Gumballs</v>
      </c>
      <c r="D3248" s="27">
        <v>5</v>
      </c>
      <c r="E3248" s="5">
        <f>Table4[[#This Row],[qty]]*(VLOOKUP(Table4[[#This Row],[item_sold]],Table1[],5,FALSE))</f>
        <v>5</v>
      </c>
      <c r="F3248" s="5">
        <f>(VLOOKUP(Table4[[#This Row],[item_sold]],Table1[],4,FALSE))*Table4[[#This Row],[qty]]</f>
        <v>3.5</v>
      </c>
      <c r="G3248">
        <f t="shared" si="285"/>
        <v>1.5</v>
      </c>
      <c r="H3248" t="s">
        <v>247</v>
      </c>
    </row>
    <row r="3249" spans="1:9" x14ac:dyDescent="0.25">
      <c r="A3249" s="15">
        <f t="shared" si="275"/>
        <v>45535</v>
      </c>
      <c r="B3249" s="31">
        <f>TIME(18,49,0)</f>
        <v>0.78402777777777777</v>
      </c>
      <c r="C3249" t="str">
        <f>'Inventory as of 12th Aug 2024'!A176</f>
        <v>Queen cake</v>
      </c>
      <c r="D3249" s="27">
        <v>1</v>
      </c>
      <c r="E3249" s="5">
        <f>Table4[[#This Row],[qty]]*(VLOOKUP(Table4[[#This Row],[item_sold]],Table1[],5,FALSE))</f>
        <v>10</v>
      </c>
      <c r="F3249" s="5">
        <f>(VLOOKUP(Table4[[#This Row],[item_sold]],Table1[],4,FALSE))*Table4[[#This Row],[qty]]</f>
        <v>8.3333333333333339</v>
      </c>
      <c r="G3249">
        <f t="shared" si="285"/>
        <v>1.6666666666666661</v>
      </c>
      <c r="H3249" t="s">
        <v>361</v>
      </c>
    </row>
    <row r="3250" spans="1:9" x14ac:dyDescent="0.25">
      <c r="A3250" s="15">
        <f t="shared" si="275"/>
        <v>45535</v>
      </c>
      <c r="B3250" s="31">
        <f t="shared" ref="B3250:B3251" si="288">TIME(18,49,0)</f>
        <v>0.78402777777777777</v>
      </c>
      <c r="C3250" t="str">
        <f>'Inventory as of 12th Aug 2024'!A198</f>
        <v>Mandazi</v>
      </c>
      <c r="D3250" s="27">
        <v>2</v>
      </c>
      <c r="E3250" s="5">
        <f>Table4[[#This Row],[qty]]*(VLOOKUP(Table4[[#This Row],[item_sold]],Table1[],5,FALSE))</f>
        <v>10</v>
      </c>
      <c r="F3250" s="5">
        <f>(VLOOKUP(Table4[[#This Row],[item_sold]],Table1[],4,FALSE))*Table4[[#This Row],[qty]]</f>
        <v>8.3333333333333339</v>
      </c>
      <c r="G3250">
        <f t="shared" si="285"/>
        <v>1.6666666666666661</v>
      </c>
      <c r="H3250" t="s">
        <v>361</v>
      </c>
    </row>
    <row r="3251" spans="1:9" x14ac:dyDescent="0.25">
      <c r="A3251" s="15">
        <f t="shared" si="275"/>
        <v>45535</v>
      </c>
      <c r="B3251" s="31">
        <f t="shared" si="288"/>
        <v>0.78402777777777777</v>
      </c>
      <c r="C3251" t="str">
        <f>'Inventory as of 12th Aug 2024'!A200</f>
        <v>Ngumu</v>
      </c>
      <c r="D3251" s="27">
        <v>1</v>
      </c>
      <c r="E3251" s="5">
        <f>Table4[[#This Row],[qty]]*(VLOOKUP(Table4[[#This Row],[item_sold]],Table1[],5,FALSE))</f>
        <v>10</v>
      </c>
      <c r="F3251" s="5">
        <f>(VLOOKUP(Table4[[#This Row],[item_sold]],Table1[],4,FALSE))*Table4[[#This Row],[qty]]</f>
        <v>8.3333333333333339</v>
      </c>
      <c r="G3251">
        <f t="shared" si="285"/>
        <v>1.6666666666666661</v>
      </c>
      <c r="H3251" t="s">
        <v>361</v>
      </c>
    </row>
    <row r="3252" spans="1:9" x14ac:dyDescent="0.25">
      <c r="A3252" s="15">
        <f t="shared" si="275"/>
        <v>45535</v>
      </c>
      <c r="B3252" s="31">
        <f>TIME(19,22,0)</f>
        <v>0.80694444444444446</v>
      </c>
      <c r="C3252" t="str">
        <f>'Inventory as of 12th Aug 2024'!A47</f>
        <v>Pembe 2kg</v>
      </c>
      <c r="D3252" s="27">
        <v>1</v>
      </c>
      <c r="E3252" s="5">
        <f>Table4[[#This Row],[qty]]*(VLOOKUP(Table4[[#This Row],[item_sold]],Table1[],5,FALSE))</f>
        <v>160</v>
      </c>
      <c r="F3252" s="5">
        <f>(VLOOKUP(Table4[[#This Row],[item_sold]],Table1[],4,FALSE))*Table4[[#This Row],[qty]]</f>
        <v>123.33333333333333</v>
      </c>
      <c r="G3252">
        <f t="shared" si="285"/>
        <v>36.666666666666671</v>
      </c>
      <c r="H3252" t="s">
        <v>430</v>
      </c>
      <c r="I3252" t="s">
        <v>385</v>
      </c>
    </row>
    <row r="3253" spans="1:9" x14ac:dyDescent="0.25">
      <c r="A3253" s="15">
        <f t="shared" si="275"/>
        <v>45535</v>
      </c>
      <c r="B3253" s="31">
        <f>TIME(19,25,0)</f>
        <v>0.80902777777777779</v>
      </c>
      <c r="C3253" t="str">
        <f>'Inventory as of 12th Aug 2024'!A58</f>
        <v>Safari</v>
      </c>
      <c r="D3253" s="27">
        <v>1</v>
      </c>
      <c r="E3253" s="5">
        <f>Table4[[#This Row],[qty]]*(VLOOKUP(Table4[[#This Row],[item_sold]],Table1[],5,FALSE))</f>
        <v>15</v>
      </c>
      <c r="F3253" s="5">
        <f>(VLOOKUP(Table4[[#This Row],[item_sold]],Table1[],4,FALSE))*Table4[[#This Row],[qty]]</f>
        <v>8.5</v>
      </c>
      <c r="G3253">
        <f t="shared" si="285"/>
        <v>6.5</v>
      </c>
      <c r="H3253" t="s">
        <v>361</v>
      </c>
    </row>
    <row r="3254" spans="1:9" x14ac:dyDescent="0.25">
      <c r="A3254" s="15">
        <f t="shared" si="275"/>
        <v>45535</v>
      </c>
      <c r="B3254" s="31">
        <f>TIME(19,30,0)</f>
        <v>0.8125</v>
      </c>
      <c r="C3254" t="str">
        <f>'Inventory as of 12th Aug 2024'!A37</f>
        <v>Festive Bread 400g</v>
      </c>
      <c r="D3254" s="27">
        <v>1</v>
      </c>
      <c r="E3254" s="5">
        <f>Table4[[#This Row],[qty]]*(VLOOKUP(Table4[[#This Row],[item_sold]],Table1[],5,FALSE))</f>
        <v>65</v>
      </c>
      <c r="F3254" s="5">
        <f>(VLOOKUP(Table4[[#This Row],[item_sold]],Table1[],4,FALSE))*Table4[[#This Row],[qty]]</f>
        <v>60</v>
      </c>
      <c r="G3254">
        <f t="shared" si="285"/>
        <v>5</v>
      </c>
      <c r="H3254" t="s">
        <v>361</v>
      </c>
    </row>
    <row r="3255" spans="1:9" x14ac:dyDescent="0.25">
      <c r="A3255" s="15">
        <f t="shared" si="275"/>
        <v>45535</v>
      </c>
      <c r="B3255" s="31">
        <f>TIME(19,40,0)</f>
        <v>0.81944444444444453</v>
      </c>
      <c r="C3255" t="str">
        <f>'Inventory as of 12th Aug 2024'!A58</f>
        <v>Safari</v>
      </c>
      <c r="D3255" s="27">
        <v>2</v>
      </c>
      <c r="E3255" s="5">
        <f>Table4[[#This Row],[qty]]*(VLOOKUP(Table4[[#This Row],[item_sold]],Table1[],5,FALSE))</f>
        <v>30</v>
      </c>
      <c r="F3255" s="5">
        <f>(VLOOKUP(Table4[[#This Row],[item_sold]],Table1[],4,FALSE))*Table4[[#This Row],[qty]]</f>
        <v>17</v>
      </c>
      <c r="G3255">
        <f t="shared" si="285"/>
        <v>13</v>
      </c>
      <c r="H3255" t="s">
        <v>361</v>
      </c>
    </row>
    <row r="3256" spans="1:9" x14ac:dyDescent="0.25">
      <c r="A3256" s="15">
        <f t="shared" si="275"/>
        <v>45535</v>
      </c>
      <c r="B3256" s="31">
        <f>TIME(19,41,0)</f>
        <v>0.82013888888888886</v>
      </c>
      <c r="C3256" t="str">
        <f>'Inventory as of 12th Aug 2024'!A200</f>
        <v>Ngumu</v>
      </c>
      <c r="D3256" s="27">
        <v>2</v>
      </c>
      <c r="E3256" s="5">
        <f>Table4[[#This Row],[qty]]*(VLOOKUP(Table4[[#This Row],[item_sold]],Table1[],5,FALSE))</f>
        <v>20</v>
      </c>
      <c r="F3256" s="5">
        <f>(VLOOKUP(Table4[[#This Row],[item_sold]],Table1[],4,FALSE))*Table4[[#This Row],[qty]]</f>
        <v>16.666666666666668</v>
      </c>
      <c r="G3256">
        <f t="shared" si="285"/>
        <v>3.3333333333333321</v>
      </c>
      <c r="H3256" t="s">
        <v>361</v>
      </c>
    </row>
    <row r="3257" spans="1:9" x14ac:dyDescent="0.25">
      <c r="A3257" s="15">
        <f t="shared" ref="A3257:A3264" si="289">DATE(2024,8,31)</f>
        <v>45535</v>
      </c>
      <c r="B3257" s="31">
        <f t="shared" ref="B3257:B3260" si="290">TIME(19,41,0)</f>
        <v>0.82013888888888886</v>
      </c>
      <c r="C3257" t="str">
        <f>'Inventory as of 12th Aug 2024'!A91</f>
        <v>Tomatoes</v>
      </c>
      <c r="D3257" s="27">
        <v>5</v>
      </c>
      <c r="E3257" s="5">
        <f>Table4[[#This Row],[qty]]*(VLOOKUP(Table4[[#This Row],[item_sold]],Table1[],5,FALSE))</f>
        <v>50</v>
      </c>
      <c r="F3257" s="5">
        <f>(VLOOKUP(Table4[[#This Row],[item_sold]],Table1[],4,FALSE))*Table4[[#This Row],[qty]]</f>
        <v>25</v>
      </c>
      <c r="G3257">
        <f t="shared" si="285"/>
        <v>25</v>
      </c>
      <c r="H3257" t="s">
        <v>361</v>
      </c>
    </row>
    <row r="3258" spans="1:9" x14ac:dyDescent="0.25">
      <c r="A3258" s="15">
        <f t="shared" si="289"/>
        <v>45535</v>
      </c>
      <c r="B3258" s="31">
        <f t="shared" si="290"/>
        <v>0.82013888888888886</v>
      </c>
      <c r="C3258" t="str">
        <f>'Inventory as of 12th Aug 2024'!A10</f>
        <v>Mt Kenya milk 200ml</v>
      </c>
      <c r="D3258" s="27">
        <v>2</v>
      </c>
      <c r="E3258" s="5">
        <f>Table4[[#This Row],[qty]]*(VLOOKUP(Table4[[#This Row],[item_sold]],Table1[],5,FALSE))</f>
        <v>70</v>
      </c>
      <c r="F3258" s="5">
        <f>(VLOOKUP(Table4[[#This Row],[item_sold]],Table1[],4,FALSE))*Table4[[#This Row],[qty]]</f>
        <v>48.571428571428569</v>
      </c>
      <c r="G3258">
        <f t="shared" si="285"/>
        <v>21.428571428571431</v>
      </c>
      <c r="H3258" t="s">
        <v>361</v>
      </c>
    </row>
    <row r="3259" spans="1:9" x14ac:dyDescent="0.25">
      <c r="A3259" s="15">
        <f t="shared" si="289"/>
        <v>45535</v>
      </c>
      <c r="B3259" s="31">
        <f t="shared" si="290"/>
        <v>0.82013888888888886</v>
      </c>
      <c r="C3259" t="str">
        <f>'Inventory as of 12th Aug 2024'!A68</f>
        <v>Royco cubes</v>
      </c>
      <c r="D3259" s="27">
        <v>6</v>
      </c>
      <c r="E3259" s="5">
        <f>Table4[[#This Row],[qty]]*(VLOOKUP(Table4[[#This Row],[item_sold]],Table1[],5,FALSE))</f>
        <v>30</v>
      </c>
      <c r="F3259" s="5">
        <f>(VLOOKUP(Table4[[#This Row],[item_sold]],Table1[],4,FALSE))*Table4[[#This Row],[qty]]</f>
        <v>18</v>
      </c>
      <c r="G3259">
        <f t="shared" si="285"/>
        <v>12</v>
      </c>
      <c r="H3259" t="s">
        <v>361</v>
      </c>
    </row>
    <row r="3260" spans="1:9" x14ac:dyDescent="0.25">
      <c r="A3260" s="15">
        <f t="shared" si="289"/>
        <v>45535</v>
      </c>
      <c r="B3260" s="31">
        <f t="shared" si="290"/>
        <v>0.82013888888888886</v>
      </c>
      <c r="C3260" t="str">
        <f>'Inventory as of 12th Aug 2024'!A10</f>
        <v>Mt Kenya milk 200ml</v>
      </c>
      <c r="D3260" s="27">
        <v>1</v>
      </c>
      <c r="E3260" s="5">
        <f>Table4[[#This Row],[qty]]*(VLOOKUP(Table4[[#This Row],[item_sold]],Table1[],5,FALSE))</f>
        <v>35</v>
      </c>
      <c r="F3260" s="5">
        <f>(VLOOKUP(Table4[[#This Row],[item_sold]],Table1[],4,FALSE))*Table4[[#This Row],[qty]]</f>
        <v>24.285714285714285</v>
      </c>
      <c r="G3260">
        <f t="shared" si="285"/>
        <v>10.714285714285715</v>
      </c>
      <c r="H3260" t="s">
        <v>361</v>
      </c>
    </row>
    <row r="3261" spans="1:9" x14ac:dyDescent="0.25">
      <c r="A3261" s="15">
        <f t="shared" si="289"/>
        <v>45535</v>
      </c>
      <c r="B3261" s="31">
        <f>TIME(20,21,0)</f>
        <v>0.84791666666666676</v>
      </c>
      <c r="C3261" t="str">
        <f>'Inventory as of 12th Aug 2024'!A195</f>
        <v>Ring Cake</v>
      </c>
      <c r="D3261" s="27">
        <v>1</v>
      </c>
      <c r="E3261" s="5">
        <f>Table4[[#This Row],[qty]]*(VLOOKUP(Table4[[#This Row],[item_sold]],Table1[],5,FALSE))</f>
        <v>50</v>
      </c>
      <c r="F3261" s="5">
        <f>(VLOOKUP(Table4[[#This Row],[item_sold]],Table1[],4,FALSE))*Table4[[#This Row],[qty]]</f>
        <v>45</v>
      </c>
      <c r="G3261">
        <f t="shared" si="285"/>
        <v>5</v>
      </c>
      <c r="H3261" t="s">
        <v>361</v>
      </c>
    </row>
    <row r="3262" spans="1:9" x14ac:dyDescent="0.25">
      <c r="A3262" s="15">
        <f t="shared" si="289"/>
        <v>45535</v>
      </c>
      <c r="B3262" s="31">
        <f>TIME(12,30,0)</f>
        <v>0.52083333333333337</v>
      </c>
      <c r="C3262" t="str">
        <f>'Inventory as of 12th Aug 2024'!A212</f>
        <v>soda 300ml glass</v>
      </c>
      <c r="D3262" s="27">
        <v>1</v>
      </c>
      <c r="E3262" s="5">
        <f>Table4[[#This Row],[qty]]*(VLOOKUP(Table4[[#This Row],[item_sold]],Table1[],5,FALSE))</f>
        <v>40</v>
      </c>
      <c r="F3262" s="5">
        <f>(VLOOKUP(Table4[[#This Row],[item_sold]],Table1[],4,FALSE))*Table4[[#This Row],[qty]]</f>
        <v>32.5</v>
      </c>
      <c r="G3262">
        <f t="shared" si="285"/>
        <v>7.5</v>
      </c>
      <c r="H3262" t="s">
        <v>361</v>
      </c>
    </row>
    <row r="3263" spans="1:9" x14ac:dyDescent="0.25">
      <c r="A3263" s="15">
        <f t="shared" si="289"/>
        <v>45535</v>
      </c>
      <c r="B3263" s="31">
        <f>TIME(12,30,0)</f>
        <v>0.52083333333333337</v>
      </c>
      <c r="C3263" t="str">
        <f>'Inventory as of 12th Aug 2024'!A199</f>
        <v>Kdf</v>
      </c>
      <c r="D3263" s="27">
        <v>1</v>
      </c>
      <c r="E3263" s="5">
        <f>Table4[[#This Row],[qty]]*(VLOOKUP(Table4[[#This Row],[item_sold]],Table1[],5,FALSE))</f>
        <v>10</v>
      </c>
      <c r="F3263" s="5">
        <f>(VLOOKUP(Table4[[#This Row],[item_sold]],Table1[],4,FALSE))*Table4[[#This Row],[qty]]</f>
        <v>8.3333333333333339</v>
      </c>
      <c r="G3263">
        <f t="shared" si="285"/>
        <v>1.6666666666666661</v>
      </c>
      <c r="H3263" t="s">
        <v>247</v>
      </c>
    </row>
    <row r="3264" spans="1:9" x14ac:dyDescent="0.25">
      <c r="A3264" s="15">
        <f t="shared" si="289"/>
        <v>45535</v>
      </c>
      <c r="B3264" s="31">
        <f>TIME(20,21,0)</f>
        <v>0.84791666666666676</v>
      </c>
      <c r="C3264" t="str">
        <f>'Inventory as of 12th Aug 2024'!A37</f>
        <v>Festive Bread 400g</v>
      </c>
      <c r="D3264" s="27">
        <v>1</v>
      </c>
      <c r="E3264" s="5">
        <f>Table4[[#This Row],[qty]]*(VLOOKUP(Table4[[#This Row],[item_sold]],Table1[],5,FALSE))</f>
        <v>65</v>
      </c>
      <c r="F3264" s="5">
        <f>(VLOOKUP(Table4[[#This Row],[item_sold]],Table1[],4,FALSE))*Table4[[#This Row],[qty]]</f>
        <v>60</v>
      </c>
      <c r="G3264">
        <f t="shared" si="285"/>
        <v>5</v>
      </c>
      <c r="H3264" t="s">
        <v>361</v>
      </c>
    </row>
    <row r="3265" spans="1:9" x14ac:dyDescent="0.25">
      <c r="A3265" s="15">
        <f>DATE(2024,9,1)</f>
        <v>45536</v>
      </c>
      <c r="B3265" s="31">
        <f>TIME(7,51,0)</f>
        <v>0.32708333333333334</v>
      </c>
      <c r="C3265" t="str">
        <f>'Inventory as of 12th Aug 2024'!A58</f>
        <v>Safari</v>
      </c>
      <c r="D3265" s="27">
        <v>2</v>
      </c>
      <c r="E3265" s="5">
        <f>Table4[[#This Row],[qty]]*(VLOOKUP(Table4[[#This Row],[item_sold]],Table1[],5,FALSE))</f>
        <v>30</v>
      </c>
      <c r="F3265" s="5">
        <f>(VLOOKUP(Table4[[#This Row],[item_sold]],Table1[],4,FALSE))*Table4[[#This Row],[qty]]</f>
        <v>17</v>
      </c>
      <c r="G3265">
        <f t="shared" si="285"/>
        <v>13</v>
      </c>
      <c r="H3265" t="s">
        <v>361</v>
      </c>
    </row>
    <row r="3266" spans="1:9" x14ac:dyDescent="0.25">
      <c r="A3266" s="15">
        <f t="shared" ref="A3266:A3329" si="291">DATE(2024,9,1)</f>
        <v>45536</v>
      </c>
      <c r="B3266" s="31">
        <f>TIME(8,20,0)</f>
        <v>0.34722222222222227</v>
      </c>
      <c r="C3266" t="str">
        <f>'Inventory as of 12th Aug 2024'!A167</f>
        <v>Handkerchief</v>
      </c>
      <c r="D3266" s="27">
        <v>1</v>
      </c>
      <c r="E3266" s="5">
        <f>Table4[[#This Row],[qty]]*(VLOOKUP(Table4[[#This Row],[item_sold]],Table1[],5,FALSE))</f>
        <v>20</v>
      </c>
      <c r="F3266" s="5">
        <f>(VLOOKUP(Table4[[#This Row],[item_sold]],Table1[],4,FALSE))*Table4[[#This Row],[qty]]</f>
        <v>12</v>
      </c>
      <c r="G3266">
        <f t="shared" si="285"/>
        <v>8</v>
      </c>
      <c r="H3266" t="s">
        <v>430</v>
      </c>
      <c r="I3266" t="s">
        <v>390</v>
      </c>
    </row>
    <row r="3267" spans="1:9" x14ac:dyDescent="0.25">
      <c r="A3267" s="15">
        <f t="shared" si="291"/>
        <v>45536</v>
      </c>
      <c r="B3267" s="31">
        <f t="shared" ref="B3267" si="292">TIME(8,20,0)</f>
        <v>0.34722222222222227</v>
      </c>
      <c r="C3267" t="str">
        <f>'Inventory as of 12th Aug 2024'!A37</f>
        <v>Festive Bread 400g</v>
      </c>
      <c r="D3267" s="27">
        <v>1</v>
      </c>
      <c r="E3267" s="5">
        <f>Table4[[#This Row],[qty]]*(VLOOKUP(Table4[[#This Row],[item_sold]],Table1[],5,FALSE))</f>
        <v>65</v>
      </c>
      <c r="F3267" s="5">
        <f>(VLOOKUP(Table4[[#This Row],[item_sold]],Table1[],4,FALSE))*Table4[[#This Row],[qty]]</f>
        <v>60</v>
      </c>
      <c r="G3267">
        <f t="shared" si="285"/>
        <v>5</v>
      </c>
      <c r="H3267" t="s">
        <v>430</v>
      </c>
      <c r="I3267" t="s">
        <v>449</v>
      </c>
    </row>
    <row r="3268" spans="1:9" x14ac:dyDescent="0.25">
      <c r="A3268" s="15">
        <f t="shared" si="291"/>
        <v>45536</v>
      </c>
      <c r="B3268" s="31">
        <f>TIME(8,28,0)</f>
        <v>0.3527777777777778</v>
      </c>
      <c r="C3268" t="str">
        <f>'Inventory as of 12th Aug 2024'!A51</f>
        <v>Sindano rice</v>
      </c>
      <c r="D3268" s="27">
        <v>0.5</v>
      </c>
      <c r="E3268" s="5">
        <f>Table4[[#This Row],[qty]]*(VLOOKUP(Table4[[#This Row],[item_sold]],Table1[],5,FALSE))</f>
        <v>75</v>
      </c>
      <c r="F3268" s="5">
        <f>(VLOOKUP(Table4[[#This Row],[item_sold]],Table1[],4,FALSE))*Table4[[#This Row],[qty]]</f>
        <v>60</v>
      </c>
      <c r="G3268">
        <f t="shared" si="285"/>
        <v>15</v>
      </c>
      <c r="H3268" t="s">
        <v>361</v>
      </c>
    </row>
    <row r="3269" spans="1:9" x14ac:dyDescent="0.25">
      <c r="A3269" s="15">
        <f t="shared" si="291"/>
        <v>45536</v>
      </c>
      <c r="B3269" s="31">
        <f t="shared" ref="B3269" si="293">TIME(8,28,0)</f>
        <v>0.3527777777777778</v>
      </c>
      <c r="C3269" t="str">
        <f>'Inventory as of 12th Aug 2024'!A58</f>
        <v>Safari</v>
      </c>
      <c r="D3269" s="27">
        <v>1</v>
      </c>
      <c r="E3269" s="5">
        <f>Table4[[#This Row],[qty]]*(VLOOKUP(Table4[[#This Row],[item_sold]],Table1[],5,FALSE))</f>
        <v>15</v>
      </c>
      <c r="F3269" s="5">
        <f>(VLOOKUP(Table4[[#This Row],[item_sold]],Table1[],4,FALSE))*Table4[[#This Row],[qty]]</f>
        <v>8.5</v>
      </c>
      <c r="G3269">
        <f t="shared" si="285"/>
        <v>6.5</v>
      </c>
      <c r="H3269" t="s">
        <v>361</v>
      </c>
    </row>
    <row r="3270" spans="1:9" x14ac:dyDescent="0.25">
      <c r="A3270" s="15">
        <f t="shared" si="291"/>
        <v>45536</v>
      </c>
      <c r="B3270" s="31">
        <f>TIME(9,34,0)</f>
        <v>0.39861111111111108</v>
      </c>
      <c r="C3270" t="str">
        <f>'Inventory as of 12th Aug 2024'!A8</f>
        <v>eggs</v>
      </c>
      <c r="D3270" s="27">
        <v>4</v>
      </c>
      <c r="E3270" s="5">
        <f>Table4[[#This Row],[qty]]*(VLOOKUP(Table4[[#This Row],[item_sold]],Table1[],5,FALSE))</f>
        <v>80</v>
      </c>
      <c r="F3270" s="5">
        <f>(VLOOKUP(Table4[[#This Row],[item_sold]],Table1[],4,FALSE))*Table4[[#This Row],[qty]]</f>
        <v>57.333333333333336</v>
      </c>
      <c r="G3270">
        <f t="shared" si="285"/>
        <v>22.666666666666664</v>
      </c>
      <c r="H3270" t="s">
        <v>361</v>
      </c>
    </row>
    <row r="3271" spans="1:9" x14ac:dyDescent="0.25">
      <c r="A3271" s="15">
        <f t="shared" si="291"/>
        <v>45536</v>
      </c>
      <c r="B3271" s="31">
        <f t="shared" ref="B3271:B3306" si="294">TIME(9,34,0)</f>
        <v>0.39861111111111108</v>
      </c>
      <c r="C3271" t="str">
        <f>'Inventory as of 12th Aug 2024'!A200</f>
        <v>Ngumu</v>
      </c>
      <c r="D3271" s="27">
        <v>2</v>
      </c>
      <c r="E3271" s="5">
        <f>Table4[[#This Row],[qty]]*(VLOOKUP(Table4[[#This Row],[item_sold]],Table1[],5,FALSE))</f>
        <v>20</v>
      </c>
      <c r="F3271" s="5">
        <f>(VLOOKUP(Table4[[#This Row],[item_sold]],Table1[],4,FALSE))*Table4[[#This Row],[qty]]</f>
        <v>16.666666666666668</v>
      </c>
      <c r="G3271">
        <f t="shared" si="285"/>
        <v>3.3333333333333321</v>
      </c>
      <c r="H3271" t="s">
        <v>430</v>
      </c>
      <c r="I3271" t="s">
        <v>385</v>
      </c>
    </row>
    <row r="3272" spans="1:9" x14ac:dyDescent="0.25">
      <c r="A3272" s="15">
        <f t="shared" si="291"/>
        <v>45536</v>
      </c>
      <c r="B3272" s="31">
        <f>TIME(9,41,0)</f>
        <v>0.40347222222222223</v>
      </c>
      <c r="C3272" t="str">
        <f>'Inventory as of 12th Aug 2024'!A198</f>
        <v>Mandazi</v>
      </c>
      <c r="D3272" s="27">
        <v>8</v>
      </c>
      <c r="E3272" s="5">
        <f>Table4[[#This Row],[qty]]*(VLOOKUP(Table4[[#This Row],[item_sold]],Table1[],5,FALSE))</f>
        <v>40</v>
      </c>
      <c r="F3272" s="5">
        <f>(VLOOKUP(Table4[[#This Row],[item_sold]],Table1[],4,FALSE))*Table4[[#This Row],[qty]]</f>
        <v>33.333333333333336</v>
      </c>
      <c r="G3272">
        <f t="shared" si="285"/>
        <v>6.6666666666666643</v>
      </c>
      <c r="H3272" t="s">
        <v>361</v>
      </c>
    </row>
    <row r="3273" spans="1:9" x14ac:dyDescent="0.25">
      <c r="A3273" s="15">
        <f t="shared" si="291"/>
        <v>45536</v>
      </c>
      <c r="B3273" s="31">
        <f>TIME(9,50,0)</f>
        <v>0.40972222222222227</v>
      </c>
      <c r="C3273" t="str">
        <f>'Inventory as of 12th Aug 2024'!A37</f>
        <v>Festive Bread 400g</v>
      </c>
      <c r="D3273" s="27">
        <v>1</v>
      </c>
      <c r="E3273" s="5">
        <f>Table4[[#This Row],[qty]]*(VLOOKUP(Table4[[#This Row],[item_sold]],Table1[],5,FALSE))</f>
        <v>65</v>
      </c>
      <c r="F3273" s="5">
        <f>(VLOOKUP(Table4[[#This Row],[item_sold]],Table1[],4,FALSE))*Table4[[#This Row],[qty]]</f>
        <v>60</v>
      </c>
      <c r="G3273">
        <f t="shared" si="285"/>
        <v>5</v>
      </c>
      <c r="H3273" t="s">
        <v>430</v>
      </c>
      <c r="I3273" t="s">
        <v>417</v>
      </c>
    </row>
    <row r="3274" spans="1:9" x14ac:dyDescent="0.25">
      <c r="A3274" s="15">
        <f t="shared" si="291"/>
        <v>45536</v>
      </c>
      <c r="B3274" s="31">
        <f>TIME(9,59,0)</f>
        <v>0.41597222222222219</v>
      </c>
      <c r="C3274" t="str">
        <f>'Inventory as of 12th Aug 2024'!A33</f>
        <v>BB Bread 400g</v>
      </c>
      <c r="D3274" s="27">
        <v>2</v>
      </c>
      <c r="E3274" s="5">
        <f>Table4[[#This Row],[qty]]*(VLOOKUP(Table4[[#This Row],[item_sold]],Table1[],5,FALSE))</f>
        <v>130</v>
      </c>
      <c r="F3274" s="5">
        <f>(VLOOKUP(Table4[[#This Row],[item_sold]],Table1[],4,FALSE))*Table4[[#This Row],[qty]]</f>
        <v>120</v>
      </c>
      <c r="G3274">
        <f t="shared" si="285"/>
        <v>10</v>
      </c>
      <c r="H3274" t="s">
        <v>430</v>
      </c>
      <c r="I3274" t="s">
        <v>417</v>
      </c>
    </row>
    <row r="3275" spans="1:9" x14ac:dyDescent="0.25">
      <c r="A3275" s="15">
        <f t="shared" si="291"/>
        <v>45536</v>
      </c>
      <c r="B3275" s="31">
        <f>TIME(9,59,0)</f>
        <v>0.41597222222222219</v>
      </c>
      <c r="C3275" t="str">
        <f>'Inventory as of 12th Aug 2024'!A71</f>
        <v>Sugar 1/4 kg</v>
      </c>
      <c r="D3275" s="27">
        <v>2</v>
      </c>
      <c r="E3275" s="5">
        <f>Table4[[#This Row],[qty]]*(VLOOKUP(Table4[[#This Row],[item_sold]],Table1[],5,FALSE))</f>
        <v>90</v>
      </c>
      <c r="F3275" s="5">
        <f>(VLOOKUP(Table4[[#This Row],[item_sold]],Table1[],4,FALSE))*Table4[[#This Row],[qty]]</f>
        <v>60</v>
      </c>
      <c r="G3275">
        <f t="shared" si="285"/>
        <v>30</v>
      </c>
      <c r="H3275" t="s">
        <v>430</v>
      </c>
      <c r="I3275" t="s">
        <v>394</v>
      </c>
    </row>
    <row r="3276" spans="1:9" x14ac:dyDescent="0.25">
      <c r="A3276" s="15">
        <f t="shared" si="291"/>
        <v>45536</v>
      </c>
      <c r="B3276" s="31">
        <f>TIME(10,1,0)</f>
        <v>0.41736111111111113</v>
      </c>
      <c r="C3276" t="str">
        <f>'Inventory as of 12th Aug 2024'!A16</f>
        <v>Mt kenya milk 500ml</v>
      </c>
      <c r="D3276" s="27">
        <v>1</v>
      </c>
      <c r="E3276" s="5">
        <f>Table4[[#This Row],[qty]]*(VLOOKUP(Table4[[#This Row],[item_sold]],Table1[],5,FALSE))</f>
        <v>65</v>
      </c>
      <c r="F3276" s="5">
        <f>(VLOOKUP(Table4[[#This Row],[item_sold]],Table1[],4,FALSE))*Table4[[#This Row],[qty]]</f>
        <v>48.333333333333336</v>
      </c>
      <c r="G3276">
        <f t="shared" si="285"/>
        <v>16.666666666666664</v>
      </c>
      <c r="H3276" t="s">
        <v>361</v>
      </c>
    </row>
    <row r="3277" spans="1:9" x14ac:dyDescent="0.25">
      <c r="A3277" s="15">
        <f t="shared" si="291"/>
        <v>45536</v>
      </c>
      <c r="B3277" s="31">
        <f>TIME(10,3,0)</f>
        <v>0.41875000000000001</v>
      </c>
      <c r="C3277" t="str">
        <f>'Inventory as of 12th Aug 2024'!A87</f>
        <v>Menengai Bar 1kg</v>
      </c>
      <c r="D3277" s="27">
        <v>0.5</v>
      </c>
      <c r="E3277" s="5">
        <f>Table4[[#This Row],[qty]]*(VLOOKUP(Table4[[#This Row],[item_sold]],Table1[],5,FALSE))</f>
        <v>125</v>
      </c>
      <c r="F3277" s="5">
        <f>(VLOOKUP(Table4[[#This Row],[item_sold]],Table1[],4,FALSE))*Table4[[#This Row],[qty]]</f>
        <v>95</v>
      </c>
      <c r="G3277">
        <f t="shared" si="285"/>
        <v>30</v>
      </c>
      <c r="H3277" t="s">
        <v>361</v>
      </c>
    </row>
    <row r="3278" spans="1:9" x14ac:dyDescent="0.25">
      <c r="A3278" s="15">
        <f t="shared" si="291"/>
        <v>45536</v>
      </c>
      <c r="B3278" s="31">
        <f>TIME(10,15,0)</f>
        <v>0.42708333333333331</v>
      </c>
      <c r="C3278" t="str">
        <f>'Inventory as of 12th Aug 2024'!A85</f>
        <v>Downy lavender</v>
      </c>
      <c r="D3278" s="27">
        <v>1</v>
      </c>
      <c r="E3278" s="5">
        <f>Table4[[#This Row],[qty]]*(VLOOKUP(Table4[[#This Row],[item_sold]],Table1[],5,FALSE))</f>
        <v>20</v>
      </c>
      <c r="F3278" s="5">
        <f>(VLOOKUP(Table4[[#This Row],[item_sold]],Table1[],4,FALSE))*Table4[[#This Row],[qty]]</f>
        <v>17.333333333333332</v>
      </c>
      <c r="G3278">
        <f t="shared" si="285"/>
        <v>2.6666666666666679</v>
      </c>
      <c r="H3278" t="s">
        <v>430</v>
      </c>
      <c r="I3278" t="s">
        <v>388</v>
      </c>
    </row>
    <row r="3279" spans="1:9" x14ac:dyDescent="0.25">
      <c r="A3279" s="15">
        <f t="shared" si="291"/>
        <v>45536</v>
      </c>
      <c r="B3279" s="31">
        <f>TIME(10,30,0)</f>
        <v>0.4375</v>
      </c>
      <c r="C3279" t="str">
        <f>'Inventory as of 12th Aug 2024'!A37</f>
        <v>Festive Bread 400g</v>
      </c>
      <c r="D3279" s="27">
        <v>1</v>
      </c>
      <c r="E3279" s="5">
        <f>Table4[[#This Row],[qty]]*(VLOOKUP(Table4[[#This Row],[item_sold]],Table1[],5,FALSE))</f>
        <v>65</v>
      </c>
      <c r="F3279" s="5">
        <f>(VLOOKUP(Table4[[#This Row],[item_sold]],Table1[],4,FALSE))*Table4[[#This Row],[qty]]</f>
        <v>60</v>
      </c>
      <c r="G3279">
        <f t="shared" si="285"/>
        <v>5</v>
      </c>
      <c r="H3279" t="s">
        <v>430</v>
      </c>
      <c r="I3279" t="s">
        <v>414</v>
      </c>
    </row>
    <row r="3280" spans="1:9" x14ac:dyDescent="0.25">
      <c r="A3280" s="15">
        <f t="shared" si="291"/>
        <v>45536</v>
      </c>
      <c r="B3280" s="31">
        <f>TIME(10,45,0)</f>
        <v>0.44791666666666669</v>
      </c>
      <c r="C3280" t="str">
        <f>'Inventory as of 12th Aug 2024'!A71</f>
        <v>Sugar 1/4 kg</v>
      </c>
      <c r="D3280" s="27">
        <v>1</v>
      </c>
      <c r="E3280" s="5">
        <f>Table4[[#This Row],[qty]]*(VLOOKUP(Table4[[#This Row],[item_sold]],Table1[],5,FALSE))</f>
        <v>45</v>
      </c>
      <c r="F3280" s="5">
        <f>(VLOOKUP(Table4[[#This Row],[item_sold]],Table1[],4,FALSE))*Table4[[#This Row],[qty]]</f>
        <v>30</v>
      </c>
      <c r="G3280">
        <f t="shared" si="285"/>
        <v>15</v>
      </c>
      <c r="H3280" t="s">
        <v>247</v>
      </c>
    </row>
    <row r="3281" spans="1:9" x14ac:dyDescent="0.25">
      <c r="A3281" s="15">
        <f t="shared" si="291"/>
        <v>45536</v>
      </c>
      <c r="B3281" s="31">
        <f>TIME(10,45,0)</f>
        <v>0.44791666666666669</v>
      </c>
      <c r="C3281" t="str">
        <f>'Inventory as of 12th Aug 2024'!A120</f>
        <v>Maramoja</v>
      </c>
      <c r="D3281" s="27">
        <v>1</v>
      </c>
      <c r="E3281" s="5">
        <f>Table4[[#This Row],[qty]]*(VLOOKUP(Table4[[#This Row],[item_sold]],Table1[],5,FALSE))</f>
        <v>10</v>
      </c>
      <c r="F3281" s="5">
        <f>(VLOOKUP(Table4[[#This Row],[item_sold]],Table1[],4,FALSE))*Table4[[#This Row],[qty]]</f>
        <v>7</v>
      </c>
      <c r="G3281">
        <f t="shared" si="285"/>
        <v>3</v>
      </c>
      <c r="H3281" t="s">
        <v>247</v>
      </c>
    </row>
    <row r="3282" spans="1:9" x14ac:dyDescent="0.25">
      <c r="A3282" s="15">
        <f t="shared" si="291"/>
        <v>45536</v>
      </c>
      <c r="B3282" s="31">
        <f>TIME(10,50,0)</f>
        <v>0.4513888888888889</v>
      </c>
      <c r="C3282" t="str">
        <f>'Inventory as of 12th Aug 2024'!A231</f>
        <v>Patco</v>
      </c>
      <c r="D3282" s="27">
        <v>2</v>
      </c>
      <c r="E3282" s="5">
        <f>Table4[[#This Row],[qty]]*(VLOOKUP(Table4[[#This Row],[item_sold]],Table1[],5,FALSE))</f>
        <v>5</v>
      </c>
      <c r="F3282" s="5">
        <f>(VLOOKUP(Table4[[#This Row],[item_sold]],Table1[],4,FALSE))*Table4[[#This Row],[qty]]</f>
        <v>2.4</v>
      </c>
      <c r="G3282">
        <f t="shared" si="285"/>
        <v>2.6</v>
      </c>
      <c r="H3282" t="s">
        <v>247</v>
      </c>
    </row>
    <row r="3283" spans="1:9" x14ac:dyDescent="0.25">
      <c r="A3283" s="15">
        <f t="shared" si="291"/>
        <v>45536</v>
      </c>
      <c r="B3283" s="31">
        <f>TIME(11,1,0)</f>
        <v>0.45902777777777781</v>
      </c>
      <c r="C3283" t="str">
        <f>'Inventory as of 12th Aug 2024'!A208</f>
        <v>minutemaid 400ml</v>
      </c>
      <c r="D3283" s="27">
        <v>1</v>
      </c>
      <c r="E3283" s="5">
        <f>Table4[[#This Row],[qty]]*(VLOOKUP(Table4[[#This Row],[item_sold]],Table1[],5,FALSE))</f>
        <v>85</v>
      </c>
      <c r="F3283" s="5">
        <f>(VLOOKUP(Table4[[#This Row],[item_sold]],Table1[],4,FALSE))*Table4[[#This Row],[qty]]</f>
        <v>62.5</v>
      </c>
      <c r="G3283">
        <f t="shared" si="285"/>
        <v>22.5</v>
      </c>
      <c r="H3283" t="s">
        <v>361</v>
      </c>
    </row>
    <row r="3284" spans="1:9" x14ac:dyDescent="0.25">
      <c r="A3284" s="15">
        <f t="shared" si="291"/>
        <v>45536</v>
      </c>
      <c r="B3284" s="31">
        <f>TIME(11,29,0)</f>
        <v>0.47847222222222219</v>
      </c>
      <c r="C3284" t="str">
        <f>'Inventory as of 12th Aug 2024'!A58</f>
        <v>Safari</v>
      </c>
      <c r="D3284" s="27">
        <v>2</v>
      </c>
      <c r="E3284" s="5">
        <f>Table4[[#This Row],[qty]]*(VLOOKUP(Table4[[#This Row],[item_sold]],Table1[],5,FALSE))</f>
        <v>30</v>
      </c>
      <c r="F3284" s="5">
        <f>(VLOOKUP(Table4[[#This Row],[item_sold]],Table1[],4,FALSE))*Table4[[#This Row],[qty]]</f>
        <v>17</v>
      </c>
      <c r="G3284">
        <f t="shared" si="285"/>
        <v>13</v>
      </c>
      <c r="H3284" t="s">
        <v>247</v>
      </c>
    </row>
    <row r="3285" spans="1:9" x14ac:dyDescent="0.25">
      <c r="A3285" s="15">
        <f t="shared" si="291"/>
        <v>45536</v>
      </c>
      <c r="B3285" s="31">
        <f>TIME(11,40,0)</f>
        <v>0.4861111111111111</v>
      </c>
      <c r="C3285" t="str">
        <f>'Inventory as of 12th Aug 2024'!A238</f>
        <v>Tropical</v>
      </c>
      <c r="D3285" s="27">
        <v>1</v>
      </c>
      <c r="E3285" s="5">
        <f>Table4[[#This Row],[qty]]*(VLOOKUP(Table4[[#This Row],[item_sold]],Table1[],5,FALSE))</f>
        <v>5</v>
      </c>
      <c r="F3285" s="5">
        <f>(VLOOKUP(Table4[[#This Row],[item_sold]],Table1[],4,FALSE))*Table4[[#This Row],[qty]]</f>
        <v>1.5</v>
      </c>
      <c r="G3285">
        <f t="shared" si="285"/>
        <v>3.5</v>
      </c>
      <c r="H3285" t="s">
        <v>247</v>
      </c>
    </row>
    <row r="3286" spans="1:9" x14ac:dyDescent="0.25">
      <c r="A3286" s="15">
        <f t="shared" si="291"/>
        <v>45536</v>
      </c>
      <c r="B3286" s="31">
        <f>TIME(11,40,0)</f>
        <v>0.4861111111111111</v>
      </c>
      <c r="C3286" t="str">
        <f>'Inventory as of 12th Aug 2024'!A58</f>
        <v>Safari</v>
      </c>
      <c r="D3286" s="27">
        <v>1</v>
      </c>
      <c r="E3286" s="5">
        <f>Table4[[#This Row],[qty]]*(VLOOKUP(Table4[[#This Row],[item_sold]],Table1[],5,FALSE))</f>
        <v>15</v>
      </c>
      <c r="F3286" s="5">
        <f>(VLOOKUP(Table4[[#This Row],[item_sold]],Table1[],4,FALSE))*Table4[[#This Row],[qty]]</f>
        <v>8.5</v>
      </c>
      <c r="G3286">
        <f t="shared" si="285"/>
        <v>6.5</v>
      </c>
      <c r="H3286" t="s">
        <v>361</v>
      </c>
    </row>
    <row r="3287" spans="1:9" x14ac:dyDescent="0.25">
      <c r="A3287" s="15">
        <f t="shared" si="291"/>
        <v>45536</v>
      </c>
      <c r="B3287" s="31">
        <f>TIME(12,30,0)</f>
        <v>0.52083333333333337</v>
      </c>
      <c r="C3287" t="str">
        <f>'Inventory as of 12th Aug 2024'!A7</f>
        <v>Airtel 50 Credit</v>
      </c>
      <c r="D3287" s="27">
        <v>1</v>
      </c>
      <c r="E3287" s="5">
        <f>Table4[[#This Row],[qty]]*(VLOOKUP(Table4[[#This Row],[item_sold]],Table1[],5,FALSE))</f>
        <v>50</v>
      </c>
      <c r="F3287" s="5">
        <f>(VLOOKUP(Table4[[#This Row],[item_sold]],Table1[],4,FALSE))*Table4[[#This Row],[qty]]</f>
        <v>47</v>
      </c>
      <c r="G3287">
        <f t="shared" si="285"/>
        <v>3</v>
      </c>
      <c r="H3287" t="s">
        <v>361</v>
      </c>
    </row>
    <row r="3288" spans="1:9" x14ac:dyDescent="0.25">
      <c r="A3288" s="15">
        <f t="shared" si="291"/>
        <v>45536</v>
      </c>
      <c r="B3288" s="31">
        <f>TIME(12,33,0)</f>
        <v>0.5229166666666667</v>
      </c>
      <c r="C3288" t="str">
        <f>'Inventory as of 12th Aug 2024'!A58</f>
        <v>Safari</v>
      </c>
      <c r="D3288" s="27">
        <v>1</v>
      </c>
      <c r="E3288" s="5">
        <f>Table4[[#This Row],[qty]]*(VLOOKUP(Table4[[#This Row],[item_sold]],Table1[],5,FALSE))</f>
        <v>15</v>
      </c>
      <c r="F3288" s="5">
        <f>(VLOOKUP(Table4[[#This Row],[item_sold]],Table1[],4,FALSE))*Table4[[#This Row],[qty]]</f>
        <v>8.5</v>
      </c>
      <c r="G3288">
        <f t="shared" si="285"/>
        <v>6.5</v>
      </c>
      <c r="H3288" t="s">
        <v>361</v>
      </c>
    </row>
    <row r="3289" spans="1:9" x14ac:dyDescent="0.25">
      <c r="A3289" s="15">
        <f t="shared" si="291"/>
        <v>45536</v>
      </c>
      <c r="B3289" s="31">
        <f>TIME(13,0,0)</f>
        <v>0.54166666666666663</v>
      </c>
      <c r="C3289" t="str">
        <f>'Inventory as of 12th Aug 2024'!A185</f>
        <v>Glucose 10g</v>
      </c>
      <c r="D3289" s="27">
        <v>2</v>
      </c>
      <c r="E3289" s="5">
        <f>Table4[[#This Row],[qty]]*(VLOOKUP(Table4[[#This Row],[item_sold]],Table1[],5,FALSE))</f>
        <v>10</v>
      </c>
      <c r="F3289" s="5">
        <f>(VLOOKUP(Table4[[#This Row],[item_sold]],Table1[],4,FALSE))*Table4[[#This Row],[qty]]</f>
        <v>7.5</v>
      </c>
      <c r="G3289">
        <f t="shared" si="285"/>
        <v>2.5</v>
      </c>
      <c r="H3289" t="s">
        <v>430</v>
      </c>
      <c r="I3289" t="s">
        <v>389</v>
      </c>
    </row>
    <row r="3290" spans="1:9" x14ac:dyDescent="0.25">
      <c r="A3290" s="15">
        <f t="shared" si="291"/>
        <v>45536</v>
      </c>
      <c r="B3290" s="31">
        <f>TIME(13,3,0)</f>
        <v>0.54375000000000007</v>
      </c>
      <c r="C3290" t="str">
        <f>'Inventory as of 12th Aug 2024'!A182</f>
        <v>T.Heat Potato crisps salted 25g</v>
      </c>
      <c r="D3290" s="27">
        <v>1</v>
      </c>
      <c r="E3290" s="5">
        <f>Table4[[#This Row],[qty]]*(VLOOKUP(Table4[[#This Row],[item_sold]],Table1[],5,FALSE))</f>
        <v>30</v>
      </c>
      <c r="F3290" s="5">
        <f>(VLOOKUP(Table4[[#This Row],[item_sold]],Table1[],4,FALSE))*Table4[[#This Row],[qty]]</f>
        <v>22.916666666666668</v>
      </c>
      <c r="G3290">
        <f t="shared" si="285"/>
        <v>7.0833333333333321</v>
      </c>
      <c r="H3290" t="s">
        <v>430</v>
      </c>
      <c r="I3290" t="s">
        <v>393</v>
      </c>
    </row>
    <row r="3291" spans="1:9" x14ac:dyDescent="0.25">
      <c r="A3291" s="15">
        <f t="shared" si="291"/>
        <v>45536</v>
      </c>
      <c r="B3291" s="31">
        <f>TIME(13,3,0)</f>
        <v>0.54375000000000007</v>
      </c>
      <c r="C3291" t="str">
        <f>'Inventory as of 12th Aug 2024'!A8</f>
        <v>eggs</v>
      </c>
      <c r="D3291" s="27">
        <v>1</v>
      </c>
      <c r="E3291" s="5">
        <f>Table4[[#This Row],[qty]]*(VLOOKUP(Table4[[#This Row],[item_sold]],Table1[],5,FALSE))</f>
        <v>20</v>
      </c>
      <c r="F3291" s="5">
        <f>(VLOOKUP(Table4[[#This Row],[item_sold]],Table1[],4,FALSE))*Table4[[#This Row],[qty]]</f>
        <v>14.333333333333334</v>
      </c>
      <c r="G3291">
        <f t="shared" si="285"/>
        <v>5.6666666666666661</v>
      </c>
      <c r="H3291" t="s">
        <v>430</v>
      </c>
      <c r="I3291" t="s">
        <v>393</v>
      </c>
    </row>
    <row r="3292" spans="1:9" x14ac:dyDescent="0.25">
      <c r="A3292" s="15">
        <f t="shared" si="291"/>
        <v>45536</v>
      </c>
      <c r="B3292" s="31">
        <f>TIME(13,10,0)</f>
        <v>0.54861111111111105</v>
      </c>
      <c r="C3292" t="str">
        <f>'Inventory as of 12th Aug 2024'!A61</f>
        <v>kensalt 500g</v>
      </c>
      <c r="D3292" s="27">
        <v>1</v>
      </c>
      <c r="E3292" s="5">
        <f>Table4[[#This Row],[qty]]*(VLOOKUP(Table4[[#This Row],[item_sold]],Table1[],5,FALSE))</f>
        <v>25</v>
      </c>
      <c r="F3292" s="5">
        <f>(VLOOKUP(Table4[[#This Row],[item_sold]],Table1[],4,FALSE))*Table4[[#This Row],[qty]]</f>
        <v>14</v>
      </c>
      <c r="G3292">
        <f t="shared" si="285"/>
        <v>11</v>
      </c>
      <c r="H3292" t="s">
        <v>247</v>
      </c>
    </row>
    <row r="3293" spans="1:9" x14ac:dyDescent="0.25">
      <c r="A3293" s="15">
        <f t="shared" si="291"/>
        <v>45536</v>
      </c>
      <c r="B3293" s="31">
        <f t="shared" ref="B3293" si="295">TIME(13,10,0)</f>
        <v>0.54861111111111105</v>
      </c>
      <c r="C3293" t="str">
        <f>'Inventory as of 12th Aug 2024'!A178</f>
        <v>Ringoz Paprika</v>
      </c>
      <c r="D3293" s="27">
        <v>1</v>
      </c>
      <c r="E3293" s="5">
        <f>Table4[[#This Row],[qty]]*(VLOOKUP(Table4[[#This Row],[item_sold]],Table1[],5,FALSE))</f>
        <v>15</v>
      </c>
      <c r="F3293" s="5">
        <f>(VLOOKUP(Table4[[#This Row],[item_sold]],Table1[],4,FALSE))*Table4[[#This Row],[qty]]</f>
        <v>8.8000000000000007</v>
      </c>
      <c r="G3293">
        <f t="shared" si="285"/>
        <v>6.1999999999999993</v>
      </c>
      <c r="H3293" t="s">
        <v>247</v>
      </c>
    </row>
    <row r="3294" spans="1:9" x14ac:dyDescent="0.25">
      <c r="A3294" s="15">
        <f t="shared" si="291"/>
        <v>45536</v>
      </c>
      <c r="B3294" s="31">
        <f>TIME(13,40,0)</f>
        <v>0.56944444444444442</v>
      </c>
      <c r="C3294" t="str">
        <f>'Inventory as of 12th Aug 2024'!A58</f>
        <v>Safari</v>
      </c>
      <c r="D3294" s="27">
        <v>2</v>
      </c>
      <c r="E3294" s="5">
        <f>Table4[[#This Row],[qty]]*(VLOOKUP(Table4[[#This Row],[item_sold]],Table1[],5,FALSE))</f>
        <v>30</v>
      </c>
      <c r="F3294" s="5">
        <f>(VLOOKUP(Table4[[#This Row],[item_sold]],Table1[],4,FALSE))*Table4[[#This Row],[qty]]</f>
        <v>17</v>
      </c>
      <c r="G3294">
        <f t="shared" si="285"/>
        <v>13</v>
      </c>
      <c r="H3294" t="s">
        <v>430</v>
      </c>
      <c r="I3294" t="s">
        <v>391</v>
      </c>
    </row>
    <row r="3295" spans="1:9" x14ac:dyDescent="0.25">
      <c r="A3295" s="15">
        <f t="shared" si="291"/>
        <v>45536</v>
      </c>
      <c r="B3295" s="31">
        <f>TIME(13,40,0)</f>
        <v>0.56944444444444442</v>
      </c>
      <c r="C3295" t="str">
        <f>'Inventory as of 12th Aug 2024'!A213</f>
        <v>soda 500ml glass</v>
      </c>
      <c r="D3295" s="27">
        <v>1</v>
      </c>
      <c r="E3295" s="5">
        <f>Table4[[#This Row],[qty]]*(VLOOKUP(Table4[[#This Row],[item_sold]],Table1[],5,FALSE))</f>
        <v>55</v>
      </c>
      <c r="F3295" s="5">
        <f>(VLOOKUP(Table4[[#This Row],[item_sold]],Table1[],4,FALSE))*Table4[[#This Row],[qty]]</f>
        <v>50</v>
      </c>
      <c r="G3295">
        <f t="shared" si="285"/>
        <v>5</v>
      </c>
      <c r="H3295" t="s">
        <v>430</v>
      </c>
      <c r="I3295" t="s">
        <v>391</v>
      </c>
    </row>
    <row r="3296" spans="1:9" x14ac:dyDescent="0.25">
      <c r="A3296" s="15">
        <f t="shared" si="291"/>
        <v>45536</v>
      </c>
      <c r="B3296" s="31">
        <f>TIME(13,41,0)</f>
        <v>0.57013888888888886</v>
      </c>
      <c r="C3296" t="str">
        <f>'Inventory as of 12th Aug 2024'!A42</f>
        <v>Indomie chicken</v>
      </c>
      <c r="D3296" s="27">
        <v>1</v>
      </c>
      <c r="E3296" s="5">
        <f>Table4[[#This Row],[qty]]*(VLOOKUP(Table4[[#This Row],[item_sold]],Table1[],5,FALSE))</f>
        <v>50</v>
      </c>
      <c r="F3296" s="5">
        <f>(VLOOKUP(Table4[[#This Row],[item_sold]],Table1[],4,FALSE))*Table4[[#This Row],[qty]]</f>
        <v>37.5</v>
      </c>
      <c r="G3296">
        <f t="shared" si="285"/>
        <v>12.5</v>
      </c>
      <c r="H3296" t="s">
        <v>361</v>
      </c>
    </row>
    <row r="3297" spans="1:9" x14ac:dyDescent="0.25">
      <c r="A3297" s="15">
        <f t="shared" si="291"/>
        <v>45536</v>
      </c>
      <c r="B3297" s="31">
        <f>TIME(13,41,0)</f>
        <v>0.57013888888888886</v>
      </c>
      <c r="C3297" t="str">
        <f>'Inventory as of 12th Aug 2024'!A8</f>
        <v>eggs</v>
      </c>
      <c r="D3297" s="27">
        <v>2</v>
      </c>
      <c r="E3297" s="5">
        <f>Table4[[#This Row],[qty]]*(VLOOKUP(Table4[[#This Row],[item_sold]],Table1[],5,FALSE))</f>
        <v>40</v>
      </c>
      <c r="F3297" s="5">
        <f>(VLOOKUP(Table4[[#This Row],[item_sold]],Table1[],4,FALSE))*Table4[[#This Row],[qty]]</f>
        <v>28.666666666666668</v>
      </c>
      <c r="G3297">
        <f t="shared" si="285"/>
        <v>11.333333333333332</v>
      </c>
      <c r="H3297" t="s">
        <v>361</v>
      </c>
    </row>
    <row r="3298" spans="1:9" x14ac:dyDescent="0.25">
      <c r="A3298" s="15">
        <f t="shared" si="291"/>
        <v>45536</v>
      </c>
      <c r="B3298" s="31">
        <f t="shared" si="294"/>
        <v>0.39861111111111108</v>
      </c>
      <c r="C3298" t="str">
        <f>'Inventory as of 12th Aug 2024'!A213</f>
        <v>soda 500ml glass</v>
      </c>
      <c r="D3298" s="27">
        <v>1</v>
      </c>
      <c r="E3298" s="5">
        <f>Table4[[#This Row],[qty]]*(VLOOKUP(Table4[[#This Row],[item_sold]],Table1[],5,FALSE))</f>
        <v>55</v>
      </c>
      <c r="F3298" s="5">
        <f>(VLOOKUP(Table4[[#This Row],[item_sold]],Table1[],4,FALSE))*Table4[[#This Row],[qty]]</f>
        <v>50</v>
      </c>
      <c r="G3298">
        <f t="shared" si="285"/>
        <v>5</v>
      </c>
      <c r="H3298" t="s">
        <v>247</v>
      </c>
    </row>
    <row r="3299" spans="1:9" x14ac:dyDescent="0.25">
      <c r="A3299" s="15">
        <f t="shared" si="291"/>
        <v>45536</v>
      </c>
      <c r="B3299" s="31">
        <f t="shared" si="294"/>
        <v>0.39861111111111108</v>
      </c>
      <c r="C3299" t="str">
        <f>'Inventory as of 12th Aug 2024'!A7</f>
        <v>Airtel 50 Credit</v>
      </c>
      <c r="D3299" s="27">
        <v>1</v>
      </c>
      <c r="E3299" s="5">
        <f>Table4[[#This Row],[qty]]*(VLOOKUP(Table4[[#This Row],[item_sold]],Table1[],5,FALSE))</f>
        <v>50</v>
      </c>
      <c r="F3299" s="5">
        <f>(VLOOKUP(Table4[[#This Row],[item_sold]],Table1[],4,FALSE))*Table4[[#This Row],[qty]]</f>
        <v>47</v>
      </c>
      <c r="G3299">
        <f t="shared" si="285"/>
        <v>3</v>
      </c>
      <c r="H3299" t="s">
        <v>247</v>
      </c>
    </row>
    <row r="3300" spans="1:9" x14ac:dyDescent="0.25">
      <c r="A3300" s="15">
        <f t="shared" si="291"/>
        <v>45536</v>
      </c>
      <c r="B3300" s="31">
        <f t="shared" si="294"/>
        <v>0.39861111111111108</v>
      </c>
      <c r="C3300" t="str">
        <f>'Inventory as of 12th Aug 2024'!A238</f>
        <v>Tropical</v>
      </c>
      <c r="D3300" s="27">
        <v>1</v>
      </c>
      <c r="E3300" s="5">
        <f>Table4[[#This Row],[qty]]*(VLOOKUP(Table4[[#This Row],[item_sold]],Table1[],5,FALSE))</f>
        <v>5</v>
      </c>
      <c r="F3300" s="5">
        <f>(VLOOKUP(Table4[[#This Row],[item_sold]],Table1[],4,FALSE))*Table4[[#This Row],[qty]]</f>
        <v>1.5</v>
      </c>
      <c r="G3300">
        <f t="shared" si="285"/>
        <v>3.5</v>
      </c>
      <c r="H3300" t="s">
        <v>247</v>
      </c>
    </row>
    <row r="3301" spans="1:9" x14ac:dyDescent="0.25">
      <c r="A3301" s="15">
        <f t="shared" si="291"/>
        <v>45536</v>
      </c>
      <c r="B3301" s="31">
        <f t="shared" si="294"/>
        <v>0.39861111111111108</v>
      </c>
      <c r="C3301" t="str">
        <f>'Inventory as of 12th Aug 2024'!A58</f>
        <v>Safari</v>
      </c>
      <c r="D3301" s="27">
        <v>1</v>
      </c>
      <c r="E3301" s="5">
        <f>Table4[[#This Row],[qty]]*(VLOOKUP(Table4[[#This Row],[item_sold]],Table1[],5,FALSE))</f>
        <v>15</v>
      </c>
      <c r="F3301" s="5">
        <f>(VLOOKUP(Table4[[#This Row],[item_sold]],Table1[],4,FALSE))*Table4[[#This Row],[qty]]</f>
        <v>8.5</v>
      </c>
      <c r="G3301">
        <f t="shared" si="285"/>
        <v>6.5</v>
      </c>
      <c r="H3301" t="s">
        <v>247</v>
      </c>
    </row>
    <row r="3302" spans="1:9" x14ac:dyDescent="0.25">
      <c r="A3302" s="15">
        <f t="shared" si="291"/>
        <v>45536</v>
      </c>
      <c r="B3302" s="31">
        <f t="shared" si="294"/>
        <v>0.39861111111111108</v>
      </c>
      <c r="C3302" t="str">
        <f>'Inventory as of 12th Aug 2024'!A238</f>
        <v>Tropical</v>
      </c>
      <c r="D3302" s="27">
        <v>3</v>
      </c>
      <c r="E3302" s="5">
        <f>Table4[[#This Row],[qty]]*(VLOOKUP(Table4[[#This Row],[item_sold]],Table1[],5,FALSE))</f>
        <v>15</v>
      </c>
      <c r="F3302" s="5">
        <f>(VLOOKUP(Table4[[#This Row],[item_sold]],Table1[],4,FALSE))*Table4[[#This Row],[qty]]</f>
        <v>4.5</v>
      </c>
      <c r="G3302">
        <f t="shared" si="285"/>
        <v>10.5</v>
      </c>
      <c r="H3302" t="s">
        <v>247</v>
      </c>
    </row>
    <row r="3303" spans="1:9" x14ac:dyDescent="0.25">
      <c r="A3303" s="15">
        <f t="shared" si="291"/>
        <v>45536</v>
      </c>
      <c r="B3303" s="31">
        <f t="shared" si="294"/>
        <v>0.39861111111111108</v>
      </c>
      <c r="C3303" t="str">
        <f>'Inventory as of 12th Aug 2024'!A21</f>
        <v>kinangop250g youghurt</v>
      </c>
      <c r="D3303" s="27">
        <v>1</v>
      </c>
      <c r="E3303" s="5">
        <f>Table4[[#This Row],[qty]]*(VLOOKUP(Table4[[#This Row],[item_sold]],Table1[],5,FALSE))</f>
        <v>60</v>
      </c>
      <c r="F3303" s="5">
        <f>(VLOOKUP(Table4[[#This Row],[item_sold]],Table1[],4,FALSE))*Table4[[#This Row],[qty]]</f>
        <v>48.333333333333336</v>
      </c>
      <c r="G3303">
        <f t="shared" si="285"/>
        <v>11.666666666666664</v>
      </c>
      <c r="H3303" t="s">
        <v>430</v>
      </c>
      <c r="I3303" t="s">
        <v>385</v>
      </c>
    </row>
    <row r="3304" spans="1:9" x14ac:dyDescent="0.25">
      <c r="A3304" s="15">
        <f t="shared" si="291"/>
        <v>45536</v>
      </c>
      <c r="B3304" s="31">
        <f t="shared" si="294"/>
        <v>0.39861111111111108</v>
      </c>
      <c r="C3304" t="str">
        <f>'Inventory as of 12th Aug 2024'!A176</f>
        <v>Queen cake</v>
      </c>
      <c r="D3304" s="27">
        <v>1</v>
      </c>
      <c r="E3304" s="5">
        <f>Table4[[#This Row],[qty]]*(VLOOKUP(Table4[[#This Row],[item_sold]],Table1[],5,FALSE))</f>
        <v>10</v>
      </c>
      <c r="F3304" s="5">
        <f>(VLOOKUP(Table4[[#This Row],[item_sold]],Table1[],4,FALSE))*Table4[[#This Row],[qty]]</f>
        <v>8.3333333333333339</v>
      </c>
      <c r="G3304">
        <f t="shared" si="285"/>
        <v>1.6666666666666661</v>
      </c>
      <c r="H3304" t="s">
        <v>430</v>
      </c>
      <c r="I3304" t="s">
        <v>385</v>
      </c>
    </row>
    <row r="3305" spans="1:9" x14ac:dyDescent="0.25">
      <c r="A3305" s="15">
        <f t="shared" si="291"/>
        <v>45536</v>
      </c>
      <c r="B3305" s="31">
        <f t="shared" si="294"/>
        <v>0.39861111111111108</v>
      </c>
      <c r="C3305" t="str">
        <f>'Inventory as of 12th Aug 2024'!A136</f>
        <v>Poa Pekee Tissue</v>
      </c>
      <c r="D3305" s="27">
        <v>1</v>
      </c>
      <c r="E3305" s="5">
        <f>Table4[[#This Row],[qty]]*(VLOOKUP(Table4[[#This Row],[item_sold]],Table1[],5,FALSE))</f>
        <v>30</v>
      </c>
      <c r="F3305" s="5">
        <f>(VLOOKUP(Table4[[#This Row],[item_sold]],Table1[],4,FALSE))*Table4[[#This Row],[qty]]</f>
        <v>13.333333333333334</v>
      </c>
      <c r="G3305">
        <f t="shared" si="285"/>
        <v>16.666666666666664</v>
      </c>
      <c r="H3305" t="s">
        <v>430</v>
      </c>
      <c r="I3305" t="s">
        <v>406</v>
      </c>
    </row>
    <row r="3306" spans="1:9" x14ac:dyDescent="0.25">
      <c r="A3306" s="15">
        <f t="shared" si="291"/>
        <v>45536</v>
      </c>
      <c r="B3306" s="31">
        <f t="shared" si="294"/>
        <v>0.39861111111111108</v>
      </c>
      <c r="C3306" t="str">
        <f>'Inventory as of 12th Aug 2024'!A242</f>
        <v>Icepop</v>
      </c>
      <c r="D3306" s="27">
        <v>3</v>
      </c>
      <c r="E3306" s="5">
        <f>Table4[[#This Row],[qty]]*(VLOOKUP(Table4[[#This Row],[item_sold]],Table1[],5,FALSE))</f>
        <v>45</v>
      </c>
      <c r="F3306" s="5">
        <f>(VLOOKUP(Table4[[#This Row],[item_sold]],Table1[],4,FALSE))*Table4[[#This Row],[qty]]</f>
        <v>22.5</v>
      </c>
      <c r="G3306">
        <f t="shared" ref="G3306:G3369" si="296">E3306-F3306</f>
        <v>22.5</v>
      </c>
      <c r="H3306" t="s">
        <v>361</v>
      </c>
    </row>
    <row r="3307" spans="1:9" x14ac:dyDescent="0.25">
      <c r="A3307" s="15">
        <f t="shared" si="291"/>
        <v>45536</v>
      </c>
      <c r="B3307" s="31">
        <f>TIME(17,18,0)</f>
        <v>0.72083333333333333</v>
      </c>
      <c r="C3307" t="str">
        <f>'Inventory as of 12th Aug 2024'!A50</f>
        <v>Pishori rice</v>
      </c>
      <c r="D3307" s="27">
        <v>0.5</v>
      </c>
      <c r="E3307" s="5">
        <f>Table4[[#This Row],[qty]]*(VLOOKUP(Table4[[#This Row],[item_sold]],Table1[],5,FALSE))</f>
        <v>110</v>
      </c>
      <c r="F3307" s="5">
        <f>(VLOOKUP(Table4[[#This Row],[item_sold]],Table1[],4,FALSE))*Table4[[#This Row],[qty]]</f>
        <v>90</v>
      </c>
      <c r="G3307">
        <f t="shared" si="296"/>
        <v>20</v>
      </c>
      <c r="H3307" t="s">
        <v>430</v>
      </c>
      <c r="I3307" t="s">
        <v>391</v>
      </c>
    </row>
    <row r="3308" spans="1:9" x14ac:dyDescent="0.25">
      <c r="A3308" s="15">
        <f t="shared" si="291"/>
        <v>45536</v>
      </c>
      <c r="B3308" s="31">
        <f t="shared" ref="B3308:B3310" si="297">TIME(17,18,0)</f>
        <v>0.72083333333333333</v>
      </c>
      <c r="C3308" t="str">
        <f>'Inventory as of 12th Aug 2024'!A9</f>
        <v>Kinangop Fresh Milk 500ml</v>
      </c>
      <c r="D3308" s="27">
        <v>1</v>
      </c>
      <c r="E3308" s="5">
        <f>Table4[[#This Row],[qty]]*(VLOOKUP(Table4[[#This Row],[item_sold]],Table1[],5,FALSE))</f>
        <v>60</v>
      </c>
      <c r="F3308" s="5">
        <f>(VLOOKUP(Table4[[#This Row],[item_sold]],Table1[],4,FALSE))*Table4[[#This Row],[qty]]</f>
        <v>55</v>
      </c>
      <c r="G3308">
        <f t="shared" si="296"/>
        <v>5</v>
      </c>
      <c r="H3308" t="s">
        <v>430</v>
      </c>
      <c r="I3308" t="s">
        <v>391</v>
      </c>
    </row>
    <row r="3309" spans="1:9" x14ac:dyDescent="0.25">
      <c r="A3309" s="15">
        <f t="shared" si="291"/>
        <v>45536</v>
      </c>
      <c r="B3309" s="31">
        <f t="shared" si="297"/>
        <v>0.72083333333333333</v>
      </c>
      <c r="C3309" t="str">
        <f>'Inventory as of 12th Aug 2024'!A107</f>
        <v>Match Box</v>
      </c>
      <c r="D3309" s="27">
        <v>1</v>
      </c>
      <c r="E3309" s="5">
        <f>Table4[[#This Row],[qty]]*(VLOOKUP(Table4[[#This Row],[item_sold]],Table1[],5,FALSE))</f>
        <v>5</v>
      </c>
      <c r="F3309" s="5">
        <f>(VLOOKUP(Table4[[#This Row],[item_sold]],Table1[],4,FALSE))*Table4[[#This Row],[qty]]</f>
        <v>2.3611111111111112</v>
      </c>
      <c r="G3309">
        <f t="shared" si="296"/>
        <v>2.6388888888888888</v>
      </c>
      <c r="H3309" t="s">
        <v>430</v>
      </c>
      <c r="I3309" t="s">
        <v>391</v>
      </c>
    </row>
    <row r="3310" spans="1:9" x14ac:dyDescent="0.25">
      <c r="A3310" s="15">
        <f t="shared" si="291"/>
        <v>45536</v>
      </c>
      <c r="B3310" s="31">
        <f t="shared" si="297"/>
        <v>0.72083333333333333</v>
      </c>
      <c r="C3310" t="str">
        <f>'Inventory as of 12th Aug 2024'!A58</f>
        <v>Safari</v>
      </c>
      <c r="D3310" s="27">
        <v>3</v>
      </c>
      <c r="E3310" s="5">
        <f>Table4[[#This Row],[qty]]*(VLOOKUP(Table4[[#This Row],[item_sold]],Table1[],5,FALSE))</f>
        <v>45</v>
      </c>
      <c r="F3310" s="5">
        <f>(VLOOKUP(Table4[[#This Row],[item_sold]],Table1[],4,FALSE))*Table4[[#This Row],[qty]]</f>
        <v>25.5</v>
      </c>
      <c r="G3310">
        <f t="shared" si="296"/>
        <v>19.5</v>
      </c>
      <c r="H3310" t="s">
        <v>430</v>
      </c>
      <c r="I3310" t="s">
        <v>391</v>
      </c>
    </row>
    <row r="3311" spans="1:9" x14ac:dyDescent="0.25">
      <c r="A3311" s="15">
        <f t="shared" si="291"/>
        <v>45536</v>
      </c>
      <c r="B3311" s="31">
        <f>TIME(17,27,0)</f>
        <v>0.7270833333333333</v>
      </c>
      <c r="C3311" t="str">
        <f>'Inventory as of 12th Aug 2024'!A231</f>
        <v>Patco</v>
      </c>
      <c r="D3311" s="27">
        <v>4</v>
      </c>
      <c r="E3311" s="5">
        <f>Table4[[#This Row],[qty]]*(VLOOKUP(Table4[[#This Row],[item_sold]],Table1[],5,FALSE))</f>
        <v>10</v>
      </c>
      <c r="F3311" s="5">
        <f>(VLOOKUP(Table4[[#This Row],[item_sold]],Table1[],4,FALSE))*Table4[[#This Row],[qty]]</f>
        <v>4.8</v>
      </c>
      <c r="G3311">
        <f t="shared" si="296"/>
        <v>5.2</v>
      </c>
      <c r="H3311" t="s">
        <v>247</v>
      </c>
    </row>
    <row r="3312" spans="1:9" x14ac:dyDescent="0.25">
      <c r="A3312" s="15">
        <f t="shared" si="291"/>
        <v>45536</v>
      </c>
      <c r="B3312" s="31">
        <f>TIME(17,27,0)</f>
        <v>0.7270833333333333</v>
      </c>
      <c r="C3312" t="str">
        <f>'Inventory as of 12th Aug 2024'!A240</f>
        <v>Bigboss</v>
      </c>
      <c r="D3312" s="27">
        <v>2</v>
      </c>
      <c r="E3312" s="5">
        <f>Table4[[#This Row],[qty]]*(VLOOKUP(Table4[[#This Row],[item_sold]],Table1[],5,FALSE))</f>
        <v>10</v>
      </c>
      <c r="F3312" s="5">
        <f>(VLOOKUP(Table4[[#This Row],[item_sold]],Table1[],4,FALSE))*Table4[[#This Row],[qty]]</f>
        <v>7</v>
      </c>
      <c r="G3312">
        <f t="shared" si="296"/>
        <v>3</v>
      </c>
      <c r="H3312" t="s">
        <v>247</v>
      </c>
    </row>
    <row r="3313" spans="1:12" x14ac:dyDescent="0.25">
      <c r="A3313" s="15">
        <f t="shared" si="291"/>
        <v>45536</v>
      </c>
      <c r="B3313" s="31">
        <f>TIME(18,22,0)</f>
        <v>0.76527777777777783</v>
      </c>
      <c r="C3313" t="str">
        <f>'Inventory as of 12th Aug 2024'!A7</f>
        <v>Airtel 50 Credit</v>
      </c>
      <c r="D3313" s="27">
        <v>1</v>
      </c>
      <c r="E3313" s="5">
        <f>Table4[[#This Row],[qty]]*(VLOOKUP(Table4[[#This Row],[item_sold]],Table1[],5,FALSE))</f>
        <v>50</v>
      </c>
      <c r="F3313" s="5">
        <f>(VLOOKUP(Table4[[#This Row],[item_sold]],Table1[],4,FALSE))*Table4[[#This Row],[qty]]</f>
        <v>47</v>
      </c>
      <c r="G3313">
        <f t="shared" si="296"/>
        <v>3</v>
      </c>
      <c r="H3313" t="s">
        <v>247</v>
      </c>
    </row>
    <row r="3314" spans="1:12" x14ac:dyDescent="0.25">
      <c r="A3314" s="15">
        <f t="shared" si="291"/>
        <v>45536</v>
      </c>
      <c r="B3314" s="31">
        <f>TIME(18,27,0)</f>
        <v>0.76874999999999993</v>
      </c>
      <c r="C3314" t="str">
        <f>'Inventory as of 12th Aug 2024'!A244</f>
        <v>5ltrs water</v>
      </c>
      <c r="D3314" s="27">
        <v>1</v>
      </c>
      <c r="E3314" s="5">
        <f>Table4[[#This Row],[qty]]*(VLOOKUP(Table4[[#This Row],[item_sold]],Table1[],5,FALSE))</f>
        <v>120</v>
      </c>
      <c r="F3314" s="5">
        <f>(VLOOKUP(Table4[[#This Row],[item_sold]],Table1[],4,FALSE))*Table4[[#This Row],[qty]]</f>
        <v>75</v>
      </c>
      <c r="G3314">
        <f t="shared" si="296"/>
        <v>45</v>
      </c>
      <c r="H3314" t="s">
        <v>430</v>
      </c>
      <c r="I3314" t="s">
        <v>392</v>
      </c>
    </row>
    <row r="3315" spans="1:12" x14ac:dyDescent="0.25">
      <c r="A3315" s="15">
        <f t="shared" si="291"/>
        <v>45536</v>
      </c>
      <c r="B3315" s="31">
        <f>TIME(18,30,0)</f>
        <v>0.77083333333333337</v>
      </c>
      <c r="C3315" t="str">
        <f>'Inventory as of 12th Aug 2024'!A58</f>
        <v>Safari</v>
      </c>
      <c r="D3315" s="27">
        <v>6</v>
      </c>
      <c r="E3315" s="5">
        <f>Table4[[#This Row],[qty]]*(VLOOKUP(Table4[[#This Row],[item_sold]],Table1[],5,FALSE))</f>
        <v>90</v>
      </c>
      <c r="F3315" s="5">
        <f>(VLOOKUP(Table4[[#This Row],[item_sold]],Table1[],4,FALSE))*Table4[[#This Row],[qty]]</f>
        <v>51</v>
      </c>
      <c r="G3315">
        <f t="shared" si="296"/>
        <v>39</v>
      </c>
      <c r="H3315" t="s">
        <v>247</v>
      </c>
    </row>
    <row r="3316" spans="1:12" x14ac:dyDescent="0.25">
      <c r="A3316" s="15">
        <f t="shared" si="291"/>
        <v>45536</v>
      </c>
      <c r="B3316" s="31">
        <f>TIME(18,30,0)</f>
        <v>0.77083333333333337</v>
      </c>
      <c r="C3316" t="str">
        <f>'Inventory as of 12th Aug 2024'!A238</f>
        <v>Tropical</v>
      </c>
      <c r="D3316" s="27">
        <v>2</v>
      </c>
      <c r="E3316" s="5">
        <f>Table4[[#This Row],[qty]]*(VLOOKUP(Table4[[#This Row],[item_sold]],Table1[],5,FALSE))</f>
        <v>10</v>
      </c>
      <c r="F3316" s="5">
        <f>(VLOOKUP(Table4[[#This Row],[item_sold]],Table1[],4,FALSE))*Table4[[#This Row],[qty]]</f>
        <v>3</v>
      </c>
      <c r="G3316">
        <f t="shared" si="296"/>
        <v>7</v>
      </c>
      <c r="H3316" t="s">
        <v>247</v>
      </c>
    </row>
    <row r="3317" spans="1:12" x14ac:dyDescent="0.25">
      <c r="A3317" s="15">
        <f t="shared" si="291"/>
        <v>45536</v>
      </c>
      <c r="B3317" s="31">
        <f>TIME(18,33,0)</f>
        <v>0.7729166666666667</v>
      </c>
      <c r="C3317" t="str">
        <f>'Inventory as of 12th Aug 2024'!A219</f>
        <v>candle</v>
      </c>
      <c r="D3317" s="27">
        <v>3</v>
      </c>
      <c r="E3317" s="5">
        <f>Table4[[#This Row],[qty]]*(VLOOKUP(Table4[[#This Row],[item_sold]],Table1[],5,FALSE))</f>
        <v>45</v>
      </c>
      <c r="F3317" s="5">
        <f>(VLOOKUP(Table4[[#This Row],[item_sold]],Table1[],4,FALSE))*Table4[[#This Row],[qty]]</f>
        <v>28.125</v>
      </c>
      <c r="G3317">
        <f t="shared" si="296"/>
        <v>16.875</v>
      </c>
      <c r="H3317" t="s">
        <v>361</v>
      </c>
    </row>
    <row r="3318" spans="1:12" x14ac:dyDescent="0.25">
      <c r="A3318" s="15">
        <f t="shared" si="291"/>
        <v>45536</v>
      </c>
      <c r="B3318" s="31">
        <f>TIME(18,50,0)</f>
        <v>0.78472222222222221</v>
      </c>
      <c r="C3318" t="str">
        <f>'Inventory as of 12th Aug 2024'!A90</f>
        <v>Onion</v>
      </c>
      <c r="D3318" s="27">
        <v>1</v>
      </c>
      <c r="E3318" s="5">
        <f>Table4[[#This Row],[qty]]*(VLOOKUP(Table4[[#This Row],[item_sold]],Table1[],5,FALSE))</f>
        <v>10</v>
      </c>
      <c r="F3318" s="5">
        <f>(VLOOKUP(Table4[[#This Row],[item_sold]],Table1[],4,FALSE))*Table4[[#This Row],[qty]]</f>
        <v>8</v>
      </c>
      <c r="G3318">
        <f t="shared" si="296"/>
        <v>2</v>
      </c>
      <c r="H3318" t="s">
        <v>361</v>
      </c>
      <c r="J3318" t="s">
        <v>394</v>
      </c>
      <c r="K3318">
        <v>5</v>
      </c>
      <c r="L3318" t="s">
        <v>361</v>
      </c>
    </row>
    <row r="3319" spans="1:12" x14ac:dyDescent="0.25">
      <c r="A3319" s="15">
        <f t="shared" si="291"/>
        <v>45536</v>
      </c>
      <c r="B3319" s="31">
        <f>TIME(19,6,0)</f>
        <v>0.79583333333333339</v>
      </c>
      <c r="C3319" t="str">
        <f>'Inventory as of 12th Aug 2024'!A219</f>
        <v>candle</v>
      </c>
      <c r="D3319" s="27">
        <v>2</v>
      </c>
      <c r="E3319" s="5">
        <f>Table4[[#This Row],[qty]]*(VLOOKUP(Table4[[#This Row],[item_sold]],Table1[],5,FALSE))</f>
        <v>30</v>
      </c>
      <c r="F3319" s="5">
        <f>(VLOOKUP(Table4[[#This Row],[item_sold]],Table1[],4,FALSE))*Table4[[#This Row],[qty]]</f>
        <v>18.75</v>
      </c>
      <c r="G3319">
        <f t="shared" si="296"/>
        <v>11.25</v>
      </c>
      <c r="H3319" t="s">
        <v>247</v>
      </c>
    </row>
    <row r="3320" spans="1:12" x14ac:dyDescent="0.25">
      <c r="A3320" s="15">
        <f t="shared" si="291"/>
        <v>45536</v>
      </c>
      <c r="B3320" s="31">
        <f>TIME(19,18,0)</f>
        <v>0.8041666666666667</v>
      </c>
      <c r="C3320" t="str">
        <f>'Inventory as of 12th Aug 2024'!A219</f>
        <v>candle</v>
      </c>
      <c r="D3320" s="27">
        <v>2</v>
      </c>
      <c r="E3320" s="5">
        <f>Table4[[#This Row],[qty]]*(VLOOKUP(Table4[[#This Row],[item_sold]],Table1[],5,FALSE))</f>
        <v>30</v>
      </c>
      <c r="F3320" s="5">
        <f>(VLOOKUP(Table4[[#This Row],[item_sold]],Table1[],4,FALSE))*Table4[[#This Row],[qty]]</f>
        <v>18.75</v>
      </c>
      <c r="G3320">
        <f t="shared" si="296"/>
        <v>11.25</v>
      </c>
      <c r="H3320" t="s">
        <v>247</v>
      </c>
    </row>
    <row r="3321" spans="1:12" x14ac:dyDescent="0.25">
      <c r="A3321" s="15">
        <f t="shared" si="291"/>
        <v>45536</v>
      </c>
      <c r="B3321" s="31">
        <f t="shared" ref="B3321" si="298">TIME(19,18,0)</f>
        <v>0.8041666666666667</v>
      </c>
      <c r="C3321" t="str">
        <f>'Inventory as of 12th Aug 2024'!A90</f>
        <v>Onion</v>
      </c>
      <c r="D3321" s="27">
        <v>4</v>
      </c>
      <c r="E3321" s="5">
        <f>Table4[[#This Row],[qty]]*(VLOOKUP(Table4[[#This Row],[item_sold]],Table1[],5,FALSE))</f>
        <v>40</v>
      </c>
      <c r="F3321" s="5">
        <f>(VLOOKUP(Table4[[#This Row],[item_sold]],Table1[],4,FALSE))*Table4[[#This Row],[qty]]</f>
        <v>32</v>
      </c>
      <c r="G3321">
        <f t="shared" si="296"/>
        <v>8</v>
      </c>
      <c r="H3321" t="s">
        <v>247</v>
      </c>
    </row>
    <row r="3322" spans="1:12" x14ac:dyDescent="0.25">
      <c r="A3322" s="15">
        <f t="shared" si="291"/>
        <v>45536</v>
      </c>
      <c r="B3322" s="31">
        <f>TIME(19,19,0)</f>
        <v>0.80486111111111114</v>
      </c>
      <c r="C3322" t="str">
        <f>'Inventory as of 12th Aug 2024'!A33</f>
        <v>BB Bread 400g</v>
      </c>
      <c r="D3322" s="27">
        <v>2</v>
      </c>
      <c r="E3322" s="5">
        <f>Table4[[#This Row],[qty]]*(VLOOKUP(Table4[[#This Row],[item_sold]],Table1[],5,FALSE))</f>
        <v>130</v>
      </c>
      <c r="F3322" s="5">
        <f>(VLOOKUP(Table4[[#This Row],[item_sold]],Table1[],4,FALSE))*Table4[[#This Row],[qty]]</f>
        <v>120</v>
      </c>
      <c r="G3322">
        <f t="shared" si="296"/>
        <v>10</v>
      </c>
      <c r="H3322" t="s">
        <v>361</v>
      </c>
    </row>
    <row r="3323" spans="1:12" x14ac:dyDescent="0.25">
      <c r="A3323" s="15">
        <f t="shared" si="291"/>
        <v>45536</v>
      </c>
      <c r="B3323" s="31">
        <f>TIME(19,19,0)</f>
        <v>0.80486111111111114</v>
      </c>
      <c r="C3323" t="str">
        <f>'Inventory as of 12th Aug 2024'!A68</f>
        <v>Royco cubes</v>
      </c>
      <c r="D3323" s="27">
        <v>2</v>
      </c>
      <c r="E3323" s="5">
        <f>Table4[[#This Row],[qty]]*(VLOOKUP(Table4[[#This Row],[item_sold]],Table1[],5,FALSE))</f>
        <v>10</v>
      </c>
      <c r="F3323" s="5">
        <f>(VLOOKUP(Table4[[#This Row],[item_sold]],Table1[],4,FALSE))*Table4[[#This Row],[qty]]</f>
        <v>6</v>
      </c>
      <c r="G3323">
        <f t="shared" si="296"/>
        <v>4</v>
      </c>
      <c r="H3323" t="s">
        <v>361</v>
      </c>
    </row>
    <row r="3324" spans="1:12" x14ac:dyDescent="0.25">
      <c r="A3324" s="15">
        <f t="shared" si="291"/>
        <v>45536</v>
      </c>
      <c r="B3324" s="31">
        <f>TIME(19,18,0)</f>
        <v>0.8041666666666667</v>
      </c>
      <c r="C3324" t="str">
        <f>'Inventory as of 12th Aug 2024'!A9</f>
        <v>Kinangop Fresh Milk 500ml</v>
      </c>
      <c r="D3324" s="27">
        <v>1</v>
      </c>
      <c r="E3324" s="5">
        <f>Table4[[#This Row],[qty]]*(VLOOKUP(Table4[[#This Row],[item_sold]],Table1[],5,FALSE))</f>
        <v>60</v>
      </c>
      <c r="F3324" s="5">
        <f>(VLOOKUP(Table4[[#This Row],[item_sold]],Table1[],4,FALSE))*Table4[[#This Row],[qty]]</f>
        <v>55</v>
      </c>
      <c r="G3324">
        <f t="shared" si="296"/>
        <v>5</v>
      </c>
      <c r="H3324" t="s">
        <v>430</v>
      </c>
      <c r="I3324" t="s">
        <v>385</v>
      </c>
    </row>
    <row r="3325" spans="1:12" x14ac:dyDescent="0.25">
      <c r="A3325" s="15">
        <f t="shared" si="291"/>
        <v>45536</v>
      </c>
      <c r="B3325" s="31">
        <f>TIME(19,18,0)</f>
        <v>0.8041666666666667</v>
      </c>
      <c r="C3325" t="str">
        <f>'Inventory as of 12th Aug 2024'!A33</f>
        <v>BB Bread 400g</v>
      </c>
      <c r="D3325" s="27">
        <v>1</v>
      </c>
      <c r="E3325" s="5">
        <f>Table4[[#This Row],[qty]]*(VLOOKUP(Table4[[#This Row],[item_sold]],Table1[],5,FALSE))</f>
        <v>65</v>
      </c>
      <c r="F3325" s="5">
        <f>(VLOOKUP(Table4[[#This Row],[item_sold]],Table1[],4,FALSE))*Table4[[#This Row],[qty]]</f>
        <v>60</v>
      </c>
      <c r="G3325">
        <f t="shared" si="296"/>
        <v>5</v>
      </c>
      <c r="H3325" t="s">
        <v>430</v>
      </c>
      <c r="I3325" t="s">
        <v>385</v>
      </c>
    </row>
    <row r="3326" spans="1:12" x14ac:dyDescent="0.25">
      <c r="A3326" s="15">
        <f t="shared" si="291"/>
        <v>45536</v>
      </c>
      <c r="B3326" s="31">
        <f>TIME(19,30,0)</f>
        <v>0.8125</v>
      </c>
      <c r="C3326" t="str">
        <f>'Inventory as of 12th Aug 2024'!A47</f>
        <v>Pembe 2kg</v>
      </c>
      <c r="D3326" s="27">
        <v>1</v>
      </c>
      <c r="E3326" s="5">
        <f>Table4[[#This Row],[qty]]*(VLOOKUP(Table4[[#This Row],[item_sold]],Table1[],5,FALSE))</f>
        <v>160</v>
      </c>
      <c r="F3326" s="5">
        <f>(VLOOKUP(Table4[[#This Row],[item_sold]],Table1[],4,FALSE))*Table4[[#This Row],[qty]]</f>
        <v>123.33333333333333</v>
      </c>
      <c r="G3326">
        <f t="shared" si="296"/>
        <v>36.666666666666671</v>
      </c>
      <c r="H3326" t="s">
        <v>361</v>
      </c>
    </row>
    <row r="3327" spans="1:12" x14ac:dyDescent="0.25">
      <c r="A3327" s="15">
        <f t="shared" si="291"/>
        <v>45536</v>
      </c>
      <c r="B3327" s="31">
        <f t="shared" ref="B3327:B3331" si="299">TIME(19,30,0)</f>
        <v>0.8125</v>
      </c>
      <c r="C3327" t="str">
        <f>'Inventory as of 12th Aug 2024'!A51</f>
        <v>Sindano rice</v>
      </c>
      <c r="D3327" s="27">
        <v>1</v>
      </c>
      <c r="E3327" s="5">
        <f>Table4[[#This Row],[qty]]*(VLOOKUP(Table4[[#This Row],[item_sold]],Table1[],5,FALSE))</f>
        <v>150</v>
      </c>
      <c r="F3327" s="5">
        <f>(VLOOKUP(Table4[[#This Row],[item_sold]],Table1[],4,FALSE))*Table4[[#This Row],[qty]]</f>
        <v>120</v>
      </c>
      <c r="G3327">
        <f t="shared" si="296"/>
        <v>30</v>
      </c>
      <c r="H3327" t="s">
        <v>361</v>
      </c>
    </row>
    <row r="3328" spans="1:12" x14ac:dyDescent="0.25">
      <c r="A3328" s="15">
        <f t="shared" si="291"/>
        <v>45536</v>
      </c>
      <c r="B3328" s="31">
        <f t="shared" si="299"/>
        <v>0.8125</v>
      </c>
      <c r="C3328" t="str">
        <f>'Inventory as of 12th Aug 2024'!A90</f>
        <v>Onion</v>
      </c>
      <c r="D3328" s="27">
        <v>1</v>
      </c>
      <c r="E3328" s="5">
        <f>Table4[[#This Row],[qty]]*(VLOOKUP(Table4[[#This Row],[item_sold]],Table1[],5,FALSE))</f>
        <v>10</v>
      </c>
      <c r="F3328" s="5">
        <f>(VLOOKUP(Table4[[#This Row],[item_sold]],Table1[],4,FALSE))*Table4[[#This Row],[qty]]</f>
        <v>8</v>
      </c>
      <c r="G3328">
        <f t="shared" si="296"/>
        <v>2</v>
      </c>
      <c r="H3328" t="s">
        <v>361</v>
      </c>
    </row>
    <row r="3329" spans="1:12" x14ac:dyDescent="0.25">
      <c r="A3329" s="15">
        <f t="shared" si="291"/>
        <v>45536</v>
      </c>
      <c r="B3329" s="31">
        <f t="shared" si="299"/>
        <v>0.8125</v>
      </c>
      <c r="C3329" t="str">
        <f>'Inventory as of 12th Aug 2024'!A91</f>
        <v>Tomatoes</v>
      </c>
      <c r="D3329" s="27">
        <v>1</v>
      </c>
      <c r="E3329" s="5">
        <f>Table4[[#This Row],[qty]]*(VLOOKUP(Table4[[#This Row],[item_sold]],Table1[],5,FALSE))</f>
        <v>10</v>
      </c>
      <c r="F3329" s="5">
        <f>(VLOOKUP(Table4[[#This Row],[item_sold]],Table1[],4,FALSE))*Table4[[#This Row],[qty]]</f>
        <v>5</v>
      </c>
      <c r="G3329">
        <f t="shared" si="296"/>
        <v>5</v>
      </c>
      <c r="H3329" t="s">
        <v>361</v>
      </c>
    </row>
    <row r="3330" spans="1:12" x14ac:dyDescent="0.25">
      <c r="A3330" s="15">
        <f t="shared" ref="A3330:A3335" si="300">DATE(2024,9,1)</f>
        <v>45536</v>
      </c>
      <c r="B3330" s="31">
        <f t="shared" si="299"/>
        <v>0.8125</v>
      </c>
      <c r="C3330" t="str">
        <f>'Inventory as of 12th Aug 2024'!A58</f>
        <v>Safari</v>
      </c>
      <c r="D3330" s="27">
        <v>1</v>
      </c>
      <c r="E3330" s="5">
        <f>Table4[[#This Row],[qty]]*(VLOOKUP(Table4[[#This Row],[item_sold]],Table1[],5,FALSE))</f>
        <v>15</v>
      </c>
      <c r="F3330" s="5">
        <f>(VLOOKUP(Table4[[#This Row],[item_sold]],Table1[],4,FALSE))*Table4[[#This Row],[qty]]</f>
        <v>8.5</v>
      </c>
      <c r="G3330">
        <f t="shared" si="296"/>
        <v>6.5</v>
      </c>
      <c r="H3330" t="s">
        <v>361</v>
      </c>
    </row>
    <row r="3331" spans="1:12" x14ac:dyDescent="0.25">
      <c r="A3331" s="15">
        <f t="shared" si="300"/>
        <v>45536</v>
      </c>
      <c r="B3331" s="31">
        <f t="shared" si="299"/>
        <v>0.8125</v>
      </c>
      <c r="C3331" t="str">
        <f>'Inventory as of 12th Aug 2024'!A200</f>
        <v>Ngumu</v>
      </c>
      <c r="D3331" s="27">
        <v>1</v>
      </c>
      <c r="E3331" s="5">
        <f>Table4[[#This Row],[qty]]*(VLOOKUP(Table4[[#This Row],[item_sold]],Table1[],5,FALSE))</f>
        <v>10</v>
      </c>
      <c r="F3331" s="5">
        <f>(VLOOKUP(Table4[[#This Row],[item_sold]],Table1[],4,FALSE))*Table4[[#This Row],[qty]]</f>
        <v>8.3333333333333339</v>
      </c>
      <c r="G3331">
        <f t="shared" si="296"/>
        <v>1.6666666666666661</v>
      </c>
      <c r="H3331" t="s">
        <v>361</v>
      </c>
    </row>
    <row r="3332" spans="1:12" x14ac:dyDescent="0.25">
      <c r="A3332" s="15">
        <f t="shared" si="300"/>
        <v>45536</v>
      </c>
      <c r="B3332" s="31">
        <f>TIME(19,40,0)</f>
        <v>0.81944444444444453</v>
      </c>
      <c r="C3332" t="str">
        <f>'Inventory as of 12th Aug 2024'!A207</f>
        <v>soda 350ml plastic</v>
      </c>
      <c r="D3332" s="27">
        <v>1</v>
      </c>
      <c r="E3332" s="5">
        <f>Table4[[#This Row],[qty]]*(VLOOKUP(Table4[[#This Row],[item_sold]],Table1[],5,FALSE))</f>
        <v>50</v>
      </c>
      <c r="F3332" s="5">
        <f>(VLOOKUP(Table4[[#This Row],[item_sold]],Table1[],4,FALSE))*Table4[[#This Row],[qty]]</f>
        <v>41.666666666666664</v>
      </c>
      <c r="G3332">
        <f t="shared" si="296"/>
        <v>8.3333333333333357</v>
      </c>
      <c r="H3332" t="s">
        <v>247</v>
      </c>
    </row>
    <row r="3333" spans="1:12" x14ac:dyDescent="0.25">
      <c r="A3333" s="15">
        <f t="shared" si="300"/>
        <v>45536</v>
      </c>
      <c r="B3333" s="31">
        <f>TIME(19,59,0)</f>
        <v>0.83263888888888893</v>
      </c>
      <c r="C3333" t="str">
        <f>'Inventory as of 12th Aug 2024'!A37</f>
        <v>Festive Bread 400g</v>
      </c>
      <c r="D3333" s="27">
        <v>1</v>
      </c>
      <c r="E3333" s="5">
        <f>Table4[[#This Row],[qty]]*(VLOOKUP(Table4[[#This Row],[item_sold]],Table1[],5,FALSE))</f>
        <v>65</v>
      </c>
      <c r="F3333" s="5">
        <f>(VLOOKUP(Table4[[#This Row],[item_sold]],Table1[],4,FALSE))*Table4[[#This Row],[qty]]</f>
        <v>60</v>
      </c>
      <c r="G3333">
        <f t="shared" si="296"/>
        <v>5</v>
      </c>
      <c r="H3333" t="s">
        <v>361</v>
      </c>
    </row>
    <row r="3334" spans="1:12" x14ac:dyDescent="0.25">
      <c r="A3334" s="15">
        <f t="shared" si="300"/>
        <v>45536</v>
      </c>
      <c r="B3334" s="31">
        <f>TIME(11,22,0)</f>
        <v>0.47361111111111115</v>
      </c>
      <c r="C3334" t="str">
        <f>'Inventory as of 12th Aug 2024'!A187</f>
        <v>Njugu</v>
      </c>
      <c r="D3334" s="27">
        <v>1</v>
      </c>
      <c r="E3334" s="5">
        <f>Table4[[#This Row],[qty]]*(VLOOKUP(Table4[[#This Row],[item_sold]],Table1[],5,FALSE))</f>
        <v>20</v>
      </c>
      <c r="F3334" s="5">
        <f>(VLOOKUP(Table4[[#This Row],[item_sold]],Table1[],4,FALSE))*Table4[[#This Row],[qty]]</f>
        <v>10.666666666666666</v>
      </c>
      <c r="G3334">
        <f t="shared" si="296"/>
        <v>9.3333333333333339</v>
      </c>
      <c r="H3334" t="s">
        <v>361</v>
      </c>
    </row>
    <row r="3335" spans="1:12" x14ac:dyDescent="0.25">
      <c r="A3335" s="15">
        <f t="shared" si="300"/>
        <v>45536</v>
      </c>
      <c r="B3335" s="31">
        <f>TIME(13,40,0)</f>
        <v>0.56944444444444442</v>
      </c>
      <c r="C3335" t="str">
        <f>'Inventory as of 12th Aug 2024'!A176</f>
        <v>Queen cake</v>
      </c>
      <c r="D3335" s="27">
        <v>6</v>
      </c>
      <c r="E3335" s="5">
        <f>Table4[[#This Row],[qty]]*(VLOOKUP(Table4[[#This Row],[item_sold]],Table1[],5,FALSE))</f>
        <v>60</v>
      </c>
      <c r="F3335" s="5">
        <f>(VLOOKUP(Table4[[#This Row],[item_sold]],Table1[],4,FALSE))*Table4[[#This Row],[qty]]</f>
        <v>50</v>
      </c>
      <c r="G3335">
        <f t="shared" si="296"/>
        <v>10</v>
      </c>
      <c r="H3335" t="s">
        <v>430</v>
      </c>
      <c r="I3335" t="s">
        <v>391</v>
      </c>
    </row>
    <row r="3336" spans="1:12" x14ac:dyDescent="0.25">
      <c r="A3336" s="15">
        <f>DATE(2024,9,2)</f>
        <v>45537</v>
      </c>
      <c r="B3336" s="31">
        <f>TIME(7,30,0)</f>
        <v>0.3125</v>
      </c>
      <c r="C3336" t="str">
        <f>'Inventory as of 12th Aug 2024'!A58</f>
        <v>Safari</v>
      </c>
      <c r="D3336" s="27">
        <v>1</v>
      </c>
      <c r="E3336" s="5">
        <f>Table4[[#This Row],[qty]]*(VLOOKUP(Table4[[#This Row],[item_sold]],Table1[],5,FALSE))</f>
        <v>15</v>
      </c>
      <c r="F3336" s="5">
        <f>(VLOOKUP(Table4[[#This Row],[item_sold]],Table1[],4,FALSE))*Table4[[#This Row],[qty]]</f>
        <v>8.5</v>
      </c>
      <c r="G3336">
        <f t="shared" si="296"/>
        <v>6.5</v>
      </c>
      <c r="H3336" t="s">
        <v>361</v>
      </c>
      <c r="J3336" t="s">
        <v>447</v>
      </c>
      <c r="K3336">
        <v>5</v>
      </c>
      <c r="L3336" t="s">
        <v>361</v>
      </c>
    </row>
    <row r="3337" spans="1:12" x14ac:dyDescent="0.25">
      <c r="A3337" s="15">
        <f t="shared" ref="A3337:A3400" si="301">DATE(2024,9,2)</f>
        <v>45537</v>
      </c>
      <c r="B3337" s="31">
        <f>TIME(8,12,0)</f>
        <v>0.34166666666666662</v>
      </c>
      <c r="C3337" t="str">
        <f>'Inventory as of 12th Aug 2024'!A16</f>
        <v>Mt kenya milk 500ml</v>
      </c>
      <c r="D3337" s="27">
        <v>2</v>
      </c>
      <c r="E3337" s="5">
        <f>Table4[[#This Row],[qty]]*(VLOOKUP(Table4[[#This Row],[item_sold]],Table1[],5,FALSE))</f>
        <v>130</v>
      </c>
      <c r="F3337" s="5">
        <f>(VLOOKUP(Table4[[#This Row],[item_sold]],Table1[],4,FALSE))*Table4[[#This Row],[qty]]</f>
        <v>96.666666666666671</v>
      </c>
      <c r="G3337">
        <f t="shared" si="296"/>
        <v>33.333333333333329</v>
      </c>
      <c r="H3337" t="s">
        <v>430</v>
      </c>
      <c r="I3337" t="s">
        <v>389</v>
      </c>
    </row>
    <row r="3338" spans="1:12" x14ac:dyDescent="0.25">
      <c r="A3338" s="15">
        <f t="shared" si="301"/>
        <v>45537</v>
      </c>
      <c r="B3338" s="31">
        <f t="shared" ref="B3338:B3339" si="302">TIME(8,12,0)</f>
        <v>0.34166666666666662</v>
      </c>
      <c r="C3338" t="str">
        <f>'Inventory as of 12th Aug 2024'!A8</f>
        <v>eggs</v>
      </c>
      <c r="D3338" s="27">
        <v>1</v>
      </c>
      <c r="E3338" s="5">
        <f>Table4[[#This Row],[qty]]*(VLOOKUP(Table4[[#This Row],[item_sold]],Table1[],5,FALSE))</f>
        <v>20</v>
      </c>
      <c r="F3338" s="5">
        <f>(VLOOKUP(Table4[[#This Row],[item_sold]],Table1[],4,FALSE))*Table4[[#This Row],[qty]]</f>
        <v>14.333333333333334</v>
      </c>
      <c r="G3338">
        <f t="shared" si="296"/>
        <v>5.6666666666666661</v>
      </c>
      <c r="H3338" t="s">
        <v>430</v>
      </c>
      <c r="I3338" t="s">
        <v>417</v>
      </c>
    </row>
    <row r="3339" spans="1:12" x14ac:dyDescent="0.25">
      <c r="A3339" s="15">
        <f t="shared" si="301"/>
        <v>45537</v>
      </c>
      <c r="B3339" s="31">
        <f t="shared" si="302"/>
        <v>0.34166666666666662</v>
      </c>
      <c r="C3339" t="str">
        <f>'Inventory as of 12th Aug 2024'!A12</f>
        <v>Kienyeji  Eggs</v>
      </c>
      <c r="D3339" s="27">
        <v>2</v>
      </c>
      <c r="E3339" s="5">
        <f>Table4[[#This Row],[qty]]*(VLOOKUP(Table4[[#This Row],[item_sold]],Table1[],5,FALSE))</f>
        <v>60</v>
      </c>
      <c r="F3339" s="5">
        <f>(VLOOKUP(Table4[[#This Row],[item_sold]],Table1[],4,FALSE))*Table4[[#This Row],[qty]]</f>
        <v>40</v>
      </c>
      <c r="G3339">
        <f t="shared" si="296"/>
        <v>20</v>
      </c>
      <c r="H3339" t="s">
        <v>430</v>
      </c>
      <c r="I3339" t="s">
        <v>417</v>
      </c>
    </row>
    <row r="3340" spans="1:12" x14ac:dyDescent="0.25">
      <c r="A3340" s="15">
        <f t="shared" si="301"/>
        <v>45537</v>
      </c>
      <c r="B3340" s="31">
        <f>TIME(8,25,0)</f>
        <v>0.35069444444444442</v>
      </c>
      <c r="C3340" t="str">
        <f>'Inventory as of 12th Aug 2024'!A33</f>
        <v>BB Bread 400g</v>
      </c>
      <c r="D3340" s="27">
        <v>1</v>
      </c>
      <c r="E3340" s="5">
        <f>Table4[[#This Row],[qty]]*(VLOOKUP(Table4[[#This Row],[item_sold]],Table1[],5,FALSE))</f>
        <v>65</v>
      </c>
      <c r="F3340" s="5">
        <f>(VLOOKUP(Table4[[#This Row],[item_sold]],Table1[],4,FALSE))*Table4[[#This Row],[qty]]</f>
        <v>60</v>
      </c>
      <c r="G3340">
        <f t="shared" si="296"/>
        <v>5</v>
      </c>
      <c r="H3340" t="s">
        <v>361</v>
      </c>
      <c r="J3340" t="s">
        <v>412</v>
      </c>
      <c r="K3340">
        <v>1055</v>
      </c>
      <c r="L3340" t="s">
        <v>361</v>
      </c>
    </row>
    <row r="3341" spans="1:12" x14ac:dyDescent="0.25">
      <c r="A3341" s="15">
        <f t="shared" si="301"/>
        <v>45537</v>
      </c>
      <c r="B3341" s="31">
        <f>TIME(8,27,0)</f>
        <v>0.3520833333333333</v>
      </c>
      <c r="C3341" t="str">
        <f>'Inventory as of 12th Aug 2024'!A33</f>
        <v>BB Bread 400g</v>
      </c>
      <c r="D3341" s="27">
        <v>1</v>
      </c>
      <c r="E3341" s="5">
        <f>Table4[[#This Row],[qty]]*(VLOOKUP(Table4[[#This Row],[item_sold]],Table1[],5,FALSE))</f>
        <v>65</v>
      </c>
      <c r="F3341" s="5">
        <f>(VLOOKUP(Table4[[#This Row],[item_sold]],Table1[],4,FALSE))*Table4[[#This Row],[qty]]</f>
        <v>60</v>
      </c>
      <c r="G3341">
        <f t="shared" si="296"/>
        <v>5</v>
      </c>
      <c r="H3341" t="s">
        <v>361</v>
      </c>
    </row>
    <row r="3342" spans="1:12" x14ac:dyDescent="0.25">
      <c r="A3342" s="15">
        <f t="shared" si="301"/>
        <v>45537</v>
      </c>
      <c r="B3342" s="31">
        <f>TIME(8,27,0)</f>
        <v>0.3520833333333333</v>
      </c>
      <c r="C3342" t="str">
        <f>'Inventory as of 12th Aug 2024'!A16</f>
        <v>Mt kenya milk 500ml</v>
      </c>
      <c r="D3342" s="27">
        <v>1</v>
      </c>
      <c r="E3342" s="5">
        <f>Table4[[#This Row],[qty]]*(VLOOKUP(Table4[[#This Row],[item_sold]],Table1[],5,FALSE))</f>
        <v>65</v>
      </c>
      <c r="F3342" s="5">
        <f>(VLOOKUP(Table4[[#This Row],[item_sold]],Table1[],4,FALSE))*Table4[[#This Row],[qty]]</f>
        <v>48.333333333333336</v>
      </c>
      <c r="G3342">
        <f t="shared" si="296"/>
        <v>16.666666666666664</v>
      </c>
      <c r="H3342" t="s">
        <v>361</v>
      </c>
    </row>
    <row r="3343" spans="1:12" x14ac:dyDescent="0.25">
      <c r="A3343" s="15">
        <f t="shared" si="301"/>
        <v>45537</v>
      </c>
      <c r="B3343" s="31">
        <f>TIME(8,28,0)</f>
        <v>0.3527777777777778</v>
      </c>
      <c r="C3343" t="str">
        <f>'Inventory as of 12th Aug 2024'!A33</f>
        <v>BB Bread 400g</v>
      </c>
      <c r="D3343" s="27">
        <v>1</v>
      </c>
      <c r="E3343" s="5">
        <f>Table4[[#This Row],[qty]]*(VLOOKUP(Table4[[#This Row],[item_sold]],Table1[],5,FALSE))</f>
        <v>65</v>
      </c>
      <c r="F3343" s="5">
        <f>(VLOOKUP(Table4[[#This Row],[item_sold]],Table1[],4,FALSE))*Table4[[#This Row],[qty]]</f>
        <v>60</v>
      </c>
      <c r="G3343">
        <f t="shared" si="296"/>
        <v>5</v>
      </c>
      <c r="H3343" t="s">
        <v>430</v>
      </c>
      <c r="I3343" t="s">
        <v>387</v>
      </c>
    </row>
    <row r="3344" spans="1:12" x14ac:dyDescent="0.25">
      <c r="A3344" s="15">
        <f t="shared" si="301"/>
        <v>45537</v>
      </c>
      <c r="B3344" s="31">
        <f t="shared" ref="B3344:B3345" si="303">TIME(8,28,0)</f>
        <v>0.3527777777777778</v>
      </c>
      <c r="C3344" t="str">
        <f>'Inventory as of 12th Aug 2024'!A16</f>
        <v>Mt kenya milk 500ml</v>
      </c>
      <c r="D3344" s="27">
        <v>1</v>
      </c>
      <c r="E3344" s="5">
        <f>Table4[[#This Row],[qty]]*(VLOOKUP(Table4[[#This Row],[item_sold]],Table1[],5,FALSE))</f>
        <v>65</v>
      </c>
      <c r="F3344" s="5">
        <f>(VLOOKUP(Table4[[#This Row],[item_sold]],Table1[],4,FALSE))*Table4[[#This Row],[qty]]</f>
        <v>48.333333333333336</v>
      </c>
      <c r="G3344">
        <f t="shared" si="296"/>
        <v>16.666666666666664</v>
      </c>
      <c r="H3344" t="s">
        <v>430</v>
      </c>
      <c r="I3344" t="s">
        <v>387</v>
      </c>
    </row>
    <row r="3345" spans="1:12" x14ac:dyDescent="0.25">
      <c r="A3345" s="15">
        <f t="shared" si="301"/>
        <v>45537</v>
      </c>
      <c r="B3345" s="31">
        <f t="shared" si="303"/>
        <v>0.3527777777777778</v>
      </c>
      <c r="C3345" t="str">
        <f>'Inventory as of 12th Aug 2024'!A86</f>
        <v>Downy sunrise fresh</v>
      </c>
      <c r="D3345" s="27">
        <v>1</v>
      </c>
      <c r="E3345" s="5">
        <f>Table4[[#This Row],[qty]]*(VLOOKUP(Table4[[#This Row],[item_sold]],Table1[],5,FALSE))</f>
        <v>20</v>
      </c>
      <c r="F3345" s="5">
        <f>(VLOOKUP(Table4[[#This Row],[item_sold]],Table1[],4,FALSE))*Table4[[#This Row],[qty]]</f>
        <v>17.333333333333332</v>
      </c>
      <c r="G3345">
        <f t="shared" si="296"/>
        <v>2.6666666666666679</v>
      </c>
      <c r="H3345" t="s">
        <v>247</v>
      </c>
    </row>
    <row r="3346" spans="1:12" x14ac:dyDescent="0.25">
      <c r="A3346" s="15">
        <f t="shared" si="301"/>
        <v>45537</v>
      </c>
      <c r="B3346" s="31">
        <f>TIME(8,34,0)</f>
        <v>0.35694444444444445</v>
      </c>
      <c r="C3346" t="str">
        <f>'Inventory as of 12th Aug 2024'!A205</f>
        <v xml:space="preserve"> soda 1.25lts</v>
      </c>
      <c r="D3346" s="27">
        <v>1</v>
      </c>
      <c r="E3346" s="5">
        <f>Table4[[#This Row],[qty]]*(VLOOKUP(Table4[[#This Row],[item_sold]],Table1[],5,FALSE))</f>
        <v>130</v>
      </c>
      <c r="F3346" s="5">
        <f>(VLOOKUP(Table4[[#This Row],[item_sold]],Table1[],4,FALSE))*Table4[[#This Row],[qty]]</f>
        <v>112.5</v>
      </c>
      <c r="G3346">
        <f t="shared" si="296"/>
        <v>17.5</v>
      </c>
      <c r="H3346" t="s">
        <v>247</v>
      </c>
      <c r="J3346" t="s">
        <v>384</v>
      </c>
      <c r="K3346">
        <v>270</v>
      </c>
      <c r="L3346" t="s">
        <v>361</v>
      </c>
    </row>
    <row r="3347" spans="1:12" x14ac:dyDescent="0.25">
      <c r="A3347" s="15">
        <f t="shared" si="301"/>
        <v>45537</v>
      </c>
      <c r="B3347" s="31">
        <f t="shared" ref="B3347:B3348" si="304">TIME(8,34,0)</f>
        <v>0.35694444444444445</v>
      </c>
      <c r="C3347" t="str">
        <f>'Inventory as of 12th Aug 2024'!A120</f>
        <v>Maramoja</v>
      </c>
      <c r="D3347" s="27">
        <v>1</v>
      </c>
      <c r="E3347" s="5">
        <f>Table4[[#This Row],[qty]]*(VLOOKUP(Table4[[#This Row],[item_sold]],Table1[],5,FALSE))</f>
        <v>10</v>
      </c>
      <c r="F3347" s="5">
        <f>(VLOOKUP(Table4[[#This Row],[item_sold]],Table1[],4,FALSE))*Table4[[#This Row],[qty]]</f>
        <v>7</v>
      </c>
      <c r="G3347">
        <f t="shared" si="296"/>
        <v>3</v>
      </c>
      <c r="H3347" t="s">
        <v>247</v>
      </c>
    </row>
    <row r="3348" spans="1:12" x14ac:dyDescent="0.25">
      <c r="A3348" s="15">
        <f t="shared" si="301"/>
        <v>45537</v>
      </c>
      <c r="B3348" s="31">
        <f t="shared" si="304"/>
        <v>0.35694444444444445</v>
      </c>
      <c r="C3348" t="str">
        <f>'Inventory as of 12th Aug 2024'!A238</f>
        <v>Tropical</v>
      </c>
      <c r="D3348" s="27">
        <v>2</v>
      </c>
      <c r="E3348" s="5">
        <f>Table4[[#This Row],[qty]]*(VLOOKUP(Table4[[#This Row],[item_sold]],Table1[],5,FALSE))</f>
        <v>10</v>
      </c>
      <c r="F3348" s="5">
        <f>(VLOOKUP(Table4[[#This Row],[item_sold]],Table1[],4,FALSE))*Table4[[#This Row],[qty]]</f>
        <v>3</v>
      </c>
      <c r="G3348">
        <f t="shared" si="296"/>
        <v>7</v>
      </c>
      <c r="H3348" t="s">
        <v>247</v>
      </c>
    </row>
    <row r="3349" spans="1:12" x14ac:dyDescent="0.25">
      <c r="A3349" s="15">
        <f t="shared" si="301"/>
        <v>45537</v>
      </c>
      <c r="B3349" s="31">
        <f>TIME(8,35,0)</f>
        <v>0.3576388888888889</v>
      </c>
      <c r="C3349" t="str">
        <f>'Inventory as of 12th Aug 2024'!A16</f>
        <v>Mt kenya milk 500ml</v>
      </c>
      <c r="D3349" s="27">
        <v>1</v>
      </c>
      <c r="E3349" s="5">
        <f>Table4[[#This Row],[qty]]*(VLOOKUP(Table4[[#This Row],[item_sold]],Table1[],5,FALSE))</f>
        <v>65</v>
      </c>
      <c r="F3349" s="5">
        <f>(VLOOKUP(Table4[[#This Row],[item_sold]],Table1[],4,FALSE))*Table4[[#This Row],[qty]]</f>
        <v>48.333333333333336</v>
      </c>
      <c r="G3349">
        <f t="shared" si="296"/>
        <v>16.666666666666664</v>
      </c>
      <c r="H3349" t="s">
        <v>430</v>
      </c>
      <c r="I3349" t="s">
        <v>384</v>
      </c>
    </row>
    <row r="3350" spans="1:12" x14ac:dyDescent="0.25">
      <c r="A3350" s="15">
        <f t="shared" si="301"/>
        <v>45537</v>
      </c>
      <c r="B3350" s="31">
        <f>TIME(8,51,0)</f>
        <v>0.36874999999999997</v>
      </c>
      <c r="C3350" t="str">
        <f>'Inventory as of 12th Aug 2024'!A121</f>
        <v>Panadol Extra</v>
      </c>
      <c r="D3350" s="27">
        <v>1</v>
      </c>
      <c r="E3350" s="5">
        <f>Table4[[#This Row],[qty]]*(VLOOKUP(Table4[[#This Row],[item_sold]],Table1[],5,FALSE))</f>
        <v>20</v>
      </c>
      <c r="F3350" s="5">
        <f>(VLOOKUP(Table4[[#This Row],[item_sold]],Table1[],4,FALSE))*Table4[[#This Row],[qty]]</f>
        <v>13</v>
      </c>
      <c r="G3350">
        <f t="shared" si="296"/>
        <v>7</v>
      </c>
      <c r="H3350" t="s">
        <v>247</v>
      </c>
      <c r="J3350" t="s">
        <v>389</v>
      </c>
      <c r="K3350">
        <v>120</v>
      </c>
      <c r="L3350" t="s">
        <v>361</v>
      </c>
    </row>
    <row r="3351" spans="1:12" x14ac:dyDescent="0.25">
      <c r="A3351" s="15">
        <f t="shared" si="301"/>
        <v>45537</v>
      </c>
      <c r="B3351" s="31">
        <f>TIME(8,51,0)</f>
        <v>0.36874999999999997</v>
      </c>
      <c r="C3351" t="str">
        <f>'Inventory as of 12th Aug 2024'!A58</f>
        <v>Safari</v>
      </c>
      <c r="D3351" s="27">
        <v>1</v>
      </c>
      <c r="E3351" s="5">
        <f>Table4[[#This Row],[qty]]*(VLOOKUP(Table4[[#This Row],[item_sold]],Table1[],5,FALSE))</f>
        <v>15</v>
      </c>
      <c r="F3351" s="5">
        <f>(VLOOKUP(Table4[[#This Row],[item_sold]],Table1[],4,FALSE))*Table4[[#This Row],[qty]]</f>
        <v>8.5</v>
      </c>
      <c r="G3351">
        <f t="shared" si="296"/>
        <v>6.5</v>
      </c>
      <c r="H3351" t="s">
        <v>247</v>
      </c>
    </row>
    <row r="3352" spans="1:12" x14ac:dyDescent="0.25">
      <c r="A3352" s="15">
        <f t="shared" si="301"/>
        <v>45537</v>
      </c>
      <c r="B3352" s="31">
        <f>TIME(9,30,0)</f>
        <v>0.39583333333333331</v>
      </c>
      <c r="C3352" t="str">
        <f>'Inventory as of 12th Aug 2024'!A58</f>
        <v>Safari</v>
      </c>
      <c r="D3352" s="27">
        <v>1</v>
      </c>
      <c r="E3352" s="5">
        <f>Table4[[#This Row],[qty]]*(VLOOKUP(Table4[[#This Row],[item_sold]],Table1[],5,FALSE))</f>
        <v>15</v>
      </c>
      <c r="F3352" s="5">
        <f>(VLOOKUP(Table4[[#This Row],[item_sold]],Table1[],4,FALSE))*Table4[[#This Row],[qty]]</f>
        <v>8.5</v>
      </c>
      <c r="G3352">
        <f t="shared" si="296"/>
        <v>6.5</v>
      </c>
      <c r="H3352" t="s">
        <v>361</v>
      </c>
    </row>
    <row r="3353" spans="1:12" x14ac:dyDescent="0.25">
      <c r="A3353" s="15">
        <f t="shared" si="301"/>
        <v>45537</v>
      </c>
      <c r="B3353" s="31">
        <f>TIME(9,40,0)</f>
        <v>0.40277777777777773</v>
      </c>
      <c r="C3353" t="str">
        <f>'Inventory as of 12th Aug 2024'!A133</f>
        <v>Medium Colgate Toothbrush</v>
      </c>
      <c r="D3353" s="27">
        <v>1</v>
      </c>
      <c r="E3353" s="5">
        <f>Table4[[#This Row],[qty]]*(VLOOKUP(Table4[[#This Row],[item_sold]],Table1[],5,FALSE))</f>
        <v>40</v>
      </c>
      <c r="F3353" s="5">
        <f>(VLOOKUP(Table4[[#This Row],[item_sold]],Table1[],4,FALSE))*Table4[[#This Row],[qty]]</f>
        <v>25</v>
      </c>
      <c r="G3353">
        <f t="shared" si="296"/>
        <v>15</v>
      </c>
      <c r="H3353" t="s">
        <v>361</v>
      </c>
      <c r="J3353" t="s">
        <v>414</v>
      </c>
      <c r="K3353">
        <v>65</v>
      </c>
      <c r="L3353" t="s">
        <v>361</v>
      </c>
    </row>
    <row r="3354" spans="1:12" x14ac:dyDescent="0.25">
      <c r="A3354" s="15">
        <f t="shared" si="301"/>
        <v>45537</v>
      </c>
      <c r="B3354" s="31">
        <f>TIME(10,11,0)</f>
        <v>0.42430555555555555</v>
      </c>
      <c r="C3354" t="str">
        <f>'Inventory as of 12th Aug 2024'!A84</f>
        <v>omo 20g</v>
      </c>
      <c r="D3354" s="27">
        <v>2</v>
      </c>
      <c r="E3354" s="5">
        <f>Table4[[#This Row],[qty]]*(VLOOKUP(Table4[[#This Row],[item_sold]],Table1[],5,FALSE))</f>
        <v>30</v>
      </c>
      <c r="F3354" s="5">
        <f>(VLOOKUP(Table4[[#This Row],[item_sold]],Table1[],4,FALSE))*Table4[[#This Row],[qty]]</f>
        <v>18.333333333333332</v>
      </c>
      <c r="G3354">
        <f t="shared" si="296"/>
        <v>11.666666666666668</v>
      </c>
      <c r="H3354" t="s">
        <v>247</v>
      </c>
    </row>
    <row r="3355" spans="1:12" x14ac:dyDescent="0.25">
      <c r="A3355" s="15">
        <f t="shared" si="301"/>
        <v>45537</v>
      </c>
      <c r="B3355" s="31">
        <f>TIME(10,51,0)</f>
        <v>0.45208333333333334</v>
      </c>
      <c r="C3355" t="str">
        <f>'Inventory as of 12th Aug 2024'!A35</f>
        <v>Festive 600g</v>
      </c>
      <c r="D3355" s="27">
        <v>1</v>
      </c>
      <c r="E3355" s="5">
        <f>Table4[[#This Row],[qty]]*(VLOOKUP(Table4[[#This Row],[item_sold]],Table1[],5,FALSE))</f>
        <v>100</v>
      </c>
      <c r="F3355" s="5">
        <f>(VLOOKUP(Table4[[#This Row],[item_sold]],Table1[],4,FALSE))*Table4[[#This Row],[qty]]</f>
        <v>90</v>
      </c>
      <c r="G3355">
        <f t="shared" si="296"/>
        <v>10</v>
      </c>
      <c r="H3355" t="s">
        <v>361</v>
      </c>
    </row>
    <row r="3356" spans="1:12" x14ac:dyDescent="0.25">
      <c r="A3356" s="15">
        <f t="shared" si="301"/>
        <v>45537</v>
      </c>
      <c r="B3356" s="31">
        <f>TIME(10,54,0)</f>
        <v>0.45416666666666666</v>
      </c>
      <c r="C3356" t="str">
        <f>'Inventory as of 12th Aug 2024'!A244</f>
        <v>5ltrs water</v>
      </c>
      <c r="D3356" s="27">
        <v>1</v>
      </c>
      <c r="E3356" s="5">
        <f>Table4[[#This Row],[qty]]*(VLOOKUP(Table4[[#This Row],[item_sold]],Table1[],5,FALSE))</f>
        <v>120</v>
      </c>
      <c r="F3356" s="5">
        <f>(VLOOKUP(Table4[[#This Row],[item_sold]],Table1[],4,FALSE))*Table4[[#This Row],[qty]]</f>
        <v>75</v>
      </c>
      <c r="G3356">
        <f t="shared" si="296"/>
        <v>45</v>
      </c>
      <c r="H3356" t="s">
        <v>361</v>
      </c>
    </row>
    <row r="3357" spans="1:12" x14ac:dyDescent="0.25">
      <c r="A3357" s="15">
        <f t="shared" si="301"/>
        <v>45537</v>
      </c>
      <c r="B3357" s="31">
        <f t="shared" ref="B3357:B3358" si="305">TIME(10,54,0)</f>
        <v>0.45416666666666666</v>
      </c>
      <c r="C3357" t="str">
        <f>'Inventory as of 12th Aug 2024'!A16</f>
        <v>Mt kenya milk 500ml</v>
      </c>
      <c r="D3357" s="27">
        <v>1</v>
      </c>
      <c r="E3357" s="5">
        <f>Table4[[#This Row],[qty]]*(VLOOKUP(Table4[[#This Row],[item_sold]],Table1[],5,FALSE))</f>
        <v>65</v>
      </c>
      <c r="F3357" s="5">
        <f>(VLOOKUP(Table4[[#This Row],[item_sold]],Table1[],4,FALSE))*Table4[[#This Row],[qty]]</f>
        <v>48.333333333333336</v>
      </c>
      <c r="G3357">
        <f t="shared" si="296"/>
        <v>16.666666666666664</v>
      </c>
      <c r="H3357" t="s">
        <v>247</v>
      </c>
    </row>
    <row r="3358" spans="1:12" x14ac:dyDescent="0.25">
      <c r="A3358" s="15">
        <f t="shared" si="301"/>
        <v>45537</v>
      </c>
      <c r="B3358" s="31">
        <f t="shared" si="305"/>
        <v>0.45416666666666666</v>
      </c>
      <c r="C3358" t="str">
        <f>'Inventory as of 12th Aug 2024'!A136</f>
        <v>Poa Pekee Tissue</v>
      </c>
      <c r="D3358" s="27">
        <v>1</v>
      </c>
      <c r="E3358" s="5">
        <f>Table4[[#This Row],[qty]]*(VLOOKUP(Table4[[#This Row],[item_sold]],Table1[],5,FALSE))</f>
        <v>30</v>
      </c>
      <c r="F3358" s="5">
        <f>(VLOOKUP(Table4[[#This Row],[item_sold]],Table1[],4,FALSE))*Table4[[#This Row],[qty]]</f>
        <v>13.333333333333334</v>
      </c>
      <c r="G3358">
        <f t="shared" si="296"/>
        <v>16.666666666666664</v>
      </c>
      <c r="H3358" t="s">
        <v>247</v>
      </c>
    </row>
    <row r="3359" spans="1:12" x14ac:dyDescent="0.25">
      <c r="A3359" s="15">
        <f t="shared" si="301"/>
        <v>45537</v>
      </c>
      <c r="B3359" s="31">
        <f>TIME(11,11,0)</f>
        <v>0.46597222222222223</v>
      </c>
      <c r="C3359" t="str">
        <f>'Inventory as of 12th Aug 2024'!A10</f>
        <v>Mt Kenya milk 200ml</v>
      </c>
      <c r="D3359" s="27">
        <v>2</v>
      </c>
      <c r="E3359" s="5">
        <f>Table4[[#This Row],[qty]]*(VLOOKUP(Table4[[#This Row],[item_sold]],Table1[],5,FALSE))</f>
        <v>70</v>
      </c>
      <c r="F3359" s="5">
        <f>(VLOOKUP(Table4[[#This Row],[item_sold]],Table1[],4,FALSE))*Table4[[#This Row],[qty]]</f>
        <v>48.571428571428569</v>
      </c>
      <c r="G3359">
        <f t="shared" si="296"/>
        <v>21.428571428571431</v>
      </c>
      <c r="H3359" t="s">
        <v>247</v>
      </c>
      <c r="J3359" t="s">
        <v>401</v>
      </c>
      <c r="K3359">
        <v>700</v>
      </c>
      <c r="L3359" t="s">
        <v>247</v>
      </c>
    </row>
    <row r="3360" spans="1:12" x14ac:dyDescent="0.25">
      <c r="A3360" s="15">
        <f t="shared" si="301"/>
        <v>45537</v>
      </c>
      <c r="B3360" s="31">
        <f>TIME(11,11,0)</f>
        <v>0.46597222222222223</v>
      </c>
      <c r="C3360" t="str">
        <f>'Inventory as of 12th Aug 2024'!A200</f>
        <v>Ngumu</v>
      </c>
      <c r="D3360" s="27">
        <v>2</v>
      </c>
      <c r="E3360" s="5">
        <f>Table4[[#This Row],[qty]]*(VLOOKUP(Table4[[#This Row],[item_sold]],Table1[],5,FALSE))</f>
        <v>20</v>
      </c>
      <c r="F3360" s="5">
        <f>(VLOOKUP(Table4[[#This Row],[item_sold]],Table1[],4,FALSE))*Table4[[#This Row],[qty]]</f>
        <v>16.666666666666668</v>
      </c>
      <c r="G3360">
        <f t="shared" si="296"/>
        <v>3.3333333333333321</v>
      </c>
      <c r="H3360" t="s">
        <v>430</v>
      </c>
      <c r="I3360" t="s">
        <v>401</v>
      </c>
    </row>
    <row r="3361" spans="1:12" x14ac:dyDescent="0.25">
      <c r="A3361" s="15">
        <f t="shared" si="301"/>
        <v>45537</v>
      </c>
      <c r="B3361" s="31">
        <f>TIME(11,57,0)</f>
        <v>0.49791666666666662</v>
      </c>
      <c r="C3361" t="str">
        <f>'Inventory as of 12th Aug 2024'!A176</f>
        <v>Queen cake</v>
      </c>
      <c r="D3361" s="27">
        <v>1</v>
      </c>
      <c r="E3361" s="5">
        <f>Table4[[#This Row],[qty]]*(VLOOKUP(Table4[[#This Row],[item_sold]],Table1[],5,FALSE))</f>
        <v>10</v>
      </c>
      <c r="F3361" s="5">
        <f>(VLOOKUP(Table4[[#This Row],[item_sold]],Table1[],4,FALSE))*Table4[[#This Row],[qty]]</f>
        <v>8.3333333333333339</v>
      </c>
      <c r="G3361">
        <f t="shared" si="296"/>
        <v>1.6666666666666661</v>
      </c>
      <c r="H3361" t="s">
        <v>361</v>
      </c>
      <c r="J3361" t="s">
        <v>450</v>
      </c>
      <c r="K3361">
        <v>95</v>
      </c>
      <c r="L3361" t="s">
        <v>361</v>
      </c>
    </row>
    <row r="3362" spans="1:12" x14ac:dyDescent="0.25">
      <c r="A3362" s="15">
        <f t="shared" si="301"/>
        <v>45537</v>
      </c>
      <c r="B3362" s="31">
        <f>TIME(12,10,0)</f>
        <v>0.50694444444444442</v>
      </c>
      <c r="C3362" t="str">
        <f>'Inventory as of 12th Aug 2024'!A120</f>
        <v>Maramoja</v>
      </c>
      <c r="D3362" s="27">
        <v>1</v>
      </c>
      <c r="E3362" s="5">
        <f>Table4[[#This Row],[qty]]*(VLOOKUP(Table4[[#This Row],[item_sold]],Table1[],5,FALSE))</f>
        <v>10</v>
      </c>
      <c r="F3362" s="5">
        <f>(VLOOKUP(Table4[[#This Row],[item_sold]],Table1[],4,FALSE))*Table4[[#This Row],[qty]]</f>
        <v>7</v>
      </c>
      <c r="G3362">
        <f t="shared" si="296"/>
        <v>3</v>
      </c>
      <c r="H3362" t="s">
        <v>361</v>
      </c>
    </row>
    <row r="3363" spans="1:12" x14ac:dyDescent="0.25">
      <c r="A3363" s="15">
        <f t="shared" si="301"/>
        <v>45537</v>
      </c>
      <c r="B3363" s="31">
        <f t="shared" ref="B3363:B3367" si="306">TIME(12,10,0)</f>
        <v>0.50694444444444442</v>
      </c>
      <c r="C3363" t="str">
        <f>'Inventory as of 12th Aug 2024'!A179</f>
        <v>Bitez</v>
      </c>
      <c r="D3363" s="27">
        <v>1</v>
      </c>
      <c r="E3363" s="5">
        <f>Table4[[#This Row],[qty]]*(VLOOKUP(Table4[[#This Row],[item_sold]],Table1[],5,FALSE))</f>
        <v>15</v>
      </c>
      <c r="F3363" s="5">
        <f>(VLOOKUP(Table4[[#This Row],[item_sold]],Table1[],4,FALSE))*Table4[[#This Row],[qty]]</f>
        <v>8.8000000000000007</v>
      </c>
      <c r="G3363">
        <f t="shared" si="296"/>
        <v>6.1999999999999993</v>
      </c>
      <c r="H3363" t="s">
        <v>361</v>
      </c>
    </row>
    <row r="3364" spans="1:12" x14ac:dyDescent="0.25">
      <c r="A3364" s="15">
        <f t="shared" si="301"/>
        <v>45537</v>
      </c>
      <c r="B3364" s="31">
        <f t="shared" si="306"/>
        <v>0.50694444444444442</v>
      </c>
      <c r="C3364" t="str">
        <f>'Inventory as of 12th Aug 2024'!A46</f>
        <v>Tukuza 1kg</v>
      </c>
      <c r="D3364" s="27">
        <v>1</v>
      </c>
      <c r="E3364" s="5">
        <f>Table4[[#This Row],[qty]]*(VLOOKUP(Table4[[#This Row],[item_sold]],Table1[],5,FALSE))</f>
        <v>90</v>
      </c>
      <c r="F3364" s="5">
        <f>(VLOOKUP(Table4[[#This Row],[item_sold]],Table1[],4,FALSE))*Table4[[#This Row],[qty]]</f>
        <v>61.25</v>
      </c>
      <c r="G3364">
        <f t="shared" si="296"/>
        <v>28.75</v>
      </c>
      <c r="H3364" t="s">
        <v>247</v>
      </c>
    </row>
    <row r="3365" spans="1:12" x14ac:dyDescent="0.25">
      <c r="A3365" s="15">
        <f t="shared" si="301"/>
        <v>45537</v>
      </c>
      <c r="B3365" s="31">
        <f t="shared" si="306"/>
        <v>0.50694444444444442</v>
      </c>
      <c r="C3365" t="str">
        <f>'Inventory as of 12th Aug 2024'!A8</f>
        <v>eggs</v>
      </c>
      <c r="D3365" s="27">
        <v>2</v>
      </c>
      <c r="E3365" s="5">
        <f>Table4[[#This Row],[qty]]*(VLOOKUP(Table4[[#This Row],[item_sold]],Table1[],5,FALSE))</f>
        <v>40</v>
      </c>
      <c r="F3365" s="5">
        <f>(VLOOKUP(Table4[[#This Row],[item_sold]],Table1[],4,FALSE))*Table4[[#This Row],[qty]]</f>
        <v>28.666666666666668</v>
      </c>
      <c r="G3365">
        <f t="shared" si="296"/>
        <v>11.333333333333332</v>
      </c>
      <c r="H3365" t="s">
        <v>361</v>
      </c>
    </row>
    <row r="3366" spans="1:12" x14ac:dyDescent="0.25">
      <c r="A3366" s="15">
        <f t="shared" si="301"/>
        <v>45537</v>
      </c>
      <c r="B3366" s="31">
        <f t="shared" si="306"/>
        <v>0.50694444444444442</v>
      </c>
      <c r="C3366" t="str">
        <f>'Inventory as of 12th Aug 2024'!A90</f>
        <v>Onion</v>
      </c>
      <c r="D3366" s="27">
        <v>1</v>
      </c>
      <c r="E3366" s="5">
        <f>Table4[[#This Row],[qty]]*(VLOOKUP(Table4[[#This Row],[item_sold]],Table1[],5,FALSE))</f>
        <v>10</v>
      </c>
      <c r="F3366" s="5">
        <f>(VLOOKUP(Table4[[#This Row],[item_sold]],Table1[],4,FALSE))*Table4[[#This Row],[qty]]</f>
        <v>8</v>
      </c>
      <c r="G3366">
        <f t="shared" si="296"/>
        <v>2</v>
      </c>
      <c r="H3366" t="s">
        <v>247</v>
      </c>
    </row>
    <row r="3367" spans="1:12" x14ac:dyDescent="0.25">
      <c r="A3367" s="15">
        <f t="shared" si="301"/>
        <v>45537</v>
      </c>
      <c r="B3367" s="31">
        <f t="shared" si="306"/>
        <v>0.50694444444444442</v>
      </c>
      <c r="C3367" t="str">
        <f>'Inventory as of 12th Aug 2024'!A91</f>
        <v>Tomatoes</v>
      </c>
      <c r="D3367" s="27">
        <v>1</v>
      </c>
      <c r="E3367" s="5">
        <f>Table4[[#This Row],[qty]]*(VLOOKUP(Table4[[#This Row],[item_sold]],Table1[],5,FALSE))</f>
        <v>10</v>
      </c>
      <c r="F3367" s="5">
        <f>(VLOOKUP(Table4[[#This Row],[item_sold]],Table1[],4,FALSE))*Table4[[#This Row],[qty]]</f>
        <v>5</v>
      </c>
      <c r="G3367">
        <f t="shared" si="296"/>
        <v>5</v>
      </c>
      <c r="H3367" t="s">
        <v>247</v>
      </c>
    </row>
    <row r="3368" spans="1:12" x14ac:dyDescent="0.25">
      <c r="A3368" s="15">
        <f t="shared" si="301"/>
        <v>45537</v>
      </c>
      <c r="B3368" s="31">
        <f>TIME(12,19,0)</f>
        <v>0.5131944444444444</v>
      </c>
      <c r="C3368" t="str">
        <f>'Inventory as of 12th Aug 2024'!A212</f>
        <v>soda 300ml glass</v>
      </c>
      <c r="D3368" s="27">
        <v>1</v>
      </c>
      <c r="E3368" s="5">
        <f>Table4[[#This Row],[qty]]*(VLOOKUP(Table4[[#This Row],[item_sold]],Table1[],5,FALSE))</f>
        <v>40</v>
      </c>
      <c r="F3368" s="5">
        <f>(VLOOKUP(Table4[[#This Row],[item_sold]],Table1[],4,FALSE))*Table4[[#This Row],[qty]]</f>
        <v>32.5</v>
      </c>
      <c r="G3368">
        <f t="shared" si="296"/>
        <v>7.5</v>
      </c>
      <c r="H3368" t="s">
        <v>247</v>
      </c>
    </row>
    <row r="3369" spans="1:12" x14ac:dyDescent="0.25">
      <c r="A3369" s="15">
        <f t="shared" si="301"/>
        <v>45537</v>
      </c>
      <c r="B3369" s="31">
        <f>TIME(12,19,0)</f>
        <v>0.5131944444444444</v>
      </c>
      <c r="C3369" t="str">
        <f>'Inventory as of 12th Aug 2024'!A200</f>
        <v>Ngumu</v>
      </c>
      <c r="D3369" s="27">
        <v>2</v>
      </c>
      <c r="E3369" s="5">
        <f>Table4[[#This Row],[qty]]*(VLOOKUP(Table4[[#This Row],[item_sold]],Table1[],5,FALSE))</f>
        <v>20</v>
      </c>
      <c r="F3369" s="5">
        <f>(VLOOKUP(Table4[[#This Row],[item_sold]],Table1[],4,FALSE))*Table4[[#This Row],[qty]]</f>
        <v>16.666666666666668</v>
      </c>
      <c r="G3369">
        <f t="shared" si="296"/>
        <v>3.3333333333333321</v>
      </c>
      <c r="H3369" t="s">
        <v>247</v>
      </c>
    </row>
    <row r="3370" spans="1:12" x14ac:dyDescent="0.25">
      <c r="A3370" s="15">
        <f t="shared" si="301"/>
        <v>45537</v>
      </c>
      <c r="B3370" s="31">
        <f>TIME(12,40,0)</f>
        <v>0.52777777777777779</v>
      </c>
      <c r="C3370" t="str">
        <f>'Inventory as of 12th Aug 2024'!A91</f>
        <v>Tomatoes</v>
      </c>
      <c r="D3370" s="27">
        <v>2</v>
      </c>
      <c r="E3370" s="5">
        <f>Table4[[#This Row],[qty]]*(VLOOKUP(Table4[[#This Row],[item_sold]],Table1[],5,FALSE))</f>
        <v>20</v>
      </c>
      <c r="F3370" s="5">
        <f>(VLOOKUP(Table4[[#This Row],[item_sold]],Table1[],4,FALSE))*Table4[[#This Row],[qty]]</f>
        <v>10</v>
      </c>
      <c r="G3370">
        <f t="shared" ref="G3370:G3433" si="307">E3370-F3370</f>
        <v>10</v>
      </c>
      <c r="H3370" t="s">
        <v>430</v>
      </c>
    </row>
    <row r="3371" spans="1:12" x14ac:dyDescent="0.25">
      <c r="A3371" s="15">
        <f t="shared" si="301"/>
        <v>45537</v>
      </c>
      <c r="B3371" s="31">
        <f>TIME(12,40,0)</f>
        <v>0.52777777777777779</v>
      </c>
      <c r="C3371" t="str">
        <f>'Inventory as of 12th Aug 2024'!A212</f>
        <v>soda 300ml glass</v>
      </c>
      <c r="D3371" s="27">
        <v>1</v>
      </c>
      <c r="E3371" s="5">
        <f>Table4[[#This Row],[qty]]*(VLOOKUP(Table4[[#This Row],[item_sold]],Table1[],5,FALSE))</f>
        <v>40</v>
      </c>
      <c r="F3371" s="5">
        <f>(VLOOKUP(Table4[[#This Row],[item_sold]],Table1[],4,FALSE))*Table4[[#This Row],[qty]]</f>
        <v>32.5</v>
      </c>
      <c r="G3371">
        <f t="shared" si="307"/>
        <v>7.5</v>
      </c>
      <c r="H3371" t="s">
        <v>430</v>
      </c>
      <c r="I3371" t="s">
        <v>389</v>
      </c>
    </row>
    <row r="3372" spans="1:12" x14ac:dyDescent="0.25">
      <c r="A3372" s="15">
        <f t="shared" si="301"/>
        <v>45537</v>
      </c>
      <c r="B3372" s="31">
        <f>TIME(12,51,0)</f>
        <v>0.53541666666666665</v>
      </c>
      <c r="C3372" t="str">
        <f>'Inventory as of 12th Aug 2024'!A58</f>
        <v>Safari</v>
      </c>
      <c r="D3372" s="27">
        <v>2</v>
      </c>
      <c r="E3372" s="5">
        <f>Table4[[#This Row],[qty]]*(VLOOKUP(Table4[[#This Row],[item_sold]],Table1[],5,FALSE))</f>
        <v>30</v>
      </c>
      <c r="F3372" s="5">
        <f>(VLOOKUP(Table4[[#This Row],[item_sold]],Table1[],4,FALSE))*Table4[[#This Row],[qty]]</f>
        <v>17</v>
      </c>
      <c r="G3372">
        <f t="shared" si="307"/>
        <v>13</v>
      </c>
      <c r="H3372" t="s">
        <v>361</v>
      </c>
    </row>
    <row r="3373" spans="1:12" x14ac:dyDescent="0.25">
      <c r="A3373" s="15">
        <f t="shared" si="301"/>
        <v>45537</v>
      </c>
      <c r="B3373" s="31">
        <f>TIME(12,51,0)</f>
        <v>0.53541666666666665</v>
      </c>
      <c r="C3373" t="str">
        <f>'Inventory as of 12th Aug 2024'!A92</f>
        <v>Banana</v>
      </c>
      <c r="D3373" s="27">
        <v>2</v>
      </c>
      <c r="E3373" s="5">
        <f>Table4[[#This Row],[qty]]*(VLOOKUP(Table4[[#This Row],[item_sold]],Table1[],5,FALSE))</f>
        <v>20</v>
      </c>
      <c r="F3373" s="5">
        <f>(VLOOKUP(Table4[[#This Row],[item_sold]],Table1[],4,FALSE))*Table4[[#This Row],[qty]]</f>
        <v>16.666666666666668</v>
      </c>
      <c r="G3373">
        <f t="shared" si="307"/>
        <v>3.3333333333333321</v>
      </c>
      <c r="H3373" t="s">
        <v>430</v>
      </c>
      <c r="I3373" t="s">
        <v>389</v>
      </c>
    </row>
    <row r="3374" spans="1:12" x14ac:dyDescent="0.25">
      <c r="A3374" s="15">
        <f t="shared" si="301"/>
        <v>45537</v>
      </c>
      <c r="B3374" s="31">
        <f>TIME(13,8,0)</f>
        <v>0.54722222222222217</v>
      </c>
      <c r="C3374" t="str">
        <f>'Inventory as of 12th Aug 2024'!A92</f>
        <v>Banana</v>
      </c>
      <c r="D3374" s="27">
        <v>2</v>
      </c>
      <c r="E3374" s="5">
        <f>Table4[[#This Row],[qty]]*(VLOOKUP(Table4[[#This Row],[item_sold]],Table1[],5,FALSE))</f>
        <v>20</v>
      </c>
      <c r="F3374" s="5">
        <f>(VLOOKUP(Table4[[#This Row],[item_sold]],Table1[],4,FALSE))*Table4[[#This Row],[qty]]</f>
        <v>16.666666666666668</v>
      </c>
      <c r="G3374">
        <f t="shared" si="307"/>
        <v>3.3333333333333321</v>
      </c>
      <c r="H3374" t="s">
        <v>430</v>
      </c>
      <c r="I3374" t="s">
        <v>384</v>
      </c>
    </row>
    <row r="3375" spans="1:12" x14ac:dyDescent="0.25">
      <c r="A3375" s="15">
        <f t="shared" si="301"/>
        <v>45537</v>
      </c>
      <c r="B3375" s="31">
        <f>TIME(13,8,0)</f>
        <v>0.54722222222222217</v>
      </c>
      <c r="C3375" t="str">
        <f>'Inventory as of 12th Aug 2024'!A68</f>
        <v>Royco cubes</v>
      </c>
      <c r="D3375" s="27">
        <v>2</v>
      </c>
      <c r="E3375" s="5">
        <f>Table4[[#This Row],[qty]]*(VLOOKUP(Table4[[#This Row],[item_sold]],Table1[],5,FALSE))</f>
        <v>10</v>
      </c>
      <c r="F3375" s="5">
        <f>(VLOOKUP(Table4[[#This Row],[item_sold]],Table1[],4,FALSE))*Table4[[#This Row],[qty]]</f>
        <v>6</v>
      </c>
      <c r="G3375">
        <f t="shared" si="307"/>
        <v>4</v>
      </c>
      <c r="H3375" t="s">
        <v>430</v>
      </c>
      <c r="I3375" t="s">
        <v>384</v>
      </c>
    </row>
    <row r="3376" spans="1:12" x14ac:dyDescent="0.25">
      <c r="A3376" s="15">
        <f t="shared" si="301"/>
        <v>45537</v>
      </c>
      <c r="B3376" s="31">
        <f>TIME(13,17,0)</f>
        <v>0.55347222222222225</v>
      </c>
      <c r="C3376" t="str">
        <f>'Inventory as of 12th Aug 2024'!A198</f>
        <v>Mandazi</v>
      </c>
      <c r="D3376" s="27">
        <v>6</v>
      </c>
      <c r="E3376" s="5">
        <f>Table4[[#This Row],[qty]]*(VLOOKUP(Table4[[#This Row],[item_sold]],Table1[],5,FALSE))</f>
        <v>30</v>
      </c>
      <c r="F3376" s="5">
        <f>(VLOOKUP(Table4[[#This Row],[item_sold]],Table1[],4,FALSE))*Table4[[#This Row],[qty]]</f>
        <v>25</v>
      </c>
      <c r="G3376">
        <f t="shared" si="307"/>
        <v>5</v>
      </c>
      <c r="H3376" t="s">
        <v>247</v>
      </c>
    </row>
    <row r="3377" spans="1:9" x14ac:dyDescent="0.25">
      <c r="A3377" s="15">
        <f t="shared" si="301"/>
        <v>45537</v>
      </c>
      <c r="B3377" s="31">
        <f>TIME(13,17,0)</f>
        <v>0.55347222222222225</v>
      </c>
      <c r="C3377" t="str">
        <f>'Inventory as of 12th Aug 2024'!A200</f>
        <v>Ngumu</v>
      </c>
      <c r="D3377" s="27">
        <v>2</v>
      </c>
      <c r="E3377" s="5">
        <f>Table4[[#This Row],[qty]]*(VLOOKUP(Table4[[#This Row],[item_sold]],Table1[],5,FALSE))</f>
        <v>20</v>
      </c>
      <c r="F3377" s="5">
        <f>(VLOOKUP(Table4[[#This Row],[item_sold]],Table1[],4,FALSE))*Table4[[#This Row],[qty]]</f>
        <v>16.666666666666668</v>
      </c>
      <c r="G3377">
        <f t="shared" si="307"/>
        <v>3.3333333333333321</v>
      </c>
      <c r="H3377" t="s">
        <v>247</v>
      </c>
    </row>
    <row r="3378" spans="1:9" x14ac:dyDescent="0.25">
      <c r="A3378" s="15">
        <f t="shared" si="301"/>
        <v>45537</v>
      </c>
      <c r="B3378" s="31">
        <f>TIME(14,52,0)</f>
        <v>0.61944444444444446</v>
      </c>
      <c r="C3378" t="str">
        <f>'Inventory as of 12th Aug 2024'!A33</f>
        <v>BB Bread 400g</v>
      </c>
      <c r="D3378" s="27">
        <v>1</v>
      </c>
      <c r="E3378" s="5">
        <f>Table4[[#This Row],[qty]]*(VLOOKUP(Table4[[#This Row],[item_sold]],Table1[],5,FALSE))</f>
        <v>65</v>
      </c>
      <c r="F3378" s="5">
        <f>(VLOOKUP(Table4[[#This Row],[item_sold]],Table1[],4,FALSE))*Table4[[#This Row],[qty]]</f>
        <v>60</v>
      </c>
      <c r="G3378">
        <f t="shared" si="307"/>
        <v>5</v>
      </c>
      <c r="H3378" t="s">
        <v>247</v>
      </c>
    </row>
    <row r="3379" spans="1:9" x14ac:dyDescent="0.25">
      <c r="A3379" s="15">
        <f t="shared" si="301"/>
        <v>45537</v>
      </c>
      <c r="B3379" s="31">
        <f>TIME(14,52,0)</f>
        <v>0.61944444444444446</v>
      </c>
      <c r="C3379" t="str">
        <f>'Inventory as of 12th Aug 2024'!A79</f>
        <v xml:space="preserve">Whitewash </v>
      </c>
      <c r="D3379" s="27">
        <v>1</v>
      </c>
      <c r="E3379" s="5">
        <f>Table4[[#This Row],[qty]]*(VLOOKUP(Table4[[#This Row],[item_sold]],Table1[],5,FALSE))</f>
        <v>50</v>
      </c>
      <c r="F3379" s="5">
        <f>(VLOOKUP(Table4[[#This Row],[item_sold]],Table1[],4,FALSE))*Table4[[#This Row],[qty]]</f>
        <v>33.75</v>
      </c>
      <c r="G3379">
        <f t="shared" si="307"/>
        <v>16.25</v>
      </c>
      <c r="H3379" t="s">
        <v>247</v>
      </c>
    </row>
    <row r="3380" spans="1:9" x14ac:dyDescent="0.25">
      <c r="A3380" s="15">
        <f t="shared" si="301"/>
        <v>45537</v>
      </c>
      <c r="B3380" s="31">
        <f>TIME(13,32,0)</f>
        <v>0.56388888888888888</v>
      </c>
      <c r="C3380" t="str">
        <f>'Inventory as of 12th Aug 2024'!A41</f>
        <v>Indomie beef</v>
      </c>
      <c r="D3380" s="27">
        <v>1</v>
      </c>
      <c r="E3380" s="5">
        <f>Table4[[#This Row],[qty]]*(VLOOKUP(Table4[[#This Row],[item_sold]],Table1[],5,FALSE))</f>
        <v>50</v>
      </c>
      <c r="F3380" s="5">
        <f>(VLOOKUP(Table4[[#This Row],[item_sold]],Table1[],4,FALSE))*Table4[[#This Row],[qty]]</f>
        <v>38</v>
      </c>
      <c r="G3380">
        <f t="shared" si="307"/>
        <v>12</v>
      </c>
      <c r="H3380" t="s">
        <v>361</v>
      </c>
    </row>
    <row r="3381" spans="1:9" x14ac:dyDescent="0.25">
      <c r="A3381" s="15">
        <f t="shared" si="301"/>
        <v>45537</v>
      </c>
      <c r="B3381" s="31">
        <f t="shared" ref="B3381:B3386" si="308">TIME(13,32,0)</f>
        <v>0.56388888888888888</v>
      </c>
      <c r="C3381" t="str">
        <f>'Inventory as of 12th Aug 2024'!A141</f>
        <v>Colgate 35g</v>
      </c>
      <c r="D3381" s="27">
        <v>1</v>
      </c>
      <c r="E3381" s="5">
        <f>Table4[[#This Row],[qty]]*(VLOOKUP(Table4[[#This Row],[item_sold]],Table1[],5,FALSE))</f>
        <v>80</v>
      </c>
      <c r="F3381" s="5">
        <f>(VLOOKUP(Table4[[#This Row],[item_sold]],Table1[],4,FALSE))*Table4[[#This Row],[qty]]</f>
        <v>62.5</v>
      </c>
      <c r="G3381">
        <f t="shared" si="307"/>
        <v>17.5</v>
      </c>
      <c r="H3381" t="s">
        <v>430</v>
      </c>
      <c r="I3381" t="s">
        <v>412</v>
      </c>
    </row>
    <row r="3382" spans="1:9" x14ac:dyDescent="0.25">
      <c r="A3382" s="15">
        <f t="shared" si="301"/>
        <v>45537</v>
      </c>
      <c r="B3382" s="31">
        <f t="shared" si="308"/>
        <v>0.56388888888888888</v>
      </c>
      <c r="C3382" t="str">
        <f>'Inventory as of 12th Aug 2024'!A133</f>
        <v>Medium Colgate Toothbrush</v>
      </c>
      <c r="D3382" s="27">
        <v>2</v>
      </c>
      <c r="E3382" s="5">
        <f>Table4[[#This Row],[qty]]*(VLOOKUP(Table4[[#This Row],[item_sold]],Table1[],5,FALSE))</f>
        <v>80</v>
      </c>
      <c r="F3382" s="5">
        <f>(VLOOKUP(Table4[[#This Row],[item_sold]],Table1[],4,FALSE))*Table4[[#This Row],[qty]]</f>
        <v>50</v>
      </c>
      <c r="G3382">
        <f t="shared" si="307"/>
        <v>30</v>
      </c>
      <c r="H3382" t="s">
        <v>430</v>
      </c>
      <c r="I3382" t="s">
        <v>412</v>
      </c>
    </row>
    <row r="3383" spans="1:9" x14ac:dyDescent="0.25">
      <c r="A3383" s="15">
        <f t="shared" si="301"/>
        <v>45537</v>
      </c>
      <c r="B3383" s="31">
        <f t="shared" si="308"/>
        <v>0.56388888888888888</v>
      </c>
      <c r="C3383" t="str">
        <f>'Inventory as of 12th Aug 2024'!A66</f>
        <v>Blueband 250g</v>
      </c>
      <c r="D3383" s="27">
        <v>1</v>
      </c>
      <c r="E3383" s="5">
        <f>Table4[[#This Row],[qty]]*(VLOOKUP(Table4[[#This Row],[item_sold]],Table1[],5,FALSE))</f>
        <v>190</v>
      </c>
      <c r="F3383" s="5">
        <f>(VLOOKUP(Table4[[#This Row],[item_sold]],Table1[],4,FALSE))*Table4[[#This Row],[qty]]</f>
        <v>140</v>
      </c>
      <c r="G3383">
        <f t="shared" si="307"/>
        <v>50</v>
      </c>
      <c r="H3383" t="s">
        <v>430</v>
      </c>
      <c r="I3383" t="s">
        <v>412</v>
      </c>
    </row>
    <row r="3384" spans="1:9" x14ac:dyDescent="0.25">
      <c r="A3384" s="15">
        <f t="shared" si="301"/>
        <v>45537</v>
      </c>
      <c r="B3384" s="31">
        <f t="shared" si="308"/>
        <v>0.56388888888888888</v>
      </c>
      <c r="C3384" t="str">
        <f>'Inventory as of 12th Aug 2024'!A252</f>
        <v>Toothbrush Children</v>
      </c>
      <c r="D3384" s="27">
        <v>1</v>
      </c>
      <c r="E3384" s="5">
        <f>Table4[[#This Row],[qty]]*(VLOOKUP(Table4[[#This Row],[item_sold]],Table1[],5,FALSE))</f>
        <v>30</v>
      </c>
      <c r="F3384" s="5">
        <f>(VLOOKUP(Table4[[#This Row],[item_sold]],Table1[],4,FALSE))*Table4[[#This Row],[qty]]</f>
        <v>19.166666666666668</v>
      </c>
      <c r="G3384">
        <f t="shared" si="307"/>
        <v>10.833333333333332</v>
      </c>
      <c r="H3384" t="s">
        <v>430</v>
      </c>
      <c r="I3384" t="s">
        <v>412</v>
      </c>
    </row>
    <row r="3385" spans="1:9" x14ac:dyDescent="0.25">
      <c r="A3385" s="15">
        <f t="shared" si="301"/>
        <v>45537</v>
      </c>
      <c r="B3385" s="31">
        <f t="shared" si="308"/>
        <v>0.56388888888888888</v>
      </c>
      <c r="C3385" t="str">
        <f>'Inventory as of 12th Aug 2024'!A37</f>
        <v>Festive Bread 400g</v>
      </c>
      <c r="D3385" s="27">
        <v>1</v>
      </c>
      <c r="E3385" s="5">
        <f>Table4[[#This Row],[qty]]*(VLOOKUP(Table4[[#This Row],[item_sold]],Table1[],5,FALSE))</f>
        <v>65</v>
      </c>
      <c r="F3385" s="5">
        <f>(VLOOKUP(Table4[[#This Row],[item_sold]],Table1[],4,FALSE))*Table4[[#This Row],[qty]]</f>
        <v>60</v>
      </c>
      <c r="G3385">
        <f t="shared" si="307"/>
        <v>5</v>
      </c>
      <c r="H3385" t="s">
        <v>430</v>
      </c>
      <c r="I3385" t="s">
        <v>412</v>
      </c>
    </row>
    <row r="3386" spans="1:9" x14ac:dyDescent="0.25">
      <c r="A3386" s="15">
        <f t="shared" si="301"/>
        <v>45537</v>
      </c>
      <c r="B3386" s="31">
        <f t="shared" si="308"/>
        <v>0.56388888888888888</v>
      </c>
      <c r="C3386" t="str">
        <f>'Inventory as of 12th Aug 2024'!A234</f>
        <v>Bigdaddy</v>
      </c>
      <c r="D3386" s="27">
        <v>1</v>
      </c>
      <c r="E3386" s="5">
        <f>Table4[[#This Row],[qty]]*(VLOOKUP(Table4[[#This Row],[item_sold]],Table1[],5,FALSE))</f>
        <v>10</v>
      </c>
      <c r="F3386" s="5">
        <f>(VLOOKUP(Table4[[#This Row],[item_sold]],Table1[],4,FALSE))*Table4[[#This Row],[qty]]</f>
        <v>6</v>
      </c>
      <c r="G3386">
        <f t="shared" si="307"/>
        <v>4</v>
      </c>
      <c r="H3386" t="s">
        <v>247</v>
      </c>
    </row>
    <row r="3387" spans="1:9" x14ac:dyDescent="0.25">
      <c r="A3387" s="15">
        <f t="shared" si="301"/>
        <v>45537</v>
      </c>
      <c r="B3387" s="31">
        <f>TIME(16,4,0)</f>
        <v>0.6694444444444444</v>
      </c>
      <c r="C3387" t="str">
        <f>'Inventory as of 12th Aug 2024'!A212</f>
        <v>soda 300ml glass</v>
      </c>
      <c r="D3387" s="27">
        <v>1</v>
      </c>
      <c r="E3387" s="5">
        <f>Table4[[#This Row],[qty]]*(VLOOKUP(Table4[[#This Row],[item_sold]],Table1[],5,FALSE))</f>
        <v>40</v>
      </c>
      <c r="F3387" s="5">
        <f>(VLOOKUP(Table4[[#This Row],[item_sold]],Table1[],4,FALSE))*Table4[[#This Row],[qty]]</f>
        <v>32.5</v>
      </c>
      <c r="G3387">
        <f t="shared" si="307"/>
        <v>7.5</v>
      </c>
      <c r="H3387" t="s">
        <v>361</v>
      </c>
    </row>
    <row r="3388" spans="1:9" x14ac:dyDescent="0.25">
      <c r="A3388" s="15">
        <f t="shared" si="301"/>
        <v>45537</v>
      </c>
      <c r="B3388" s="31">
        <f>TIME(16,4,0)</f>
        <v>0.6694444444444444</v>
      </c>
      <c r="C3388" t="str">
        <f>'Inventory as of 12th Aug 2024'!A198</f>
        <v>Mandazi</v>
      </c>
      <c r="D3388" s="27">
        <v>1</v>
      </c>
      <c r="E3388" s="5">
        <f>Table4[[#This Row],[qty]]*(VLOOKUP(Table4[[#This Row],[item_sold]],Table1[],5,FALSE))</f>
        <v>5</v>
      </c>
      <c r="F3388" s="5">
        <f>(VLOOKUP(Table4[[#This Row],[item_sold]],Table1[],4,FALSE))*Table4[[#This Row],[qty]]</f>
        <v>4.166666666666667</v>
      </c>
      <c r="G3388">
        <f t="shared" si="307"/>
        <v>0.83333333333333304</v>
      </c>
      <c r="H3388" t="s">
        <v>361</v>
      </c>
    </row>
    <row r="3389" spans="1:9" x14ac:dyDescent="0.25">
      <c r="A3389" s="15">
        <f t="shared" si="301"/>
        <v>45537</v>
      </c>
      <c r="B3389" s="31">
        <f>TIME(17,26,0)</f>
        <v>0.72638888888888886</v>
      </c>
      <c r="C3389" t="str">
        <f>'Inventory as of 12th Aug 2024'!A208</f>
        <v>minutemaid 400ml</v>
      </c>
      <c r="D3389" s="27">
        <v>1</v>
      </c>
      <c r="E3389" s="5">
        <f>Table4[[#This Row],[qty]]*(VLOOKUP(Table4[[#This Row],[item_sold]],Table1[],5,FALSE))</f>
        <v>85</v>
      </c>
      <c r="F3389" s="5">
        <f>(VLOOKUP(Table4[[#This Row],[item_sold]],Table1[],4,FALSE))*Table4[[#This Row],[qty]]</f>
        <v>62.5</v>
      </c>
      <c r="G3389">
        <f t="shared" si="307"/>
        <v>22.5</v>
      </c>
      <c r="H3389" t="s">
        <v>361</v>
      </c>
    </row>
    <row r="3390" spans="1:9" x14ac:dyDescent="0.25">
      <c r="A3390" s="15">
        <f t="shared" si="301"/>
        <v>45537</v>
      </c>
      <c r="B3390" s="31">
        <f t="shared" ref="B3390" si="309">TIME(17,26,0)</f>
        <v>0.72638888888888886</v>
      </c>
      <c r="C3390" t="str">
        <f>'Inventory as of 12th Aug 2024'!A33</f>
        <v>BB Bread 400g</v>
      </c>
      <c r="D3390" s="27">
        <v>1</v>
      </c>
      <c r="E3390" s="5">
        <f>Table4[[#This Row],[qty]]*(VLOOKUP(Table4[[#This Row],[item_sold]],Table1[],5,FALSE))</f>
        <v>65</v>
      </c>
      <c r="F3390" s="5">
        <f>(VLOOKUP(Table4[[#This Row],[item_sold]],Table1[],4,FALSE))*Table4[[#This Row],[qty]]</f>
        <v>60</v>
      </c>
      <c r="G3390">
        <f t="shared" si="307"/>
        <v>5</v>
      </c>
      <c r="H3390" t="s">
        <v>361</v>
      </c>
    </row>
    <row r="3391" spans="1:9" x14ac:dyDescent="0.25">
      <c r="A3391" s="15">
        <f t="shared" si="301"/>
        <v>45537</v>
      </c>
      <c r="B3391" s="31">
        <f>TIME(18,0,0)</f>
        <v>0.75</v>
      </c>
      <c r="C3391" t="str">
        <f>'Inventory as of 12th Aug 2024'!A21</f>
        <v>kinangop250g youghurt</v>
      </c>
      <c r="D3391" s="27">
        <v>1</v>
      </c>
      <c r="E3391" s="5">
        <f>Table4[[#This Row],[qty]]*(VLOOKUP(Table4[[#This Row],[item_sold]],Table1[],5,FALSE))</f>
        <v>60</v>
      </c>
      <c r="F3391" s="5">
        <f>(VLOOKUP(Table4[[#This Row],[item_sold]],Table1[],4,FALSE))*Table4[[#This Row],[qty]]</f>
        <v>48.333333333333336</v>
      </c>
      <c r="G3391">
        <f t="shared" si="307"/>
        <v>11.666666666666664</v>
      </c>
      <c r="H3391" t="s">
        <v>430</v>
      </c>
      <c r="I3391" t="s">
        <v>412</v>
      </c>
    </row>
    <row r="3392" spans="1:9" x14ac:dyDescent="0.25">
      <c r="A3392" s="15">
        <f t="shared" si="301"/>
        <v>45537</v>
      </c>
      <c r="B3392" s="31">
        <f t="shared" ref="B3392:B3393" si="310">TIME(18,0,0)</f>
        <v>0.75</v>
      </c>
      <c r="C3392" t="str">
        <f>'Inventory as of 12th Aug 2024'!A206</f>
        <v>soda 500ml plastic</v>
      </c>
      <c r="D3392" s="27">
        <v>1</v>
      </c>
      <c r="E3392" s="5">
        <f>Table4[[#This Row],[qty]]*(VLOOKUP(Table4[[#This Row],[item_sold]],Table1[],5,FALSE))</f>
        <v>70</v>
      </c>
      <c r="F3392" s="5">
        <f>(VLOOKUP(Table4[[#This Row],[item_sold]],Table1[],4,FALSE))*Table4[[#This Row],[qty]]</f>
        <v>60.416666666666664</v>
      </c>
      <c r="G3392">
        <f t="shared" si="307"/>
        <v>9.5833333333333357</v>
      </c>
      <c r="H3392" t="s">
        <v>430</v>
      </c>
      <c r="I3392" t="s">
        <v>412</v>
      </c>
    </row>
    <row r="3393" spans="1:9" x14ac:dyDescent="0.25">
      <c r="A3393" s="15">
        <f t="shared" si="301"/>
        <v>45537</v>
      </c>
      <c r="B3393" s="31">
        <f t="shared" si="310"/>
        <v>0.75</v>
      </c>
      <c r="C3393" t="str">
        <f>'Inventory as of 12th Aug 2024'!A75</f>
        <v>Cooking Oil Measured</v>
      </c>
      <c r="D3393" s="27">
        <v>0.2</v>
      </c>
      <c r="E3393" s="5">
        <f>Table4[[#This Row],[qty]]*(VLOOKUP(Table4[[#This Row],[item_sold]],Table1[],5,FALSE))</f>
        <v>56</v>
      </c>
      <c r="F3393" s="5">
        <f>(VLOOKUP(Table4[[#This Row],[item_sold]],Table1[],4,FALSE))*Table4[[#This Row],[qty]]</f>
        <v>40</v>
      </c>
      <c r="G3393">
        <f t="shared" si="307"/>
        <v>16</v>
      </c>
      <c r="H3393" t="s">
        <v>430</v>
      </c>
    </row>
    <row r="3394" spans="1:9" x14ac:dyDescent="0.25">
      <c r="A3394" s="15">
        <f t="shared" si="301"/>
        <v>45537</v>
      </c>
      <c r="B3394" s="31">
        <f>TIME(18,31,0)</f>
        <v>0.7715277777777777</v>
      </c>
      <c r="C3394" t="str">
        <f>'Inventory as of 12th Aug 2024'!A244</f>
        <v>5ltrs water</v>
      </c>
      <c r="D3394" s="27">
        <v>1</v>
      </c>
      <c r="E3394" s="5">
        <f>Table4[[#This Row],[qty]]*(VLOOKUP(Table4[[#This Row],[item_sold]],Table1[],5,FALSE))</f>
        <v>120</v>
      </c>
      <c r="F3394" s="5">
        <f>(VLOOKUP(Table4[[#This Row],[item_sold]],Table1[],4,FALSE))*Table4[[#This Row],[qty]]</f>
        <v>75</v>
      </c>
      <c r="G3394">
        <f t="shared" si="307"/>
        <v>45</v>
      </c>
      <c r="H3394" t="s">
        <v>361</v>
      </c>
    </row>
    <row r="3395" spans="1:9" x14ac:dyDescent="0.25">
      <c r="A3395" s="15">
        <f t="shared" si="301"/>
        <v>45537</v>
      </c>
      <c r="B3395" s="31">
        <f>TIME(18,43,0)</f>
        <v>0.77986111111111101</v>
      </c>
      <c r="C3395" t="str">
        <f>'Inventory as of 12th Aug 2024'!A91</f>
        <v>Tomatoes</v>
      </c>
      <c r="D3395" s="27">
        <v>1</v>
      </c>
      <c r="E3395" s="5">
        <f>Table4[[#This Row],[qty]]*(VLOOKUP(Table4[[#This Row],[item_sold]],Table1[],5,FALSE))</f>
        <v>10</v>
      </c>
      <c r="F3395" s="5">
        <f>(VLOOKUP(Table4[[#This Row],[item_sold]],Table1[],4,FALSE))*Table4[[#This Row],[qty]]</f>
        <v>5</v>
      </c>
      <c r="G3395">
        <f t="shared" si="307"/>
        <v>5</v>
      </c>
      <c r="H3395" t="s">
        <v>247</v>
      </c>
    </row>
    <row r="3396" spans="1:9" x14ac:dyDescent="0.25">
      <c r="A3396" s="15">
        <f t="shared" si="301"/>
        <v>45537</v>
      </c>
      <c r="B3396" s="31">
        <f>TIME(18,51,0)</f>
        <v>0.78541666666666676</v>
      </c>
      <c r="C3396" t="str">
        <f>'Inventory as of 12th Aug 2024'!A98</f>
        <v>Ginger</v>
      </c>
      <c r="D3396" s="27">
        <v>1</v>
      </c>
      <c r="E3396" s="5">
        <f>Table4[[#This Row],[qty]]*(VLOOKUP(Table4[[#This Row],[item_sold]],Table1[],5,FALSE))</f>
        <v>20</v>
      </c>
      <c r="F3396" s="5">
        <f>(VLOOKUP(Table4[[#This Row],[item_sold]],Table1[],4,FALSE))*Table4[[#This Row],[qty]]</f>
        <v>10</v>
      </c>
      <c r="G3396">
        <f t="shared" si="307"/>
        <v>10</v>
      </c>
      <c r="H3396" t="s">
        <v>430</v>
      </c>
      <c r="I3396" t="s">
        <v>384</v>
      </c>
    </row>
    <row r="3397" spans="1:9" x14ac:dyDescent="0.25">
      <c r="A3397" s="15">
        <f t="shared" si="301"/>
        <v>45537</v>
      </c>
      <c r="B3397" s="31">
        <f>TIME(18,55,0)</f>
        <v>0.78819444444444453</v>
      </c>
      <c r="C3397" t="str">
        <f>'Inventory as of 12th Aug 2024'!A182</f>
        <v>T.Heat Potato crisps salted 25g</v>
      </c>
      <c r="D3397" s="27">
        <v>2</v>
      </c>
      <c r="E3397" s="5">
        <f>Table4[[#This Row],[qty]]*(VLOOKUP(Table4[[#This Row],[item_sold]],Table1[],5,FALSE))</f>
        <v>60</v>
      </c>
      <c r="F3397" s="5">
        <f>(VLOOKUP(Table4[[#This Row],[item_sold]],Table1[],4,FALSE))*Table4[[#This Row],[qty]]</f>
        <v>45.833333333333336</v>
      </c>
      <c r="G3397">
        <f t="shared" si="307"/>
        <v>14.166666666666664</v>
      </c>
      <c r="H3397" t="s">
        <v>361</v>
      </c>
    </row>
    <row r="3398" spans="1:9" x14ac:dyDescent="0.25">
      <c r="A3398" s="15">
        <f t="shared" si="301"/>
        <v>45537</v>
      </c>
      <c r="B3398" s="31">
        <f>TIME(19,5,0)</f>
        <v>0.79513888888888884</v>
      </c>
      <c r="C3398" t="str">
        <f>'Inventory as of 12th Aug 2024'!A94</f>
        <v>Cabbage</v>
      </c>
      <c r="D3398" s="27">
        <v>1</v>
      </c>
      <c r="E3398" s="5">
        <f>Table4[[#This Row],[qty]]*(VLOOKUP(Table4[[#This Row],[item_sold]],Table1[],5,FALSE))</f>
        <v>180</v>
      </c>
      <c r="F3398" s="5">
        <f>(VLOOKUP(Table4[[#This Row],[item_sold]],Table1[],4,FALSE))*Table4[[#This Row],[qty]]</f>
        <v>120</v>
      </c>
      <c r="G3398">
        <f t="shared" si="307"/>
        <v>60</v>
      </c>
      <c r="H3398" t="s">
        <v>430</v>
      </c>
      <c r="I3398" t="s">
        <v>451</v>
      </c>
    </row>
    <row r="3399" spans="1:9" x14ac:dyDescent="0.25">
      <c r="A3399" s="15">
        <f t="shared" si="301"/>
        <v>45537</v>
      </c>
      <c r="B3399" s="31">
        <f t="shared" ref="B3399:B3402" si="311">TIME(19,5,0)</f>
        <v>0.79513888888888884</v>
      </c>
      <c r="C3399" t="str">
        <f>'Inventory as of 12th Aug 2024'!A37</f>
        <v>Festive Bread 400g</v>
      </c>
      <c r="D3399" s="27">
        <v>1</v>
      </c>
      <c r="E3399" s="5">
        <f>Table4[[#This Row],[qty]]*(VLOOKUP(Table4[[#This Row],[item_sold]],Table1[],5,FALSE))</f>
        <v>65</v>
      </c>
      <c r="F3399" s="5">
        <f>(VLOOKUP(Table4[[#This Row],[item_sold]],Table1[],4,FALSE))*Table4[[#This Row],[qty]]</f>
        <v>60</v>
      </c>
      <c r="G3399">
        <f t="shared" si="307"/>
        <v>5</v>
      </c>
      <c r="H3399" t="s">
        <v>430</v>
      </c>
      <c r="I3399" t="s">
        <v>451</v>
      </c>
    </row>
    <row r="3400" spans="1:9" x14ac:dyDescent="0.25">
      <c r="A3400" s="15">
        <f t="shared" si="301"/>
        <v>45537</v>
      </c>
      <c r="B3400" s="31">
        <f t="shared" si="311"/>
        <v>0.79513888888888884</v>
      </c>
      <c r="C3400" t="str">
        <f>'Inventory as of 12th Aug 2024'!A16</f>
        <v>Mt kenya milk 500ml</v>
      </c>
      <c r="D3400" s="27">
        <v>1</v>
      </c>
      <c r="E3400" s="5">
        <f>Table4[[#This Row],[qty]]*(VLOOKUP(Table4[[#This Row],[item_sold]],Table1[],5,FALSE))</f>
        <v>65</v>
      </c>
      <c r="F3400" s="5">
        <f>(VLOOKUP(Table4[[#This Row],[item_sold]],Table1[],4,FALSE))*Table4[[#This Row],[qty]]</f>
        <v>48.333333333333336</v>
      </c>
      <c r="G3400">
        <f t="shared" si="307"/>
        <v>16.666666666666664</v>
      </c>
      <c r="H3400" t="s">
        <v>430</v>
      </c>
      <c r="I3400" t="s">
        <v>451</v>
      </c>
    </row>
    <row r="3401" spans="1:9" x14ac:dyDescent="0.25">
      <c r="A3401" s="15">
        <f t="shared" ref="A3401:A3409" si="312">DATE(2024,9,2)</f>
        <v>45537</v>
      </c>
      <c r="B3401" s="31">
        <f t="shared" si="311"/>
        <v>0.79513888888888884</v>
      </c>
      <c r="C3401" t="str">
        <f>'Inventory as of 12th Aug 2024'!A68</f>
        <v>Royco cubes</v>
      </c>
      <c r="D3401" s="27">
        <v>6</v>
      </c>
      <c r="E3401" s="5">
        <f>Table4[[#This Row],[qty]]*(VLOOKUP(Table4[[#This Row],[item_sold]],Table1[],5,FALSE))</f>
        <v>30</v>
      </c>
      <c r="F3401" s="5">
        <f>(VLOOKUP(Table4[[#This Row],[item_sold]],Table1[],4,FALSE))*Table4[[#This Row],[qty]]</f>
        <v>18</v>
      </c>
      <c r="G3401">
        <f t="shared" si="307"/>
        <v>12</v>
      </c>
      <c r="H3401" t="s">
        <v>430</v>
      </c>
      <c r="I3401" t="s">
        <v>451</v>
      </c>
    </row>
    <row r="3402" spans="1:9" x14ac:dyDescent="0.25">
      <c r="A3402" s="15">
        <f t="shared" si="312"/>
        <v>45537</v>
      </c>
      <c r="B3402" s="31">
        <f t="shared" si="311"/>
        <v>0.79513888888888884</v>
      </c>
      <c r="C3402" t="str">
        <f>'Inventory as of 12th Aug 2024'!A75</f>
        <v>Cooking Oil Measured</v>
      </c>
      <c r="D3402" s="27">
        <v>0.5</v>
      </c>
      <c r="E3402" s="5">
        <f>Table4[[#This Row],[qty]]*(VLOOKUP(Table4[[#This Row],[item_sold]],Table1[],5,FALSE))</f>
        <v>140</v>
      </c>
      <c r="F3402" s="5">
        <f>(VLOOKUP(Table4[[#This Row],[item_sold]],Table1[],4,FALSE))*Table4[[#This Row],[qty]]</f>
        <v>100</v>
      </c>
      <c r="G3402">
        <f t="shared" si="307"/>
        <v>40</v>
      </c>
      <c r="H3402" t="s">
        <v>430</v>
      </c>
      <c r="I3402" t="s">
        <v>451</v>
      </c>
    </row>
    <row r="3403" spans="1:9" x14ac:dyDescent="0.25">
      <c r="A3403" s="15">
        <f t="shared" si="312"/>
        <v>45537</v>
      </c>
      <c r="B3403" s="31">
        <f>TIME(19,20,0)</f>
        <v>0.80555555555555547</v>
      </c>
      <c r="C3403" t="str">
        <f>'Inventory as of 12th Aug 2024'!A199</f>
        <v>Kdf</v>
      </c>
      <c r="D3403" s="27">
        <v>2</v>
      </c>
      <c r="E3403" s="5">
        <f>Table4[[#This Row],[qty]]*(VLOOKUP(Table4[[#This Row],[item_sold]],Table1[],5,FALSE))</f>
        <v>20</v>
      </c>
      <c r="F3403" s="5">
        <f>(VLOOKUP(Table4[[#This Row],[item_sold]],Table1[],4,FALSE))*Table4[[#This Row],[qty]]</f>
        <v>16.666666666666668</v>
      </c>
      <c r="G3403">
        <f t="shared" si="307"/>
        <v>3.3333333333333321</v>
      </c>
      <c r="H3403" t="s">
        <v>247</v>
      </c>
    </row>
    <row r="3404" spans="1:9" x14ac:dyDescent="0.25">
      <c r="A3404" s="15">
        <f t="shared" si="312"/>
        <v>45537</v>
      </c>
      <c r="B3404" s="31">
        <f t="shared" ref="B3404" si="313">TIME(19,20,0)</f>
        <v>0.80555555555555547</v>
      </c>
      <c r="C3404" t="str">
        <f>'Inventory as of 12th Aug 2024'!A58</f>
        <v>Safari</v>
      </c>
      <c r="D3404" s="27">
        <v>1</v>
      </c>
      <c r="E3404" s="5">
        <f>Table4[[#This Row],[qty]]*(VLOOKUP(Table4[[#This Row],[item_sold]],Table1[],5,FALSE))</f>
        <v>15</v>
      </c>
      <c r="F3404" s="5">
        <f>(VLOOKUP(Table4[[#This Row],[item_sold]],Table1[],4,FALSE))*Table4[[#This Row],[qty]]</f>
        <v>8.5</v>
      </c>
      <c r="G3404">
        <f t="shared" si="307"/>
        <v>6.5</v>
      </c>
      <c r="H3404" t="s">
        <v>247</v>
      </c>
    </row>
    <row r="3405" spans="1:9" x14ac:dyDescent="0.25">
      <c r="A3405" s="15">
        <f t="shared" si="312"/>
        <v>45537</v>
      </c>
      <c r="B3405" s="31">
        <f>TIME(20,44,0)</f>
        <v>0.86388888888888893</v>
      </c>
      <c r="C3405" t="str">
        <f>'Inventory as of 12th Aug 2024'!A54</f>
        <v>Yellow Beans</v>
      </c>
      <c r="D3405" s="27">
        <v>0.5</v>
      </c>
      <c r="E3405" s="5">
        <f>Table4[[#This Row],[qty]]*(VLOOKUP(Table4[[#This Row],[item_sold]],Table1[],5,FALSE))</f>
        <v>90</v>
      </c>
      <c r="F3405" s="5">
        <f>(VLOOKUP(Table4[[#This Row],[item_sold]],Table1[],4,FALSE))*Table4[[#This Row],[qty]]</f>
        <v>62.5</v>
      </c>
      <c r="G3405">
        <f t="shared" si="307"/>
        <v>27.5</v>
      </c>
      <c r="H3405" t="s">
        <v>430</v>
      </c>
      <c r="I3405" t="s">
        <v>390</v>
      </c>
    </row>
    <row r="3406" spans="1:9" x14ac:dyDescent="0.25">
      <c r="A3406" s="15">
        <f t="shared" si="312"/>
        <v>45537</v>
      </c>
      <c r="B3406" s="31">
        <f>TIME(19,45,0)</f>
        <v>0.82291666666666663</v>
      </c>
      <c r="C3406" t="str">
        <f>'Inventory as of 12th Aug 2024'!A58</f>
        <v>Safari</v>
      </c>
      <c r="D3406" s="27">
        <v>2</v>
      </c>
      <c r="E3406" s="5">
        <f>Table4[[#This Row],[qty]]*(VLOOKUP(Table4[[#This Row],[item_sold]],Table1[],5,FALSE))</f>
        <v>30</v>
      </c>
      <c r="F3406" s="5">
        <f>(VLOOKUP(Table4[[#This Row],[item_sold]],Table1[],4,FALSE))*Table4[[#This Row],[qty]]</f>
        <v>17</v>
      </c>
      <c r="G3406">
        <f t="shared" si="307"/>
        <v>13</v>
      </c>
      <c r="H3406" t="s">
        <v>361</v>
      </c>
    </row>
    <row r="3407" spans="1:9" x14ac:dyDescent="0.25">
      <c r="A3407" s="15">
        <f t="shared" si="312"/>
        <v>45537</v>
      </c>
      <c r="B3407" s="31">
        <f>TIME(19,41,0)</f>
        <v>0.82013888888888886</v>
      </c>
      <c r="C3407" t="str">
        <f>'Inventory as of 12th Aug 2024'!A193</f>
        <v>Ginger Bisquit</v>
      </c>
      <c r="D3407" s="27">
        <v>3</v>
      </c>
      <c r="E3407" s="5">
        <f>Table4[[#This Row],[qty]]*(VLOOKUP(Table4[[#This Row],[item_sold]],Table1[],5,FALSE))</f>
        <v>15</v>
      </c>
      <c r="F3407" s="5">
        <f>(VLOOKUP(Table4[[#This Row],[item_sold]],Table1[],4,FALSE))*Table4[[#This Row],[qty]]</f>
        <v>13</v>
      </c>
      <c r="G3407">
        <f t="shared" si="307"/>
        <v>2</v>
      </c>
      <c r="H3407" t="s">
        <v>361</v>
      </c>
    </row>
    <row r="3408" spans="1:9" x14ac:dyDescent="0.25">
      <c r="A3408" s="15">
        <f t="shared" si="312"/>
        <v>45537</v>
      </c>
      <c r="B3408" s="31">
        <f>TIME(20,14,0)</f>
        <v>0.84305555555555556</v>
      </c>
      <c r="C3408" t="str">
        <f>'Inventory as of 12th Aug 2024'!A193</f>
        <v>Ginger Bisquit</v>
      </c>
      <c r="D3408" s="27">
        <v>4</v>
      </c>
      <c r="E3408" s="5">
        <f>Table4[[#This Row],[qty]]*(VLOOKUP(Table4[[#This Row],[item_sold]],Table1[],5,FALSE))</f>
        <v>20</v>
      </c>
      <c r="F3408" s="5">
        <f>(VLOOKUP(Table4[[#This Row],[item_sold]],Table1[],4,FALSE))*Table4[[#This Row],[qty]]</f>
        <v>17.333333333333332</v>
      </c>
      <c r="G3408">
        <f t="shared" si="307"/>
        <v>2.6666666666666679</v>
      </c>
      <c r="H3408" t="s">
        <v>361</v>
      </c>
    </row>
    <row r="3409" spans="1:12" x14ac:dyDescent="0.25">
      <c r="A3409" s="15">
        <f t="shared" si="312"/>
        <v>45537</v>
      </c>
      <c r="B3409" s="31">
        <f>TIME(20,11,0)</f>
        <v>0.84097222222222223</v>
      </c>
      <c r="C3409" t="str">
        <f>'Inventory as of 12th Aug 2024'!A16</f>
        <v>Mt kenya milk 500ml</v>
      </c>
      <c r="D3409" s="27">
        <v>1</v>
      </c>
      <c r="E3409" s="5">
        <f>Table4[[#This Row],[qty]]*(VLOOKUP(Table4[[#This Row],[item_sold]],Table1[],5,FALSE))</f>
        <v>65</v>
      </c>
      <c r="F3409" s="5">
        <f>(VLOOKUP(Table4[[#This Row],[item_sold]],Table1[],4,FALSE))*Table4[[#This Row],[qty]]</f>
        <v>48.333333333333336</v>
      </c>
      <c r="G3409">
        <f t="shared" si="307"/>
        <v>16.666666666666664</v>
      </c>
      <c r="H3409" t="s">
        <v>361</v>
      </c>
    </row>
    <row r="3410" spans="1:12" x14ac:dyDescent="0.25">
      <c r="A3410" s="15">
        <f t="shared" ref="A3410:A3454" si="314">DATE(2024,9,3)</f>
        <v>45538</v>
      </c>
      <c r="B3410" s="31">
        <f>TIME(8,9,0)</f>
        <v>0.33958333333333335</v>
      </c>
      <c r="C3410" t="str">
        <f>'Inventory as of 12th Aug 2024'!A8</f>
        <v>eggs</v>
      </c>
      <c r="D3410" s="27">
        <v>3</v>
      </c>
      <c r="E3410" s="5">
        <f>Table4[[#This Row],[qty]]*(VLOOKUP(Table4[[#This Row],[item_sold]],Table1[],5,FALSE))</f>
        <v>60</v>
      </c>
      <c r="F3410" s="5">
        <f>(VLOOKUP(Table4[[#This Row],[item_sold]],Table1[],4,FALSE))*Table4[[#This Row],[qty]]</f>
        <v>43</v>
      </c>
      <c r="G3410">
        <f t="shared" si="307"/>
        <v>17</v>
      </c>
      <c r="H3410" t="s">
        <v>361</v>
      </c>
      <c r="J3410" t="s">
        <v>394</v>
      </c>
      <c r="K3410">
        <v>125</v>
      </c>
      <c r="L3410" t="s">
        <v>361</v>
      </c>
    </row>
    <row r="3411" spans="1:12" x14ac:dyDescent="0.25">
      <c r="A3411" s="15">
        <f t="shared" si="314"/>
        <v>45538</v>
      </c>
      <c r="B3411" s="31">
        <f>TIME(8,48,0)</f>
        <v>0.3666666666666667</v>
      </c>
      <c r="C3411" t="str">
        <f>'Inventory as of 12th Aug 2024'!A58</f>
        <v>Safari</v>
      </c>
      <c r="D3411" s="27">
        <v>1</v>
      </c>
      <c r="E3411" s="5">
        <f>Table4[[#This Row],[qty]]*(VLOOKUP(Table4[[#This Row],[item_sold]],Table1[],5,FALSE))</f>
        <v>15</v>
      </c>
      <c r="F3411" s="5">
        <f>(VLOOKUP(Table4[[#This Row],[item_sold]],Table1[],4,FALSE))*Table4[[#This Row],[qty]]</f>
        <v>8.5</v>
      </c>
      <c r="G3411">
        <f t="shared" si="307"/>
        <v>6.5</v>
      </c>
      <c r="H3411" t="s">
        <v>247</v>
      </c>
    </row>
    <row r="3412" spans="1:12" x14ac:dyDescent="0.25">
      <c r="A3412" s="15">
        <f t="shared" si="314"/>
        <v>45538</v>
      </c>
      <c r="B3412" s="31">
        <f>TIME(8,49,0)</f>
        <v>0.36736111111111108</v>
      </c>
      <c r="C3412" t="str">
        <f>'Inventory as of 12th Aug 2024'!A33</f>
        <v>BB Bread 400g</v>
      </c>
      <c r="D3412" s="27">
        <v>1</v>
      </c>
      <c r="E3412" s="5">
        <f>Table4[[#This Row],[qty]]*(VLOOKUP(Table4[[#This Row],[item_sold]],Table1[],5,FALSE))</f>
        <v>65</v>
      </c>
      <c r="F3412" s="5">
        <f>(VLOOKUP(Table4[[#This Row],[item_sold]],Table1[],4,FALSE))*Table4[[#This Row],[qty]]</f>
        <v>60</v>
      </c>
      <c r="G3412">
        <f t="shared" si="307"/>
        <v>5</v>
      </c>
      <c r="H3412" t="s">
        <v>361</v>
      </c>
    </row>
    <row r="3413" spans="1:12" x14ac:dyDescent="0.25">
      <c r="A3413" s="15">
        <f t="shared" si="314"/>
        <v>45538</v>
      </c>
      <c r="B3413" s="31">
        <f>TIME(8,57,0)</f>
        <v>0.37291666666666662</v>
      </c>
      <c r="C3413" t="str">
        <f>'Inventory as of 12th Aug 2024'!A79</f>
        <v xml:space="preserve">Whitewash </v>
      </c>
      <c r="D3413" s="27">
        <v>1</v>
      </c>
      <c r="E3413" s="5">
        <f>Table4[[#This Row],[qty]]*(VLOOKUP(Table4[[#This Row],[item_sold]],Table1[],5,FALSE))</f>
        <v>50</v>
      </c>
      <c r="F3413" s="5">
        <f>(VLOOKUP(Table4[[#This Row],[item_sold]],Table1[],4,FALSE))*Table4[[#This Row],[qty]]</f>
        <v>33.75</v>
      </c>
      <c r="G3413">
        <f t="shared" si="307"/>
        <v>16.25</v>
      </c>
      <c r="H3413" t="s">
        <v>430</v>
      </c>
      <c r="I3413" t="s">
        <v>384</v>
      </c>
    </row>
    <row r="3414" spans="1:12" x14ac:dyDescent="0.25">
      <c r="A3414" s="15">
        <f t="shared" si="314"/>
        <v>45538</v>
      </c>
      <c r="B3414" s="31">
        <f t="shared" ref="B3414:B3415" si="315">TIME(8,57,0)</f>
        <v>0.37291666666666662</v>
      </c>
      <c r="C3414" t="str">
        <f>'Inventory as of 12th Aug 2024'!A106</f>
        <v>Steel Wool 15g</v>
      </c>
      <c r="D3414" s="27">
        <v>1</v>
      </c>
      <c r="E3414" s="5">
        <f>Table4[[#This Row],[qty]]*(VLOOKUP(Table4[[#This Row],[item_sold]],Table1[],5,FALSE))</f>
        <v>10</v>
      </c>
      <c r="F3414" s="5">
        <f>(VLOOKUP(Table4[[#This Row],[item_sold]],Table1[],4,FALSE))*Table4[[#This Row],[qty]]</f>
        <v>5.2333333333333334</v>
      </c>
      <c r="G3414">
        <f t="shared" si="307"/>
        <v>4.7666666666666666</v>
      </c>
      <c r="H3414" t="s">
        <v>430</v>
      </c>
      <c r="I3414" t="s">
        <v>384</v>
      </c>
    </row>
    <row r="3415" spans="1:12" x14ac:dyDescent="0.25">
      <c r="A3415" s="15">
        <f t="shared" si="314"/>
        <v>45538</v>
      </c>
      <c r="B3415" s="31">
        <f t="shared" si="315"/>
        <v>0.37291666666666662</v>
      </c>
      <c r="C3415" t="str">
        <f>'Inventory as of 12th Aug 2024'!A82</f>
        <v>ariel 10g</v>
      </c>
      <c r="D3415" s="27">
        <v>1</v>
      </c>
      <c r="E3415" s="5">
        <f>Table4[[#This Row],[qty]]*(VLOOKUP(Table4[[#This Row],[item_sold]],Table1[],5,FALSE))</f>
        <v>15</v>
      </c>
      <c r="F3415" s="5">
        <f>(VLOOKUP(Table4[[#This Row],[item_sold]],Table1[],4,FALSE))*Table4[[#This Row],[qty]]</f>
        <v>9.1666666666666661</v>
      </c>
      <c r="G3415">
        <f t="shared" si="307"/>
        <v>5.8333333333333339</v>
      </c>
      <c r="H3415" t="s">
        <v>430</v>
      </c>
      <c r="I3415" t="s">
        <v>384</v>
      </c>
    </row>
    <row r="3416" spans="1:12" x14ac:dyDescent="0.25">
      <c r="A3416" s="15">
        <f t="shared" si="314"/>
        <v>45538</v>
      </c>
      <c r="B3416" s="31">
        <f>TIME(10,26,0)</f>
        <v>0.43472222222222223</v>
      </c>
      <c r="C3416" t="str">
        <f>'Inventory as of 12th Aug 2024'!A33</f>
        <v>BB Bread 400g</v>
      </c>
      <c r="D3416" s="27">
        <v>1</v>
      </c>
      <c r="E3416" s="5">
        <f>Table4[[#This Row],[qty]]*(VLOOKUP(Table4[[#This Row],[item_sold]],Table1[],5,FALSE))</f>
        <v>65</v>
      </c>
      <c r="F3416" s="5">
        <f>(VLOOKUP(Table4[[#This Row],[item_sold]],Table1[],4,FALSE))*Table4[[#This Row],[qty]]</f>
        <v>60</v>
      </c>
      <c r="G3416">
        <f t="shared" si="307"/>
        <v>5</v>
      </c>
      <c r="H3416" t="s">
        <v>430</v>
      </c>
      <c r="I3416" t="s">
        <v>389</v>
      </c>
    </row>
    <row r="3417" spans="1:12" x14ac:dyDescent="0.25">
      <c r="A3417" s="15">
        <f t="shared" si="314"/>
        <v>45538</v>
      </c>
      <c r="B3417" s="31">
        <f t="shared" ref="B3417:B3418" si="316">TIME(10,26,0)</f>
        <v>0.43472222222222223</v>
      </c>
      <c r="C3417" t="str">
        <f>'Inventory as of 12th Aug 2024'!A17</f>
        <v>Brookside milk 500ml</v>
      </c>
      <c r="D3417" s="27">
        <v>1</v>
      </c>
      <c r="E3417" s="5">
        <f>Table4[[#This Row],[qty]]*(VLOOKUP(Table4[[#This Row],[item_sold]],Table1[],5,FALSE))</f>
        <v>70</v>
      </c>
      <c r="F3417" s="5">
        <f>(VLOOKUP(Table4[[#This Row],[item_sold]],Table1[],4,FALSE))*Table4[[#This Row],[qty]]</f>
        <v>59</v>
      </c>
      <c r="G3417">
        <f t="shared" si="307"/>
        <v>11</v>
      </c>
      <c r="H3417" t="s">
        <v>430</v>
      </c>
      <c r="I3417" t="s">
        <v>389</v>
      </c>
    </row>
    <row r="3418" spans="1:12" x14ac:dyDescent="0.25">
      <c r="A3418" s="15">
        <f t="shared" si="314"/>
        <v>45538</v>
      </c>
      <c r="B3418" s="31">
        <f t="shared" si="316"/>
        <v>0.43472222222222223</v>
      </c>
      <c r="C3418" t="str">
        <f>'Inventory as of 12th Aug 2024'!A8</f>
        <v>eggs</v>
      </c>
      <c r="D3418" s="27">
        <v>2</v>
      </c>
      <c r="E3418" s="5">
        <f>Table4[[#This Row],[qty]]*(VLOOKUP(Table4[[#This Row],[item_sold]],Table1[],5,FALSE))</f>
        <v>40</v>
      </c>
      <c r="F3418" s="5">
        <f>(VLOOKUP(Table4[[#This Row],[item_sold]],Table1[],4,FALSE))*Table4[[#This Row],[qty]]</f>
        <v>28.666666666666668</v>
      </c>
      <c r="G3418">
        <f t="shared" si="307"/>
        <v>11.333333333333332</v>
      </c>
      <c r="H3418" t="s">
        <v>361</v>
      </c>
    </row>
    <row r="3419" spans="1:12" x14ac:dyDescent="0.25">
      <c r="A3419" s="15">
        <f t="shared" si="314"/>
        <v>45538</v>
      </c>
      <c r="B3419" s="31">
        <f>TIME(10,28,0)</f>
        <v>0.43611111111111112</v>
      </c>
      <c r="C3419" t="str">
        <f>'Inventory as of 12th Aug 2024'!A16</f>
        <v>Mt kenya milk 500ml</v>
      </c>
      <c r="D3419" s="27">
        <v>1</v>
      </c>
      <c r="E3419" s="5">
        <f>Table4[[#This Row],[qty]]*(VLOOKUP(Table4[[#This Row],[item_sold]],Table1[],5,FALSE))</f>
        <v>65</v>
      </c>
      <c r="F3419" s="5">
        <f>(VLOOKUP(Table4[[#This Row],[item_sold]],Table1[],4,FALSE))*Table4[[#This Row],[qty]]</f>
        <v>48.333333333333336</v>
      </c>
      <c r="G3419">
        <f t="shared" si="307"/>
        <v>16.666666666666664</v>
      </c>
      <c r="H3419" t="s">
        <v>361</v>
      </c>
      <c r="J3419" t="s">
        <v>417</v>
      </c>
      <c r="K3419">
        <v>145</v>
      </c>
      <c r="L3419" t="s">
        <v>361</v>
      </c>
    </row>
    <row r="3420" spans="1:12" x14ac:dyDescent="0.25">
      <c r="A3420" s="15">
        <f t="shared" si="314"/>
        <v>45538</v>
      </c>
      <c r="B3420" s="31">
        <f>TIME(10,28,0)</f>
        <v>0.43611111111111112</v>
      </c>
      <c r="C3420" t="str">
        <f>'Inventory as of 12th Aug 2024'!A92</f>
        <v>Banana</v>
      </c>
      <c r="D3420" s="27">
        <v>3</v>
      </c>
      <c r="E3420" s="5">
        <f>Table4[[#This Row],[qty]]*(VLOOKUP(Table4[[#This Row],[item_sold]],Table1[],5,FALSE))</f>
        <v>30</v>
      </c>
      <c r="F3420" s="5">
        <f>(VLOOKUP(Table4[[#This Row],[item_sold]],Table1[],4,FALSE))*Table4[[#This Row],[qty]]</f>
        <v>25</v>
      </c>
      <c r="G3420">
        <f t="shared" si="307"/>
        <v>5</v>
      </c>
      <c r="H3420" t="s">
        <v>361</v>
      </c>
      <c r="J3420" t="s">
        <v>394</v>
      </c>
      <c r="K3420">
        <v>230</v>
      </c>
      <c r="L3420" t="s">
        <v>361</v>
      </c>
    </row>
    <row r="3421" spans="1:12" x14ac:dyDescent="0.25">
      <c r="A3421" s="15">
        <f t="shared" si="314"/>
        <v>45538</v>
      </c>
      <c r="B3421" s="31">
        <f>TIME(13,29,0)</f>
        <v>0.56180555555555556</v>
      </c>
      <c r="C3421" t="str">
        <f>'Inventory as of 12th Aug 2024'!A58</f>
        <v>Safari</v>
      </c>
      <c r="D3421" s="27">
        <v>1</v>
      </c>
      <c r="E3421" s="5">
        <f>Table4[[#This Row],[qty]]*(VLOOKUP(Table4[[#This Row],[item_sold]],Table1[],5,FALSE))</f>
        <v>15</v>
      </c>
      <c r="F3421" s="5">
        <f>(VLOOKUP(Table4[[#This Row],[item_sold]],Table1[],4,FALSE))*Table4[[#This Row],[qty]]</f>
        <v>8.5</v>
      </c>
      <c r="G3421">
        <f t="shared" si="307"/>
        <v>6.5</v>
      </c>
      <c r="H3421" t="s">
        <v>247</v>
      </c>
    </row>
    <row r="3422" spans="1:12" x14ac:dyDescent="0.25">
      <c r="A3422" s="15">
        <f t="shared" si="314"/>
        <v>45538</v>
      </c>
      <c r="B3422" s="31">
        <f t="shared" ref="B3422" si="317">TIME(13,29,0)</f>
        <v>0.56180555555555556</v>
      </c>
      <c r="C3422" t="str">
        <f>'Inventory as of 12th Aug 2024'!A188</f>
        <v>Choc-chip Cookies</v>
      </c>
      <c r="D3422" s="27">
        <v>1</v>
      </c>
      <c r="E3422" s="5">
        <f>Table4[[#This Row],[qty]]*(VLOOKUP(Table4[[#This Row],[item_sold]],Table1[],5,FALSE))</f>
        <v>35</v>
      </c>
      <c r="F3422" s="5">
        <f>(VLOOKUP(Table4[[#This Row],[item_sold]],Table1[],4,FALSE))*Table4[[#This Row],[qty]]</f>
        <v>25</v>
      </c>
      <c r="G3422">
        <f t="shared" si="307"/>
        <v>10</v>
      </c>
      <c r="H3422" t="s">
        <v>247</v>
      </c>
    </row>
    <row r="3423" spans="1:12" x14ac:dyDescent="0.25">
      <c r="A3423" s="15">
        <f t="shared" si="314"/>
        <v>45538</v>
      </c>
      <c r="B3423" s="31">
        <f>TIME(15,6,0)</f>
        <v>0.62916666666666665</v>
      </c>
      <c r="C3423" t="str">
        <f>'Inventory as of 12th Aug 2024'!A36</f>
        <v>Festive 800g</v>
      </c>
      <c r="D3423" s="27">
        <v>1</v>
      </c>
      <c r="E3423" s="5">
        <f>Table4[[#This Row],[qty]]*(VLOOKUP(Table4[[#This Row],[item_sold]],Table1[],5,FALSE))</f>
        <v>130</v>
      </c>
      <c r="F3423" s="5">
        <f>(VLOOKUP(Table4[[#This Row],[item_sold]],Table1[],4,FALSE))*Table4[[#This Row],[qty]]</f>
        <v>120</v>
      </c>
      <c r="G3423">
        <f t="shared" si="307"/>
        <v>10</v>
      </c>
      <c r="H3423" t="s">
        <v>361</v>
      </c>
      <c r="J3423" t="s">
        <v>395</v>
      </c>
      <c r="K3423">
        <v>100</v>
      </c>
      <c r="L3423" t="s">
        <v>361</v>
      </c>
    </row>
    <row r="3424" spans="1:12" x14ac:dyDescent="0.25">
      <c r="A3424" s="15">
        <f t="shared" si="314"/>
        <v>45538</v>
      </c>
      <c r="B3424" s="31">
        <f t="shared" ref="B3424:B3425" si="318">TIME(15,6,0)</f>
        <v>0.62916666666666665</v>
      </c>
      <c r="C3424" t="str">
        <f>'Inventory as of 12th Aug 2024'!A212</f>
        <v>soda 300ml glass</v>
      </c>
      <c r="D3424" s="27">
        <v>1</v>
      </c>
      <c r="E3424" s="5">
        <f>Table4[[#This Row],[qty]]*(VLOOKUP(Table4[[#This Row],[item_sold]],Table1[],5,FALSE))</f>
        <v>40</v>
      </c>
      <c r="F3424" s="5">
        <f>(VLOOKUP(Table4[[#This Row],[item_sold]],Table1[],4,FALSE))*Table4[[#This Row],[qty]]</f>
        <v>32.5</v>
      </c>
      <c r="G3424">
        <f t="shared" si="307"/>
        <v>7.5</v>
      </c>
      <c r="H3424" t="s">
        <v>430</v>
      </c>
      <c r="I3424" t="s">
        <v>395</v>
      </c>
    </row>
    <row r="3425" spans="1:12" x14ac:dyDescent="0.25">
      <c r="A3425" s="15">
        <f t="shared" si="314"/>
        <v>45538</v>
      </c>
      <c r="B3425" s="31">
        <f t="shared" si="318"/>
        <v>0.62916666666666665</v>
      </c>
      <c r="C3425" t="str">
        <f>'Inventory as of 12th Aug 2024'!A189</f>
        <v>Peanut Cookies</v>
      </c>
      <c r="D3425" s="27">
        <v>1</v>
      </c>
      <c r="E3425" s="5">
        <f>Table4[[#This Row],[qty]]*(VLOOKUP(Table4[[#This Row],[item_sold]],Table1[],5,FALSE))</f>
        <v>35</v>
      </c>
      <c r="F3425" s="5">
        <f>(VLOOKUP(Table4[[#This Row],[item_sold]],Table1[],4,FALSE))*Table4[[#This Row],[qty]]</f>
        <v>25</v>
      </c>
      <c r="G3425">
        <f t="shared" si="307"/>
        <v>10</v>
      </c>
      <c r="H3425" t="s">
        <v>430</v>
      </c>
    </row>
    <row r="3426" spans="1:12" x14ac:dyDescent="0.25">
      <c r="A3426" s="15">
        <f t="shared" si="314"/>
        <v>45538</v>
      </c>
      <c r="B3426" s="31">
        <f>TIME(15,33,0)</f>
        <v>0.6479166666666667</v>
      </c>
      <c r="C3426" t="str">
        <f>'Inventory as of 12th Aug 2024'!A58</f>
        <v>Safari</v>
      </c>
      <c r="D3426" s="27">
        <v>6</v>
      </c>
      <c r="E3426" s="5">
        <f>Table4[[#This Row],[qty]]*(VLOOKUP(Table4[[#This Row],[item_sold]],Table1[],5,FALSE))</f>
        <v>90</v>
      </c>
      <c r="F3426" s="5">
        <f>(VLOOKUP(Table4[[#This Row],[item_sold]],Table1[],4,FALSE))*Table4[[#This Row],[qty]]</f>
        <v>51</v>
      </c>
      <c r="G3426">
        <f t="shared" si="307"/>
        <v>39</v>
      </c>
      <c r="H3426" t="s">
        <v>247</v>
      </c>
    </row>
    <row r="3427" spans="1:12" x14ac:dyDescent="0.25">
      <c r="A3427" s="15">
        <f t="shared" si="314"/>
        <v>45538</v>
      </c>
      <c r="B3427" s="31">
        <f t="shared" ref="B3427" si="319">TIME(15,33,0)</f>
        <v>0.6479166666666667</v>
      </c>
      <c r="C3427" t="str">
        <f>'Inventory as of 12th Aug 2024'!A120</f>
        <v>Maramoja</v>
      </c>
      <c r="D3427" s="27">
        <v>1</v>
      </c>
      <c r="E3427" s="5">
        <f>Table4[[#This Row],[qty]]*(VLOOKUP(Table4[[#This Row],[item_sold]],Table1[],5,FALSE))</f>
        <v>10</v>
      </c>
      <c r="F3427" s="5">
        <f>(VLOOKUP(Table4[[#This Row],[item_sold]],Table1[],4,FALSE))*Table4[[#This Row],[qty]]</f>
        <v>7</v>
      </c>
      <c r="G3427">
        <f t="shared" si="307"/>
        <v>3</v>
      </c>
      <c r="H3427" t="s">
        <v>247</v>
      </c>
    </row>
    <row r="3428" spans="1:12" x14ac:dyDescent="0.25">
      <c r="A3428" s="15">
        <f t="shared" si="314"/>
        <v>45538</v>
      </c>
      <c r="B3428" s="31">
        <f>TIME(17,40,0)</f>
        <v>0.73611111111111116</v>
      </c>
      <c r="C3428" t="str">
        <f>'Inventory as of 12th Aug 2024'!A35</f>
        <v>Festive 600g</v>
      </c>
      <c r="D3428" s="27">
        <v>1</v>
      </c>
      <c r="E3428" s="5">
        <f>Table4[[#This Row],[qty]]*(VLOOKUP(Table4[[#This Row],[item_sold]],Table1[],5,FALSE))</f>
        <v>100</v>
      </c>
      <c r="F3428" s="5">
        <f>(VLOOKUP(Table4[[#This Row],[item_sold]],Table1[],4,FALSE))*Table4[[#This Row],[qty]]</f>
        <v>90</v>
      </c>
      <c r="G3428">
        <f t="shared" si="307"/>
        <v>10</v>
      </c>
      <c r="H3428" t="s">
        <v>361</v>
      </c>
    </row>
    <row r="3429" spans="1:12" x14ac:dyDescent="0.25">
      <c r="A3429" s="15">
        <f t="shared" si="314"/>
        <v>45538</v>
      </c>
      <c r="B3429" s="31">
        <f>TIME(17,41,0)</f>
        <v>0.7368055555555556</v>
      </c>
      <c r="C3429" t="str">
        <f>'Inventory as of 12th Aug 2024'!A36</f>
        <v>Festive 800g</v>
      </c>
      <c r="D3429" s="27">
        <v>1</v>
      </c>
      <c r="E3429" s="5">
        <f>Table4[[#This Row],[qty]]*(VLOOKUP(Table4[[#This Row],[item_sold]],Table1[],5,FALSE))</f>
        <v>130</v>
      </c>
      <c r="F3429" s="5">
        <f>(VLOOKUP(Table4[[#This Row],[item_sold]],Table1[],4,FALSE))*Table4[[#This Row],[qty]]</f>
        <v>120</v>
      </c>
      <c r="G3429">
        <f t="shared" si="307"/>
        <v>10</v>
      </c>
      <c r="H3429" t="s">
        <v>430</v>
      </c>
      <c r="I3429" t="s">
        <v>428</v>
      </c>
      <c r="J3429" t="s">
        <v>428</v>
      </c>
      <c r="K3429">
        <v>130</v>
      </c>
      <c r="L3429" s="34"/>
    </row>
    <row r="3430" spans="1:12" x14ac:dyDescent="0.25">
      <c r="A3430" s="15">
        <f t="shared" si="314"/>
        <v>45538</v>
      </c>
      <c r="B3430" s="31">
        <f>TIME(17,42,0)</f>
        <v>0.73749999999999993</v>
      </c>
      <c r="C3430" t="str">
        <f>'Inventory as of 12th Aug 2024'!A4</f>
        <v>Safaricom 50 Credit</v>
      </c>
      <c r="D3430" s="27">
        <v>1</v>
      </c>
      <c r="E3430" s="5">
        <f>Table4[[#This Row],[qty]]*(VLOOKUP(Table4[[#This Row],[item_sold]],Table1[],5,FALSE))</f>
        <v>50</v>
      </c>
      <c r="F3430" s="5">
        <f>(VLOOKUP(Table4[[#This Row],[item_sold]],Table1[],4,FALSE))*Table4[[#This Row],[qty]]</f>
        <v>47</v>
      </c>
      <c r="G3430">
        <f t="shared" si="307"/>
        <v>3</v>
      </c>
      <c r="H3430" t="s">
        <v>247</v>
      </c>
    </row>
    <row r="3431" spans="1:12" x14ac:dyDescent="0.25">
      <c r="A3431" s="15">
        <f t="shared" si="314"/>
        <v>45538</v>
      </c>
      <c r="B3431" s="31">
        <f t="shared" ref="B3431:B3434" si="320">TIME(17,42,0)</f>
        <v>0.73749999999999993</v>
      </c>
      <c r="C3431" t="str">
        <f>'Inventory as of 12th Aug 2024'!A2</f>
        <v>Safaricom 20 Credit</v>
      </c>
      <c r="D3431" s="27">
        <v>1</v>
      </c>
      <c r="E3431" s="5">
        <f>Table4[[#This Row],[qty]]*(VLOOKUP(Table4[[#This Row],[item_sold]],Table1[],5,FALSE))</f>
        <v>20</v>
      </c>
      <c r="F3431" s="5">
        <f>(VLOOKUP(Table4[[#This Row],[item_sold]],Table1[],4,FALSE))*Table4[[#This Row],[qty]]</f>
        <v>18</v>
      </c>
      <c r="G3431">
        <f t="shared" si="307"/>
        <v>2</v>
      </c>
      <c r="H3431" t="s">
        <v>247</v>
      </c>
    </row>
    <row r="3432" spans="1:12" x14ac:dyDescent="0.25">
      <c r="A3432" s="15">
        <f t="shared" si="314"/>
        <v>45538</v>
      </c>
      <c r="B3432" s="31">
        <f t="shared" si="320"/>
        <v>0.73749999999999993</v>
      </c>
      <c r="C3432" t="str">
        <f>'Inventory as of 12th Aug 2024'!A91</f>
        <v>Tomatoes</v>
      </c>
      <c r="D3432" s="27">
        <v>1</v>
      </c>
      <c r="E3432" s="5">
        <f>Table4[[#This Row],[qty]]*(VLOOKUP(Table4[[#This Row],[item_sold]],Table1[],5,FALSE))</f>
        <v>10</v>
      </c>
      <c r="F3432" s="5">
        <f>(VLOOKUP(Table4[[#This Row],[item_sold]],Table1[],4,FALSE))*Table4[[#This Row],[qty]]</f>
        <v>5</v>
      </c>
      <c r="G3432">
        <f t="shared" si="307"/>
        <v>5</v>
      </c>
      <c r="H3432" t="s">
        <v>361</v>
      </c>
    </row>
    <row r="3433" spans="1:12" x14ac:dyDescent="0.25">
      <c r="A3433" s="15">
        <f t="shared" si="314"/>
        <v>45538</v>
      </c>
      <c r="B3433" s="31">
        <f t="shared" si="320"/>
        <v>0.73749999999999993</v>
      </c>
      <c r="C3433" t="str">
        <f>'Inventory as of 12th Aug 2024'!A90</f>
        <v>Onion</v>
      </c>
      <c r="D3433" s="27">
        <v>1</v>
      </c>
      <c r="E3433" s="5">
        <f>Table4[[#This Row],[qty]]*(VLOOKUP(Table4[[#This Row],[item_sold]],Table1[],5,FALSE))</f>
        <v>10</v>
      </c>
      <c r="F3433" s="5">
        <f>(VLOOKUP(Table4[[#This Row],[item_sold]],Table1[],4,FALSE))*Table4[[#This Row],[qty]]</f>
        <v>8</v>
      </c>
      <c r="G3433">
        <f t="shared" si="307"/>
        <v>2</v>
      </c>
      <c r="H3433" t="s">
        <v>361</v>
      </c>
    </row>
    <row r="3434" spans="1:12" x14ac:dyDescent="0.25">
      <c r="A3434" s="15">
        <f t="shared" si="314"/>
        <v>45538</v>
      </c>
      <c r="B3434" s="31">
        <f t="shared" si="320"/>
        <v>0.73749999999999993</v>
      </c>
      <c r="C3434" t="str">
        <f>'Inventory as of 12th Aug 2024'!A8</f>
        <v>eggs</v>
      </c>
      <c r="D3434" s="27">
        <v>1</v>
      </c>
      <c r="E3434" s="5">
        <f>Table4[[#This Row],[qty]]*(VLOOKUP(Table4[[#This Row],[item_sold]],Table1[],5,FALSE))</f>
        <v>20</v>
      </c>
      <c r="F3434" s="5">
        <f>(VLOOKUP(Table4[[#This Row],[item_sold]],Table1[],4,FALSE))*Table4[[#This Row],[qty]]</f>
        <v>14.333333333333334</v>
      </c>
      <c r="G3434">
        <f t="shared" ref="G3434:G3497" si="321">E3434-F3434</f>
        <v>5.6666666666666661</v>
      </c>
      <c r="H3434" t="s">
        <v>361</v>
      </c>
    </row>
    <row r="3435" spans="1:12" x14ac:dyDescent="0.25">
      <c r="A3435" s="15">
        <f t="shared" si="314"/>
        <v>45538</v>
      </c>
      <c r="B3435" s="31">
        <f>TIME(18,59,0)</f>
        <v>0.7909722222222223</v>
      </c>
      <c r="C3435" t="str">
        <f>'Inventory as of 12th Aug 2024'!A209</f>
        <v>afia 500ml</v>
      </c>
      <c r="D3435" s="27">
        <v>1</v>
      </c>
      <c r="E3435" s="5">
        <f>Table4[[#This Row],[qty]]*(VLOOKUP(Table4[[#This Row],[item_sold]],Table1[],5,FALSE))</f>
        <v>85</v>
      </c>
      <c r="F3435" s="5">
        <f>(VLOOKUP(Table4[[#This Row],[item_sold]],Table1[],4,FALSE))*Table4[[#This Row],[qty]]</f>
        <v>70.833333333333329</v>
      </c>
      <c r="G3435">
        <f t="shared" si="321"/>
        <v>14.166666666666671</v>
      </c>
      <c r="H3435" t="s">
        <v>361</v>
      </c>
    </row>
    <row r="3436" spans="1:12" x14ac:dyDescent="0.25">
      <c r="A3436" s="15">
        <f t="shared" si="314"/>
        <v>45538</v>
      </c>
      <c r="B3436" s="31">
        <f>TIME(18,59,0)</f>
        <v>0.7909722222222223</v>
      </c>
      <c r="C3436" t="str">
        <f>'Inventory as of 12th Aug 2024'!A231</f>
        <v>Patco</v>
      </c>
      <c r="D3436" s="27">
        <v>6</v>
      </c>
      <c r="E3436" s="5">
        <f>Table4[[#This Row],[qty]]*(VLOOKUP(Table4[[#This Row],[item_sold]],Table1[],5,FALSE))</f>
        <v>15</v>
      </c>
      <c r="F3436" s="5">
        <f>(VLOOKUP(Table4[[#This Row],[item_sold]],Table1[],4,FALSE))*Table4[[#This Row],[qty]]</f>
        <v>7.1999999999999993</v>
      </c>
      <c r="G3436">
        <f t="shared" si="321"/>
        <v>7.8000000000000007</v>
      </c>
      <c r="H3436" t="s">
        <v>361</v>
      </c>
    </row>
    <row r="3437" spans="1:12" x14ac:dyDescent="0.25">
      <c r="A3437" s="15">
        <f t="shared" si="314"/>
        <v>45538</v>
      </c>
      <c r="B3437" s="31">
        <f>TIME(19,19,0)</f>
        <v>0.80486111111111114</v>
      </c>
      <c r="C3437" t="str">
        <f>'Inventory as of 12th Aug 2024'!A47</f>
        <v>Pembe 2kg</v>
      </c>
      <c r="D3437" s="27">
        <v>1</v>
      </c>
      <c r="E3437" s="5">
        <f>Table4[[#This Row],[qty]]*(VLOOKUP(Table4[[#This Row],[item_sold]],Table1[],5,FALSE))</f>
        <v>160</v>
      </c>
      <c r="F3437" s="5">
        <f>(VLOOKUP(Table4[[#This Row],[item_sold]],Table1[],4,FALSE))*Table4[[#This Row],[qty]]</f>
        <v>123.33333333333333</v>
      </c>
      <c r="G3437">
        <f t="shared" si="321"/>
        <v>36.666666666666671</v>
      </c>
      <c r="H3437" t="s">
        <v>361</v>
      </c>
    </row>
    <row r="3438" spans="1:12" x14ac:dyDescent="0.25">
      <c r="A3438" s="15">
        <f t="shared" si="314"/>
        <v>45538</v>
      </c>
      <c r="B3438" s="31">
        <f t="shared" ref="B3438:B3440" si="322">TIME(19,19,0)</f>
        <v>0.80486111111111114</v>
      </c>
      <c r="C3438" t="str">
        <f>'Inventory as of 12th Aug 2024'!A16</f>
        <v>Mt kenya milk 500ml</v>
      </c>
      <c r="D3438" s="27">
        <v>2</v>
      </c>
      <c r="E3438" s="5">
        <f>Table4[[#This Row],[qty]]*(VLOOKUP(Table4[[#This Row],[item_sold]],Table1[],5,FALSE))</f>
        <v>130</v>
      </c>
      <c r="F3438" s="5">
        <f>(VLOOKUP(Table4[[#This Row],[item_sold]],Table1[],4,FALSE))*Table4[[#This Row],[qty]]</f>
        <v>96.666666666666671</v>
      </c>
      <c r="G3438">
        <f t="shared" si="321"/>
        <v>33.333333333333329</v>
      </c>
      <c r="H3438" t="s">
        <v>361</v>
      </c>
    </row>
    <row r="3439" spans="1:12" x14ac:dyDescent="0.25">
      <c r="A3439" s="15">
        <f t="shared" si="314"/>
        <v>45538</v>
      </c>
      <c r="B3439" s="31">
        <f t="shared" si="322"/>
        <v>0.80486111111111114</v>
      </c>
      <c r="C3439" t="str">
        <f>'Inventory as of 12th Aug 2024'!A33</f>
        <v>BB Bread 400g</v>
      </c>
      <c r="D3439" s="27">
        <v>1</v>
      </c>
      <c r="E3439" s="5">
        <f>Table4[[#This Row],[qty]]*(VLOOKUP(Table4[[#This Row],[item_sold]],Table1[],5,FALSE))</f>
        <v>65</v>
      </c>
      <c r="F3439" s="5">
        <f>(VLOOKUP(Table4[[#This Row],[item_sold]],Table1[],4,FALSE))*Table4[[#This Row],[qty]]</f>
        <v>60</v>
      </c>
      <c r="G3439">
        <f t="shared" si="321"/>
        <v>5</v>
      </c>
      <c r="H3439" t="s">
        <v>361</v>
      </c>
    </row>
    <row r="3440" spans="1:12" x14ac:dyDescent="0.25">
      <c r="A3440" s="15">
        <f t="shared" si="314"/>
        <v>45538</v>
      </c>
      <c r="B3440" s="31">
        <f t="shared" si="322"/>
        <v>0.80486111111111114</v>
      </c>
      <c r="C3440" t="str">
        <f>'Inventory as of 12th Aug 2024'!A8</f>
        <v>eggs</v>
      </c>
      <c r="D3440" s="27">
        <v>5</v>
      </c>
      <c r="E3440" s="5">
        <f>Table4[[#This Row],[qty]]*(VLOOKUP(Table4[[#This Row],[item_sold]],Table1[],5,FALSE))</f>
        <v>100</v>
      </c>
      <c r="F3440" s="5">
        <f>(VLOOKUP(Table4[[#This Row],[item_sold]],Table1[],4,FALSE))*Table4[[#This Row],[qty]]</f>
        <v>71.666666666666671</v>
      </c>
      <c r="G3440">
        <f t="shared" si="321"/>
        <v>28.333333333333329</v>
      </c>
      <c r="H3440" t="s">
        <v>361</v>
      </c>
    </row>
    <row r="3441" spans="1:12" x14ac:dyDescent="0.25">
      <c r="A3441" s="15">
        <f t="shared" si="314"/>
        <v>45538</v>
      </c>
      <c r="B3441" s="31">
        <f>TIME(19,1,0)</f>
        <v>0.79236111111111107</v>
      </c>
      <c r="C3441" t="str">
        <f>'Inventory as of 12th Aug 2024'!A188</f>
        <v>Choc-chip Cookies</v>
      </c>
      <c r="D3441" s="27">
        <v>1</v>
      </c>
      <c r="E3441" s="5">
        <f>Table4[[#This Row],[qty]]*(VLOOKUP(Table4[[#This Row],[item_sold]],Table1[],5,FALSE))</f>
        <v>35</v>
      </c>
      <c r="F3441" s="5">
        <f>(VLOOKUP(Table4[[#This Row],[item_sold]],Table1[],4,FALSE))*Table4[[#This Row],[qty]]</f>
        <v>25</v>
      </c>
      <c r="G3441">
        <f t="shared" si="321"/>
        <v>10</v>
      </c>
      <c r="H3441" t="s">
        <v>247</v>
      </c>
    </row>
    <row r="3442" spans="1:12" x14ac:dyDescent="0.25">
      <c r="A3442" s="15">
        <f t="shared" si="314"/>
        <v>45538</v>
      </c>
      <c r="B3442" s="31">
        <f t="shared" ref="B3442" si="323">TIME(19,1,0)</f>
        <v>0.79236111111111107</v>
      </c>
      <c r="C3442" t="str">
        <f>'Inventory as of 12th Aug 2024'!A179</f>
        <v>Bitez</v>
      </c>
      <c r="D3442" s="27">
        <v>1</v>
      </c>
      <c r="E3442" s="5">
        <f>Table4[[#This Row],[qty]]*(VLOOKUP(Table4[[#This Row],[item_sold]],Table1[],5,FALSE))</f>
        <v>15</v>
      </c>
      <c r="F3442" s="5">
        <f>(VLOOKUP(Table4[[#This Row],[item_sold]],Table1[],4,FALSE))*Table4[[#This Row],[qty]]</f>
        <v>8.8000000000000007</v>
      </c>
      <c r="G3442">
        <f t="shared" si="321"/>
        <v>6.1999999999999993</v>
      </c>
      <c r="H3442" t="s">
        <v>247</v>
      </c>
    </row>
    <row r="3443" spans="1:12" x14ac:dyDescent="0.25">
      <c r="A3443" s="15">
        <f t="shared" si="314"/>
        <v>45538</v>
      </c>
      <c r="B3443" s="31">
        <f>TIME(19,8,0)</f>
        <v>0.79722222222222217</v>
      </c>
      <c r="C3443" t="str">
        <f>'Inventory as of 12th Aug 2024'!A69</f>
        <v>Royco Beef Mchuzi Mix</v>
      </c>
      <c r="D3443" s="27">
        <v>1</v>
      </c>
      <c r="E3443" s="5">
        <f>Table4[[#This Row],[qty]]*(VLOOKUP(Table4[[#This Row],[item_sold]],Table1[],5,FALSE))</f>
        <v>10</v>
      </c>
      <c r="F3443" s="5">
        <f>(VLOOKUP(Table4[[#This Row],[item_sold]],Table1[],4,FALSE))*Table4[[#This Row],[qty]]</f>
        <v>8.3333333333333339</v>
      </c>
      <c r="G3443">
        <f t="shared" si="321"/>
        <v>1.6666666666666661</v>
      </c>
      <c r="H3443" t="s">
        <v>247</v>
      </c>
    </row>
    <row r="3444" spans="1:12" x14ac:dyDescent="0.25">
      <c r="A3444" s="15">
        <f t="shared" si="314"/>
        <v>45538</v>
      </c>
      <c r="B3444" s="31">
        <f>TIME(18,19,0)</f>
        <v>0.7631944444444444</v>
      </c>
      <c r="C3444" t="str">
        <f>'Inventory as of 12th Aug 2024'!A240</f>
        <v>Bigboss</v>
      </c>
      <c r="D3444" s="27">
        <v>3</v>
      </c>
      <c r="E3444" s="5">
        <f>Table4[[#This Row],[qty]]*(VLOOKUP(Table4[[#This Row],[item_sold]],Table1[],5,FALSE))</f>
        <v>15</v>
      </c>
      <c r="F3444" s="5">
        <f>(VLOOKUP(Table4[[#This Row],[item_sold]],Table1[],4,FALSE))*Table4[[#This Row],[qty]]</f>
        <v>10.5</v>
      </c>
      <c r="G3444">
        <f t="shared" si="321"/>
        <v>4.5</v>
      </c>
      <c r="H3444" t="s">
        <v>247</v>
      </c>
    </row>
    <row r="3445" spans="1:12" x14ac:dyDescent="0.25">
      <c r="A3445" s="15">
        <f t="shared" si="314"/>
        <v>45538</v>
      </c>
      <c r="B3445" s="31">
        <f>TIME(18,19,0)</f>
        <v>0.7631944444444444</v>
      </c>
      <c r="C3445" t="str">
        <f>'Inventory as of 12th Aug 2024'!A188</f>
        <v>Choc-chip Cookies</v>
      </c>
      <c r="D3445" s="27">
        <v>1</v>
      </c>
      <c r="E3445" s="5">
        <f>Table4[[#This Row],[qty]]*(VLOOKUP(Table4[[#This Row],[item_sold]],Table1[],5,FALSE))</f>
        <v>35</v>
      </c>
      <c r="F3445" s="5">
        <f>(VLOOKUP(Table4[[#This Row],[item_sold]],Table1[],4,FALSE))*Table4[[#This Row],[qty]]</f>
        <v>25</v>
      </c>
      <c r="G3445">
        <f t="shared" si="321"/>
        <v>10</v>
      </c>
      <c r="H3445" t="s">
        <v>247</v>
      </c>
    </row>
    <row r="3446" spans="1:12" x14ac:dyDescent="0.25">
      <c r="A3446" s="15">
        <f t="shared" si="314"/>
        <v>45538</v>
      </c>
      <c r="B3446" s="31">
        <f>TIME(18,29,0)</f>
        <v>0.77013888888888893</v>
      </c>
      <c r="C3446" t="str">
        <f>'Inventory as of 12th Aug 2024'!A58</f>
        <v>Safari</v>
      </c>
      <c r="D3446" s="27">
        <v>1</v>
      </c>
      <c r="E3446" s="5">
        <f>Table4[[#This Row],[qty]]*(VLOOKUP(Table4[[#This Row],[item_sold]],Table1[],5,FALSE))</f>
        <v>15</v>
      </c>
      <c r="F3446" s="5">
        <f>(VLOOKUP(Table4[[#This Row],[item_sold]],Table1[],4,FALSE))*Table4[[#This Row],[qty]]</f>
        <v>8.5</v>
      </c>
      <c r="G3446">
        <f t="shared" si="321"/>
        <v>6.5</v>
      </c>
      <c r="H3446" t="s">
        <v>247</v>
      </c>
      <c r="J3446" t="s">
        <v>451</v>
      </c>
      <c r="K3446">
        <v>480</v>
      </c>
      <c r="L3446" t="s">
        <v>361</v>
      </c>
    </row>
    <row r="3447" spans="1:12" x14ac:dyDescent="0.25">
      <c r="A3447" s="15">
        <f t="shared" si="314"/>
        <v>45538</v>
      </c>
      <c r="B3447" s="31">
        <f>TIME(18,29,0)</f>
        <v>0.77013888888888893</v>
      </c>
      <c r="C3447" t="str">
        <f>'Inventory as of 12th Aug 2024'!A257</f>
        <v>Jamaa soap</v>
      </c>
      <c r="D3447" s="27">
        <v>0.2</v>
      </c>
      <c r="E3447" s="5">
        <f>Table4[[#This Row],[qty]]*(VLOOKUP(Table4[[#This Row],[item_sold]],Table1[],5,FALSE))</f>
        <v>50</v>
      </c>
      <c r="F3447" s="5">
        <f>(VLOOKUP(Table4[[#This Row],[item_sold]],Table1[],4,FALSE))*Table4[[#This Row],[qty]]</f>
        <v>36</v>
      </c>
      <c r="G3447">
        <f t="shared" si="321"/>
        <v>14</v>
      </c>
      <c r="H3447" t="s">
        <v>247</v>
      </c>
    </row>
    <row r="3448" spans="1:12" x14ac:dyDescent="0.25">
      <c r="A3448" s="15">
        <f t="shared" si="314"/>
        <v>45538</v>
      </c>
      <c r="B3448" s="31">
        <f>TIME(19,20,0)</f>
        <v>0.80555555555555547</v>
      </c>
      <c r="C3448" t="str">
        <f>'Inventory as of 12th Aug 2024'!A134</f>
        <v>Hanaan Tissue</v>
      </c>
      <c r="D3448" s="27">
        <v>1</v>
      </c>
      <c r="E3448" s="5">
        <f>Table4[[#This Row],[qty]]*(VLOOKUP(Table4[[#This Row],[item_sold]],Table1[],5,FALSE))</f>
        <v>55</v>
      </c>
      <c r="F3448" s="5">
        <f>(VLOOKUP(Table4[[#This Row],[item_sold]],Table1[],4,FALSE))*Table4[[#This Row],[qty]]</f>
        <v>43</v>
      </c>
      <c r="G3448">
        <f t="shared" si="321"/>
        <v>12</v>
      </c>
      <c r="H3448" t="s">
        <v>430</v>
      </c>
      <c r="I3448" t="s">
        <v>451</v>
      </c>
    </row>
    <row r="3449" spans="1:12" x14ac:dyDescent="0.25">
      <c r="A3449" s="15">
        <f t="shared" si="314"/>
        <v>45538</v>
      </c>
      <c r="B3449" s="31">
        <f t="shared" ref="B3449:B3450" si="324">TIME(19,20,0)</f>
        <v>0.80555555555555547</v>
      </c>
      <c r="C3449" t="str">
        <f>'Inventory as of 12th Aug 2024'!A68</f>
        <v>Royco cubes</v>
      </c>
      <c r="D3449" s="27">
        <v>5</v>
      </c>
      <c r="E3449" s="5">
        <f>Table4[[#This Row],[qty]]*(VLOOKUP(Table4[[#This Row],[item_sold]],Table1[],5,FALSE))</f>
        <v>25</v>
      </c>
      <c r="F3449" s="5">
        <f>(VLOOKUP(Table4[[#This Row],[item_sold]],Table1[],4,FALSE))*Table4[[#This Row],[qty]]</f>
        <v>15</v>
      </c>
      <c r="G3449">
        <f t="shared" si="321"/>
        <v>10</v>
      </c>
      <c r="H3449" t="s">
        <v>430</v>
      </c>
      <c r="I3449" t="s">
        <v>451</v>
      </c>
    </row>
    <row r="3450" spans="1:12" x14ac:dyDescent="0.25">
      <c r="A3450" s="15">
        <f t="shared" si="314"/>
        <v>45538</v>
      </c>
      <c r="B3450" s="31">
        <f t="shared" si="324"/>
        <v>0.80555555555555547</v>
      </c>
      <c r="C3450" t="str">
        <f>'Inventory as of 12th Aug 2024'!A24</f>
        <v>Brookside Lala Natural</v>
      </c>
      <c r="D3450" s="27">
        <v>2</v>
      </c>
      <c r="E3450" s="5">
        <f>Table4[[#This Row],[qty]]*(VLOOKUP(Table4[[#This Row],[item_sold]],Table1[],5,FALSE))</f>
        <v>200</v>
      </c>
      <c r="F3450" s="5">
        <f>(VLOOKUP(Table4[[#This Row],[item_sold]],Table1[],4,FALSE))*Table4[[#This Row],[qty]]</f>
        <v>174</v>
      </c>
      <c r="G3450">
        <f t="shared" si="321"/>
        <v>26</v>
      </c>
      <c r="H3450" t="s">
        <v>430</v>
      </c>
      <c r="I3450" t="s">
        <v>451</v>
      </c>
    </row>
    <row r="3451" spans="1:12" x14ac:dyDescent="0.25">
      <c r="A3451" s="15">
        <f t="shared" si="314"/>
        <v>45538</v>
      </c>
      <c r="B3451" s="31">
        <f>TIME(19,29,0)</f>
        <v>0.81180555555555556</v>
      </c>
      <c r="C3451" t="str">
        <f>'Inventory as of 12th Aug 2024'!A122</f>
        <v>Sonaplast</v>
      </c>
      <c r="D3451" s="27">
        <v>2</v>
      </c>
      <c r="E3451" s="5">
        <f>Table4[[#This Row],[qty]]*(VLOOKUP(Table4[[#This Row],[item_sold]],Table1[],5,FALSE))</f>
        <v>20</v>
      </c>
      <c r="F3451" s="5">
        <f>(VLOOKUP(Table4[[#This Row],[item_sold]],Table1[],4,FALSE))*Table4[[#This Row],[qty]]</f>
        <v>14</v>
      </c>
      <c r="G3451">
        <f t="shared" si="321"/>
        <v>6</v>
      </c>
      <c r="H3451" t="s">
        <v>247</v>
      </c>
    </row>
    <row r="3452" spans="1:12" x14ac:dyDescent="0.25">
      <c r="A3452" s="15">
        <f t="shared" si="314"/>
        <v>45538</v>
      </c>
      <c r="B3452" s="31">
        <f>TIME(19,43,0)</f>
        <v>0.82152777777777775</v>
      </c>
      <c r="C3452" t="str">
        <f>'Inventory as of 12th Aug 2024'!A21</f>
        <v>kinangop250g youghurt</v>
      </c>
      <c r="D3452" s="27">
        <v>2</v>
      </c>
      <c r="E3452" s="5">
        <f>Table4[[#This Row],[qty]]*(VLOOKUP(Table4[[#This Row],[item_sold]],Table1[],5,FALSE))</f>
        <v>120</v>
      </c>
      <c r="F3452" s="5">
        <f>(VLOOKUP(Table4[[#This Row],[item_sold]],Table1[],4,FALSE))*Table4[[#This Row],[qty]]</f>
        <v>96.666666666666671</v>
      </c>
      <c r="G3452">
        <f t="shared" si="321"/>
        <v>23.333333333333329</v>
      </c>
      <c r="H3452" t="s">
        <v>247</v>
      </c>
    </row>
    <row r="3453" spans="1:12" x14ac:dyDescent="0.25">
      <c r="A3453" s="15">
        <f t="shared" si="314"/>
        <v>45538</v>
      </c>
      <c r="B3453" s="31">
        <f>TIME(20,2,0)</f>
        <v>0.83472222222222225</v>
      </c>
      <c r="C3453" t="str">
        <f>'Inventory as of 12th Aug 2024'!A16</f>
        <v>Mt kenya milk 500ml</v>
      </c>
      <c r="D3453" s="27">
        <v>1</v>
      </c>
      <c r="E3453" s="5">
        <f>Table4[[#This Row],[qty]]*(VLOOKUP(Table4[[#This Row],[item_sold]],Table1[],5,FALSE))</f>
        <v>65</v>
      </c>
      <c r="F3453" s="5">
        <f>(VLOOKUP(Table4[[#This Row],[item_sold]],Table1[],4,FALSE))*Table4[[#This Row],[qty]]</f>
        <v>48.333333333333336</v>
      </c>
      <c r="G3453">
        <f t="shared" si="321"/>
        <v>16.666666666666664</v>
      </c>
      <c r="H3453" t="s">
        <v>361</v>
      </c>
    </row>
    <row r="3454" spans="1:12" x14ac:dyDescent="0.25">
      <c r="A3454" s="15">
        <f t="shared" si="314"/>
        <v>45538</v>
      </c>
      <c r="B3454" s="31">
        <f>TIME(20,4,0)</f>
        <v>0.83611111111111114</v>
      </c>
      <c r="C3454" t="str">
        <f>'Inventory as of 12th Aug 2024'!A8</f>
        <v>eggs</v>
      </c>
      <c r="D3454" s="27">
        <v>1</v>
      </c>
      <c r="E3454" s="5">
        <f>Table4[[#This Row],[qty]]*(VLOOKUP(Table4[[#This Row],[item_sold]],Table1[],5,FALSE))</f>
        <v>20</v>
      </c>
      <c r="F3454" s="5">
        <f>(VLOOKUP(Table4[[#This Row],[item_sold]],Table1[],4,FALSE))*Table4[[#This Row],[qty]]</f>
        <v>14.333333333333334</v>
      </c>
      <c r="G3454">
        <f t="shared" si="321"/>
        <v>5.6666666666666661</v>
      </c>
      <c r="H3454" t="s">
        <v>361</v>
      </c>
    </row>
    <row r="3455" spans="1:12" x14ac:dyDescent="0.25">
      <c r="A3455" s="15">
        <f>DATE(2024,9,4)</f>
        <v>45539</v>
      </c>
      <c r="B3455" s="31">
        <f>TIME(8,16,0)</f>
        <v>0.3444444444444445</v>
      </c>
      <c r="C3455" t="str">
        <f>'Inventory as of 12th Aug 2024'!A193</f>
        <v>Ginger Bisquit</v>
      </c>
      <c r="D3455" s="27">
        <v>2</v>
      </c>
      <c r="E3455" s="5">
        <f>Table4[[#This Row],[qty]]*(VLOOKUP(Table4[[#This Row],[item_sold]],Table1[],5,FALSE))</f>
        <v>10</v>
      </c>
      <c r="F3455" s="5">
        <f>(VLOOKUP(Table4[[#This Row],[item_sold]],Table1[],4,FALSE))*Table4[[#This Row],[qty]]</f>
        <v>8.6666666666666661</v>
      </c>
      <c r="G3455">
        <f t="shared" si="321"/>
        <v>1.3333333333333339</v>
      </c>
      <c r="H3455" t="s">
        <v>247</v>
      </c>
    </row>
    <row r="3456" spans="1:12" x14ac:dyDescent="0.25">
      <c r="A3456" s="15">
        <f t="shared" ref="A3456:A3519" si="325">DATE(2024,9,4)</f>
        <v>45539</v>
      </c>
      <c r="B3456" s="31">
        <f t="shared" ref="B3456" si="326">TIME(8,16,0)</f>
        <v>0.3444444444444445</v>
      </c>
      <c r="C3456" t="str">
        <f>'Inventory as of 12th Aug 2024'!A7</f>
        <v>Airtel 50 Credit</v>
      </c>
      <c r="D3456" s="27">
        <v>1</v>
      </c>
      <c r="E3456" s="5">
        <f>Table4[[#This Row],[qty]]*(VLOOKUP(Table4[[#This Row],[item_sold]],Table1[],5,FALSE))</f>
        <v>50</v>
      </c>
      <c r="F3456" s="5">
        <f>(VLOOKUP(Table4[[#This Row],[item_sold]],Table1[],4,FALSE))*Table4[[#This Row],[qty]]</f>
        <v>47</v>
      </c>
      <c r="G3456">
        <f t="shared" si="321"/>
        <v>3</v>
      </c>
      <c r="H3456" t="s">
        <v>247</v>
      </c>
    </row>
    <row r="3457" spans="1:12" x14ac:dyDescent="0.25">
      <c r="A3457" s="15">
        <f t="shared" si="325"/>
        <v>45539</v>
      </c>
      <c r="B3457" s="31">
        <f>TIME(8,32,0)</f>
        <v>0.35555555555555557</v>
      </c>
      <c r="C3457" t="str">
        <f>'Inventory as of 12th Aug 2024'!A107</f>
        <v>Match Box</v>
      </c>
      <c r="D3457" s="27">
        <v>1</v>
      </c>
      <c r="E3457" s="5">
        <f>Table4[[#This Row],[qty]]*(VLOOKUP(Table4[[#This Row],[item_sold]],Table1[],5,FALSE))</f>
        <v>5</v>
      </c>
      <c r="F3457" s="5">
        <f>(VLOOKUP(Table4[[#This Row],[item_sold]],Table1[],4,FALSE))*Table4[[#This Row],[qty]]</f>
        <v>2.3611111111111112</v>
      </c>
      <c r="G3457">
        <f t="shared" si="321"/>
        <v>2.6388888888888888</v>
      </c>
      <c r="H3457" t="s">
        <v>430</v>
      </c>
      <c r="I3457" t="s">
        <v>447</v>
      </c>
      <c r="J3457" t="s">
        <v>447</v>
      </c>
      <c r="K3457">
        <v>20</v>
      </c>
      <c r="L3457" t="s">
        <v>361</v>
      </c>
    </row>
    <row r="3458" spans="1:12" x14ac:dyDescent="0.25">
      <c r="A3458" s="15">
        <f t="shared" si="325"/>
        <v>45539</v>
      </c>
      <c r="B3458" s="31">
        <f t="shared" ref="B3458" si="327">TIME(8,32,0)</f>
        <v>0.35555555555555557</v>
      </c>
      <c r="C3458" t="str">
        <f>'Inventory as of 12th Aug 2024'!A58</f>
        <v>Safari</v>
      </c>
      <c r="D3458" s="27">
        <v>1</v>
      </c>
      <c r="E3458" s="5">
        <f>Table4[[#This Row],[qty]]*(VLOOKUP(Table4[[#This Row],[item_sold]],Table1[],5,FALSE))</f>
        <v>15</v>
      </c>
      <c r="F3458" s="5">
        <f>(VLOOKUP(Table4[[#This Row],[item_sold]],Table1[],4,FALSE))*Table4[[#This Row],[qty]]</f>
        <v>8.5</v>
      </c>
      <c r="G3458">
        <f t="shared" si="321"/>
        <v>6.5</v>
      </c>
      <c r="H3458" t="s">
        <v>430</v>
      </c>
      <c r="I3458" t="s">
        <v>447</v>
      </c>
    </row>
    <row r="3459" spans="1:12" x14ac:dyDescent="0.25">
      <c r="A3459" s="15">
        <f t="shared" si="325"/>
        <v>45539</v>
      </c>
      <c r="B3459" s="31">
        <f>TIME(8,46,0)</f>
        <v>0.36527777777777781</v>
      </c>
      <c r="C3459" t="str">
        <f>'Inventory as of 12th Aug 2024'!A238</f>
        <v>Tropical</v>
      </c>
      <c r="D3459" s="27">
        <v>1</v>
      </c>
      <c r="E3459" s="5">
        <f>Table4[[#This Row],[qty]]*(VLOOKUP(Table4[[#This Row],[item_sold]],Table1[],5,FALSE))</f>
        <v>5</v>
      </c>
      <c r="F3459" s="5">
        <f>(VLOOKUP(Table4[[#This Row],[item_sold]],Table1[],4,FALSE))*Table4[[#This Row],[qty]]</f>
        <v>1.5</v>
      </c>
      <c r="G3459">
        <f t="shared" si="321"/>
        <v>3.5</v>
      </c>
      <c r="H3459" t="s">
        <v>247</v>
      </c>
    </row>
    <row r="3460" spans="1:12" x14ac:dyDescent="0.25">
      <c r="A3460" s="15">
        <f t="shared" si="325"/>
        <v>45539</v>
      </c>
      <c r="B3460" s="31">
        <f t="shared" ref="B3460" si="328">TIME(8,46,0)</f>
        <v>0.36527777777777781</v>
      </c>
      <c r="C3460" t="str">
        <f>'Inventory as of 12th Aug 2024'!A58</f>
        <v>Safari</v>
      </c>
      <c r="D3460" s="27">
        <v>1</v>
      </c>
      <c r="E3460" s="5">
        <f>Table4[[#This Row],[qty]]*(VLOOKUP(Table4[[#This Row],[item_sold]],Table1[],5,FALSE))</f>
        <v>15</v>
      </c>
      <c r="F3460" s="5">
        <f>(VLOOKUP(Table4[[#This Row],[item_sold]],Table1[],4,FALSE))*Table4[[#This Row],[qty]]</f>
        <v>8.5</v>
      </c>
      <c r="G3460">
        <f t="shared" si="321"/>
        <v>6.5</v>
      </c>
      <c r="H3460" t="s">
        <v>247</v>
      </c>
    </row>
    <row r="3461" spans="1:12" x14ac:dyDescent="0.25">
      <c r="A3461" s="15">
        <f t="shared" si="325"/>
        <v>45539</v>
      </c>
      <c r="B3461" s="31">
        <f>TIME(8,48,0)</f>
        <v>0.3666666666666667</v>
      </c>
      <c r="C3461" t="str">
        <f>'Inventory as of 12th Aug 2024'!A244</f>
        <v>5ltrs water</v>
      </c>
      <c r="D3461" s="27">
        <v>1</v>
      </c>
      <c r="E3461" s="5">
        <f>Table4[[#This Row],[qty]]*(VLOOKUP(Table4[[#This Row],[item_sold]],Table1[],5,FALSE))</f>
        <v>120</v>
      </c>
      <c r="F3461" s="5">
        <f>(VLOOKUP(Table4[[#This Row],[item_sold]],Table1[],4,FALSE))*Table4[[#This Row],[qty]]</f>
        <v>75</v>
      </c>
      <c r="G3461">
        <f t="shared" si="321"/>
        <v>45</v>
      </c>
      <c r="H3461" t="s">
        <v>361</v>
      </c>
    </row>
    <row r="3462" spans="1:12" x14ac:dyDescent="0.25">
      <c r="A3462" s="15">
        <f t="shared" si="325"/>
        <v>45539</v>
      </c>
      <c r="B3462" s="31">
        <f>TIME(9,6,0)</f>
        <v>0.37916666666666665</v>
      </c>
      <c r="C3462" t="str">
        <f>'Inventory as of 12th Aug 2024'!A146</f>
        <v>Black Shampoo</v>
      </c>
      <c r="D3462" s="27">
        <v>1</v>
      </c>
      <c r="E3462" s="5">
        <f>Table4[[#This Row],[qty]]*(VLOOKUP(Table4[[#This Row],[item_sold]],Table1[],5,FALSE))</f>
        <v>50</v>
      </c>
      <c r="F3462" s="5">
        <f>(VLOOKUP(Table4[[#This Row],[item_sold]],Table1[],4,FALSE))*Table4[[#This Row],[qty]]</f>
        <v>28</v>
      </c>
      <c r="G3462">
        <f t="shared" si="321"/>
        <v>22</v>
      </c>
      <c r="H3462" t="s">
        <v>247</v>
      </c>
    </row>
    <row r="3463" spans="1:12" x14ac:dyDescent="0.25">
      <c r="A3463" s="15">
        <f t="shared" si="325"/>
        <v>45539</v>
      </c>
      <c r="B3463" s="31">
        <f t="shared" ref="B3463" si="329">TIME(9,6,0)</f>
        <v>0.37916666666666665</v>
      </c>
      <c r="C3463" t="str">
        <f>'Inventory as of 12th Aug 2024'!A7</f>
        <v>Airtel 50 Credit</v>
      </c>
      <c r="D3463" s="27">
        <v>1</v>
      </c>
      <c r="E3463" s="5">
        <f>Table4[[#This Row],[qty]]*(VLOOKUP(Table4[[#This Row],[item_sold]],Table1[],5,FALSE))</f>
        <v>50</v>
      </c>
      <c r="F3463" s="5">
        <f>(VLOOKUP(Table4[[#This Row],[item_sold]],Table1[],4,FALSE))*Table4[[#This Row],[qty]]</f>
        <v>47</v>
      </c>
      <c r="G3463">
        <f t="shared" si="321"/>
        <v>3</v>
      </c>
      <c r="H3463" t="s">
        <v>247</v>
      </c>
    </row>
    <row r="3464" spans="1:12" x14ac:dyDescent="0.25">
      <c r="A3464" s="15">
        <f t="shared" si="325"/>
        <v>45539</v>
      </c>
      <c r="B3464" s="31">
        <f>TIME(9,44,0)</f>
        <v>0.4055555555555555</v>
      </c>
      <c r="C3464" t="str">
        <f>'Inventory as of 12th Aug 2024'!A215</f>
        <v>Blueband 100g</v>
      </c>
      <c r="D3464" s="27">
        <v>1</v>
      </c>
      <c r="E3464" s="5">
        <f>Table4[[#This Row],[qty]]*(VLOOKUP(Table4[[#This Row],[item_sold]],Table1[],5,FALSE))</f>
        <v>70</v>
      </c>
      <c r="F3464" s="5">
        <f>(VLOOKUP(Table4[[#This Row],[item_sold]],Table1[],4,FALSE))*Table4[[#This Row],[qty]]</f>
        <v>58.333333333333336</v>
      </c>
      <c r="G3464">
        <f t="shared" si="321"/>
        <v>11.666666666666664</v>
      </c>
      <c r="H3464" t="s">
        <v>247</v>
      </c>
    </row>
    <row r="3465" spans="1:12" x14ac:dyDescent="0.25">
      <c r="A3465" s="15">
        <f t="shared" si="325"/>
        <v>45539</v>
      </c>
      <c r="B3465" s="31">
        <f t="shared" ref="B3465:B3466" si="330">TIME(9,44,0)</f>
        <v>0.4055555555555555</v>
      </c>
      <c r="C3465" t="str">
        <f>'Inventory as of 12th Aug 2024'!A35</f>
        <v>Festive 600g</v>
      </c>
      <c r="D3465" s="27">
        <v>1</v>
      </c>
      <c r="E3465" s="5">
        <f>Table4[[#This Row],[qty]]*(VLOOKUP(Table4[[#This Row],[item_sold]],Table1[],5,FALSE))</f>
        <v>100</v>
      </c>
      <c r="F3465" s="5">
        <f>(VLOOKUP(Table4[[#This Row],[item_sold]],Table1[],4,FALSE))*Table4[[#This Row],[qty]]</f>
        <v>90</v>
      </c>
      <c r="G3465">
        <f t="shared" si="321"/>
        <v>10</v>
      </c>
      <c r="H3465" t="s">
        <v>247</v>
      </c>
      <c r="J3465" t="s">
        <v>443</v>
      </c>
      <c r="K3465">
        <v>30</v>
      </c>
      <c r="L3465" t="s">
        <v>247</v>
      </c>
    </row>
    <row r="3466" spans="1:12" x14ac:dyDescent="0.25">
      <c r="A3466" s="15">
        <f t="shared" si="325"/>
        <v>45539</v>
      </c>
      <c r="B3466" s="31">
        <f t="shared" si="330"/>
        <v>0.4055555555555555</v>
      </c>
      <c r="C3466" t="str">
        <f>'Inventory as of 12th Aug 2024'!A193</f>
        <v>Ginger Bisquit</v>
      </c>
      <c r="D3466" s="27">
        <v>2</v>
      </c>
      <c r="E3466" s="5">
        <f>Table4[[#This Row],[qty]]*(VLOOKUP(Table4[[#This Row],[item_sold]],Table1[],5,FALSE))</f>
        <v>10</v>
      </c>
      <c r="F3466" s="5">
        <f>(VLOOKUP(Table4[[#This Row],[item_sold]],Table1[],4,FALSE))*Table4[[#This Row],[qty]]</f>
        <v>8.6666666666666661</v>
      </c>
      <c r="G3466">
        <f t="shared" si="321"/>
        <v>1.3333333333333339</v>
      </c>
      <c r="H3466" t="s">
        <v>247</v>
      </c>
    </row>
    <row r="3467" spans="1:12" x14ac:dyDescent="0.25">
      <c r="A3467" s="15">
        <f t="shared" si="325"/>
        <v>45539</v>
      </c>
      <c r="B3467" s="31">
        <f>TIME(10,15,0)</f>
        <v>0.42708333333333331</v>
      </c>
      <c r="C3467" t="str">
        <f>'Inventory as of 12th Aug 2024'!A71</f>
        <v>Sugar 1/4 kg</v>
      </c>
      <c r="D3467" s="27">
        <v>1</v>
      </c>
      <c r="E3467" s="5">
        <f>Table4[[#This Row],[qty]]*(VLOOKUP(Table4[[#This Row],[item_sold]],Table1[],5,FALSE))</f>
        <v>45</v>
      </c>
      <c r="F3467" s="5">
        <f>(VLOOKUP(Table4[[#This Row],[item_sold]],Table1[],4,FALSE))*Table4[[#This Row],[qty]]</f>
        <v>30</v>
      </c>
      <c r="G3467">
        <f t="shared" si="321"/>
        <v>15</v>
      </c>
      <c r="H3467" t="s">
        <v>430</v>
      </c>
      <c r="I3467" t="s">
        <v>385</v>
      </c>
    </row>
    <row r="3468" spans="1:12" x14ac:dyDescent="0.25">
      <c r="A3468" s="15">
        <f t="shared" si="325"/>
        <v>45539</v>
      </c>
      <c r="B3468" s="31">
        <f t="shared" ref="B3468" si="331">TIME(10,15,0)</f>
        <v>0.42708333333333331</v>
      </c>
      <c r="C3468" t="str">
        <f>'Inventory as of 12th Aug 2024'!A16</f>
        <v>Mt kenya milk 500ml</v>
      </c>
      <c r="D3468" s="27">
        <v>1</v>
      </c>
      <c r="E3468" s="5">
        <f>Table4[[#This Row],[qty]]*(VLOOKUP(Table4[[#This Row],[item_sold]],Table1[],5,FALSE))</f>
        <v>65</v>
      </c>
      <c r="F3468" s="5">
        <f>(VLOOKUP(Table4[[#This Row],[item_sold]],Table1[],4,FALSE))*Table4[[#This Row],[qty]]</f>
        <v>48.333333333333336</v>
      </c>
      <c r="G3468">
        <f t="shared" si="321"/>
        <v>16.666666666666664</v>
      </c>
      <c r="H3468" t="s">
        <v>430</v>
      </c>
      <c r="I3468" t="s">
        <v>385</v>
      </c>
    </row>
    <row r="3469" spans="1:12" x14ac:dyDescent="0.25">
      <c r="A3469" s="15">
        <f t="shared" si="325"/>
        <v>45539</v>
      </c>
      <c r="B3469" s="31">
        <f>TIME(11,59,0)</f>
        <v>0.4993055555555555</v>
      </c>
      <c r="C3469" t="str">
        <f>'Inventory as of 12th Aug 2024'!A4</f>
        <v>Safaricom 50 Credit</v>
      </c>
      <c r="D3469" s="27">
        <v>1</v>
      </c>
      <c r="E3469" s="5">
        <f>Table4[[#This Row],[qty]]*(VLOOKUP(Table4[[#This Row],[item_sold]],Table1[],5,FALSE))</f>
        <v>50</v>
      </c>
      <c r="F3469" s="5">
        <f>(VLOOKUP(Table4[[#This Row],[item_sold]],Table1[],4,FALSE))*Table4[[#This Row],[qty]]</f>
        <v>47</v>
      </c>
      <c r="G3469">
        <f t="shared" si="321"/>
        <v>3</v>
      </c>
      <c r="H3469" t="s">
        <v>247</v>
      </c>
    </row>
    <row r="3470" spans="1:12" x14ac:dyDescent="0.25">
      <c r="A3470" s="15">
        <f t="shared" si="325"/>
        <v>45539</v>
      </c>
      <c r="B3470" s="31">
        <f>TIME(13,9,0)</f>
        <v>0.54791666666666672</v>
      </c>
      <c r="C3470" t="str">
        <f>'Inventory as of 12th Aug 2024'!A8</f>
        <v>eggs</v>
      </c>
      <c r="D3470" s="27">
        <v>2</v>
      </c>
      <c r="E3470" s="5">
        <f>Table4[[#This Row],[qty]]*(VLOOKUP(Table4[[#This Row],[item_sold]],Table1[],5,FALSE))</f>
        <v>40</v>
      </c>
      <c r="F3470" s="5">
        <f>(VLOOKUP(Table4[[#This Row],[item_sold]],Table1[],4,FALSE))*Table4[[#This Row],[qty]]</f>
        <v>28.666666666666668</v>
      </c>
      <c r="G3470">
        <f t="shared" si="321"/>
        <v>11.333333333333332</v>
      </c>
      <c r="H3470" t="s">
        <v>430</v>
      </c>
      <c r="I3470" t="s">
        <v>417</v>
      </c>
    </row>
    <row r="3471" spans="1:12" x14ac:dyDescent="0.25">
      <c r="A3471" s="15">
        <f t="shared" si="325"/>
        <v>45539</v>
      </c>
      <c r="B3471" s="31">
        <f>TIME(13,10,0)</f>
        <v>0.54861111111111105</v>
      </c>
      <c r="C3471" t="str">
        <f>'Inventory as of 12th Aug 2024'!A10</f>
        <v>Mt Kenya milk 200ml</v>
      </c>
      <c r="D3471" s="27">
        <v>1</v>
      </c>
      <c r="E3471" s="5">
        <f>Table4[[#This Row],[qty]]*(VLOOKUP(Table4[[#This Row],[item_sold]],Table1[],5,FALSE))</f>
        <v>35</v>
      </c>
      <c r="F3471" s="5">
        <f>(VLOOKUP(Table4[[#This Row],[item_sold]],Table1[],4,FALSE))*Table4[[#This Row],[qty]]</f>
        <v>24.285714285714285</v>
      </c>
      <c r="G3471">
        <f t="shared" si="321"/>
        <v>10.714285714285715</v>
      </c>
      <c r="H3471" t="s">
        <v>247</v>
      </c>
    </row>
    <row r="3472" spans="1:12" x14ac:dyDescent="0.25">
      <c r="A3472" s="15">
        <f t="shared" si="325"/>
        <v>45539</v>
      </c>
      <c r="B3472" s="31">
        <f>TIME(13,15,0)</f>
        <v>0.55208333333333337</v>
      </c>
      <c r="C3472" t="str">
        <f>'Inventory as of 12th Aug 2024'!A58</f>
        <v>Safari</v>
      </c>
      <c r="D3472" s="27">
        <v>1</v>
      </c>
      <c r="E3472" s="5">
        <f>Table4[[#This Row],[qty]]*(VLOOKUP(Table4[[#This Row],[item_sold]],Table1[],5,FALSE))</f>
        <v>15</v>
      </c>
      <c r="F3472" s="5">
        <f>(VLOOKUP(Table4[[#This Row],[item_sold]],Table1[],4,FALSE))*Table4[[#This Row],[qty]]</f>
        <v>8.5</v>
      </c>
      <c r="G3472">
        <f t="shared" si="321"/>
        <v>6.5</v>
      </c>
      <c r="H3472" t="s">
        <v>361</v>
      </c>
    </row>
    <row r="3473" spans="1:9" x14ac:dyDescent="0.25">
      <c r="A3473" s="15">
        <f t="shared" si="325"/>
        <v>45539</v>
      </c>
      <c r="B3473" s="31">
        <f>TIME(13,24,0)</f>
        <v>0.55833333333333335</v>
      </c>
      <c r="C3473" t="str">
        <f>'Inventory as of 12th Aug 2024'!A75</f>
        <v>Cooking Oil Measured</v>
      </c>
      <c r="D3473" s="27">
        <v>0.5</v>
      </c>
      <c r="E3473" s="5">
        <f>Table4[[#This Row],[qty]]*(VLOOKUP(Table4[[#This Row],[item_sold]],Table1[],5,FALSE))</f>
        <v>140</v>
      </c>
      <c r="F3473" s="5">
        <f>(VLOOKUP(Table4[[#This Row],[item_sold]],Table1[],4,FALSE))*Table4[[#This Row],[qty]]</f>
        <v>100</v>
      </c>
      <c r="G3473">
        <f t="shared" si="321"/>
        <v>40</v>
      </c>
      <c r="H3473" t="s">
        <v>430</v>
      </c>
      <c r="I3473" t="s">
        <v>384</v>
      </c>
    </row>
    <row r="3474" spans="1:9" x14ac:dyDescent="0.25">
      <c r="A3474" s="15">
        <f t="shared" si="325"/>
        <v>45539</v>
      </c>
      <c r="B3474" s="31">
        <f>TIME(13,37,0)</f>
        <v>0.56736111111111109</v>
      </c>
      <c r="C3474" t="str">
        <f>'Inventory as of 12th Aug 2024'!A92</f>
        <v>Banana</v>
      </c>
      <c r="D3474" s="27">
        <v>2</v>
      </c>
      <c r="E3474" s="5">
        <f>Table4[[#This Row],[qty]]*(VLOOKUP(Table4[[#This Row],[item_sold]],Table1[],5,FALSE))</f>
        <v>20</v>
      </c>
      <c r="F3474" s="5">
        <f>(VLOOKUP(Table4[[#This Row],[item_sold]],Table1[],4,FALSE))*Table4[[#This Row],[qty]]</f>
        <v>16.666666666666668</v>
      </c>
      <c r="G3474">
        <f t="shared" si="321"/>
        <v>3.3333333333333321</v>
      </c>
      <c r="H3474" t="s">
        <v>247</v>
      </c>
    </row>
    <row r="3475" spans="1:9" x14ac:dyDescent="0.25">
      <c r="A3475" s="15">
        <f t="shared" si="325"/>
        <v>45539</v>
      </c>
      <c r="B3475" s="31">
        <f t="shared" ref="B3475" si="332">TIME(13,37,0)</f>
        <v>0.56736111111111109</v>
      </c>
      <c r="C3475" t="str">
        <f>'Inventory as of 12th Aug 2024'!A209</f>
        <v>afia 500ml</v>
      </c>
      <c r="D3475" s="27">
        <v>1</v>
      </c>
      <c r="E3475" s="5">
        <f>Table4[[#This Row],[qty]]*(VLOOKUP(Table4[[#This Row],[item_sold]],Table1[],5,FALSE))</f>
        <v>85</v>
      </c>
      <c r="F3475" s="5">
        <f>(VLOOKUP(Table4[[#This Row],[item_sold]],Table1[],4,FALSE))*Table4[[#This Row],[qty]]</f>
        <v>70.833333333333329</v>
      </c>
      <c r="G3475">
        <f t="shared" si="321"/>
        <v>14.166666666666671</v>
      </c>
      <c r="H3475" t="s">
        <v>430</v>
      </c>
      <c r="I3475" t="s">
        <v>401</v>
      </c>
    </row>
    <row r="3476" spans="1:9" x14ac:dyDescent="0.25">
      <c r="A3476" s="15">
        <f t="shared" si="325"/>
        <v>45539</v>
      </c>
      <c r="B3476" s="31">
        <f>TIME(13,47,0)</f>
        <v>0.57430555555555551</v>
      </c>
      <c r="C3476" t="str">
        <f>'Inventory as of 12th Aug 2024'!A68</f>
        <v>Royco cubes</v>
      </c>
      <c r="D3476" s="27">
        <v>2</v>
      </c>
      <c r="E3476" s="5">
        <f>Table4[[#This Row],[qty]]*(VLOOKUP(Table4[[#This Row],[item_sold]],Table1[],5,FALSE))</f>
        <v>10</v>
      </c>
      <c r="F3476" s="5">
        <f>(VLOOKUP(Table4[[#This Row],[item_sold]],Table1[],4,FALSE))*Table4[[#This Row],[qty]]</f>
        <v>6</v>
      </c>
      <c r="G3476">
        <f t="shared" si="321"/>
        <v>4</v>
      </c>
      <c r="H3476" t="s">
        <v>430</v>
      </c>
      <c r="I3476" t="s">
        <v>384</v>
      </c>
    </row>
    <row r="3477" spans="1:9" x14ac:dyDescent="0.25">
      <c r="A3477" s="15">
        <f t="shared" si="325"/>
        <v>45539</v>
      </c>
      <c r="B3477" s="31">
        <f t="shared" ref="B3477" si="333">TIME(13,47,0)</f>
        <v>0.57430555555555551</v>
      </c>
      <c r="C3477" t="str">
        <f>'Inventory as of 12th Aug 2024'!A70</f>
        <v>Sugar 1/2 kg</v>
      </c>
      <c r="D3477" s="27">
        <v>1</v>
      </c>
      <c r="E3477" s="5">
        <f>Table4[[#This Row],[qty]]*(VLOOKUP(Table4[[#This Row],[item_sold]],Table1[],5,FALSE))</f>
        <v>90</v>
      </c>
      <c r="F3477" s="5">
        <f>(VLOOKUP(Table4[[#This Row],[item_sold]],Table1[],4,FALSE))*Table4[[#This Row],[qty]]</f>
        <v>60</v>
      </c>
      <c r="G3477">
        <f t="shared" si="321"/>
        <v>30</v>
      </c>
      <c r="H3477" t="s">
        <v>430</v>
      </c>
      <c r="I3477" t="s">
        <v>384</v>
      </c>
    </row>
    <row r="3478" spans="1:9" x14ac:dyDescent="0.25">
      <c r="A3478" s="15">
        <f t="shared" si="325"/>
        <v>45539</v>
      </c>
      <c r="B3478" s="31">
        <f>TIME(14,39,0)</f>
        <v>0.61041666666666672</v>
      </c>
      <c r="C3478" t="str">
        <f>'Inventory as of 12th Aug 2024'!A205</f>
        <v xml:space="preserve"> soda 1.25lts</v>
      </c>
      <c r="D3478" s="27">
        <v>1</v>
      </c>
      <c r="E3478" s="5">
        <f>Table4[[#This Row],[qty]]*(VLOOKUP(Table4[[#This Row],[item_sold]],Table1[],5,FALSE))</f>
        <v>130</v>
      </c>
      <c r="F3478" s="5">
        <f>(VLOOKUP(Table4[[#This Row],[item_sold]],Table1[],4,FALSE))*Table4[[#This Row],[qty]]</f>
        <v>112.5</v>
      </c>
      <c r="G3478">
        <f t="shared" si="321"/>
        <v>17.5</v>
      </c>
      <c r="H3478" t="s">
        <v>361</v>
      </c>
    </row>
    <row r="3479" spans="1:9" x14ac:dyDescent="0.25">
      <c r="A3479" s="15">
        <f t="shared" si="325"/>
        <v>45539</v>
      </c>
      <c r="B3479" s="31">
        <f t="shared" ref="B3479" si="334">TIME(14,39,0)</f>
        <v>0.61041666666666672</v>
      </c>
      <c r="C3479" t="str">
        <f>'Inventory as of 12th Aug 2024'!A182</f>
        <v>T.Heat Potato crisps salted 25g</v>
      </c>
      <c r="D3479" s="27">
        <v>4</v>
      </c>
      <c r="E3479" s="5">
        <f>Table4[[#This Row],[qty]]*(VLOOKUP(Table4[[#This Row],[item_sold]],Table1[],5,FALSE))</f>
        <v>120</v>
      </c>
      <c r="F3479" s="5">
        <f>(VLOOKUP(Table4[[#This Row],[item_sold]],Table1[],4,FALSE))*Table4[[#This Row],[qty]]</f>
        <v>91.666666666666671</v>
      </c>
      <c r="G3479">
        <f t="shared" si="321"/>
        <v>28.333333333333329</v>
      </c>
      <c r="H3479" t="s">
        <v>361</v>
      </c>
    </row>
    <row r="3480" spans="1:9" x14ac:dyDescent="0.25">
      <c r="A3480" s="15">
        <f t="shared" si="325"/>
        <v>45539</v>
      </c>
      <c r="B3480" s="31">
        <f>TIME(16,46,0)</f>
        <v>0.69861111111111107</v>
      </c>
      <c r="C3480" t="str">
        <f>'Inventory as of 12th Aug 2024'!A36</f>
        <v>Festive 800g</v>
      </c>
      <c r="D3480" s="27">
        <v>1</v>
      </c>
      <c r="E3480" s="5">
        <f>Table4[[#This Row],[qty]]*(VLOOKUP(Table4[[#This Row],[item_sold]],Table1[],5,FALSE))</f>
        <v>130</v>
      </c>
      <c r="F3480" s="5">
        <f>(VLOOKUP(Table4[[#This Row],[item_sold]],Table1[],4,FALSE))*Table4[[#This Row],[qty]]</f>
        <v>120</v>
      </c>
      <c r="G3480">
        <f t="shared" si="321"/>
        <v>10</v>
      </c>
      <c r="H3480" t="s">
        <v>430</v>
      </c>
      <c r="I3480" t="s">
        <v>428</v>
      </c>
    </row>
    <row r="3481" spans="1:9" x14ac:dyDescent="0.25">
      <c r="A3481" s="15">
        <f t="shared" si="325"/>
        <v>45539</v>
      </c>
      <c r="B3481" s="31">
        <f>TIME(16,41,0)</f>
        <v>0.69513888888888886</v>
      </c>
      <c r="C3481" t="str">
        <f>'Inventory as of 12th Aug 2024'!A107</f>
        <v>Match Box</v>
      </c>
      <c r="D3481" s="27">
        <v>2</v>
      </c>
      <c r="E3481" s="5">
        <f>Table4[[#This Row],[qty]]*(VLOOKUP(Table4[[#This Row],[item_sold]],Table1[],5,FALSE))</f>
        <v>10</v>
      </c>
      <c r="F3481" s="5">
        <f>(VLOOKUP(Table4[[#This Row],[item_sold]],Table1[],4,FALSE))*Table4[[#This Row],[qty]]</f>
        <v>4.7222222222222223</v>
      </c>
      <c r="G3481">
        <f t="shared" si="321"/>
        <v>5.2777777777777777</v>
      </c>
      <c r="H3481" t="s">
        <v>247</v>
      </c>
    </row>
    <row r="3482" spans="1:9" x14ac:dyDescent="0.25">
      <c r="A3482" s="15">
        <f t="shared" si="325"/>
        <v>45539</v>
      </c>
      <c r="B3482" s="31">
        <f t="shared" ref="B3482:B3483" si="335">TIME(16,41,0)</f>
        <v>0.69513888888888886</v>
      </c>
      <c r="C3482" t="str">
        <f>'Inventory as of 12th Aug 2024'!A242</f>
        <v>Icepop</v>
      </c>
      <c r="D3482" s="27">
        <v>1</v>
      </c>
      <c r="E3482" s="5">
        <f>Table4[[#This Row],[qty]]*(VLOOKUP(Table4[[#This Row],[item_sold]],Table1[],5,FALSE))</f>
        <v>15</v>
      </c>
      <c r="F3482" s="5">
        <f>(VLOOKUP(Table4[[#This Row],[item_sold]],Table1[],4,FALSE))*Table4[[#This Row],[qty]]</f>
        <v>7.5</v>
      </c>
      <c r="G3482">
        <f t="shared" si="321"/>
        <v>7.5</v>
      </c>
      <c r="H3482" t="s">
        <v>247</v>
      </c>
    </row>
    <row r="3483" spans="1:9" x14ac:dyDescent="0.25">
      <c r="A3483" s="15">
        <f t="shared" si="325"/>
        <v>45539</v>
      </c>
      <c r="B3483" s="31">
        <f t="shared" si="335"/>
        <v>0.69513888888888886</v>
      </c>
      <c r="C3483" t="str">
        <f>'Inventory as of 12th Aug 2024'!A42</f>
        <v>Indomie chicken</v>
      </c>
      <c r="D3483" s="27">
        <v>1</v>
      </c>
      <c r="E3483" s="5">
        <f>Table4[[#This Row],[qty]]*(VLOOKUP(Table4[[#This Row],[item_sold]],Table1[],5,FALSE))</f>
        <v>50</v>
      </c>
      <c r="F3483" s="5">
        <f>(VLOOKUP(Table4[[#This Row],[item_sold]],Table1[],4,FALSE))*Table4[[#This Row],[qty]]</f>
        <v>37.5</v>
      </c>
      <c r="G3483">
        <f t="shared" si="321"/>
        <v>12.5</v>
      </c>
      <c r="H3483" t="s">
        <v>247</v>
      </c>
    </row>
    <row r="3484" spans="1:9" x14ac:dyDescent="0.25">
      <c r="A3484" s="15">
        <f t="shared" si="325"/>
        <v>45539</v>
      </c>
      <c r="B3484" s="31">
        <f>TIME(16,48,0)</f>
        <v>0.70000000000000007</v>
      </c>
      <c r="C3484" t="str">
        <f>'Inventory as of 12th Aug 2024'!A149</f>
        <v>Arimis small</v>
      </c>
      <c r="D3484" s="27">
        <v>1</v>
      </c>
      <c r="E3484" s="5">
        <f>Table4[[#This Row],[qty]]*(VLOOKUP(Table4[[#This Row],[item_sold]],Table1[],5,FALSE))</f>
        <v>35</v>
      </c>
      <c r="F3484" s="5">
        <f>(VLOOKUP(Table4[[#This Row],[item_sold]],Table1[],4,FALSE))*Table4[[#This Row],[qty]]</f>
        <v>23.333333333333332</v>
      </c>
      <c r="G3484">
        <f t="shared" si="321"/>
        <v>11.666666666666668</v>
      </c>
      <c r="H3484" t="s">
        <v>430</v>
      </c>
      <c r="I3484" t="s">
        <v>395</v>
      </c>
    </row>
    <row r="3485" spans="1:9" x14ac:dyDescent="0.25">
      <c r="A3485" s="15">
        <f t="shared" si="325"/>
        <v>45539</v>
      </c>
      <c r="B3485" s="31">
        <f>TIME(17,48,0)</f>
        <v>0.7416666666666667</v>
      </c>
      <c r="C3485" t="str">
        <f>'Inventory as of 12th Aug 2024'!A84</f>
        <v>omo 20g</v>
      </c>
      <c r="D3485" s="27">
        <v>1</v>
      </c>
      <c r="E3485" s="5">
        <f>Table4[[#This Row],[qty]]*(VLOOKUP(Table4[[#This Row],[item_sold]],Table1[],5,FALSE))</f>
        <v>15</v>
      </c>
      <c r="F3485" s="5">
        <f>(VLOOKUP(Table4[[#This Row],[item_sold]],Table1[],4,FALSE))*Table4[[#This Row],[qty]]</f>
        <v>9.1666666666666661</v>
      </c>
      <c r="G3485">
        <f t="shared" si="321"/>
        <v>5.8333333333333339</v>
      </c>
      <c r="H3485" t="s">
        <v>361</v>
      </c>
    </row>
    <row r="3486" spans="1:9" x14ac:dyDescent="0.25">
      <c r="A3486" s="15">
        <f t="shared" si="325"/>
        <v>45539</v>
      </c>
      <c r="B3486" s="31">
        <f>TIME(18,8,0)</f>
        <v>0.75555555555555554</v>
      </c>
      <c r="C3486" t="str">
        <f>'Inventory as of 12th Aug 2024'!A194</f>
        <v>Half pound cake</v>
      </c>
      <c r="D3486" s="27">
        <v>1</v>
      </c>
      <c r="E3486" s="5">
        <f>Table4[[#This Row],[qty]]*(VLOOKUP(Table4[[#This Row],[item_sold]],Table1[],5,FALSE))</f>
        <v>100</v>
      </c>
      <c r="F3486" s="5">
        <f>(VLOOKUP(Table4[[#This Row],[item_sold]],Table1[],4,FALSE))*Table4[[#This Row],[qty]]</f>
        <v>90</v>
      </c>
      <c r="G3486">
        <f t="shared" si="321"/>
        <v>10</v>
      </c>
      <c r="H3486" t="s">
        <v>247</v>
      </c>
    </row>
    <row r="3487" spans="1:9" x14ac:dyDescent="0.25">
      <c r="A3487" s="15">
        <f t="shared" si="325"/>
        <v>45539</v>
      </c>
      <c r="B3487" s="31">
        <f>TIME(18,13,0)</f>
        <v>0.75902777777777775</v>
      </c>
      <c r="C3487" t="str">
        <f>'Inventory as of 12th Aug 2024'!A138</f>
        <v>Softcare pads</v>
      </c>
      <c r="D3487" s="27">
        <v>1</v>
      </c>
      <c r="E3487" s="5">
        <f>Table4[[#This Row],[qty]]*(VLOOKUP(Table4[[#This Row],[item_sold]],Table1[],5,FALSE))</f>
        <v>85</v>
      </c>
      <c r="F3487" s="5">
        <f>(VLOOKUP(Table4[[#This Row],[item_sold]],Table1[],4,FALSE))*Table4[[#This Row],[qty]]</f>
        <v>66</v>
      </c>
      <c r="G3487">
        <f t="shared" si="321"/>
        <v>19</v>
      </c>
      <c r="H3487" t="s">
        <v>361</v>
      </c>
    </row>
    <row r="3488" spans="1:9" x14ac:dyDescent="0.25">
      <c r="A3488" s="15">
        <f t="shared" si="325"/>
        <v>45539</v>
      </c>
      <c r="B3488" s="31">
        <f>TIME(18,13,0)</f>
        <v>0.75902777777777775</v>
      </c>
      <c r="C3488" t="str">
        <f>'Inventory as of 12th Aug 2024'!A133</f>
        <v>Medium Colgate Toothbrush</v>
      </c>
      <c r="D3488" s="27">
        <v>1</v>
      </c>
      <c r="E3488" s="5">
        <f>Table4[[#This Row],[qty]]*(VLOOKUP(Table4[[#This Row],[item_sold]],Table1[],5,FALSE))</f>
        <v>40</v>
      </c>
      <c r="F3488" s="5">
        <f>(VLOOKUP(Table4[[#This Row],[item_sold]],Table1[],4,FALSE))*Table4[[#This Row],[qty]]</f>
        <v>25</v>
      </c>
      <c r="G3488">
        <f t="shared" si="321"/>
        <v>15</v>
      </c>
      <c r="H3488" t="s">
        <v>361</v>
      </c>
    </row>
    <row r="3489" spans="1:9" x14ac:dyDescent="0.25">
      <c r="A3489" s="15">
        <f t="shared" si="325"/>
        <v>45539</v>
      </c>
      <c r="B3489" s="31">
        <f>TIME(18,33,0)</f>
        <v>0.7729166666666667</v>
      </c>
      <c r="C3489" t="str">
        <f>'Inventory as of 12th Aug 2024'!A17</f>
        <v>Brookside milk 500ml</v>
      </c>
      <c r="D3489" s="27">
        <v>1</v>
      </c>
      <c r="E3489" s="5">
        <f>Table4[[#This Row],[qty]]*(VLOOKUP(Table4[[#This Row],[item_sold]],Table1[],5,FALSE))</f>
        <v>70</v>
      </c>
      <c r="F3489" s="5">
        <f>(VLOOKUP(Table4[[#This Row],[item_sold]],Table1[],4,FALSE))*Table4[[#This Row],[qty]]</f>
        <v>59</v>
      </c>
      <c r="G3489">
        <f t="shared" si="321"/>
        <v>11</v>
      </c>
      <c r="H3489" t="s">
        <v>361</v>
      </c>
    </row>
    <row r="3490" spans="1:9" x14ac:dyDescent="0.25">
      <c r="A3490" s="15">
        <f t="shared" si="325"/>
        <v>45539</v>
      </c>
      <c r="B3490" s="31">
        <f>TIME(18,46,0)</f>
        <v>0.78194444444444444</v>
      </c>
      <c r="C3490" t="str">
        <f>'Inventory as of 12th Aug 2024'!A191</f>
        <v>Nuvita Bisquit</v>
      </c>
      <c r="D3490" s="27">
        <v>1</v>
      </c>
      <c r="E3490" s="5">
        <f>Table4[[#This Row],[qty]]*(VLOOKUP(Table4[[#This Row],[item_sold]],Table1[],5,FALSE))</f>
        <v>5</v>
      </c>
      <c r="F3490" s="5">
        <f>(VLOOKUP(Table4[[#This Row],[item_sold]],Table1[],4,FALSE))*Table4[[#This Row],[qty]]</f>
        <v>4.166666666666667</v>
      </c>
      <c r="G3490">
        <f t="shared" si="321"/>
        <v>0.83333333333333304</v>
      </c>
      <c r="H3490" t="s">
        <v>247</v>
      </c>
    </row>
    <row r="3491" spans="1:9" x14ac:dyDescent="0.25">
      <c r="A3491" s="15">
        <f t="shared" si="325"/>
        <v>45539</v>
      </c>
      <c r="B3491" s="31">
        <f t="shared" ref="B3491:B3493" si="336">TIME(18,46,0)</f>
        <v>0.78194444444444444</v>
      </c>
      <c r="C3491" t="str">
        <f>'Inventory as of 12th Aug 2024'!A192</f>
        <v>Lemon Bisquit</v>
      </c>
      <c r="D3491" s="27">
        <v>1</v>
      </c>
      <c r="E3491" s="5">
        <f>Table4[[#This Row],[qty]]*(VLOOKUP(Table4[[#This Row],[item_sold]],Table1[],5,FALSE))</f>
        <v>5</v>
      </c>
      <c r="F3491" s="5">
        <f>(VLOOKUP(Table4[[#This Row],[item_sold]],Table1[],4,FALSE))*Table4[[#This Row],[qty]]</f>
        <v>4.333333333333333</v>
      </c>
      <c r="G3491">
        <f t="shared" si="321"/>
        <v>0.66666666666666696</v>
      </c>
      <c r="H3491" t="s">
        <v>247</v>
      </c>
    </row>
    <row r="3492" spans="1:9" x14ac:dyDescent="0.25">
      <c r="A3492" s="15">
        <f t="shared" si="325"/>
        <v>45539</v>
      </c>
      <c r="B3492" s="31">
        <f t="shared" si="336"/>
        <v>0.78194444444444444</v>
      </c>
      <c r="C3492" t="str">
        <f>'Inventory as of 12th Aug 2024'!A177</f>
        <v>Ringoz Barbeque</v>
      </c>
      <c r="D3492" s="27">
        <v>1</v>
      </c>
      <c r="E3492" s="5">
        <f>Table4[[#This Row],[qty]]*(VLOOKUP(Table4[[#This Row],[item_sold]],Table1[],5,FALSE))</f>
        <v>15</v>
      </c>
      <c r="F3492" s="5">
        <f>(VLOOKUP(Table4[[#This Row],[item_sold]],Table1[],4,FALSE))*Table4[[#This Row],[qty]]</f>
        <v>8.6</v>
      </c>
      <c r="G3492">
        <f t="shared" si="321"/>
        <v>6.4</v>
      </c>
      <c r="H3492" t="s">
        <v>247</v>
      </c>
    </row>
    <row r="3493" spans="1:9" x14ac:dyDescent="0.25">
      <c r="A3493" s="15">
        <f t="shared" si="325"/>
        <v>45539</v>
      </c>
      <c r="B3493" s="31">
        <f t="shared" si="336"/>
        <v>0.78194444444444444</v>
      </c>
      <c r="C3493" t="str">
        <f>'Inventory as of 12th Aug 2024'!A179</f>
        <v>Bitez</v>
      </c>
      <c r="D3493" s="27">
        <v>1</v>
      </c>
      <c r="E3493" s="5">
        <f>Table4[[#This Row],[qty]]*(VLOOKUP(Table4[[#This Row],[item_sold]],Table1[],5,FALSE))</f>
        <v>15</v>
      </c>
      <c r="F3493" s="5">
        <f>(VLOOKUP(Table4[[#This Row],[item_sold]],Table1[],4,FALSE))*Table4[[#This Row],[qty]]</f>
        <v>8.8000000000000007</v>
      </c>
      <c r="G3493">
        <f t="shared" si="321"/>
        <v>6.1999999999999993</v>
      </c>
      <c r="H3493" t="s">
        <v>247</v>
      </c>
    </row>
    <row r="3494" spans="1:9" x14ac:dyDescent="0.25">
      <c r="A3494" s="15">
        <f t="shared" si="325"/>
        <v>45539</v>
      </c>
      <c r="B3494" s="31">
        <f>TIME(18,53,0)</f>
        <v>0.78680555555555554</v>
      </c>
      <c r="C3494" t="str">
        <f>'Inventory as of 12th Aug 2024'!A211</f>
        <v>predator</v>
      </c>
      <c r="D3494" s="27">
        <v>1</v>
      </c>
      <c r="E3494" s="5">
        <f>Table4[[#This Row],[qty]]*(VLOOKUP(Table4[[#This Row],[item_sold]],Table1[],5,FALSE))</f>
        <v>70</v>
      </c>
      <c r="F3494" s="5">
        <f>(VLOOKUP(Table4[[#This Row],[item_sold]],Table1[],4,FALSE))*Table4[[#This Row],[qty]]</f>
        <v>54.166666666666664</v>
      </c>
      <c r="G3494">
        <f t="shared" si="321"/>
        <v>15.833333333333336</v>
      </c>
      <c r="H3494" t="s">
        <v>247</v>
      </c>
    </row>
    <row r="3495" spans="1:9" x14ac:dyDescent="0.25">
      <c r="A3495" s="15">
        <f t="shared" si="325"/>
        <v>45539</v>
      </c>
      <c r="B3495" s="31">
        <f t="shared" ref="B3495" si="337">TIME(18,53,0)</f>
        <v>0.78680555555555554</v>
      </c>
      <c r="C3495" t="str">
        <f>'Inventory as of 12th Aug 2024'!A194</f>
        <v>Half pound cake</v>
      </c>
      <c r="D3495" s="27">
        <v>1</v>
      </c>
      <c r="E3495" s="5">
        <f>Table4[[#This Row],[qty]]*(VLOOKUP(Table4[[#This Row],[item_sold]],Table1[],5,FALSE))</f>
        <v>100</v>
      </c>
      <c r="F3495" s="5">
        <f>(VLOOKUP(Table4[[#This Row],[item_sold]],Table1[],4,FALSE))*Table4[[#This Row],[qty]]</f>
        <v>90</v>
      </c>
      <c r="G3495">
        <f t="shared" si="321"/>
        <v>10</v>
      </c>
      <c r="H3495" t="s">
        <v>430</v>
      </c>
      <c r="I3495" t="s">
        <v>401</v>
      </c>
    </row>
    <row r="3496" spans="1:9" x14ac:dyDescent="0.25">
      <c r="A3496" s="15">
        <f t="shared" si="325"/>
        <v>45539</v>
      </c>
      <c r="B3496" s="31">
        <f>TIME(19,3,0)</f>
        <v>0.79375000000000007</v>
      </c>
      <c r="C3496" t="str">
        <f>'Inventory as of 12th Aug 2024'!A10</f>
        <v>Mt Kenya milk 200ml</v>
      </c>
      <c r="D3496" s="27">
        <v>1</v>
      </c>
      <c r="E3496" s="5">
        <f>Table4[[#This Row],[qty]]*(VLOOKUP(Table4[[#This Row],[item_sold]],Table1[],5,FALSE))</f>
        <v>35</v>
      </c>
      <c r="F3496" s="5">
        <f>(VLOOKUP(Table4[[#This Row],[item_sold]],Table1[],4,FALSE))*Table4[[#This Row],[qty]]</f>
        <v>24.285714285714285</v>
      </c>
      <c r="G3496">
        <f t="shared" si="321"/>
        <v>10.714285714285715</v>
      </c>
      <c r="H3496" t="s">
        <v>247</v>
      </c>
    </row>
    <row r="3497" spans="1:9" x14ac:dyDescent="0.25">
      <c r="A3497" s="15">
        <f t="shared" si="325"/>
        <v>45539</v>
      </c>
      <c r="B3497" s="31">
        <f>TIME(19,14,0)</f>
        <v>0.80138888888888893</v>
      </c>
      <c r="C3497" t="str">
        <f>'Inventory as of 12th Aug 2024'!A33</f>
        <v>BB Bread 400g</v>
      </c>
      <c r="D3497" s="27">
        <v>1</v>
      </c>
      <c r="E3497" s="5">
        <f>Table4[[#This Row],[qty]]*(VLOOKUP(Table4[[#This Row],[item_sold]],Table1[],5,FALSE))</f>
        <v>65</v>
      </c>
      <c r="F3497" s="5">
        <f>(VLOOKUP(Table4[[#This Row],[item_sold]],Table1[],4,FALSE))*Table4[[#This Row],[qty]]</f>
        <v>60</v>
      </c>
      <c r="G3497">
        <f t="shared" si="321"/>
        <v>5</v>
      </c>
      <c r="H3497" t="s">
        <v>361</v>
      </c>
    </row>
    <row r="3498" spans="1:9" x14ac:dyDescent="0.25">
      <c r="A3498" s="15">
        <f t="shared" si="325"/>
        <v>45539</v>
      </c>
      <c r="B3498" s="31">
        <f t="shared" ref="B3498:B3499" si="338">TIME(19,14,0)</f>
        <v>0.80138888888888893</v>
      </c>
      <c r="C3498" t="str">
        <f>'Inventory as of 12th Aug 2024'!A82</f>
        <v>ariel 10g</v>
      </c>
      <c r="D3498" s="27">
        <v>2</v>
      </c>
      <c r="E3498" s="5">
        <f>Table4[[#This Row],[qty]]*(VLOOKUP(Table4[[#This Row],[item_sold]],Table1[],5,FALSE))</f>
        <v>30</v>
      </c>
      <c r="F3498" s="5">
        <f>(VLOOKUP(Table4[[#This Row],[item_sold]],Table1[],4,FALSE))*Table4[[#This Row],[qty]]</f>
        <v>18.333333333333332</v>
      </c>
      <c r="G3498">
        <f t="shared" ref="G3498:G3561" si="339">E3498-F3498</f>
        <v>11.666666666666668</v>
      </c>
      <c r="H3498" t="s">
        <v>361</v>
      </c>
    </row>
    <row r="3499" spans="1:9" x14ac:dyDescent="0.25">
      <c r="A3499" s="15">
        <f t="shared" si="325"/>
        <v>45539</v>
      </c>
      <c r="B3499" s="31">
        <f t="shared" si="338"/>
        <v>0.80138888888888893</v>
      </c>
      <c r="C3499" t="str">
        <f>'Inventory as of 12th Aug 2024'!A151</f>
        <v>Arimis big</v>
      </c>
      <c r="D3499" s="27">
        <v>1</v>
      </c>
      <c r="E3499" s="5">
        <f>Table4[[#This Row],[qty]]*(VLOOKUP(Table4[[#This Row],[item_sold]],Table1[],5,FALSE))</f>
        <v>60</v>
      </c>
      <c r="F3499" s="5">
        <f>(VLOOKUP(Table4[[#This Row],[item_sold]],Table1[],4,FALSE))*Table4[[#This Row],[qty]]</f>
        <v>45.833333333333336</v>
      </c>
      <c r="G3499">
        <f t="shared" si="339"/>
        <v>14.166666666666664</v>
      </c>
      <c r="H3499" t="s">
        <v>361</v>
      </c>
    </row>
    <row r="3500" spans="1:9" x14ac:dyDescent="0.25">
      <c r="A3500" s="15">
        <f t="shared" si="325"/>
        <v>45539</v>
      </c>
      <c r="B3500" s="31">
        <f>TIME(19,19,0)</f>
        <v>0.80486111111111114</v>
      </c>
      <c r="C3500" t="str">
        <f>'Inventory as of 12th Aug 2024'!A50</f>
        <v>Pishori rice</v>
      </c>
      <c r="D3500" s="27">
        <v>1</v>
      </c>
      <c r="E3500" s="5">
        <f>Table4[[#This Row],[qty]]*(VLOOKUP(Table4[[#This Row],[item_sold]],Table1[],5,FALSE))</f>
        <v>220</v>
      </c>
      <c r="F3500" s="5">
        <f>(VLOOKUP(Table4[[#This Row],[item_sold]],Table1[],4,FALSE))*Table4[[#This Row],[qty]]</f>
        <v>180</v>
      </c>
      <c r="G3500">
        <f t="shared" si="339"/>
        <v>40</v>
      </c>
      <c r="H3500" t="s">
        <v>361</v>
      </c>
    </row>
    <row r="3501" spans="1:9" x14ac:dyDescent="0.25">
      <c r="A3501" s="15">
        <f t="shared" si="325"/>
        <v>45539</v>
      </c>
      <c r="B3501" s="31">
        <f t="shared" ref="B3501:B3502" si="340">TIME(19,19,0)</f>
        <v>0.80486111111111114</v>
      </c>
      <c r="C3501" t="str">
        <f>'Inventory as of 12th Aug 2024'!A90</f>
        <v>Onion</v>
      </c>
      <c r="D3501" s="27">
        <v>2</v>
      </c>
      <c r="E3501" s="5">
        <f>Table4[[#This Row],[qty]]*(VLOOKUP(Table4[[#This Row],[item_sold]],Table1[],5,FALSE))</f>
        <v>20</v>
      </c>
      <c r="F3501" s="5">
        <f>(VLOOKUP(Table4[[#This Row],[item_sold]],Table1[],4,FALSE))*Table4[[#This Row],[qty]]</f>
        <v>16</v>
      </c>
      <c r="G3501">
        <f t="shared" si="339"/>
        <v>4</v>
      </c>
      <c r="H3501" t="s">
        <v>361</v>
      </c>
    </row>
    <row r="3502" spans="1:9" x14ac:dyDescent="0.25">
      <c r="A3502" s="15">
        <f t="shared" si="325"/>
        <v>45539</v>
      </c>
      <c r="B3502" s="31">
        <f t="shared" si="340"/>
        <v>0.80486111111111114</v>
      </c>
      <c r="C3502" t="str">
        <f>'Inventory as of 12th Aug 2024'!A16</f>
        <v>Mt kenya milk 500ml</v>
      </c>
      <c r="D3502" s="27">
        <v>2</v>
      </c>
      <c r="E3502" s="5">
        <f>Table4[[#This Row],[qty]]*(VLOOKUP(Table4[[#This Row],[item_sold]],Table1[],5,FALSE))</f>
        <v>130</v>
      </c>
      <c r="F3502" s="5">
        <f>(VLOOKUP(Table4[[#This Row],[item_sold]],Table1[],4,FALSE))*Table4[[#This Row],[qty]]</f>
        <v>96.666666666666671</v>
      </c>
      <c r="G3502">
        <f t="shared" si="339"/>
        <v>33.333333333333329</v>
      </c>
      <c r="H3502" t="s">
        <v>430</v>
      </c>
      <c r="I3502" t="s">
        <v>451</v>
      </c>
    </row>
    <row r="3503" spans="1:9" x14ac:dyDescent="0.25">
      <c r="A3503" s="15">
        <f t="shared" si="325"/>
        <v>45539</v>
      </c>
      <c r="B3503" s="31">
        <f>TIME(19,20,0)</f>
        <v>0.80555555555555547</v>
      </c>
      <c r="C3503" t="str">
        <f>'Inventory as of 12th Aug 2024'!A58</f>
        <v>Safari</v>
      </c>
      <c r="D3503" s="27">
        <v>1</v>
      </c>
      <c r="E3503" s="5">
        <f>Table4[[#This Row],[qty]]*(VLOOKUP(Table4[[#This Row],[item_sold]],Table1[],5,FALSE))</f>
        <v>15</v>
      </c>
      <c r="F3503" s="5">
        <f>(VLOOKUP(Table4[[#This Row],[item_sold]],Table1[],4,FALSE))*Table4[[#This Row],[qty]]</f>
        <v>8.5</v>
      </c>
      <c r="G3503">
        <f t="shared" si="339"/>
        <v>6.5</v>
      </c>
      <c r="H3503" t="s">
        <v>361</v>
      </c>
    </row>
    <row r="3504" spans="1:9" x14ac:dyDescent="0.25">
      <c r="A3504" s="15">
        <f t="shared" si="325"/>
        <v>45539</v>
      </c>
      <c r="B3504" s="31">
        <f>TIME(19,24,0)</f>
        <v>0.80833333333333324</v>
      </c>
      <c r="C3504" t="str">
        <f>'Inventory as of 12th Aug 2024'!A153</f>
        <v>mosquito stick</v>
      </c>
      <c r="D3504" s="27">
        <v>1</v>
      </c>
      <c r="E3504" s="5">
        <f>Table4[[#This Row],[qty]]*(VLOOKUP(Table4[[#This Row],[item_sold]],Table1[],5,FALSE))</f>
        <v>10</v>
      </c>
      <c r="F3504" s="5">
        <f>(VLOOKUP(Table4[[#This Row],[item_sold]],Table1[],4,FALSE))*Table4[[#This Row],[qty]]</f>
        <v>9</v>
      </c>
      <c r="G3504">
        <f t="shared" si="339"/>
        <v>1</v>
      </c>
      <c r="H3504" t="s">
        <v>361</v>
      </c>
    </row>
    <row r="3505" spans="1:9" x14ac:dyDescent="0.25">
      <c r="A3505" s="15">
        <f t="shared" si="325"/>
        <v>45539</v>
      </c>
      <c r="B3505" s="31">
        <f t="shared" ref="B3505" si="341">TIME(19,24,0)</f>
        <v>0.80833333333333324</v>
      </c>
      <c r="C3505" t="str">
        <f>'Inventory as of 12th Aug 2024'!A58</f>
        <v>Safari</v>
      </c>
      <c r="D3505" s="27">
        <v>1</v>
      </c>
      <c r="E3505" s="5">
        <f>Table4[[#This Row],[qty]]*(VLOOKUP(Table4[[#This Row],[item_sold]],Table1[],5,FALSE))</f>
        <v>15</v>
      </c>
      <c r="F3505" s="5">
        <f>(VLOOKUP(Table4[[#This Row],[item_sold]],Table1[],4,FALSE))*Table4[[#This Row],[qty]]</f>
        <v>8.5</v>
      </c>
      <c r="G3505">
        <f t="shared" si="339"/>
        <v>6.5</v>
      </c>
      <c r="H3505" t="s">
        <v>361</v>
      </c>
    </row>
    <row r="3506" spans="1:9" x14ac:dyDescent="0.25">
      <c r="A3506" s="15">
        <f t="shared" si="325"/>
        <v>45539</v>
      </c>
      <c r="B3506" s="31">
        <f>TIME(19,31,0)</f>
        <v>0.81319444444444444</v>
      </c>
      <c r="C3506" t="str">
        <f>'Inventory as of 12th Aug 2024'!A8</f>
        <v>eggs</v>
      </c>
      <c r="D3506" s="27">
        <v>3</v>
      </c>
      <c r="E3506" s="5">
        <f>Table4[[#This Row],[qty]]*(VLOOKUP(Table4[[#This Row],[item_sold]],Table1[],5,FALSE))</f>
        <v>60</v>
      </c>
      <c r="F3506" s="5">
        <f>(VLOOKUP(Table4[[#This Row],[item_sold]],Table1[],4,FALSE))*Table4[[#This Row],[qty]]</f>
        <v>43</v>
      </c>
      <c r="G3506">
        <f t="shared" si="339"/>
        <v>17</v>
      </c>
      <c r="H3506" t="s">
        <v>361</v>
      </c>
    </row>
    <row r="3507" spans="1:9" x14ac:dyDescent="0.25">
      <c r="A3507" s="15">
        <f t="shared" si="325"/>
        <v>45539</v>
      </c>
      <c r="B3507" s="31">
        <f t="shared" ref="B3507" si="342">TIME(19,31,0)</f>
        <v>0.81319444444444444</v>
      </c>
      <c r="C3507" t="str">
        <f>'Inventory as of 12th Aug 2024'!A16</f>
        <v>Mt kenya milk 500ml</v>
      </c>
      <c r="D3507" s="27">
        <v>1</v>
      </c>
      <c r="E3507" s="5">
        <f>Table4[[#This Row],[qty]]*(VLOOKUP(Table4[[#This Row],[item_sold]],Table1[],5,FALSE))</f>
        <v>65</v>
      </c>
      <c r="F3507" s="5">
        <f>(VLOOKUP(Table4[[#This Row],[item_sold]],Table1[],4,FALSE))*Table4[[#This Row],[qty]]</f>
        <v>48.333333333333336</v>
      </c>
      <c r="G3507">
        <f t="shared" si="339"/>
        <v>16.666666666666664</v>
      </c>
      <c r="H3507" t="s">
        <v>361</v>
      </c>
    </row>
    <row r="3508" spans="1:9" x14ac:dyDescent="0.25">
      <c r="A3508" s="15">
        <f t="shared" si="325"/>
        <v>45539</v>
      </c>
      <c r="B3508" s="31">
        <f>TIME(19,37,0)</f>
        <v>0.81736111111111109</v>
      </c>
      <c r="C3508" t="str">
        <f>'Inventory as of 12th Aug 2024'!A10</f>
        <v>Mt Kenya milk 200ml</v>
      </c>
      <c r="D3508" s="27">
        <v>1</v>
      </c>
      <c r="E3508" s="5">
        <f>Table4[[#This Row],[qty]]*(VLOOKUP(Table4[[#This Row],[item_sold]],Table1[],5,FALSE))</f>
        <v>35</v>
      </c>
      <c r="F3508" s="5">
        <f>(VLOOKUP(Table4[[#This Row],[item_sold]],Table1[],4,FALSE))*Table4[[#This Row],[qty]]</f>
        <v>24.285714285714285</v>
      </c>
      <c r="G3508">
        <f t="shared" si="339"/>
        <v>10.714285714285715</v>
      </c>
      <c r="H3508" t="s">
        <v>247</v>
      </c>
    </row>
    <row r="3509" spans="1:9" x14ac:dyDescent="0.25">
      <c r="A3509" s="15">
        <f t="shared" si="325"/>
        <v>45539</v>
      </c>
      <c r="B3509" s="31">
        <f>TIME(19,48,0)</f>
        <v>0.82500000000000007</v>
      </c>
      <c r="C3509" t="str">
        <f>'Inventory as of 12th Aug 2024'!A17</f>
        <v>Brookside milk 500ml</v>
      </c>
      <c r="D3509" s="27">
        <v>1</v>
      </c>
      <c r="E3509" s="5">
        <f>Table4[[#This Row],[qty]]*(VLOOKUP(Table4[[#This Row],[item_sold]],Table1[],5,FALSE))</f>
        <v>70</v>
      </c>
      <c r="F3509" s="5">
        <f>(VLOOKUP(Table4[[#This Row],[item_sold]],Table1[],4,FALSE))*Table4[[#This Row],[qty]]</f>
        <v>59</v>
      </c>
      <c r="G3509">
        <f t="shared" si="339"/>
        <v>11</v>
      </c>
      <c r="H3509" t="s">
        <v>247</v>
      </c>
    </row>
    <row r="3510" spans="1:9" x14ac:dyDescent="0.25">
      <c r="A3510" s="15">
        <f t="shared" si="325"/>
        <v>45539</v>
      </c>
      <c r="B3510" s="31">
        <f>TIME(20,4,0)</f>
        <v>0.83611111111111114</v>
      </c>
      <c r="C3510" t="str">
        <f>'Inventory as of 12th Aug 2024'!A75</f>
        <v>Cooking Oil Measured</v>
      </c>
      <c r="D3510" s="27">
        <v>0.25</v>
      </c>
      <c r="E3510" s="5">
        <f>Table4[[#This Row],[qty]]*(VLOOKUP(Table4[[#This Row],[item_sold]],Table1[],5,FALSE))</f>
        <v>70</v>
      </c>
      <c r="F3510" s="5">
        <f>(VLOOKUP(Table4[[#This Row],[item_sold]],Table1[],4,FALSE))*Table4[[#This Row],[qty]]</f>
        <v>50</v>
      </c>
      <c r="G3510">
        <f t="shared" si="339"/>
        <v>20</v>
      </c>
      <c r="H3510" t="s">
        <v>361</v>
      </c>
    </row>
    <row r="3511" spans="1:9" x14ac:dyDescent="0.25">
      <c r="A3511" s="15">
        <f t="shared" si="325"/>
        <v>45539</v>
      </c>
      <c r="B3511" s="31">
        <f>TIME(20,5,0)</f>
        <v>0.83680555555555547</v>
      </c>
      <c r="C3511" t="str">
        <f>'Inventory as of 12th Aug 2024'!A24</f>
        <v>Brookside Lala Natural</v>
      </c>
      <c r="D3511" s="27">
        <v>1</v>
      </c>
      <c r="E3511" s="5">
        <f>Table4[[#This Row],[qty]]*(VLOOKUP(Table4[[#This Row],[item_sold]],Table1[],5,FALSE))</f>
        <v>100</v>
      </c>
      <c r="F3511" s="5">
        <f>(VLOOKUP(Table4[[#This Row],[item_sold]],Table1[],4,FALSE))*Table4[[#This Row],[qty]]</f>
        <v>87</v>
      </c>
      <c r="G3511">
        <f t="shared" si="339"/>
        <v>13</v>
      </c>
      <c r="H3511" t="s">
        <v>430</v>
      </c>
      <c r="I3511" t="s">
        <v>409</v>
      </c>
    </row>
    <row r="3512" spans="1:9" x14ac:dyDescent="0.25">
      <c r="A3512" s="15">
        <f t="shared" si="325"/>
        <v>45539</v>
      </c>
      <c r="B3512" s="31">
        <f>TIME(20,14,0)</f>
        <v>0.84305555555555556</v>
      </c>
      <c r="C3512" t="str">
        <f>'Inventory as of 12th Aug 2024'!A17</f>
        <v>Brookside milk 500ml</v>
      </c>
      <c r="D3512" s="27">
        <v>1</v>
      </c>
      <c r="E3512" s="5">
        <f>Table4[[#This Row],[qty]]*(VLOOKUP(Table4[[#This Row],[item_sold]],Table1[],5,FALSE))</f>
        <v>70</v>
      </c>
      <c r="F3512" s="5">
        <f>(VLOOKUP(Table4[[#This Row],[item_sold]],Table1[],4,FALSE))*Table4[[#This Row],[qty]]</f>
        <v>59</v>
      </c>
      <c r="G3512">
        <f t="shared" si="339"/>
        <v>11</v>
      </c>
      <c r="H3512" t="s">
        <v>361</v>
      </c>
    </row>
    <row r="3513" spans="1:9" x14ac:dyDescent="0.25">
      <c r="A3513" s="15">
        <f t="shared" si="325"/>
        <v>45539</v>
      </c>
      <c r="B3513" s="31">
        <f t="shared" ref="B3513:B3514" si="343">TIME(20,14,0)</f>
        <v>0.84305555555555556</v>
      </c>
      <c r="C3513" t="str">
        <f>'Inventory as of 12th Aug 2024'!A70</f>
        <v>Sugar 1/2 kg</v>
      </c>
      <c r="D3513" s="27">
        <v>1</v>
      </c>
      <c r="E3513" s="5">
        <f>Table4[[#This Row],[qty]]*(VLOOKUP(Table4[[#This Row],[item_sold]],Table1[],5,FALSE))</f>
        <v>90</v>
      </c>
      <c r="F3513" s="5">
        <f>(VLOOKUP(Table4[[#This Row],[item_sold]],Table1[],4,FALSE))*Table4[[#This Row],[qty]]</f>
        <v>60</v>
      </c>
      <c r="G3513">
        <f t="shared" si="339"/>
        <v>30</v>
      </c>
      <c r="H3513" t="s">
        <v>361</v>
      </c>
    </row>
    <row r="3514" spans="1:9" x14ac:dyDescent="0.25">
      <c r="A3514" s="15">
        <f t="shared" si="325"/>
        <v>45539</v>
      </c>
      <c r="B3514" s="31">
        <f t="shared" si="343"/>
        <v>0.84305555555555556</v>
      </c>
      <c r="C3514" t="str">
        <f>'Inventory as of 12th Aug 2024'!A107</f>
        <v>Match Box</v>
      </c>
      <c r="D3514" s="27">
        <v>4</v>
      </c>
      <c r="E3514" s="5">
        <f>Table4[[#This Row],[qty]]*(VLOOKUP(Table4[[#This Row],[item_sold]],Table1[],5,FALSE))</f>
        <v>20</v>
      </c>
      <c r="F3514" s="5">
        <f>(VLOOKUP(Table4[[#This Row],[item_sold]],Table1[],4,FALSE))*Table4[[#This Row],[qty]]</f>
        <v>9.4444444444444446</v>
      </c>
      <c r="G3514">
        <f t="shared" si="339"/>
        <v>10.555555555555555</v>
      </c>
      <c r="H3514" t="s">
        <v>361</v>
      </c>
    </row>
    <row r="3515" spans="1:9" x14ac:dyDescent="0.25">
      <c r="A3515" s="15">
        <f t="shared" si="325"/>
        <v>45539</v>
      </c>
      <c r="B3515" s="31">
        <f>TIME(20,25,0)</f>
        <v>0.85069444444444453</v>
      </c>
      <c r="C3515" t="str">
        <f>'Inventory as of 12th Aug 2024'!A66</f>
        <v>Blueband 250g</v>
      </c>
      <c r="D3515" s="27">
        <v>1</v>
      </c>
      <c r="E3515" s="5">
        <f>Table4[[#This Row],[qty]]*(VLOOKUP(Table4[[#This Row],[item_sold]],Table1[],5,FALSE))</f>
        <v>190</v>
      </c>
      <c r="F3515" s="5">
        <f>(VLOOKUP(Table4[[#This Row],[item_sold]],Table1[],4,FALSE))*Table4[[#This Row],[qty]]</f>
        <v>140</v>
      </c>
      <c r="G3515">
        <f t="shared" si="339"/>
        <v>50</v>
      </c>
      <c r="H3515" t="s">
        <v>430</v>
      </c>
      <c r="I3515" t="s">
        <v>394</v>
      </c>
    </row>
    <row r="3516" spans="1:9" x14ac:dyDescent="0.25">
      <c r="A3516" s="15">
        <f t="shared" si="325"/>
        <v>45539</v>
      </c>
      <c r="B3516" s="31">
        <f>TIME(20,28,0)</f>
        <v>0.85277777777777775</v>
      </c>
      <c r="C3516" t="str">
        <f>'Inventory as of 12th Aug 2024'!A256</f>
        <v>Family bisquit</v>
      </c>
      <c r="D3516" s="27">
        <v>1</v>
      </c>
      <c r="E3516" s="5">
        <f>Table4[[#This Row],[qty]]*(VLOOKUP(Table4[[#This Row],[item_sold]],Table1[],5,FALSE))</f>
        <v>35</v>
      </c>
      <c r="F3516" s="5">
        <f>(VLOOKUP(Table4[[#This Row],[item_sold]],Table1[],4,FALSE))*Table4[[#This Row],[qty]]</f>
        <v>23.333333333333332</v>
      </c>
      <c r="G3516">
        <f t="shared" si="339"/>
        <v>11.666666666666668</v>
      </c>
      <c r="H3516" t="s">
        <v>361</v>
      </c>
    </row>
    <row r="3517" spans="1:9" x14ac:dyDescent="0.25">
      <c r="A3517" s="15">
        <f t="shared" si="325"/>
        <v>45539</v>
      </c>
      <c r="B3517" s="31">
        <f>TIME(20,39,0)</f>
        <v>0.86041666666666661</v>
      </c>
      <c r="C3517" t="str">
        <f>'Inventory as of 12th Aug 2024'!A64</f>
        <v>Tomato paste</v>
      </c>
      <c r="D3517" s="27">
        <v>1</v>
      </c>
      <c r="E3517" s="5">
        <f>Table4[[#This Row],[qty]]*(VLOOKUP(Table4[[#This Row],[item_sold]],Table1[],5,FALSE))</f>
        <v>30</v>
      </c>
      <c r="F3517" s="5">
        <f>(VLOOKUP(Table4[[#This Row],[item_sold]],Table1[],4,FALSE))*Table4[[#This Row],[qty]]</f>
        <v>12.5</v>
      </c>
      <c r="G3517">
        <f t="shared" si="339"/>
        <v>17.5</v>
      </c>
      <c r="H3517" t="s">
        <v>247</v>
      </c>
    </row>
    <row r="3518" spans="1:9" x14ac:dyDescent="0.25">
      <c r="A3518" s="15">
        <f t="shared" si="325"/>
        <v>45539</v>
      </c>
      <c r="B3518" s="31">
        <f t="shared" ref="B3518" si="344">TIME(20,39,0)</f>
        <v>0.86041666666666661</v>
      </c>
      <c r="C3518" t="str">
        <f>'Inventory as of 12th Aug 2024'!A8</f>
        <v>eggs</v>
      </c>
      <c r="D3518" s="27">
        <v>2</v>
      </c>
      <c r="E3518" s="5">
        <f>Table4[[#This Row],[qty]]*(VLOOKUP(Table4[[#This Row],[item_sold]],Table1[],5,FALSE))</f>
        <v>40</v>
      </c>
      <c r="F3518" s="5">
        <f>(VLOOKUP(Table4[[#This Row],[item_sold]],Table1[],4,FALSE))*Table4[[#This Row],[qty]]</f>
        <v>28.666666666666668</v>
      </c>
      <c r="G3518">
        <f t="shared" si="339"/>
        <v>11.333333333333332</v>
      </c>
      <c r="H3518" t="s">
        <v>247</v>
      </c>
    </row>
    <row r="3519" spans="1:9" x14ac:dyDescent="0.25">
      <c r="A3519" s="15">
        <f t="shared" si="325"/>
        <v>45539</v>
      </c>
      <c r="B3519" s="31">
        <f>TIME(20,42,0)</f>
        <v>0.86249999999999993</v>
      </c>
      <c r="C3519" t="str">
        <f>'Inventory as of 12th Aug 2024'!A50</f>
        <v>Pishori rice</v>
      </c>
      <c r="D3519" s="27">
        <v>1</v>
      </c>
      <c r="E3519" s="5">
        <f>Table4[[#This Row],[qty]]*(VLOOKUP(Table4[[#This Row],[item_sold]],Table1[],5,FALSE))</f>
        <v>220</v>
      </c>
      <c r="F3519" s="5">
        <f>(VLOOKUP(Table4[[#This Row],[item_sold]],Table1[],4,FALSE))*Table4[[#This Row],[qty]]</f>
        <v>180</v>
      </c>
      <c r="G3519">
        <f t="shared" si="339"/>
        <v>40</v>
      </c>
      <c r="H3519" t="s">
        <v>430</v>
      </c>
      <c r="I3519" t="s">
        <v>385</v>
      </c>
    </row>
    <row r="3520" spans="1:9" x14ac:dyDescent="0.25">
      <c r="A3520" s="15">
        <f t="shared" ref="A3520:A3521" si="345">DATE(2024,9,4)</f>
        <v>45539</v>
      </c>
      <c r="B3520" s="31">
        <f t="shared" ref="B3520" si="346">TIME(20,42,0)</f>
        <v>0.86249999999999993</v>
      </c>
      <c r="C3520" t="str">
        <f>'Inventory as of 12th Aug 2024'!A92</f>
        <v>Banana</v>
      </c>
      <c r="D3520" s="27">
        <v>1</v>
      </c>
      <c r="E3520" s="5">
        <f>Table4[[#This Row],[qty]]*(VLOOKUP(Table4[[#This Row],[item_sold]],Table1[],5,FALSE))</f>
        <v>10</v>
      </c>
      <c r="F3520" s="5">
        <f>(VLOOKUP(Table4[[#This Row],[item_sold]],Table1[],4,FALSE))*Table4[[#This Row],[qty]]</f>
        <v>8.3333333333333339</v>
      </c>
      <c r="G3520">
        <f t="shared" si="339"/>
        <v>1.6666666666666661</v>
      </c>
      <c r="H3520" t="s">
        <v>430</v>
      </c>
    </row>
    <row r="3521" spans="1:12" x14ac:dyDescent="0.25">
      <c r="A3521" s="15">
        <f t="shared" si="345"/>
        <v>45539</v>
      </c>
      <c r="B3521" s="31">
        <f>TIME(20,14,0)</f>
        <v>0.84305555555555556</v>
      </c>
      <c r="C3521" t="str">
        <f>'Inventory as of 12th Aug 2024'!A172</f>
        <v>Carrier bag small</v>
      </c>
      <c r="D3521" s="27">
        <v>1</v>
      </c>
      <c r="E3521" s="5">
        <f>Table4[[#This Row],[qty]]*(VLOOKUP(Table4[[#This Row],[item_sold]],Table1[],5,FALSE))</f>
        <v>10</v>
      </c>
      <c r="F3521" s="5">
        <f>(VLOOKUP(Table4[[#This Row],[item_sold]],Table1[],4,FALSE))*Table4[[#This Row],[qty]]</f>
        <v>3</v>
      </c>
      <c r="G3521">
        <f t="shared" si="339"/>
        <v>7</v>
      </c>
      <c r="H3521" t="s">
        <v>361</v>
      </c>
    </row>
    <row r="3522" spans="1:12" x14ac:dyDescent="0.25">
      <c r="A3522" s="15">
        <f>DATE(2024,9,5)</f>
        <v>45540</v>
      </c>
      <c r="B3522" s="31">
        <f>TIME(7,26,0)</f>
        <v>0.30972222222222223</v>
      </c>
      <c r="C3522" t="str">
        <f>'Inventory as of 12th Aug 2024'!A8</f>
        <v>eggs</v>
      </c>
      <c r="D3522" s="27">
        <v>2</v>
      </c>
      <c r="E3522" s="5">
        <f>Table4[[#This Row],[qty]]*(VLOOKUP(Table4[[#This Row],[item_sold]],Table1[],5,FALSE))</f>
        <v>40</v>
      </c>
      <c r="F3522" s="5">
        <f>(VLOOKUP(Table4[[#This Row],[item_sold]],Table1[],4,FALSE))*Table4[[#This Row],[qty]]</f>
        <v>28.666666666666668</v>
      </c>
      <c r="G3522">
        <f t="shared" si="339"/>
        <v>11.333333333333332</v>
      </c>
      <c r="H3522" t="s">
        <v>430</v>
      </c>
      <c r="I3522" t="s">
        <v>417</v>
      </c>
    </row>
    <row r="3523" spans="1:12" x14ac:dyDescent="0.25">
      <c r="A3523" s="15">
        <f t="shared" ref="A3523:A3569" si="347">DATE(2024,9,5)</f>
        <v>45540</v>
      </c>
      <c r="B3523" s="31">
        <f>TIME(7,34,0)</f>
        <v>0.31527777777777777</v>
      </c>
      <c r="C3523" t="str">
        <f>'Inventory as of 12th Aug 2024'!A37</f>
        <v>Festive Bread 400g</v>
      </c>
      <c r="D3523" s="27">
        <v>1</v>
      </c>
      <c r="E3523" s="5">
        <f>Table4[[#This Row],[qty]]*(VLOOKUP(Table4[[#This Row],[item_sold]],Table1[],5,FALSE))</f>
        <v>65</v>
      </c>
      <c r="F3523" s="5">
        <f>(VLOOKUP(Table4[[#This Row],[item_sold]],Table1[],4,FALSE))*Table4[[#This Row],[qty]]</f>
        <v>60</v>
      </c>
      <c r="G3523">
        <f t="shared" si="339"/>
        <v>5</v>
      </c>
      <c r="H3523" t="s">
        <v>247</v>
      </c>
    </row>
    <row r="3524" spans="1:12" x14ac:dyDescent="0.25">
      <c r="A3524" s="15">
        <f t="shared" si="347"/>
        <v>45540</v>
      </c>
      <c r="B3524" s="31">
        <f>TIME(7,44,0)</f>
        <v>0.32222222222222224</v>
      </c>
      <c r="C3524" t="str">
        <f>'Inventory as of 12th Aug 2024'!A33</f>
        <v>BB Bread 400g</v>
      </c>
      <c r="D3524" s="27">
        <v>1</v>
      </c>
      <c r="E3524" s="5">
        <f>Table4[[#This Row],[qty]]*(VLOOKUP(Table4[[#This Row],[item_sold]],Table1[],5,FALSE))</f>
        <v>65</v>
      </c>
      <c r="F3524" s="5">
        <f>(VLOOKUP(Table4[[#This Row],[item_sold]],Table1[],4,FALSE))*Table4[[#This Row],[qty]]</f>
        <v>60</v>
      </c>
      <c r="G3524">
        <f t="shared" si="339"/>
        <v>5</v>
      </c>
      <c r="H3524" t="s">
        <v>247</v>
      </c>
    </row>
    <row r="3525" spans="1:12" x14ac:dyDescent="0.25">
      <c r="A3525" s="15">
        <f t="shared" si="347"/>
        <v>45540</v>
      </c>
      <c r="B3525" s="31">
        <f>TIME(7,57,0)</f>
        <v>0.33124999999999999</v>
      </c>
      <c r="C3525" t="str">
        <f>'Inventory as of 12th Aug 2024'!A58</f>
        <v>Safari</v>
      </c>
      <c r="D3525" s="27">
        <v>1</v>
      </c>
      <c r="E3525" s="5">
        <f>Table4[[#This Row],[qty]]*(VLOOKUP(Table4[[#This Row],[item_sold]],Table1[],5,FALSE))</f>
        <v>15</v>
      </c>
      <c r="F3525" s="5">
        <f>(VLOOKUP(Table4[[#This Row],[item_sold]],Table1[],4,FALSE))*Table4[[#This Row],[qty]]</f>
        <v>8.5</v>
      </c>
      <c r="G3525">
        <f t="shared" si="339"/>
        <v>6.5</v>
      </c>
      <c r="H3525" t="s">
        <v>361</v>
      </c>
    </row>
    <row r="3526" spans="1:12" x14ac:dyDescent="0.25">
      <c r="A3526" s="15">
        <f t="shared" si="347"/>
        <v>45540</v>
      </c>
      <c r="B3526" s="31">
        <f>TIME(7,57,0)</f>
        <v>0.33124999999999999</v>
      </c>
      <c r="C3526" t="str">
        <f>'Inventory as of 12th Aug 2024'!A107</f>
        <v>Match Box</v>
      </c>
      <c r="D3526" s="27">
        <v>1</v>
      </c>
      <c r="E3526" s="5">
        <f>Table4[[#This Row],[qty]]*(VLOOKUP(Table4[[#This Row],[item_sold]],Table1[],5,FALSE))</f>
        <v>5</v>
      </c>
      <c r="F3526" s="5">
        <f>(VLOOKUP(Table4[[#This Row],[item_sold]],Table1[],4,FALSE))*Table4[[#This Row],[qty]]</f>
        <v>2.3611111111111112</v>
      </c>
      <c r="G3526">
        <f t="shared" si="339"/>
        <v>2.6388888888888888</v>
      </c>
      <c r="H3526" t="s">
        <v>361</v>
      </c>
    </row>
    <row r="3527" spans="1:12" x14ac:dyDescent="0.25">
      <c r="A3527" s="15">
        <f t="shared" si="347"/>
        <v>45540</v>
      </c>
      <c r="B3527" s="31">
        <f>TIME(8,28,0)</f>
        <v>0.3527777777777778</v>
      </c>
      <c r="C3527" t="str">
        <f>'Inventory as of 12th Aug 2024'!A16</f>
        <v>Mt kenya milk 500ml</v>
      </c>
      <c r="D3527" s="27">
        <v>1</v>
      </c>
      <c r="E3527" s="5">
        <f>Table4[[#This Row],[qty]]*(VLOOKUP(Table4[[#This Row],[item_sold]],Table1[],5,FALSE))</f>
        <v>65</v>
      </c>
      <c r="F3527" s="5">
        <f>(VLOOKUP(Table4[[#This Row],[item_sold]],Table1[],4,FALSE))*Table4[[#This Row],[qty]]</f>
        <v>48.333333333333336</v>
      </c>
      <c r="G3527">
        <f t="shared" si="339"/>
        <v>16.666666666666664</v>
      </c>
      <c r="H3527" t="s">
        <v>247</v>
      </c>
      <c r="J3527" t="s">
        <v>385</v>
      </c>
      <c r="K3527">
        <v>760</v>
      </c>
      <c r="L3527" t="s">
        <v>361</v>
      </c>
    </row>
    <row r="3528" spans="1:12" x14ac:dyDescent="0.25">
      <c r="A3528" s="15">
        <f t="shared" si="347"/>
        <v>45540</v>
      </c>
      <c r="B3528" s="31">
        <f t="shared" ref="B3528:B3529" si="348">TIME(8,28,0)</f>
        <v>0.3527777777777778</v>
      </c>
      <c r="C3528" t="str">
        <f>'Inventory as of 12th Aug 2024'!A35</f>
        <v>Festive 600g</v>
      </c>
      <c r="D3528" s="27">
        <v>1</v>
      </c>
      <c r="E3528" s="5">
        <f>Table4[[#This Row],[qty]]*(VLOOKUP(Table4[[#This Row],[item_sold]],Table1[],5,FALSE))</f>
        <v>100</v>
      </c>
      <c r="F3528" s="5">
        <f>(VLOOKUP(Table4[[#This Row],[item_sold]],Table1[],4,FALSE))*Table4[[#This Row],[qty]]</f>
        <v>90</v>
      </c>
      <c r="G3528">
        <f t="shared" si="339"/>
        <v>10</v>
      </c>
      <c r="H3528" t="s">
        <v>247</v>
      </c>
    </row>
    <row r="3529" spans="1:12" x14ac:dyDescent="0.25">
      <c r="A3529" s="15">
        <f t="shared" si="347"/>
        <v>45540</v>
      </c>
      <c r="B3529" s="31">
        <f t="shared" si="348"/>
        <v>0.3527777777777778</v>
      </c>
      <c r="C3529" t="str">
        <f>'Inventory as of 12th Aug 2024'!A59</f>
        <v>kabras sugar 1kg</v>
      </c>
      <c r="D3529" s="27">
        <v>1</v>
      </c>
      <c r="E3529" s="5">
        <f>Table4[[#This Row],[qty]]*(VLOOKUP(Table4[[#This Row],[item_sold]],Table1[],5,FALSE))</f>
        <v>180</v>
      </c>
      <c r="F3529" s="5">
        <f>(VLOOKUP(Table4[[#This Row],[item_sold]],Table1[],4,FALSE))*Table4[[#This Row],[qty]]</f>
        <v>140</v>
      </c>
      <c r="G3529">
        <f t="shared" si="339"/>
        <v>40</v>
      </c>
      <c r="H3529" t="s">
        <v>247</v>
      </c>
    </row>
    <row r="3530" spans="1:12" x14ac:dyDescent="0.25">
      <c r="A3530" s="15">
        <f t="shared" si="347"/>
        <v>45540</v>
      </c>
      <c r="B3530" s="31">
        <f>TIME(8,33,0)</f>
        <v>0.35625000000000001</v>
      </c>
      <c r="C3530" t="str">
        <f>'Inventory as of 12th Aug 2024'!A21</f>
        <v>kinangop250g youghurt</v>
      </c>
      <c r="D3530" s="27">
        <v>1</v>
      </c>
      <c r="E3530" s="5">
        <f>Table4[[#This Row],[qty]]*(VLOOKUP(Table4[[#This Row],[item_sold]],Table1[],5,FALSE))</f>
        <v>60</v>
      </c>
      <c r="F3530" s="5">
        <f>(VLOOKUP(Table4[[#This Row],[item_sold]],Table1[],4,FALSE))*Table4[[#This Row],[qty]]</f>
        <v>48.333333333333336</v>
      </c>
      <c r="G3530">
        <f t="shared" si="339"/>
        <v>11.666666666666664</v>
      </c>
      <c r="H3530" t="s">
        <v>361</v>
      </c>
    </row>
    <row r="3531" spans="1:12" x14ac:dyDescent="0.25">
      <c r="A3531" s="15">
        <f t="shared" si="347"/>
        <v>45540</v>
      </c>
      <c r="B3531" s="31">
        <f t="shared" ref="B3531:B3532" si="349">TIME(8,33,0)</f>
        <v>0.35625000000000001</v>
      </c>
      <c r="C3531" t="str">
        <f>'Inventory as of 12th Aug 2024'!A33</f>
        <v>BB Bread 400g</v>
      </c>
      <c r="D3531" s="27">
        <v>1</v>
      </c>
      <c r="E3531" s="5">
        <f>Table4[[#This Row],[qty]]*(VLOOKUP(Table4[[#This Row],[item_sold]],Table1[],5,FALSE))</f>
        <v>65</v>
      </c>
      <c r="F3531" s="5">
        <f>(VLOOKUP(Table4[[#This Row],[item_sold]],Table1[],4,FALSE))*Table4[[#This Row],[qty]]</f>
        <v>60</v>
      </c>
      <c r="G3531">
        <f t="shared" si="339"/>
        <v>5</v>
      </c>
      <c r="H3531" t="s">
        <v>361</v>
      </c>
    </row>
    <row r="3532" spans="1:12" x14ac:dyDescent="0.25">
      <c r="A3532" s="15">
        <f t="shared" si="347"/>
        <v>45540</v>
      </c>
      <c r="B3532" s="31">
        <f t="shared" si="349"/>
        <v>0.35625000000000001</v>
      </c>
      <c r="C3532" t="str">
        <f>'Inventory as of 12th Aug 2024'!A59</f>
        <v>kabras sugar 1kg</v>
      </c>
      <c r="D3532" s="27">
        <v>1</v>
      </c>
      <c r="E3532" s="5">
        <f>Table4[[#This Row],[qty]]*(VLOOKUP(Table4[[#This Row],[item_sold]],Table1[],5,FALSE))</f>
        <v>180</v>
      </c>
      <c r="F3532" s="5">
        <f>(VLOOKUP(Table4[[#This Row],[item_sold]],Table1[],4,FALSE))*Table4[[#This Row],[qty]]</f>
        <v>140</v>
      </c>
      <c r="G3532">
        <f t="shared" si="339"/>
        <v>40</v>
      </c>
      <c r="H3532" t="s">
        <v>361</v>
      </c>
    </row>
    <row r="3533" spans="1:12" x14ac:dyDescent="0.25">
      <c r="A3533" s="15">
        <f t="shared" si="347"/>
        <v>45540</v>
      </c>
      <c r="B3533" s="31">
        <f>TIME(9,6,0)</f>
        <v>0.37916666666666665</v>
      </c>
      <c r="C3533" t="str">
        <f>'Inventory as of 12th Aug 2024'!A2</f>
        <v>Safaricom 20 Credit</v>
      </c>
      <c r="D3533" s="27">
        <v>1</v>
      </c>
      <c r="E3533" s="5">
        <f>Table4[[#This Row],[qty]]*(VLOOKUP(Table4[[#This Row],[item_sold]],Table1[],5,FALSE))</f>
        <v>20</v>
      </c>
      <c r="F3533" s="5">
        <f>(VLOOKUP(Table4[[#This Row],[item_sold]],Table1[],4,FALSE))*Table4[[#This Row],[qty]]</f>
        <v>18</v>
      </c>
      <c r="G3533">
        <f t="shared" si="339"/>
        <v>2</v>
      </c>
      <c r="H3533" t="s">
        <v>247</v>
      </c>
    </row>
    <row r="3534" spans="1:12" x14ac:dyDescent="0.25">
      <c r="A3534" s="15">
        <f t="shared" si="347"/>
        <v>45540</v>
      </c>
      <c r="B3534" s="31">
        <f t="shared" ref="B3534" si="350">TIME(9,6,0)</f>
        <v>0.37916666666666665</v>
      </c>
      <c r="C3534" t="str">
        <f>'Inventory as of 12th Aug 2024'!A2</f>
        <v>Safaricom 20 Credit</v>
      </c>
      <c r="D3534" s="27">
        <v>1</v>
      </c>
      <c r="E3534" s="5">
        <f>Table4[[#This Row],[qty]]*(VLOOKUP(Table4[[#This Row],[item_sold]],Table1[],5,FALSE))</f>
        <v>20</v>
      </c>
      <c r="F3534" s="5">
        <f>(VLOOKUP(Table4[[#This Row],[item_sold]],Table1[],4,FALSE))*Table4[[#This Row],[qty]]</f>
        <v>18</v>
      </c>
      <c r="G3534">
        <f t="shared" si="339"/>
        <v>2</v>
      </c>
      <c r="H3534" t="s">
        <v>247</v>
      </c>
    </row>
    <row r="3535" spans="1:12" x14ac:dyDescent="0.25">
      <c r="A3535" s="15">
        <f t="shared" si="347"/>
        <v>45540</v>
      </c>
      <c r="B3535" s="31">
        <f>TIME(10,0,0)</f>
        <v>0.41666666666666669</v>
      </c>
      <c r="C3535" t="str">
        <f>'Inventory as of 12th Aug 2024'!A92</f>
        <v>Banana</v>
      </c>
      <c r="D3535" s="27">
        <v>2</v>
      </c>
      <c r="E3535" s="5">
        <f>Table4[[#This Row],[qty]]*(VLOOKUP(Table4[[#This Row],[item_sold]],Table1[],5,FALSE))</f>
        <v>20</v>
      </c>
      <c r="F3535" s="5">
        <f>(VLOOKUP(Table4[[#This Row],[item_sold]],Table1[],4,FALSE))*Table4[[#This Row],[qty]]</f>
        <v>16.666666666666668</v>
      </c>
      <c r="G3535">
        <f t="shared" si="339"/>
        <v>3.3333333333333321</v>
      </c>
      <c r="H3535" t="s">
        <v>430</v>
      </c>
      <c r="I3535" t="s">
        <v>388</v>
      </c>
    </row>
    <row r="3536" spans="1:12" x14ac:dyDescent="0.25">
      <c r="A3536" s="15">
        <f t="shared" si="347"/>
        <v>45540</v>
      </c>
      <c r="B3536" s="31">
        <f>TIME(11,21,0)</f>
        <v>0.47291666666666665</v>
      </c>
      <c r="C3536" t="str">
        <f>'Inventory as of 12th Aug 2024'!A37</f>
        <v>Festive Bread 400g</v>
      </c>
      <c r="D3536" s="27">
        <v>1</v>
      </c>
      <c r="E3536" s="5">
        <f>Table4[[#This Row],[qty]]*(VLOOKUP(Table4[[#This Row],[item_sold]],Table1[],5,FALSE))</f>
        <v>65</v>
      </c>
      <c r="F3536" s="5">
        <f>(VLOOKUP(Table4[[#This Row],[item_sold]],Table1[],4,FALSE))*Table4[[#This Row],[qty]]</f>
        <v>60</v>
      </c>
      <c r="G3536">
        <f t="shared" si="339"/>
        <v>5</v>
      </c>
      <c r="H3536" t="s">
        <v>430</v>
      </c>
      <c r="I3536" t="s">
        <v>406</v>
      </c>
    </row>
    <row r="3537" spans="1:12" x14ac:dyDescent="0.25">
      <c r="A3537" s="15">
        <f t="shared" si="347"/>
        <v>45540</v>
      </c>
      <c r="B3537" s="31">
        <f>TIME(11,25,0)</f>
        <v>0.47569444444444442</v>
      </c>
      <c r="C3537" t="str">
        <f>'Inventory as of 12th Aug 2024'!A136</f>
        <v>Poa Pekee Tissue</v>
      </c>
      <c r="D3537" s="27">
        <v>1</v>
      </c>
      <c r="E3537" s="5">
        <f>Table4[[#This Row],[qty]]*(VLOOKUP(Table4[[#This Row],[item_sold]],Table1[],5,FALSE))</f>
        <v>30</v>
      </c>
      <c r="F3537" s="5">
        <f>(VLOOKUP(Table4[[#This Row],[item_sold]],Table1[],4,FALSE))*Table4[[#This Row],[qty]]</f>
        <v>13.333333333333334</v>
      </c>
      <c r="G3537">
        <f t="shared" si="339"/>
        <v>16.666666666666664</v>
      </c>
      <c r="H3537" t="s">
        <v>247</v>
      </c>
      <c r="J3537" t="s">
        <v>412</v>
      </c>
      <c r="K3537">
        <v>60</v>
      </c>
      <c r="L3537" t="s">
        <v>247</v>
      </c>
    </row>
    <row r="3538" spans="1:12" x14ac:dyDescent="0.25">
      <c r="A3538" s="15">
        <f t="shared" si="347"/>
        <v>45540</v>
      </c>
      <c r="B3538" s="31">
        <f t="shared" ref="B3538:B3540" si="351">TIME(11,25,0)</f>
        <v>0.47569444444444442</v>
      </c>
      <c r="C3538" t="str">
        <f>'Inventory as of 12th Aug 2024'!A193</f>
        <v>Ginger Bisquit</v>
      </c>
      <c r="D3538" s="27">
        <v>6</v>
      </c>
      <c r="E3538" s="5">
        <f>Table4[[#This Row],[qty]]*(VLOOKUP(Table4[[#This Row],[item_sold]],Table1[],5,FALSE))</f>
        <v>30</v>
      </c>
      <c r="F3538" s="5">
        <f>(VLOOKUP(Table4[[#This Row],[item_sold]],Table1[],4,FALSE))*Table4[[#This Row],[qty]]</f>
        <v>26</v>
      </c>
      <c r="G3538">
        <f t="shared" si="339"/>
        <v>4</v>
      </c>
      <c r="H3538" t="s">
        <v>430</v>
      </c>
      <c r="I3538" t="s">
        <v>386</v>
      </c>
    </row>
    <row r="3539" spans="1:12" x14ac:dyDescent="0.25">
      <c r="A3539" s="15">
        <f t="shared" si="347"/>
        <v>45540</v>
      </c>
      <c r="B3539" s="31">
        <f t="shared" si="351"/>
        <v>0.47569444444444442</v>
      </c>
      <c r="C3539" t="str">
        <f>'Inventory as of 12th Aug 2024'!A2</f>
        <v>Safaricom 20 Credit</v>
      </c>
      <c r="D3539" s="27">
        <v>1</v>
      </c>
      <c r="E3539" s="5">
        <f>Table4[[#This Row],[qty]]*(VLOOKUP(Table4[[#This Row],[item_sold]],Table1[],5,FALSE))</f>
        <v>20</v>
      </c>
      <c r="F3539" s="5">
        <f>(VLOOKUP(Table4[[#This Row],[item_sold]],Table1[],4,FALSE))*Table4[[#This Row],[qty]]</f>
        <v>18</v>
      </c>
      <c r="G3539">
        <f t="shared" si="339"/>
        <v>2</v>
      </c>
      <c r="H3539" t="s">
        <v>247</v>
      </c>
    </row>
    <row r="3540" spans="1:12" x14ac:dyDescent="0.25">
      <c r="A3540" s="15">
        <f t="shared" si="347"/>
        <v>45540</v>
      </c>
      <c r="B3540" s="31">
        <f t="shared" si="351"/>
        <v>0.47569444444444442</v>
      </c>
      <c r="C3540" t="str">
        <f>'Inventory as of 12th Aug 2024'!A3</f>
        <v>Safaricom 10 Credit</v>
      </c>
      <c r="D3540" s="27">
        <v>1</v>
      </c>
      <c r="E3540" s="5">
        <f>Table4[[#This Row],[qty]]*(VLOOKUP(Table4[[#This Row],[item_sold]],Table1[],5,FALSE))</f>
        <v>10</v>
      </c>
      <c r="F3540" s="5">
        <f>(VLOOKUP(Table4[[#This Row],[item_sold]],Table1[],4,FALSE))*Table4[[#This Row],[qty]]</f>
        <v>9</v>
      </c>
      <c r="G3540">
        <f t="shared" si="339"/>
        <v>1</v>
      </c>
      <c r="H3540" t="s">
        <v>247</v>
      </c>
    </row>
    <row r="3541" spans="1:12" x14ac:dyDescent="0.25">
      <c r="A3541" s="15">
        <f t="shared" si="347"/>
        <v>45540</v>
      </c>
      <c r="B3541" s="31">
        <f>TIME(9,6,0)</f>
        <v>0.37916666666666665</v>
      </c>
      <c r="C3541" t="str">
        <f>'Inventory as of 12th Aug 2024'!A138</f>
        <v>Softcare pads</v>
      </c>
      <c r="D3541" s="27">
        <v>1</v>
      </c>
      <c r="E3541" s="5">
        <f>Table4[[#This Row],[qty]]*(VLOOKUP(Table4[[#This Row],[item_sold]],Table1[],5,FALSE))</f>
        <v>85</v>
      </c>
      <c r="F3541" s="5">
        <f>(VLOOKUP(Table4[[#This Row],[item_sold]],Table1[],4,FALSE))*Table4[[#This Row],[qty]]</f>
        <v>66</v>
      </c>
      <c r="G3541">
        <f t="shared" si="339"/>
        <v>19</v>
      </c>
      <c r="H3541" t="s">
        <v>361</v>
      </c>
    </row>
    <row r="3542" spans="1:12" x14ac:dyDescent="0.25">
      <c r="A3542" s="15">
        <f t="shared" si="347"/>
        <v>45540</v>
      </c>
      <c r="B3542" s="31">
        <f>TIME(13,3,0)</f>
        <v>0.54375000000000007</v>
      </c>
      <c r="C3542" t="str">
        <f>'Inventory as of 12th Aug 2024'!A211</f>
        <v>predator</v>
      </c>
      <c r="D3542" s="27">
        <v>1</v>
      </c>
      <c r="E3542" s="5">
        <f>Table4[[#This Row],[qty]]*(VLOOKUP(Table4[[#This Row],[item_sold]],Table1[],5,FALSE))</f>
        <v>70</v>
      </c>
      <c r="F3542" s="5">
        <f>(VLOOKUP(Table4[[#This Row],[item_sold]],Table1[],4,FALSE))*Table4[[#This Row],[qty]]</f>
        <v>54.166666666666664</v>
      </c>
      <c r="G3542">
        <f t="shared" si="339"/>
        <v>15.833333333333336</v>
      </c>
      <c r="H3542" t="s">
        <v>430</v>
      </c>
      <c r="I3542" t="s">
        <v>401</v>
      </c>
    </row>
    <row r="3543" spans="1:12" x14ac:dyDescent="0.25">
      <c r="A3543" s="15">
        <f t="shared" si="347"/>
        <v>45540</v>
      </c>
      <c r="B3543" s="31">
        <f>TIME(12,59,0)</f>
        <v>0.54097222222222219</v>
      </c>
      <c r="C3543" t="str">
        <f>'Inventory as of 12th Aug 2024'!A212</f>
        <v>soda 300ml glass</v>
      </c>
      <c r="D3543" s="27">
        <v>1</v>
      </c>
      <c r="E3543" s="5">
        <f>Table4[[#This Row],[qty]]*(VLOOKUP(Table4[[#This Row],[item_sold]],Table1[],5,FALSE))</f>
        <v>40</v>
      </c>
      <c r="F3543" s="5">
        <f>(VLOOKUP(Table4[[#This Row],[item_sold]],Table1[],4,FALSE))*Table4[[#This Row],[qty]]</f>
        <v>32.5</v>
      </c>
      <c r="G3543">
        <f t="shared" si="339"/>
        <v>7.5</v>
      </c>
      <c r="H3543" t="s">
        <v>247</v>
      </c>
    </row>
    <row r="3544" spans="1:12" x14ac:dyDescent="0.25">
      <c r="A3544" s="15">
        <f t="shared" si="347"/>
        <v>45540</v>
      </c>
      <c r="B3544" s="31">
        <f>TIME(13,0,0)</f>
        <v>0.54166666666666663</v>
      </c>
      <c r="C3544" t="str">
        <f>'Inventory as of 12th Aug 2024'!A21</f>
        <v>kinangop250g youghurt</v>
      </c>
      <c r="D3544" s="27">
        <v>1</v>
      </c>
      <c r="E3544" s="5">
        <f>Table4[[#This Row],[qty]]*(VLOOKUP(Table4[[#This Row],[item_sold]],Table1[],5,FALSE))</f>
        <v>60</v>
      </c>
      <c r="F3544" s="5">
        <f>(VLOOKUP(Table4[[#This Row],[item_sold]],Table1[],4,FALSE))*Table4[[#This Row],[qty]]</f>
        <v>48.333333333333336</v>
      </c>
      <c r="G3544">
        <f t="shared" si="339"/>
        <v>11.666666666666664</v>
      </c>
      <c r="H3544" t="s">
        <v>247</v>
      </c>
    </row>
    <row r="3545" spans="1:12" x14ac:dyDescent="0.25">
      <c r="A3545" s="15">
        <f t="shared" si="347"/>
        <v>45540</v>
      </c>
      <c r="B3545" s="31">
        <f t="shared" ref="B3545:B3546" si="352">TIME(13,0,0)</f>
        <v>0.54166666666666663</v>
      </c>
      <c r="C3545" t="str">
        <f>'Inventory as of 12th Aug 2024'!A42</f>
        <v>Indomie chicken</v>
      </c>
      <c r="D3545" s="27">
        <v>2</v>
      </c>
      <c r="E3545" s="5">
        <f>Table4[[#This Row],[qty]]*(VLOOKUP(Table4[[#This Row],[item_sold]],Table1[],5,FALSE))</f>
        <v>100</v>
      </c>
      <c r="F3545" s="5">
        <f>(VLOOKUP(Table4[[#This Row],[item_sold]],Table1[],4,FALSE))*Table4[[#This Row],[qty]]</f>
        <v>75</v>
      </c>
      <c r="G3545">
        <f t="shared" si="339"/>
        <v>25</v>
      </c>
      <c r="H3545" t="s">
        <v>430</v>
      </c>
      <c r="I3545" t="s">
        <v>385</v>
      </c>
    </row>
    <row r="3546" spans="1:12" x14ac:dyDescent="0.25">
      <c r="A3546" s="15">
        <f t="shared" si="347"/>
        <v>45540</v>
      </c>
      <c r="B3546" s="31">
        <f t="shared" si="352"/>
        <v>0.54166666666666663</v>
      </c>
      <c r="C3546" t="str">
        <f>'Inventory as of 12th Aug 2024'!A205</f>
        <v xml:space="preserve"> soda 1.25lts</v>
      </c>
      <c r="D3546" s="27">
        <v>1</v>
      </c>
      <c r="E3546" s="5">
        <f>Table4[[#This Row],[qty]]*(VLOOKUP(Table4[[#This Row],[item_sold]],Table1[],5,FALSE))</f>
        <v>130</v>
      </c>
      <c r="F3546" s="5">
        <f>(VLOOKUP(Table4[[#This Row],[item_sold]],Table1[],4,FALSE))*Table4[[#This Row],[qty]]</f>
        <v>112.5</v>
      </c>
      <c r="G3546">
        <f t="shared" si="339"/>
        <v>17.5</v>
      </c>
      <c r="H3546" t="s">
        <v>361</v>
      </c>
    </row>
    <row r="3547" spans="1:12" x14ac:dyDescent="0.25">
      <c r="A3547" s="15">
        <f t="shared" si="347"/>
        <v>45540</v>
      </c>
      <c r="B3547" s="31">
        <f>TIME(13,35,0)</f>
        <v>0.56597222222222221</v>
      </c>
      <c r="C3547" t="str">
        <f>'Inventory as of 12th Aug 2024'!A220</f>
        <v>Super Glue</v>
      </c>
      <c r="D3547" s="27">
        <v>1</v>
      </c>
      <c r="E3547" s="5">
        <f>Table4[[#This Row],[qty]]*(VLOOKUP(Table4[[#This Row],[item_sold]],Table1[],5,FALSE))</f>
        <v>30</v>
      </c>
      <c r="F3547" s="5">
        <f>(VLOOKUP(Table4[[#This Row],[item_sold]],Table1[],4,FALSE))*Table4[[#This Row],[qty]]</f>
        <v>23.333333333333332</v>
      </c>
      <c r="G3547">
        <f t="shared" si="339"/>
        <v>6.6666666666666679</v>
      </c>
      <c r="H3547" t="s">
        <v>361</v>
      </c>
    </row>
    <row r="3548" spans="1:12" x14ac:dyDescent="0.25">
      <c r="A3548" s="15">
        <f t="shared" si="347"/>
        <v>45540</v>
      </c>
      <c r="B3548" s="31">
        <f>TIME(14,8,0)</f>
        <v>0.58888888888888891</v>
      </c>
      <c r="C3548" t="str">
        <f>'Inventory as of 12th Aug 2024'!A213</f>
        <v>soda 500ml glass</v>
      </c>
      <c r="D3548" s="27">
        <v>1</v>
      </c>
      <c r="E3548" s="5">
        <f>Table4[[#This Row],[qty]]*(VLOOKUP(Table4[[#This Row],[item_sold]],Table1[],5,FALSE))</f>
        <v>55</v>
      </c>
      <c r="F3548" s="5">
        <f>(VLOOKUP(Table4[[#This Row],[item_sold]],Table1[],4,FALSE))*Table4[[#This Row],[qty]]</f>
        <v>50</v>
      </c>
      <c r="G3548">
        <f t="shared" si="339"/>
        <v>5</v>
      </c>
      <c r="H3548" t="s">
        <v>430</v>
      </c>
      <c r="I3548" t="s">
        <v>386</v>
      </c>
    </row>
    <row r="3549" spans="1:12" x14ac:dyDescent="0.25">
      <c r="A3549" s="15">
        <f t="shared" si="347"/>
        <v>45540</v>
      </c>
      <c r="B3549" s="31">
        <f>TIME(14,9,0)</f>
        <v>0.58958333333333335</v>
      </c>
      <c r="C3549" t="str">
        <f>'Inventory as of 12th Aug 2024'!A246</f>
        <v>300ml water</v>
      </c>
      <c r="D3549" s="27">
        <v>1</v>
      </c>
      <c r="E3549" s="5">
        <f>Table4[[#This Row],[qty]]*(VLOOKUP(Table4[[#This Row],[item_sold]],Table1[],5,FALSE))</f>
        <v>30</v>
      </c>
      <c r="F3549" s="5">
        <f>(VLOOKUP(Table4[[#This Row],[item_sold]],Table1[],4,FALSE))*Table4[[#This Row],[qty]]</f>
        <v>12.5</v>
      </c>
      <c r="G3549">
        <f t="shared" si="339"/>
        <v>17.5</v>
      </c>
      <c r="H3549" t="s">
        <v>430</v>
      </c>
    </row>
    <row r="3550" spans="1:12" x14ac:dyDescent="0.25">
      <c r="A3550" s="15">
        <f t="shared" si="347"/>
        <v>45540</v>
      </c>
      <c r="B3550" s="31">
        <f>TIME(14,9,0)</f>
        <v>0.58958333333333335</v>
      </c>
      <c r="C3550" t="str">
        <f>'Inventory as of 12th Aug 2024'!A7</f>
        <v>Airtel 50 Credit</v>
      </c>
      <c r="D3550" s="27">
        <v>1</v>
      </c>
      <c r="E3550" s="5">
        <f>Table4[[#This Row],[qty]]*(VLOOKUP(Table4[[#This Row],[item_sold]],Table1[],5,FALSE))</f>
        <v>50</v>
      </c>
      <c r="F3550" s="5">
        <f>(VLOOKUP(Table4[[#This Row],[item_sold]],Table1[],4,FALSE))*Table4[[#This Row],[qty]]</f>
        <v>47</v>
      </c>
      <c r="G3550">
        <f t="shared" si="339"/>
        <v>3</v>
      </c>
      <c r="H3550" t="s">
        <v>247</v>
      </c>
    </row>
    <row r="3551" spans="1:12" x14ac:dyDescent="0.25">
      <c r="A3551" s="15">
        <f t="shared" si="347"/>
        <v>45540</v>
      </c>
      <c r="B3551" s="31">
        <f>TIME(16,22,0)</f>
        <v>0.68194444444444446</v>
      </c>
      <c r="C3551" t="str">
        <f>'Inventory as of 12th Aug 2024'!A25</f>
        <v>Brookside Lala Sweetened</v>
      </c>
      <c r="D3551" s="27">
        <v>1</v>
      </c>
      <c r="E3551" s="5">
        <f>Table4[[#This Row],[qty]]*(VLOOKUP(Table4[[#This Row],[item_sold]],Table1[],5,FALSE))</f>
        <v>110</v>
      </c>
      <c r="F3551" s="5">
        <f>(VLOOKUP(Table4[[#This Row],[item_sold]],Table1[],4,FALSE))*Table4[[#This Row],[qty]]</f>
        <v>93</v>
      </c>
      <c r="G3551">
        <f t="shared" si="339"/>
        <v>17</v>
      </c>
      <c r="H3551" t="s">
        <v>430</v>
      </c>
      <c r="I3551" t="s">
        <v>392</v>
      </c>
    </row>
    <row r="3552" spans="1:12" x14ac:dyDescent="0.25">
      <c r="A3552" s="15">
        <f t="shared" si="347"/>
        <v>45540</v>
      </c>
      <c r="B3552" s="31">
        <f>TIME(16,23,0)</f>
        <v>0.68263888888888891</v>
      </c>
      <c r="C3552" t="str">
        <f>'Inventory as of 12th Aug 2024'!A77</f>
        <v>Toss 100g</v>
      </c>
      <c r="D3552" s="27">
        <v>1</v>
      </c>
      <c r="E3552" s="5">
        <f>Table4[[#This Row],[qty]]*(VLOOKUP(Table4[[#This Row],[item_sold]],Table1[],5,FALSE))</f>
        <v>60</v>
      </c>
      <c r="F3552" s="5">
        <f>(VLOOKUP(Table4[[#This Row],[item_sold]],Table1[],4,FALSE))*Table4[[#This Row],[qty]]</f>
        <v>36.666666666666664</v>
      </c>
      <c r="G3552">
        <f t="shared" si="339"/>
        <v>23.333333333333336</v>
      </c>
      <c r="H3552" t="s">
        <v>430</v>
      </c>
      <c r="I3552" t="s">
        <v>412</v>
      </c>
    </row>
    <row r="3553" spans="1:9" x14ac:dyDescent="0.25">
      <c r="A3553" s="15">
        <f t="shared" si="347"/>
        <v>45540</v>
      </c>
      <c r="B3553" s="31">
        <f>TIME(17,15,0)</f>
        <v>0.71875</v>
      </c>
      <c r="C3553" t="str">
        <f>'Inventory as of 12th Aug 2024'!A8</f>
        <v>eggs</v>
      </c>
      <c r="D3553" s="27">
        <v>2</v>
      </c>
      <c r="E3553" s="5">
        <f>Table4[[#This Row],[qty]]*(VLOOKUP(Table4[[#This Row],[item_sold]],Table1[],5,FALSE))</f>
        <v>40</v>
      </c>
      <c r="F3553" s="5">
        <f>(VLOOKUP(Table4[[#This Row],[item_sold]],Table1[],4,FALSE))*Table4[[#This Row],[qty]]</f>
        <v>28.666666666666668</v>
      </c>
      <c r="G3553">
        <f t="shared" si="339"/>
        <v>11.333333333333332</v>
      </c>
      <c r="H3553" t="s">
        <v>247</v>
      </c>
    </row>
    <row r="3554" spans="1:9" x14ac:dyDescent="0.25">
      <c r="A3554" s="15">
        <f t="shared" si="347"/>
        <v>45540</v>
      </c>
      <c r="B3554" s="31">
        <f t="shared" ref="B3554" si="353">TIME(17,15,0)</f>
        <v>0.71875</v>
      </c>
      <c r="C3554" t="str">
        <f>'Inventory as of 12th Aug 2024'!A61</f>
        <v>kensalt 500g</v>
      </c>
      <c r="D3554" s="27">
        <v>1</v>
      </c>
      <c r="E3554" s="5">
        <f>Table4[[#This Row],[qty]]*(VLOOKUP(Table4[[#This Row],[item_sold]],Table1[],5,FALSE))</f>
        <v>25</v>
      </c>
      <c r="F3554" s="5">
        <f>(VLOOKUP(Table4[[#This Row],[item_sold]],Table1[],4,FALSE))*Table4[[#This Row],[qty]]</f>
        <v>14</v>
      </c>
      <c r="G3554">
        <f t="shared" si="339"/>
        <v>11</v>
      </c>
      <c r="H3554" t="s">
        <v>247</v>
      </c>
    </row>
    <row r="3555" spans="1:9" x14ac:dyDescent="0.25">
      <c r="A3555" s="15">
        <f t="shared" si="347"/>
        <v>45540</v>
      </c>
      <c r="B3555" s="31">
        <f>TIME(17,26,0)</f>
        <v>0.72638888888888886</v>
      </c>
      <c r="C3555" t="str">
        <f>'Inventory as of 12th Aug 2024'!A240</f>
        <v>Bigboss</v>
      </c>
      <c r="D3555" s="27">
        <v>1</v>
      </c>
      <c r="E3555" s="5">
        <f>Table4[[#This Row],[qty]]*(VLOOKUP(Table4[[#This Row],[item_sold]],Table1[],5,FALSE))</f>
        <v>5</v>
      </c>
      <c r="F3555" s="5">
        <f>(VLOOKUP(Table4[[#This Row],[item_sold]],Table1[],4,FALSE))*Table4[[#This Row],[qty]]</f>
        <v>3.5</v>
      </c>
      <c r="G3555">
        <f t="shared" si="339"/>
        <v>1.5</v>
      </c>
      <c r="H3555" t="s">
        <v>247</v>
      </c>
    </row>
    <row r="3556" spans="1:9" x14ac:dyDescent="0.25">
      <c r="A3556" s="15">
        <f t="shared" si="347"/>
        <v>45540</v>
      </c>
      <c r="B3556" s="31">
        <f>TIME(17,44,0)</f>
        <v>0.73888888888888893</v>
      </c>
      <c r="C3556" t="str">
        <f>'Inventory as of 12th Aug 2024'!A58</f>
        <v>Safari</v>
      </c>
      <c r="D3556" s="27">
        <v>4</v>
      </c>
      <c r="E3556" s="5">
        <f>Table4[[#This Row],[qty]]*(VLOOKUP(Table4[[#This Row],[item_sold]],Table1[],5,FALSE))</f>
        <v>60</v>
      </c>
      <c r="F3556" s="5">
        <f>(VLOOKUP(Table4[[#This Row],[item_sold]],Table1[],4,FALSE))*Table4[[#This Row],[qty]]</f>
        <v>34</v>
      </c>
      <c r="G3556">
        <f t="shared" si="339"/>
        <v>26</v>
      </c>
      <c r="H3556" t="s">
        <v>361</v>
      </c>
    </row>
    <row r="3557" spans="1:9" x14ac:dyDescent="0.25">
      <c r="A3557" s="15">
        <f t="shared" si="347"/>
        <v>45540</v>
      </c>
      <c r="B3557" s="31">
        <f>TIME(18,50,0)</f>
        <v>0.78472222222222221</v>
      </c>
      <c r="C3557" t="str">
        <f>'Inventory as of 12th Aug 2024'!A182</f>
        <v>T.Heat Potato crisps salted 25g</v>
      </c>
      <c r="D3557" s="27">
        <v>1</v>
      </c>
      <c r="E3557" s="5">
        <f>Table4[[#This Row],[qty]]*(VLOOKUP(Table4[[#This Row],[item_sold]],Table1[],5,FALSE))</f>
        <v>30</v>
      </c>
      <c r="F3557" s="5">
        <f>(VLOOKUP(Table4[[#This Row],[item_sold]],Table1[],4,FALSE))*Table4[[#This Row],[qty]]</f>
        <v>22.916666666666668</v>
      </c>
      <c r="G3557">
        <f t="shared" si="339"/>
        <v>7.0833333333333321</v>
      </c>
      <c r="H3557" t="s">
        <v>361</v>
      </c>
    </row>
    <row r="3558" spans="1:9" x14ac:dyDescent="0.25">
      <c r="A3558" s="15">
        <f t="shared" si="347"/>
        <v>45540</v>
      </c>
      <c r="B3558" s="31">
        <f>TIME(18,50,0)</f>
        <v>0.78472222222222221</v>
      </c>
      <c r="C3558" t="str">
        <f>'Inventory as of 12th Aug 2024'!A75</f>
        <v>Cooking Oil Measured</v>
      </c>
      <c r="D3558" s="27">
        <v>0.25</v>
      </c>
      <c r="E3558" s="5">
        <f>Table4[[#This Row],[qty]]*(VLOOKUP(Table4[[#This Row],[item_sold]],Table1[],5,FALSE))</f>
        <v>70</v>
      </c>
      <c r="F3558" s="5">
        <f>(VLOOKUP(Table4[[#This Row],[item_sold]],Table1[],4,FALSE))*Table4[[#This Row],[qty]]</f>
        <v>50</v>
      </c>
      <c r="G3558">
        <f t="shared" si="339"/>
        <v>20</v>
      </c>
      <c r="H3558" t="s">
        <v>361</v>
      </c>
    </row>
    <row r="3559" spans="1:9" x14ac:dyDescent="0.25">
      <c r="A3559" s="15">
        <f t="shared" si="347"/>
        <v>45540</v>
      </c>
      <c r="B3559" s="31">
        <f>TIME(19,16,0)</f>
        <v>0.8027777777777777</v>
      </c>
      <c r="C3559" t="str">
        <f>'Inventory as of 12th Aug 2024'!A35</f>
        <v>Festive 600g</v>
      </c>
      <c r="D3559" s="27">
        <v>1</v>
      </c>
      <c r="E3559" s="5">
        <f>Table4[[#This Row],[qty]]*(VLOOKUP(Table4[[#This Row],[item_sold]],Table1[],5,FALSE))</f>
        <v>100</v>
      </c>
      <c r="F3559" s="5">
        <f>(VLOOKUP(Table4[[#This Row],[item_sold]],Table1[],4,FALSE))*Table4[[#This Row],[qty]]</f>
        <v>90</v>
      </c>
      <c r="G3559">
        <f t="shared" si="339"/>
        <v>10</v>
      </c>
      <c r="H3559" t="s">
        <v>361</v>
      </c>
    </row>
    <row r="3560" spans="1:9" x14ac:dyDescent="0.25">
      <c r="A3560" s="15">
        <f t="shared" si="347"/>
        <v>45540</v>
      </c>
      <c r="B3560" s="31">
        <f>TIME(19,21,0)</f>
        <v>0.80625000000000002</v>
      </c>
      <c r="C3560" t="str">
        <f>'Inventory as of 12th Aug 2024'!A193</f>
        <v>Ginger Bisquit</v>
      </c>
      <c r="D3560" s="27">
        <v>5</v>
      </c>
      <c r="E3560" s="5">
        <f>Table4[[#This Row],[qty]]*(VLOOKUP(Table4[[#This Row],[item_sold]],Table1[],5,FALSE))</f>
        <v>25</v>
      </c>
      <c r="F3560" s="5">
        <f>(VLOOKUP(Table4[[#This Row],[item_sold]],Table1[],4,FALSE))*Table4[[#This Row],[qty]]</f>
        <v>21.666666666666664</v>
      </c>
      <c r="G3560">
        <f t="shared" si="339"/>
        <v>3.3333333333333357</v>
      </c>
      <c r="H3560" t="s">
        <v>361</v>
      </c>
    </row>
    <row r="3561" spans="1:9" x14ac:dyDescent="0.25">
      <c r="A3561" s="15">
        <f t="shared" si="347"/>
        <v>45540</v>
      </c>
      <c r="B3561" s="31">
        <f>TIME(19,29,0)</f>
        <v>0.81180555555555556</v>
      </c>
      <c r="C3561" t="str">
        <f>'Inventory as of 12th Aug 2024'!A75</f>
        <v>Cooking Oil Measured</v>
      </c>
      <c r="D3561" s="27">
        <v>0.25</v>
      </c>
      <c r="E3561" s="5">
        <f>Table4[[#This Row],[qty]]*(VLOOKUP(Table4[[#This Row],[item_sold]],Table1[],5,FALSE))</f>
        <v>70</v>
      </c>
      <c r="F3561" s="5">
        <f>(VLOOKUP(Table4[[#This Row],[item_sold]],Table1[],4,FALSE))*Table4[[#This Row],[qty]]</f>
        <v>50</v>
      </c>
      <c r="G3561">
        <f t="shared" si="339"/>
        <v>20</v>
      </c>
      <c r="H3561" t="s">
        <v>361</v>
      </c>
    </row>
    <row r="3562" spans="1:9" x14ac:dyDescent="0.25">
      <c r="A3562" s="15">
        <f t="shared" si="347"/>
        <v>45540</v>
      </c>
      <c r="B3562" s="31">
        <f t="shared" ref="B3562" si="354">TIME(19,29,0)</f>
        <v>0.81180555555555556</v>
      </c>
      <c r="C3562" t="str">
        <f>'Inventory as of 12th Aug 2024'!A2</f>
        <v>Safaricom 20 Credit</v>
      </c>
      <c r="D3562" s="27">
        <v>1</v>
      </c>
      <c r="E3562" s="5">
        <f>Table4[[#This Row],[qty]]*(VLOOKUP(Table4[[#This Row],[item_sold]],Table1[],5,FALSE))</f>
        <v>20</v>
      </c>
      <c r="F3562" s="5">
        <f>(VLOOKUP(Table4[[#This Row],[item_sold]],Table1[],4,FALSE))*Table4[[#This Row],[qty]]</f>
        <v>18</v>
      </c>
      <c r="G3562">
        <f t="shared" ref="G3562:G3625" si="355">E3562-F3562</f>
        <v>2</v>
      </c>
      <c r="H3562" t="s">
        <v>247</v>
      </c>
    </row>
    <row r="3563" spans="1:9" x14ac:dyDescent="0.25">
      <c r="A3563" s="15">
        <f t="shared" si="347"/>
        <v>45540</v>
      </c>
      <c r="B3563" s="31">
        <f>TIME(20,1,0)</f>
        <v>0.8340277777777777</v>
      </c>
      <c r="C3563" t="str">
        <f>'Inventory as of 12th Aug 2024'!A35</f>
        <v>Festive 600g</v>
      </c>
      <c r="D3563" s="27">
        <v>1</v>
      </c>
      <c r="E3563" s="5">
        <f>Table4[[#This Row],[qty]]*(VLOOKUP(Table4[[#This Row],[item_sold]],Table1[],5,FALSE))</f>
        <v>100</v>
      </c>
      <c r="F3563" s="5">
        <f>(VLOOKUP(Table4[[#This Row],[item_sold]],Table1[],4,FALSE))*Table4[[#This Row],[qty]]</f>
        <v>90</v>
      </c>
      <c r="G3563">
        <f t="shared" si="355"/>
        <v>10</v>
      </c>
      <c r="H3563" t="s">
        <v>247</v>
      </c>
    </row>
    <row r="3564" spans="1:9" x14ac:dyDescent="0.25">
      <c r="A3564" s="15">
        <f t="shared" si="347"/>
        <v>45540</v>
      </c>
      <c r="B3564" s="31">
        <f>TIME(20,10,0)</f>
        <v>0.84027777777777779</v>
      </c>
      <c r="C3564" t="str">
        <f>'Inventory as of 12th Aug 2024'!A33</f>
        <v>BB Bread 400g</v>
      </c>
      <c r="D3564" s="27">
        <v>1</v>
      </c>
      <c r="E3564" s="5">
        <f>Table4[[#This Row],[qty]]*(VLOOKUP(Table4[[#This Row],[item_sold]],Table1[],5,FALSE))</f>
        <v>65</v>
      </c>
      <c r="F3564" s="5">
        <f>(VLOOKUP(Table4[[#This Row],[item_sold]],Table1[],4,FALSE))*Table4[[#This Row],[qty]]</f>
        <v>60</v>
      </c>
      <c r="G3564">
        <f t="shared" si="355"/>
        <v>5</v>
      </c>
      <c r="H3564" t="s">
        <v>247</v>
      </c>
    </row>
    <row r="3565" spans="1:9" x14ac:dyDescent="0.25">
      <c r="A3565" s="15">
        <f t="shared" si="347"/>
        <v>45540</v>
      </c>
      <c r="B3565" s="31">
        <f t="shared" ref="B3565" si="356">TIME(20,10,0)</f>
        <v>0.84027777777777779</v>
      </c>
      <c r="C3565" t="str">
        <f>'Inventory as of 12th Aug 2024'!A121</f>
        <v>Panadol Extra</v>
      </c>
      <c r="D3565" s="27">
        <v>2</v>
      </c>
      <c r="E3565" s="5">
        <f>Table4[[#This Row],[qty]]*(VLOOKUP(Table4[[#This Row],[item_sold]],Table1[],5,FALSE))</f>
        <v>40</v>
      </c>
      <c r="F3565" s="5">
        <f>(VLOOKUP(Table4[[#This Row],[item_sold]],Table1[],4,FALSE))*Table4[[#This Row],[qty]]</f>
        <v>26</v>
      </c>
      <c r="G3565">
        <f t="shared" si="355"/>
        <v>14</v>
      </c>
      <c r="H3565" t="s">
        <v>247</v>
      </c>
    </row>
    <row r="3566" spans="1:9" x14ac:dyDescent="0.25">
      <c r="A3566" s="15">
        <f t="shared" si="347"/>
        <v>45540</v>
      </c>
      <c r="B3566" s="31">
        <f>TIME(20,13,0)</f>
        <v>0.84236111111111101</v>
      </c>
      <c r="C3566" t="str">
        <f>'Inventory as of 12th Aug 2024'!A37</f>
        <v>Festive Bread 400g</v>
      </c>
      <c r="D3566" s="27">
        <v>1</v>
      </c>
      <c r="E3566" s="5">
        <f>Table4[[#This Row],[qty]]*(VLOOKUP(Table4[[#This Row],[item_sold]],Table1[],5,FALSE))</f>
        <v>65</v>
      </c>
      <c r="F3566" s="5">
        <f>(VLOOKUP(Table4[[#This Row],[item_sold]],Table1[],4,FALSE))*Table4[[#This Row],[qty]]</f>
        <v>60</v>
      </c>
      <c r="G3566">
        <f t="shared" si="355"/>
        <v>5</v>
      </c>
      <c r="H3566" t="s">
        <v>430</v>
      </c>
      <c r="I3566" t="s">
        <v>417</v>
      </c>
    </row>
    <row r="3567" spans="1:9" x14ac:dyDescent="0.25">
      <c r="A3567" s="15">
        <f t="shared" si="347"/>
        <v>45540</v>
      </c>
      <c r="B3567" s="31">
        <f>TIME(20,21,0)</f>
        <v>0.84791666666666676</v>
      </c>
      <c r="C3567" t="str">
        <f>'Inventory as of 12th Aug 2024'!A9</f>
        <v>Kinangop Fresh Milk 500ml</v>
      </c>
      <c r="D3567" s="27">
        <v>1</v>
      </c>
      <c r="E3567" s="5">
        <f>Table4[[#This Row],[qty]]*(VLOOKUP(Table4[[#This Row],[item_sold]],Table1[],5,FALSE))</f>
        <v>60</v>
      </c>
      <c r="F3567" s="5">
        <f>(VLOOKUP(Table4[[#This Row],[item_sold]],Table1[],4,FALSE))*Table4[[#This Row],[qty]]</f>
        <v>55</v>
      </c>
      <c r="G3567">
        <f t="shared" si="355"/>
        <v>5</v>
      </c>
      <c r="H3567" t="s">
        <v>247</v>
      </c>
    </row>
    <row r="3568" spans="1:9" x14ac:dyDescent="0.25">
      <c r="A3568" s="15">
        <f t="shared" si="347"/>
        <v>45540</v>
      </c>
      <c r="B3568" s="31">
        <f>TIME(20,43,0)</f>
        <v>0.86319444444444438</v>
      </c>
      <c r="C3568" t="str">
        <f>'Inventory as of 12th Aug 2024'!A192</f>
        <v>Lemon Bisquit</v>
      </c>
      <c r="D3568" s="27">
        <v>4</v>
      </c>
      <c r="E3568" s="5">
        <f>Table4[[#This Row],[qty]]*(VLOOKUP(Table4[[#This Row],[item_sold]],Table1[],5,FALSE))</f>
        <v>20</v>
      </c>
      <c r="F3568" s="5">
        <f>(VLOOKUP(Table4[[#This Row],[item_sold]],Table1[],4,FALSE))*Table4[[#This Row],[qty]]</f>
        <v>17.333333333333332</v>
      </c>
      <c r="G3568">
        <f t="shared" si="355"/>
        <v>2.6666666666666679</v>
      </c>
      <c r="H3568" t="s">
        <v>430</v>
      </c>
      <c r="I3568" t="s">
        <v>452</v>
      </c>
    </row>
    <row r="3569" spans="1:12" x14ac:dyDescent="0.25">
      <c r="A3569" s="15">
        <f t="shared" si="347"/>
        <v>45540</v>
      </c>
      <c r="B3569" s="31">
        <f>TIME(9,6,0)</f>
        <v>0.37916666666666665</v>
      </c>
      <c r="C3569" t="str">
        <f>'Inventory as of 12th Aug 2024'!A257</f>
        <v>Jamaa soap</v>
      </c>
      <c r="D3569" s="27">
        <v>0.4</v>
      </c>
      <c r="E3569" s="5">
        <f>Table4[[#This Row],[qty]]*(VLOOKUP(Table4[[#This Row],[item_sold]],Table1[],5,FALSE))</f>
        <v>100</v>
      </c>
      <c r="F3569" s="5">
        <f>(VLOOKUP(Table4[[#This Row],[item_sold]],Table1[],4,FALSE))*Table4[[#This Row],[qty]]</f>
        <v>72</v>
      </c>
      <c r="G3569">
        <f t="shared" si="355"/>
        <v>28</v>
      </c>
      <c r="H3569" t="s">
        <v>430</v>
      </c>
      <c r="I3569" t="s">
        <v>386</v>
      </c>
    </row>
    <row r="3570" spans="1:12" x14ac:dyDescent="0.25">
      <c r="A3570" s="15">
        <f t="shared" ref="A3570:A3624" si="357">DATE(2024,9,6)</f>
        <v>45541</v>
      </c>
      <c r="B3570" s="31">
        <f>TIME(7,30,0)</f>
        <v>0.3125</v>
      </c>
      <c r="C3570" t="str">
        <f>'Inventory as of 12th Aug 2024'!A120</f>
        <v>Maramoja</v>
      </c>
      <c r="D3570" s="27">
        <v>2</v>
      </c>
      <c r="E3570" s="5">
        <f>Table4[[#This Row],[qty]]*(VLOOKUP(Table4[[#This Row],[item_sold]],Table1[],5,FALSE))</f>
        <v>20</v>
      </c>
      <c r="F3570" s="5">
        <f>(VLOOKUP(Table4[[#This Row],[item_sold]],Table1[],4,FALSE))*Table4[[#This Row],[qty]]</f>
        <v>14</v>
      </c>
      <c r="G3570">
        <f t="shared" si="355"/>
        <v>6</v>
      </c>
      <c r="H3570" t="s">
        <v>430</v>
      </c>
      <c r="I3570" t="s">
        <v>385</v>
      </c>
    </row>
    <row r="3571" spans="1:12" x14ac:dyDescent="0.25">
      <c r="A3571" s="15">
        <f t="shared" si="357"/>
        <v>45541</v>
      </c>
      <c r="B3571" s="31">
        <f>TIME(7,30,0)</f>
        <v>0.3125</v>
      </c>
      <c r="C3571" t="str">
        <f>'Inventory as of 12th Aug 2024'!A251</f>
        <v>Piriton</v>
      </c>
      <c r="D3571" s="27">
        <v>5</v>
      </c>
      <c r="E3571" s="5">
        <f>Table4[[#This Row],[qty]]*(VLOOKUP(Table4[[#This Row],[item_sold]],Table1[],5,FALSE))</f>
        <v>5</v>
      </c>
      <c r="F3571" s="5">
        <f>(VLOOKUP(Table4[[#This Row],[item_sold]],Table1[],4,FALSE))*Table4[[#This Row],[qty]]</f>
        <v>2.5</v>
      </c>
      <c r="G3571">
        <f t="shared" si="355"/>
        <v>2.5</v>
      </c>
      <c r="H3571" t="s">
        <v>430</v>
      </c>
    </row>
    <row r="3572" spans="1:12" x14ac:dyDescent="0.25">
      <c r="A3572" s="15">
        <f t="shared" si="357"/>
        <v>45541</v>
      </c>
      <c r="B3572" s="31">
        <f>TIME(7,58,0)</f>
        <v>0.33194444444444443</v>
      </c>
      <c r="C3572" t="str">
        <f>'Inventory as of 12th Aug 2024'!A149</f>
        <v>Arimis small</v>
      </c>
      <c r="D3572" s="27">
        <v>1</v>
      </c>
      <c r="E3572" s="5">
        <f>Table4[[#This Row],[qty]]*(VLOOKUP(Table4[[#This Row],[item_sold]],Table1[],5,FALSE))</f>
        <v>35</v>
      </c>
      <c r="F3572" s="5">
        <f>(VLOOKUP(Table4[[#This Row],[item_sold]],Table1[],4,FALSE))*Table4[[#This Row],[qty]]</f>
        <v>23.333333333333332</v>
      </c>
      <c r="G3572">
        <f t="shared" si="355"/>
        <v>11.666666666666668</v>
      </c>
      <c r="H3572" t="s">
        <v>361</v>
      </c>
    </row>
    <row r="3573" spans="1:12" x14ac:dyDescent="0.25">
      <c r="A3573" s="15">
        <f t="shared" si="357"/>
        <v>45541</v>
      </c>
      <c r="B3573" s="31">
        <f>TIME(7,58,0)</f>
        <v>0.33194444444444443</v>
      </c>
      <c r="C3573" t="str">
        <f>'Inventory as of 12th Aug 2024'!A33</f>
        <v>BB Bread 400g</v>
      </c>
      <c r="D3573" s="27">
        <v>1</v>
      </c>
      <c r="E3573" s="5">
        <f>Table4[[#This Row],[qty]]*(VLOOKUP(Table4[[#This Row],[item_sold]],Table1[],5,FALSE))</f>
        <v>65</v>
      </c>
      <c r="F3573" s="5">
        <f>(VLOOKUP(Table4[[#This Row],[item_sold]],Table1[],4,FALSE))*Table4[[#This Row],[qty]]</f>
        <v>60</v>
      </c>
      <c r="G3573">
        <f t="shared" si="355"/>
        <v>5</v>
      </c>
      <c r="H3573" t="s">
        <v>361</v>
      </c>
    </row>
    <row r="3574" spans="1:12" x14ac:dyDescent="0.25">
      <c r="A3574" s="15">
        <f t="shared" si="357"/>
        <v>45541</v>
      </c>
      <c r="B3574" s="31">
        <f>TIME(8,0,0)</f>
        <v>0.33333333333333331</v>
      </c>
      <c r="C3574" t="str">
        <f>'Inventory as of 12th Aug 2024'!A36</f>
        <v>Festive 800g</v>
      </c>
      <c r="D3574" s="27">
        <v>1</v>
      </c>
      <c r="E3574" s="5">
        <f>Table4[[#This Row],[qty]]*(VLOOKUP(Table4[[#This Row],[item_sold]],Table1[],5,FALSE))</f>
        <v>130</v>
      </c>
      <c r="F3574" s="5">
        <f>(VLOOKUP(Table4[[#This Row],[item_sold]],Table1[],4,FALSE))*Table4[[#This Row],[qty]]</f>
        <v>120</v>
      </c>
      <c r="G3574">
        <f t="shared" si="355"/>
        <v>10</v>
      </c>
      <c r="H3574" t="s">
        <v>430</v>
      </c>
      <c r="I3574" t="s">
        <v>453</v>
      </c>
    </row>
    <row r="3575" spans="1:12" x14ac:dyDescent="0.25">
      <c r="A3575" s="15">
        <f t="shared" si="357"/>
        <v>45541</v>
      </c>
      <c r="B3575" s="31">
        <f t="shared" ref="B3575:B3578" si="358">TIME(8,0,0)</f>
        <v>0.33333333333333331</v>
      </c>
      <c r="C3575" t="str">
        <f>'Inventory as of 12th Aug 2024'!A21</f>
        <v>kinangop250g youghurt</v>
      </c>
      <c r="D3575" s="27">
        <v>1</v>
      </c>
      <c r="E3575" s="5">
        <f>Table4[[#This Row],[qty]]*(VLOOKUP(Table4[[#This Row],[item_sold]],Table1[],5,FALSE))</f>
        <v>60</v>
      </c>
      <c r="F3575" s="5">
        <f>(VLOOKUP(Table4[[#This Row],[item_sold]],Table1[],4,FALSE))*Table4[[#This Row],[qty]]</f>
        <v>48.333333333333336</v>
      </c>
      <c r="G3575">
        <f t="shared" si="355"/>
        <v>11.666666666666664</v>
      </c>
      <c r="H3575" t="s">
        <v>430</v>
      </c>
      <c r="I3575" t="s">
        <v>412</v>
      </c>
    </row>
    <row r="3576" spans="1:12" x14ac:dyDescent="0.25">
      <c r="A3576" s="15">
        <f t="shared" si="357"/>
        <v>45541</v>
      </c>
      <c r="B3576" s="31">
        <f t="shared" si="358"/>
        <v>0.33333333333333331</v>
      </c>
      <c r="C3576" t="str">
        <f>'Inventory as of 12th Aug 2024'!A33</f>
        <v>BB Bread 400g</v>
      </c>
      <c r="D3576" s="27">
        <v>1</v>
      </c>
      <c r="E3576" s="5">
        <f>Table4[[#This Row],[qty]]*(VLOOKUP(Table4[[#This Row],[item_sold]],Table1[],5,FALSE))</f>
        <v>65</v>
      </c>
      <c r="F3576" s="5">
        <f>(VLOOKUP(Table4[[#This Row],[item_sold]],Table1[],4,FALSE))*Table4[[#This Row],[qty]]</f>
        <v>60</v>
      </c>
      <c r="G3576">
        <f t="shared" si="355"/>
        <v>5</v>
      </c>
      <c r="H3576" t="s">
        <v>430</v>
      </c>
      <c r="I3576" t="s">
        <v>388</v>
      </c>
    </row>
    <row r="3577" spans="1:12" x14ac:dyDescent="0.25">
      <c r="A3577" s="15">
        <f t="shared" si="357"/>
        <v>45541</v>
      </c>
      <c r="B3577" s="31">
        <f t="shared" si="358"/>
        <v>0.33333333333333331</v>
      </c>
      <c r="C3577" t="str">
        <f>'Inventory as of 12th Aug 2024'!A58</f>
        <v>Safari</v>
      </c>
      <c r="D3577" s="27">
        <v>1</v>
      </c>
      <c r="E3577" s="5">
        <f>Table4[[#This Row],[qty]]*(VLOOKUP(Table4[[#This Row],[item_sold]],Table1[],5,FALSE))</f>
        <v>15</v>
      </c>
      <c r="F3577" s="5">
        <f>(VLOOKUP(Table4[[#This Row],[item_sold]],Table1[],4,FALSE))*Table4[[#This Row],[qty]]</f>
        <v>8.5</v>
      </c>
      <c r="G3577">
        <f t="shared" si="355"/>
        <v>6.5</v>
      </c>
      <c r="H3577" t="s">
        <v>247</v>
      </c>
    </row>
    <row r="3578" spans="1:12" x14ac:dyDescent="0.25">
      <c r="A3578" s="15">
        <f t="shared" si="357"/>
        <v>45541</v>
      </c>
      <c r="B3578" s="31">
        <f t="shared" si="358"/>
        <v>0.33333333333333331</v>
      </c>
      <c r="C3578" t="str">
        <f>'Inventory as of 12th Aug 2024'!A44</f>
        <v>Ajab 2kg</v>
      </c>
      <c r="D3578" s="27">
        <v>1</v>
      </c>
      <c r="E3578" s="5">
        <f>Table4[[#This Row],[qty]]*(VLOOKUP(Table4[[#This Row],[item_sold]],Table1[],5,FALSE))</f>
        <v>220</v>
      </c>
      <c r="F3578" s="5">
        <f>(VLOOKUP(Table4[[#This Row],[item_sold]],Table1[],4,FALSE))*Table4[[#This Row],[qty]]</f>
        <v>175</v>
      </c>
      <c r="G3578">
        <f t="shared" si="355"/>
        <v>45</v>
      </c>
      <c r="H3578" t="s">
        <v>247</v>
      </c>
    </row>
    <row r="3579" spans="1:12" x14ac:dyDescent="0.25">
      <c r="A3579" s="15">
        <f t="shared" si="357"/>
        <v>45541</v>
      </c>
      <c r="B3579" s="31">
        <f>TIME(12,0,0)</f>
        <v>0.5</v>
      </c>
      <c r="C3579" t="str">
        <f>'Inventory as of 12th Aug 2024'!A86</f>
        <v>Downy sunrise fresh</v>
      </c>
      <c r="D3579" s="27">
        <v>2</v>
      </c>
      <c r="E3579" s="5">
        <f>Table4[[#This Row],[qty]]*(VLOOKUP(Table4[[#This Row],[item_sold]],Table1[],5,FALSE))</f>
        <v>40</v>
      </c>
      <c r="F3579" s="5">
        <f>(VLOOKUP(Table4[[#This Row],[item_sold]],Table1[],4,FALSE))*Table4[[#This Row],[qty]]</f>
        <v>34.666666666666664</v>
      </c>
      <c r="G3579">
        <f t="shared" si="355"/>
        <v>5.3333333333333357</v>
      </c>
      <c r="H3579" t="s">
        <v>361</v>
      </c>
    </row>
    <row r="3580" spans="1:12" x14ac:dyDescent="0.25">
      <c r="A3580" s="15">
        <f t="shared" si="357"/>
        <v>45541</v>
      </c>
      <c r="B3580" s="31">
        <f>TIME(12,19,0)</f>
        <v>0.5131944444444444</v>
      </c>
      <c r="C3580" t="str">
        <f>'Inventory as of 12th Aug 2024'!A5</f>
        <v>Airtel 20 Credit</v>
      </c>
      <c r="D3580" s="27">
        <v>1</v>
      </c>
      <c r="E3580" s="5">
        <f>Table4[[#This Row],[qty]]*(VLOOKUP(Table4[[#This Row],[item_sold]],Table1[],5,FALSE))</f>
        <v>20</v>
      </c>
      <c r="F3580" s="5">
        <f>(VLOOKUP(Table4[[#This Row],[item_sold]],Table1[],4,FALSE))*Table4[[#This Row],[qty]]</f>
        <v>18</v>
      </c>
      <c r="G3580">
        <f t="shared" si="355"/>
        <v>2</v>
      </c>
      <c r="H3580" t="s">
        <v>361</v>
      </c>
    </row>
    <row r="3581" spans="1:12" x14ac:dyDescent="0.25">
      <c r="A3581" s="15">
        <f t="shared" si="357"/>
        <v>45541</v>
      </c>
      <c r="B3581" s="31">
        <f>TIME(12,19,0)</f>
        <v>0.5131944444444444</v>
      </c>
      <c r="C3581" t="str">
        <f>'Inventory as of 12th Aug 2024'!A6</f>
        <v>Airtel 10 Credit</v>
      </c>
      <c r="D3581" s="27">
        <v>1</v>
      </c>
      <c r="E3581" s="5">
        <f>Table4[[#This Row],[qty]]*(VLOOKUP(Table4[[#This Row],[item_sold]],Table1[],5,FALSE))</f>
        <v>10</v>
      </c>
      <c r="F3581" s="5">
        <f>(VLOOKUP(Table4[[#This Row],[item_sold]],Table1[],4,FALSE))*Table4[[#This Row],[qty]]</f>
        <v>9</v>
      </c>
      <c r="G3581">
        <f t="shared" si="355"/>
        <v>1</v>
      </c>
      <c r="H3581" t="s">
        <v>361</v>
      </c>
    </row>
    <row r="3582" spans="1:12" x14ac:dyDescent="0.25">
      <c r="A3582" s="15">
        <f t="shared" si="357"/>
        <v>45541</v>
      </c>
      <c r="B3582" s="31">
        <f>TIME(13,59,0)</f>
        <v>0.58263888888888882</v>
      </c>
      <c r="C3582" t="str">
        <f>'Inventory as of 12th Aug 2024'!A213</f>
        <v>soda 500ml glass</v>
      </c>
      <c r="D3582" s="27">
        <v>1</v>
      </c>
      <c r="E3582" s="5">
        <f>Table4[[#This Row],[qty]]*(VLOOKUP(Table4[[#This Row],[item_sold]],Table1[],5,FALSE))</f>
        <v>55</v>
      </c>
      <c r="F3582" s="5">
        <f>(VLOOKUP(Table4[[#This Row],[item_sold]],Table1[],4,FALSE))*Table4[[#This Row],[qty]]</f>
        <v>50</v>
      </c>
      <c r="G3582">
        <f t="shared" si="355"/>
        <v>5</v>
      </c>
      <c r="H3582" t="s">
        <v>361</v>
      </c>
    </row>
    <row r="3583" spans="1:12" x14ac:dyDescent="0.25">
      <c r="A3583" s="15">
        <f t="shared" si="357"/>
        <v>45541</v>
      </c>
      <c r="B3583" s="31">
        <f>TIME(13,44,0)</f>
        <v>0.57222222222222219</v>
      </c>
      <c r="C3583" t="str">
        <f>'Inventory as of 12th Aug 2024'!A211</f>
        <v>predator</v>
      </c>
      <c r="D3583" s="27">
        <v>1</v>
      </c>
      <c r="E3583" s="5">
        <f>Table4[[#This Row],[qty]]*(VLOOKUP(Table4[[#This Row],[item_sold]],Table1[],5,FALSE))</f>
        <v>70</v>
      </c>
      <c r="F3583" s="5">
        <f>(VLOOKUP(Table4[[#This Row],[item_sold]],Table1[],4,FALSE))*Table4[[#This Row],[qty]]</f>
        <v>54.166666666666664</v>
      </c>
      <c r="G3583">
        <f t="shared" si="355"/>
        <v>15.833333333333336</v>
      </c>
      <c r="H3583" t="s">
        <v>361</v>
      </c>
    </row>
    <row r="3584" spans="1:12" x14ac:dyDescent="0.25">
      <c r="A3584" s="15">
        <f t="shared" si="357"/>
        <v>45541</v>
      </c>
      <c r="B3584" s="31">
        <f t="shared" ref="B3584" si="359">TIME(13,44,0)</f>
        <v>0.57222222222222219</v>
      </c>
      <c r="C3584" t="str">
        <f>'Inventory as of 12th Aug 2024'!A8</f>
        <v>eggs</v>
      </c>
      <c r="D3584" s="27">
        <v>3</v>
      </c>
      <c r="E3584" s="5">
        <f>Table4[[#This Row],[qty]]*(VLOOKUP(Table4[[#This Row],[item_sold]],Table1[],5,FALSE))</f>
        <v>60</v>
      </c>
      <c r="F3584" s="5">
        <f>(VLOOKUP(Table4[[#This Row],[item_sold]],Table1[],4,FALSE))*Table4[[#This Row],[qty]]</f>
        <v>43</v>
      </c>
      <c r="G3584">
        <f t="shared" si="355"/>
        <v>17</v>
      </c>
      <c r="H3584" t="s">
        <v>430</v>
      </c>
      <c r="I3584" t="s">
        <v>401</v>
      </c>
      <c r="J3584" t="s">
        <v>401</v>
      </c>
      <c r="K3584">
        <v>50</v>
      </c>
      <c r="L3584" t="s">
        <v>247</v>
      </c>
    </row>
    <row r="3585" spans="1:12" x14ac:dyDescent="0.25">
      <c r="A3585" s="15">
        <f t="shared" si="357"/>
        <v>45541</v>
      </c>
      <c r="B3585" s="31">
        <f>TIME(13,34,0)</f>
        <v>0.56527777777777777</v>
      </c>
      <c r="C3585" t="str">
        <f>'Inventory as of 12th Aug 2024'!A83</f>
        <v>omo 75g</v>
      </c>
      <c r="D3585" s="27">
        <v>1</v>
      </c>
      <c r="E3585" s="5">
        <f>Table4[[#This Row],[qty]]*(VLOOKUP(Table4[[#This Row],[item_sold]],Table1[],5,FALSE))</f>
        <v>35</v>
      </c>
      <c r="F3585" s="5">
        <f>(VLOOKUP(Table4[[#This Row],[item_sold]],Table1[],4,FALSE))*Table4[[#This Row],[qty]]</f>
        <v>27.5</v>
      </c>
      <c r="G3585">
        <f t="shared" si="355"/>
        <v>7.5</v>
      </c>
      <c r="H3585" t="s">
        <v>361</v>
      </c>
      <c r="J3585" t="s">
        <v>388</v>
      </c>
      <c r="K3585">
        <v>40</v>
      </c>
      <c r="L3585" t="s">
        <v>361</v>
      </c>
    </row>
    <row r="3586" spans="1:12" x14ac:dyDescent="0.25">
      <c r="A3586" s="15">
        <f t="shared" si="357"/>
        <v>45541</v>
      </c>
      <c r="B3586" s="31">
        <f>TIME(14,4,0)</f>
        <v>0.58611111111111114</v>
      </c>
      <c r="C3586" t="str">
        <f>'Inventory as of 12th Aug 2024'!A79</f>
        <v xml:space="preserve">Whitewash </v>
      </c>
      <c r="D3586" s="27">
        <v>1</v>
      </c>
      <c r="E3586" s="5">
        <f>Table4[[#This Row],[qty]]*(VLOOKUP(Table4[[#This Row],[item_sold]],Table1[],5,FALSE))</f>
        <v>50</v>
      </c>
      <c r="F3586" s="5">
        <f>(VLOOKUP(Table4[[#This Row],[item_sold]],Table1[],4,FALSE))*Table4[[#This Row],[qty]]</f>
        <v>33.75</v>
      </c>
      <c r="G3586">
        <f t="shared" si="355"/>
        <v>16.25</v>
      </c>
      <c r="H3586" t="s">
        <v>430</v>
      </c>
      <c r="I3586" t="s">
        <v>394</v>
      </c>
    </row>
    <row r="3587" spans="1:12" x14ac:dyDescent="0.25">
      <c r="A3587" s="15">
        <f t="shared" si="357"/>
        <v>45541</v>
      </c>
      <c r="B3587" s="31">
        <f>TIME(14,19,0)</f>
        <v>0.59652777777777777</v>
      </c>
      <c r="C3587" t="str">
        <f>'Inventory as of 12th Aug 2024'!A17</f>
        <v>Brookside milk 500ml</v>
      </c>
      <c r="D3587" s="27">
        <v>2</v>
      </c>
      <c r="E3587" s="5">
        <f>Table4[[#This Row],[qty]]*(VLOOKUP(Table4[[#This Row],[item_sold]],Table1[],5,FALSE))</f>
        <v>140</v>
      </c>
      <c r="F3587" s="5">
        <f>(VLOOKUP(Table4[[#This Row],[item_sold]],Table1[],4,FALSE))*Table4[[#This Row],[qty]]</f>
        <v>118</v>
      </c>
      <c r="G3587">
        <f t="shared" si="355"/>
        <v>22</v>
      </c>
      <c r="H3587" t="s">
        <v>247</v>
      </c>
    </row>
    <row r="3588" spans="1:12" x14ac:dyDescent="0.25">
      <c r="A3588" s="15">
        <f t="shared" si="357"/>
        <v>45541</v>
      </c>
      <c r="B3588" s="31">
        <f t="shared" ref="B3588" si="360">TIME(14,19,0)</f>
        <v>0.59652777777777777</v>
      </c>
      <c r="C3588" t="str">
        <f>'Inventory as of 12th Aug 2024'!A36</f>
        <v>Festive 800g</v>
      </c>
      <c r="D3588" s="27">
        <v>1</v>
      </c>
      <c r="E3588" s="5">
        <f>Table4[[#This Row],[qty]]*(VLOOKUP(Table4[[#This Row],[item_sold]],Table1[],5,FALSE))</f>
        <v>130</v>
      </c>
      <c r="F3588" s="5">
        <f>(VLOOKUP(Table4[[#This Row],[item_sold]],Table1[],4,FALSE))*Table4[[#This Row],[qty]]</f>
        <v>120</v>
      </c>
      <c r="G3588">
        <f t="shared" si="355"/>
        <v>10</v>
      </c>
      <c r="H3588" t="s">
        <v>247</v>
      </c>
    </row>
    <row r="3589" spans="1:12" x14ac:dyDescent="0.25">
      <c r="A3589" s="15">
        <f t="shared" si="357"/>
        <v>45541</v>
      </c>
      <c r="B3589" s="31">
        <f>TIME(15,33,0)</f>
        <v>0.6479166666666667</v>
      </c>
      <c r="C3589" t="str">
        <f>'Inventory as of 12th Aug 2024'!A37</f>
        <v>Festive Bread 400g</v>
      </c>
      <c r="D3589" s="27">
        <v>1</v>
      </c>
      <c r="E3589" s="5">
        <f>Table4[[#This Row],[qty]]*(VLOOKUP(Table4[[#This Row],[item_sold]],Table1[],5,FALSE))</f>
        <v>65</v>
      </c>
      <c r="F3589" s="5">
        <f>(VLOOKUP(Table4[[#This Row],[item_sold]],Table1[],4,FALSE))*Table4[[#This Row],[qty]]</f>
        <v>60</v>
      </c>
      <c r="G3589">
        <f t="shared" si="355"/>
        <v>5</v>
      </c>
      <c r="H3589" t="s">
        <v>430</v>
      </c>
      <c r="I3589" t="s">
        <v>421</v>
      </c>
      <c r="J3589" t="s">
        <v>421</v>
      </c>
      <c r="K3589">
        <v>25</v>
      </c>
      <c r="L3589" t="s">
        <v>361</v>
      </c>
    </row>
    <row r="3590" spans="1:12" x14ac:dyDescent="0.25">
      <c r="A3590" s="15">
        <f t="shared" si="357"/>
        <v>45541</v>
      </c>
      <c r="B3590" s="31">
        <f>TIME(16,6,0)</f>
        <v>0.67083333333333339</v>
      </c>
      <c r="C3590" t="str">
        <f>'Inventory as of 12th Aug 2024'!A194</f>
        <v>Half pound cake</v>
      </c>
      <c r="D3590" s="27">
        <v>1</v>
      </c>
      <c r="E3590" s="5">
        <f>Table4[[#This Row],[qty]]*(VLOOKUP(Table4[[#This Row],[item_sold]],Table1[],5,FALSE))</f>
        <v>100</v>
      </c>
      <c r="F3590" s="5">
        <f>(VLOOKUP(Table4[[#This Row],[item_sold]],Table1[],4,FALSE))*Table4[[#This Row],[qty]]</f>
        <v>90</v>
      </c>
      <c r="G3590">
        <f t="shared" si="355"/>
        <v>10</v>
      </c>
      <c r="H3590" t="s">
        <v>361</v>
      </c>
      <c r="J3590" t="s">
        <v>409</v>
      </c>
      <c r="K3590">
        <v>100</v>
      </c>
      <c r="L3590" t="s">
        <v>247</v>
      </c>
    </row>
    <row r="3591" spans="1:12" x14ac:dyDescent="0.25">
      <c r="A3591" s="15">
        <f t="shared" si="357"/>
        <v>45541</v>
      </c>
      <c r="B3591" s="31">
        <f t="shared" ref="B3591:B3593" si="361">TIME(16,6,0)</f>
        <v>0.67083333333333339</v>
      </c>
      <c r="C3591" t="str">
        <f>'Inventory as of 12th Aug 2024'!A92</f>
        <v>Banana</v>
      </c>
      <c r="D3591" s="27">
        <v>2</v>
      </c>
      <c r="E3591" s="5">
        <f>Table4[[#This Row],[qty]]*(VLOOKUP(Table4[[#This Row],[item_sold]],Table1[],5,FALSE))</f>
        <v>20</v>
      </c>
      <c r="F3591" s="5">
        <f>(VLOOKUP(Table4[[#This Row],[item_sold]],Table1[],4,FALSE))*Table4[[#This Row],[qty]]</f>
        <v>16.666666666666668</v>
      </c>
      <c r="G3591">
        <f t="shared" si="355"/>
        <v>3.3333333333333321</v>
      </c>
      <c r="H3591" t="s">
        <v>361</v>
      </c>
      <c r="J3591" t="s">
        <v>421</v>
      </c>
      <c r="K3591">
        <v>40</v>
      </c>
      <c r="L3591" t="s">
        <v>247</v>
      </c>
    </row>
    <row r="3592" spans="1:12" x14ac:dyDescent="0.25">
      <c r="A3592" s="15">
        <f t="shared" si="357"/>
        <v>45541</v>
      </c>
      <c r="B3592" s="31">
        <f t="shared" si="361"/>
        <v>0.67083333333333339</v>
      </c>
      <c r="C3592" t="str">
        <f>'Inventory as of 12th Aug 2024'!A16</f>
        <v>Mt kenya milk 500ml</v>
      </c>
      <c r="D3592" s="27">
        <v>1</v>
      </c>
      <c r="E3592" s="5">
        <f>Table4[[#This Row],[qty]]*(VLOOKUP(Table4[[#This Row],[item_sold]],Table1[],5,FALSE))</f>
        <v>65</v>
      </c>
      <c r="F3592" s="5">
        <f>(VLOOKUP(Table4[[#This Row],[item_sold]],Table1[],4,FALSE))*Table4[[#This Row],[qty]]</f>
        <v>48.333333333333336</v>
      </c>
      <c r="G3592">
        <f t="shared" si="355"/>
        <v>16.666666666666664</v>
      </c>
      <c r="H3592" t="s">
        <v>361</v>
      </c>
    </row>
    <row r="3593" spans="1:12" x14ac:dyDescent="0.25">
      <c r="A3593" s="15">
        <f t="shared" si="357"/>
        <v>45541</v>
      </c>
      <c r="B3593" s="31">
        <f t="shared" si="361"/>
        <v>0.67083333333333339</v>
      </c>
      <c r="C3593" t="str">
        <f>'Inventory as of 12th Aug 2024'!A17</f>
        <v>Brookside milk 500ml</v>
      </c>
      <c r="D3593" s="27">
        <v>1</v>
      </c>
      <c r="E3593" s="5">
        <f>Table4[[#This Row],[qty]]*(VLOOKUP(Table4[[#This Row],[item_sold]],Table1[],5,FALSE))</f>
        <v>70</v>
      </c>
      <c r="F3593" s="5">
        <f>(VLOOKUP(Table4[[#This Row],[item_sold]],Table1[],4,FALSE))*Table4[[#This Row],[qty]]</f>
        <v>59</v>
      </c>
      <c r="G3593">
        <f t="shared" si="355"/>
        <v>11</v>
      </c>
      <c r="H3593" t="s">
        <v>361</v>
      </c>
    </row>
    <row r="3594" spans="1:12" x14ac:dyDescent="0.25">
      <c r="A3594" s="15">
        <f t="shared" si="357"/>
        <v>45541</v>
      </c>
      <c r="B3594" s="31">
        <f>TIME(16,11,0)</f>
        <v>0.6743055555555556</v>
      </c>
      <c r="C3594" t="str">
        <f>'Inventory as of 12th Aug 2024'!A207</f>
        <v>soda 350ml plastic</v>
      </c>
      <c r="D3594" s="27">
        <v>1</v>
      </c>
      <c r="E3594" s="5">
        <f>Table4[[#This Row],[qty]]*(VLOOKUP(Table4[[#This Row],[item_sold]],Table1[],5,FALSE))</f>
        <v>50</v>
      </c>
      <c r="F3594" s="5">
        <f>(VLOOKUP(Table4[[#This Row],[item_sold]],Table1[],4,FALSE))*Table4[[#This Row],[qty]]</f>
        <v>41.666666666666664</v>
      </c>
      <c r="G3594">
        <f t="shared" si="355"/>
        <v>8.3333333333333357</v>
      </c>
      <c r="H3594" t="s">
        <v>247</v>
      </c>
    </row>
    <row r="3595" spans="1:12" x14ac:dyDescent="0.25">
      <c r="A3595" s="15">
        <f t="shared" si="357"/>
        <v>45541</v>
      </c>
      <c r="B3595" s="31">
        <f t="shared" ref="B3595" si="362">TIME(16,11,0)</f>
        <v>0.6743055555555556</v>
      </c>
      <c r="C3595" t="str">
        <f>'Inventory as of 12th Aug 2024'!A106</f>
        <v>Steel Wool 15g</v>
      </c>
      <c r="D3595" s="27">
        <v>1</v>
      </c>
      <c r="E3595" s="5">
        <f>Table4[[#This Row],[qty]]*(VLOOKUP(Table4[[#This Row],[item_sold]],Table1[],5,FALSE))</f>
        <v>10</v>
      </c>
      <c r="F3595" s="5">
        <f>(VLOOKUP(Table4[[#This Row],[item_sold]],Table1[],4,FALSE))*Table4[[#This Row],[qty]]</f>
        <v>5.2333333333333334</v>
      </c>
      <c r="G3595">
        <f t="shared" si="355"/>
        <v>4.7666666666666666</v>
      </c>
      <c r="H3595" t="s">
        <v>247</v>
      </c>
    </row>
    <row r="3596" spans="1:12" x14ac:dyDescent="0.25">
      <c r="A3596" s="15">
        <f t="shared" si="357"/>
        <v>45541</v>
      </c>
      <c r="B3596" s="31">
        <f>TIME(17,32,0)</f>
        <v>0.73055555555555562</v>
      </c>
      <c r="C3596" t="str">
        <f>'Inventory as of 12th Aug 2024'!A213</f>
        <v>soda 500ml glass</v>
      </c>
      <c r="D3596" s="27">
        <v>1</v>
      </c>
      <c r="E3596" s="5">
        <f>Table4[[#This Row],[qty]]*(VLOOKUP(Table4[[#This Row],[item_sold]],Table1[],5,FALSE))</f>
        <v>55</v>
      </c>
      <c r="F3596" s="5">
        <f>(VLOOKUP(Table4[[#This Row],[item_sold]],Table1[],4,FALSE))*Table4[[#This Row],[qty]]</f>
        <v>50</v>
      </c>
      <c r="G3596">
        <f t="shared" si="355"/>
        <v>5</v>
      </c>
      <c r="H3596" t="s">
        <v>430</v>
      </c>
      <c r="I3596" t="s">
        <v>445</v>
      </c>
    </row>
    <row r="3597" spans="1:12" x14ac:dyDescent="0.25">
      <c r="A3597" s="15">
        <f t="shared" si="357"/>
        <v>45541</v>
      </c>
      <c r="B3597" s="31">
        <f>TIME(17,34,0)</f>
        <v>0.7319444444444444</v>
      </c>
      <c r="C3597" t="str">
        <f>'Inventory as of 12th Aug 2024'!A85</f>
        <v>Downy lavender</v>
      </c>
      <c r="D3597" s="27">
        <v>1</v>
      </c>
      <c r="E3597" s="5">
        <f>Table4[[#This Row],[qty]]*(VLOOKUP(Table4[[#This Row],[item_sold]],Table1[],5,FALSE))</f>
        <v>20</v>
      </c>
      <c r="F3597" s="5">
        <f>(VLOOKUP(Table4[[#This Row],[item_sold]],Table1[],4,FALSE))*Table4[[#This Row],[qty]]</f>
        <v>17.333333333333332</v>
      </c>
      <c r="G3597">
        <f t="shared" si="355"/>
        <v>2.6666666666666679</v>
      </c>
      <c r="H3597" t="s">
        <v>430</v>
      </c>
      <c r="I3597" t="s">
        <v>388</v>
      </c>
    </row>
    <row r="3598" spans="1:12" x14ac:dyDescent="0.25">
      <c r="A3598" s="15">
        <f t="shared" si="357"/>
        <v>45541</v>
      </c>
      <c r="B3598" s="31">
        <f>TIME(17,34,0)</f>
        <v>0.7319444444444444</v>
      </c>
      <c r="C3598" t="str">
        <f>'Inventory as of 12th Aug 2024'!A213</f>
        <v>soda 500ml glass</v>
      </c>
      <c r="D3598" s="27">
        <v>2</v>
      </c>
      <c r="E3598" s="5">
        <f>Table4[[#This Row],[qty]]*(VLOOKUP(Table4[[#This Row],[item_sold]],Table1[],5,FALSE))</f>
        <v>110</v>
      </c>
      <c r="F3598" s="5">
        <f>(VLOOKUP(Table4[[#This Row],[item_sold]],Table1[],4,FALSE))*Table4[[#This Row],[qty]]</f>
        <v>100</v>
      </c>
      <c r="G3598">
        <f t="shared" si="355"/>
        <v>10</v>
      </c>
      <c r="H3598" t="s">
        <v>430</v>
      </c>
      <c r="I3598" t="s">
        <v>419</v>
      </c>
    </row>
    <row r="3599" spans="1:12" x14ac:dyDescent="0.25">
      <c r="A3599" s="15">
        <f t="shared" si="357"/>
        <v>45541</v>
      </c>
      <c r="B3599" s="31">
        <f>TIME(17,34,0)</f>
        <v>0.7319444444444444</v>
      </c>
      <c r="C3599" t="str">
        <f>'Inventory as of 12th Aug 2024'!A193</f>
        <v>Ginger Bisquit</v>
      </c>
      <c r="D3599" s="27">
        <v>6</v>
      </c>
      <c r="E3599" s="5">
        <f>Table4[[#This Row],[qty]]*(VLOOKUP(Table4[[#This Row],[item_sold]],Table1[],5,FALSE))</f>
        <v>30</v>
      </c>
      <c r="F3599" s="5">
        <f>(VLOOKUP(Table4[[#This Row],[item_sold]],Table1[],4,FALSE))*Table4[[#This Row],[qty]]</f>
        <v>26</v>
      </c>
      <c r="G3599">
        <f t="shared" si="355"/>
        <v>4</v>
      </c>
      <c r="H3599" t="s">
        <v>430</v>
      </c>
      <c r="I3599" t="s">
        <v>419</v>
      </c>
    </row>
    <row r="3600" spans="1:12" x14ac:dyDescent="0.25">
      <c r="A3600" s="15">
        <f t="shared" si="357"/>
        <v>45541</v>
      </c>
      <c r="B3600" s="31">
        <f>TIME(17,56,0)</f>
        <v>0.74722222222222223</v>
      </c>
      <c r="C3600" t="str">
        <f>'Inventory as of 12th Aug 2024'!A92</f>
        <v>Banana</v>
      </c>
      <c r="D3600" s="27">
        <v>2</v>
      </c>
      <c r="E3600" s="5">
        <f>Table4[[#This Row],[qty]]*(VLOOKUP(Table4[[#This Row],[item_sold]],Table1[],5,FALSE))</f>
        <v>20</v>
      </c>
      <c r="F3600" s="5">
        <f>(VLOOKUP(Table4[[#This Row],[item_sold]],Table1[],4,FALSE))*Table4[[#This Row],[qty]]</f>
        <v>16.666666666666668</v>
      </c>
      <c r="G3600">
        <f t="shared" si="355"/>
        <v>3.3333333333333321</v>
      </c>
      <c r="H3600" t="s">
        <v>361</v>
      </c>
    </row>
    <row r="3601" spans="1:9" x14ac:dyDescent="0.25">
      <c r="A3601" s="15">
        <f t="shared" si="357"/>
        <v>45541</v>
      </c>
      <c r="B3601" s="31">
        <f t="shared" ref="B3601" si="363">TIME(17,56,0)</f>
        <v>0.74722222222222223</v>
      </c>
      <c r="C3601" t="str">
        <f>'Inventory as of 12th Aug 2024'!A10</f>
        <v>Mt Kenya milk 200ml</v>
      </c>
      <c r="D3601" s="27">
        <v>2</v>
      </c>
      <c r="E3601" s="5">
        <f>Table4[[#This Row],[qty]]*(VLOOKUP(Table4[[#This Row],[item_sold]],Table1[],5,FALSE))</f>
        <v>70</v>
      </c>
      <c r="F3601" s="5">
        <f>(VLOOKUP(Table4[[#This Row],[item_sold]],Table1[],4,FALSE))*Table4[[#This Row],[qty]]</f>
        <v>48.571428571428569</v>
      </c>
      <c r="G3601">
        <f t="shared" si="355"/>
        <v>21.428571428571431</v>
      </c>
      <c r="H3601" t="s">
        <v>361</v>
      </c>
    </row>
    <row r="3602" spans="1:9" x14ac:dyDescent="0.25">
      <c r="A3602" s="15">
        <f t="shared" si="357"/>
        <v>45541</v>
      </c>
      <c r="B3602" s="31">
        <f>TIME(18,17,0)</f>
        <v>0.76180555555555562</v>
      </c>
      <c r="C3602" t="str">
        <f>'Inventory as of 12th Aug 2024'!A58</f>
        <v>Safari</v>
      </c>
      <c r="D3602" s="27">
        <v>4</v>
      </c>
      <c r="E3602" s="5">
        <f>Table4[[#This Row],[qty]]*(VLOOKUP(Table4[[#This Row],[item_sold]],Table1[],5,FALSE))</f>
        <v>60</v>
      </c>
      <c r="F3602" s="5">
        <f>(VLOOKUP(Table4[[#This Row],[item_sold]],Table1[],4,FALSE))*Table4[[#This Row],[qty]]</f>
        <v>34</v>
      </c>
      <c r="G3602">
        <f t="shared" si="355"/>
        <v>26</v>
      </c>
      <c r="H3602" t="s">
        <v>361</v>
      </c>
    </row>
    <row r="3603" spans="1:9" x14ac:dyDescent="0.25">
      <c r="A3603" s="15">
        <f t="shared" si="357"/>
        <v>45541</v>
      </c>
      <c r="B3603" s="31">
        <f>TIME(18,43,0)</f>
        <v>0.77986111111111101</v>
      </c>
      <c r="C3603" t="str">
        <f>'Inventory as of 12th Aug 2024'!A135</f>
        <v>Bella Tissue</v>
      </c>
      <c r="D3603" s="27">
        <v>1</v>
      </c>
      <c r="E3603" s="5">
        <f>Table4[[#This Row],[qty]]*(VLOOKUP(Table4[[#This Row],[item_sold]],Table1[],5,FALSE))</f>
        <v>50</v>
      </c>
      <c r="F3603" s="5">
        <f>(VLOOKUP(Table4[[#This Row],[item_sold]],Table1[],4,FALSE))*Table4[[#This Row],[qty]]</f>
        <v>35</v>
      </c>
      <c r="G3603">
        <f t="shared" si="355"/>
        <v>15</v>
      </c>
      <c r="H3603" t="s">
        <v>430</v>
      </c>
      <c r="I3603" t="s">
        <v>394</v>
      </c>
    </row>
    <row r="3604" spans="1:9" x14ac:dyDescent="0.25">
      <c r="A3604" s="15">
        <f t="shared" si="357"/>
        <v>45541</v>
      </c>
      <c r="B3604" s="31">
        <f t="shared" ref="B3604" si="364">TIME(18,43,0)</f>
        <v>0.77986111111111101</v>
      </c>
      <c r="C3604" t="str">
        <f>'Inventory as of 12th Aug 2024'!A191</f>
        <v>Nuvita Bisquit</v>
      </c>
      <c r="D3604" s="27">
        <v>2</v>
      </c>
      <c r="E3604" s="5">
        <f>Table4[[#This Row],[qty]]*(VLOOKUP(Table4[[#This Row],[item_sold]],Table1[],5,FALSE))</f>
        <v>10</v>
      </c>
      <c r="F3604" s="5">
        <f>(VLOOKUP(Table4[[#This Row],[item_sold]],Table1[],4,FALSE))*Table4[[#This Row],[qty]]</f>
        <v>8.3333333333333339</v>
      </c>
      <c r="G3604">
        <f t="shared" si="355"/>
        <v>1.6666666666666661</v>
      </c>
      <c r="H3604" t="s">
        <v>247</v>
      </c>
    </row>
    <row r="3605" spans="1:9" x14ac:dyDescent="0.25">
      <c r="A3605" s="15">
        <f t="shared" si="357"/>
        <v>45541</v>
      </c>
      <c r="B3605" s="31">
        <f>TIME(19,18,0)</f>
        <v>0.8041666666666667</v>
      </c>
      <c r="C3605" t="str">
        <f>'Inventory as of 12th Aug 2024'!A213</f>
        <v>soda 500ml glass</v>
      </c>
      <c r="D3605" s="27">
        <v>1</v>
      </c>
      <c r="E3605" s="5">
        <f>Table4[[#This Row],[qty]]*(VLOOKUP(Table4[[#This Row],[item_sold]],Table1[],5,FALSE))</f>
        <v>55</v>
      </c>
      <c r="F3605" s="5">
        <f>(VLOOKUP(Table4[[#This Row],[item_sold]],Table1[],4,FALSE))*Table4[[#This Row],[qty]]</f>
        <v>50</v>
      </c>
      <c r="G3605">
        <f t="shared" si="355"/>
        <v>5</v>
      </c>
      <c r="H3605" t="s">
        <v>361</v>
      </c>
    </row>
    <row r="3606" spans="1:9" x14ac:dyDescent="0.25">
      <c r="A3606" s="15">
        <f t="shared" si="357"/>
        <v>45541</v>
      </c>
      <c r="B3606" s="31">
        <f t="shared" ref="B3606:B3607" si="365">TIME(19,18,0)</f>
        <v>0.8041666666666667</v>
      </c>
      <c r="C3606" t="str">
        <f>'Inventory as of 12th Aug 2024'!A33</f>
        <v>BB Bread 400g</v>
      </c>
      <c r="D3606" s="27">
        <v>1</v>
      </c>
      <c r="E3606" s="5">
        <f>Table4[[#This Row],[qty]]*(VLOOKUP(Table4[[#This Row],[item_sold]],Table1[],5,FALSE))</f>
        <v>65</v>
      </c>
      <c r="F3606" s="5">
        <f>(VLOOKUP(Table4[[#This Row],[item_sold]],Table1[],4,FALSE))*Table4[[#This Row],[qty]]</f>
        <v>60</v>
      </c>
      <c r="G3606">
        <f t="shared" si="355"/>
        <v>5</v>
      </c>
      <c r="H3606" t="s">
        <v>361</v>
      </c>
    </row>
    <row r="3607" spans="1:9" x14ac:dyDescent="0.25">
      <c r="A3607" s="15">
        <f t="shared" si="357"/>
        <v>45541</v>
      </c>
      <c r="B3607" s="31">
        <f t="shared" si="365"/>
        <v>0.8041666666666667</v>
      </c>
      <c r="C3607" t="str">
        <f>'Inventory as of 12th Aug 2024'!A232</f>
        <v>coo</v>
      </c>
      <c r="D3607" s="27">
        <v>4</v>
      </c>
      <c r="E3607" s="5">
        <f>Table4[[#This Row],[qty]]*(VLOOKUP(Table4[[#This Row],[item_sold]],Table1[],5,FALSE))</f>
        <v>10</v>
      </c>
      <c r="F3607" s="5">
        <f>(VLOOKUP(Table4[[#This Row],[item_sold]],Table1[],4,FALSE))*Table4[[#This Row],[qty]]</f>
        <v>4.8</v>
      </c>
      <c r="G3607">
        <f t="shared" si="355"/>
        <v>5.2</v>
      </c>
      <c r="H3607" t="s">
        <v>361</v>
      </c>
    </row>
    <row r="3608" spans="1:9" x14ac:dyDescent="0.25">
      <c r="A3608" s="15">
        <f t="shared" si="357"/>
        <v>45541</v>
      </c>
      <c r="B3608" s="31">
        <f>TIME(19,20,0)</f>
        <v>0.80555555555555547</v>
      </c>
      <c r="C3608" t="str">
        <f>'Inventory as of 12th Aug 2024'!A213</f>
        <v>soda 500ml glass</v>
      </c>
      <c r="D3608" s="27">
        <v>1</v>
      </c>
      <c r="E3608" s="5">
        <f>Table4[[#This Row],[qty]]*(VLOOKUP(Table4[[#This Row],[item_sold]],Table1[],5,FALSE))</f>
        <v>55</v>
      </c>
      <c r="F3608" s="5">
        <f>(VLOOKUP(Table4[[#This Row],[item_sold]],Table1[],4,FALSE))*Table4[[#This Row],[qty]]</f>
        <v>50</v>
      </c>
      <c r="G3608">
        <f t="shared" si="355"/>
        <v>5</v>
      </c>
      <c r="H3608" t="s">
        <v>361</v>
      </c>
    </row>
    <row r="3609" spans="1:9" x14ac:dyDescent="0.25">
      <c r="A3609" s="15">
        <f t="shared" si="357"/>
        <v>45541</v>
      </c>
      <c r="B3609" s="31">
        <f t="shared" ref="B3609" si="366">TIME(19,20,0)</f>
        <v>0.80555555555555547</v>
      </c>
      <c r="C3609" t="str">
        <f>'Inventory as of 12th Aug 2024'!A37</f>
        <v>Festive Bread 400g</v>
      </c>
      <c r="D3609" s="27">
        <v>1</v>
      </c>
      <c r="E3609" s="5">
        <f>Table4[[#This Row],[qty]]*(VLOOKUP(Table4[[#This Row],[item_sold]],Table1[],5,FALSE))</f>
        <v>65</v>
      </c>
      <c r="F3609" s="5">
        <f>(VLOOKUP(Table4[[#This Row],[item_sold]],Table1[],4,FALSE))*Table4[[#This Row],[qty]]</f>
        <v>60</v>
      </c>
      <c r="G3609">
        <f t="shared" si="355"/>
        <v>5</v>
      </c>
      <c r="H3609" t="s">
        <v>361</v>
      </c>
    </row>
    <row r="3610" spans="1:9" x14ac:dyDescent="0.25">
      <c r="A3610" s="15">
        <f t="shared" si="357"/>
        <v>45541</v>
      </c>
      <c r="B3610" s="31">
        <f>TIME(19,28,0)</f>
        <v>0.81111111111111101</v>
      </c>
      <c r="C3610" t="str">
        <f>'Inventory as of 12th Aug 2024'!A91</f>
        <v>Tomatoes</v>
      </c>
      <c r="D3610" s="27">
        <v>3</v>
      </c>
      <c r="E3610" s="5">
        <f>Table4[[#This Row],[qty]]*(VLOOKUP(Table4[[#This Row],[item_sold]],Table1[],5,FALSE))</f>
        <v>30</v>
      </c>
      <c r="F3610" s="5">
        <f>(VLOOKUP(Table4[[#This Row],[item_sold]],Table1[],4,FALSE))*Table4[[#This Row],[qty]]</f>
        <v>15</v>
      </c>
      <c r="G3610">
        <f t="shared" si="355"/>
        <v>15</v>
      </c>
      <c r="H3610" t="s">
        <v>247</v>
      </c>
    </row>
    <row r="3611" spans="1:9" x14ac:dyDescent="0.25">
      <c r="A3611" s="15">
        <f t="shared" si="357"/>
        <v>45541</v>
      </c>
      <c r="B3611" s="31">
        <f t="shared" ref="B3611:B3612" si="367">TIME(19,28,0)</f>
        <v>0.81111111111111101</v>
      </c>
      <c r="C3611" t="str">
        <f>'Inventory as of 12th Aug 2024'!A234</f>
        <v>Bigdaddy</v>
      </c>
      <c r="D3611" s="27">
        <v>2</v>
      </c>
      <c r="E3611" s="5">
        <f>Table4[[#This Row],[qty]]*(VLOOKUP(Table4[[#This Row],[item_sold]],Table1[],5,FALSE))</f>
        <v>20</v>
      </c>
      <c r="F3611" s="5">
        <f>(VLOOKUP(Table4[[#This Row],[item_sold]],Table1[],4,FALSE))*Table4[[#This Row],[qty]]</f>
        <v>12</v>
      </c>
      <c r="G3611">
        <f t="shared" si="355"/>
        <v>8</v>
      </c>
      <c r="H3611" t="s">
        <v>247</v>
      </c>
    </row>
    <row r="3612" spans="1:9" x14ac:dyDescent="0.25">
      <c r="A3612" s="15">
        <f t="shared" si="357"/>
        <v>45541</v>
      </c>
      <c r="B3612" s="31">
        <f t="shared" si="367"/>
        <v>0.81111111111111101</v>
      </c>
      <c r="C3612" t="str">
        <f>'Inventory as of 12th Aug 2024'!A240</f>
        <v>Bigboss</v>
      </c>
      <c r="D3612" s="27">
        <v>1</v>
      </c>
      <c r="E3612" s="5">
        <f>Table4[[#This Row],[qty]]*(VLOOKUP(Table4[[#This Row],[item_sold]],Table1[],5,FALSE))</f>
        <v>5</v>
      </c>
      <c r="F3612" s="5">
        <f>(VLOOKUP(Table4[[#This Row],[item_sold]],Table1[],4,FALSE))*Table4[[#This Row],[qty]]</f>
        <v>3.5</v>
      </c>
      <c r="G3612">
        <f t="shared" si="355"/>
        <v>1.5</v>
      </c>
      <c r="H3612" t="s">
        <v>247</v>
      </c>
    </row>
    <row r="3613" spans="1:9" x14ac:dyDescent="0.25">
      <c r="A3613" s="15">
        <f t="shared" si="357"/>
        <v>45541</v>
      </c>
      <c r="B3613" s="31">
        <f>TIME(19,32,0)</f>
        <v>0.81388888888888899</v>
      </c>
      <c r="C3613" t="str">
        <f>'Inventory as of 12th Aug 2024'!A58</f>
        <v>Safari</v>
      </c>
      <c r="D3613" s="27">
        <v>1</v>
      </c>
      <c r="E3613" s="5">
        <f>Table4[[#This Row],[qty]]*(VLOOKUP(Table4[[#This Row],[item_sold]],Table1[],5,FALSE))</f>
        <v>15</v>
      </c>
      <c r="F3613" s="5">
        <f>(VLOOKUP(Table4[[#This Row],[item_sold]],Table1[],4,FALSE))*Table4[[#This Row],[qty]]</f>
        <v>8.5</v>
      </c>
      <c r="G3613">
        <f t="shared" si="355"/>
        <v>6.5</v>
      </c>
      <c r="H3613" t="s">
        <v>430</v>
      </c>
      <c r="I3613" t="s">
        <v>447</v>
      </c>
    </row>
    <row r="3614" spans="1:9" x14ac:dyDescent="0.25">
      <c r="A3614" s="15">
        <f t="shared" si="357"/>
        <v>45541</v>
      </c>
      <c r="B3614" s="31">
        <f t="shared" ref="B3614:B3617" si="368">TIME(19,32,0)</f>
        <v>0.81388888888888899</v>
      </c>
      <c r="C3614" t="str">
        <f>'Inventory as of 12th Aug 2024'!A244</f>
        <v>5ltrs water</v>
      </c>
      <c r="D3614" s="27">
        <v>1</v>
      </c>
      <c r="E3614" s="5">
        <f>Table4[[#This Row],[qty]]*(VLOOKUP(Table4[[#This Row],[item_sold]],Table1[],5,FALSE))</f>
        <v>120</v>
      </c>
      <c r="F3614" s="5">
        <f>(VLOOKUP(Table4[[#This Row],[item_sold]],Table1[],4,FALSE))*Table4[[#This Row],[qty]]</f>
        <v>75</v>
      </c>
      <c r="G3614">
        <f t="shared" si="355"/>
        <v>45</v>
      </c>
      <c r="H3614" t="s">
        <v>430</v>
      </c>
      <c r="I3614" t="s">
        <v>406</v>
      </c>
    </row>
    <row r="3615" spans="1:9" x14ac:dyDescent="0.25">
      <c r="A3615" s="15">
        <f t="shared" si="357"/>
        <v>45541</v>
      </c>
      <c r="B3615" s="31">
        <f t="shared" si="368"/>
        <v>0.81388888888888899</v>
      </c>
      <c r="C3615" t="str">
        <f>'Inventory as of 12th Aug 2024'!A91</f>
        <v>Tomatoes</v>
      </c>
      <c r="D3615" s="27">
        <v>1</v>
      </c>
      <c r="E3615" s="5">
        <f>Table4[[#This Row],[qty]]*(VLOOKUP(Table4[[#This Row],[item_sold]],Table1[],5,FALSE))</f>
        <v>10</v>
      </c>
      <c r="F3615" s="5">
        <f>(VLOOKUP(Table4[[#This Row],[item_sold]],Table1[],4,FALSE))*Table4[[#This Row],[qty]]</f>
        <v>5</v>
      </c>
      <c r="G3615">
        <f t="shared" si="355"/>
        <v>5</v>
      </c>
      <c r="H3615" t="s">
        <v>430</v>
      </c>
      <c r="I3615" t="s">
        <v>406</v>
      </c>
    </row>
    <row r="3616" spans="1:9" x14ac:dyDescent="0.25">
      <c r="A3616" s="15">
        <f t="shared" si="357"/>
        <v>45541</v>
      </c>
      <c r="B3616" s="31">
        <f t="shared" si="368"/>
        <v>0.81388888888888899</v>
      </c>
      <c r="C3616" t="str">
        <f>'Inventory as of 12th Aug 2024'!A90</f>
        <v>Onion</v>
      </c>
      <c r="D3616" s="27">
        <v>1</v>
      </c>
      <c r="E3616" s="5">
        <f>Table4[[#This Row],[qty]]*(VLOOKUP(Table4[[#This Row],[item_sold]],Table1[],5,FALSE))</f>
        <v>10</v>
      </c>
      <c r="F3616" s="5">
        <f>(VLOOKUP(Table4[[#This Row],[item_sold]],Table1[],4,FALSE))*Table4[[#This Row],[qty]]</f>
        <v>8</v>
      </c>
      <c r="G3616">
        <f t="shared" si="355"/>
        <v>2</v>
      </c>
      <c r="H3616" t="s">
        <v>430</v>
      </c>
      <c r="I3616" t="s">
        <v>406</v>
      </c>
    </row>
    <row r="3617" spans="1:12" x14ac:dyDescent="0.25">
      <c r="A3617" s="15">
        <f t="shared" si="357"/>
        <v>45541</v>
      </c>
      <c r="B3617" s="31">
        <f t="shared" si="368"/>
        <v>0.81388888888888899</v>
      </c>
      <c r="C3617" t="str">
        <f>'Inventory as of 12th Aug 2024'!A50</f>
        <v>Pishori rice</v>
      </c>
      <c r="D3617" s="27">
        <v>0.5</v>
      </c>
      <c r="E3617" s="5">
        <f>Table4[[#This Row],[qty]]*(VLOOKUP(Table4[[#This Row],[item_sold]],Table1[],5,FALSE))</f>
        <v>110</v>
      </c>
      <c r="F3617" s="5">
        <f>(VLOOKUP(Table4[[#This Row],[item_sold]],Table1[],4,FALSE))*Table4[[#This Row],[qty]]</f>
        <v>90</v>
      </c>
      <c r="G3617">
        <f t="shared" si="355"/>
        <v>20</v>
      </c>
      <c r="H3617" t="s">
        <v>430</v>
      </c>
      <c r="I3617" t="s">
        <v>406</v>
      </c>
    </row>
    <row r="3618" spans="1:12" x14ac:dyDescent="0.25">
      <c r="A3618" s="15">
        <f t="shared" si="357"/>
        <v>45541</v>
      </c>
      <c r="B3618" s="31">
        <f>TIME(19,43,0)</f>
        <v>0.82152777777777775</v>
      </c>
      <c r="C3618" t="str">
        <f>'Inventory as of 12th Aug 2024'!A8</f>
        <v>eggs</v>
      </c>
      <c r="D3618" s="27">
        <v>10</v>
      </c>
      <c r="E3618" s="5">
        <f>Table4[[#This Row],[qty]]*(VLOOKUP(Table4[[#This Row],[item_sold]],Table1[],5,FALSE))</f>
        <v>200</v>
      </c>
      <c r="F3618" s="5">
        <f>(VLOOKUP(Table4[[#This Row],[item_sold]],Table1[],4,FALSE))*Table4[[#This Row],[qty]]</f>
        <v>143.33333333333334</v>
      </c>
      <c r="G3618">
        <f t="shared" si="355"/>
        <v>56.666666666666657</v>
      </c>
      <c r="H3618" t="s">
        <v>361</v>
      </c>
      <c r="J3618" t="s">
        <v>384</v>
      </c>
      <c r="K3618">
        <v>470</v>
      </c>
      <c r="L3618" t="s">
        <v>361</v>
      </c>
    </row>
    <row r="3619" spans="1:12" x14ac:dyDescent="0.25">
      <c r="A3619" s="15">
        <f t="shared" si="357"/>
        <v>45541</v>
      </c>
      <c r="B3619" s="31">
        <f>TIME(19,47,0)</f>
        <v>0.82430555555555562</v>
      </c>
      <c r="C3619" t="str">
        <f>'Inventory as of 12th Aug 2024'!A91</f>
        <v>Tomatoes</v>
      </c>
      <c r="D3619" s="27">
        <v>1</v>
      </c>
      <c r="E3619" s="5">
        <f>Table4[[#This Row],[qty]]*(VLOOKUP(Table4[[#This Row],[item_sold]],Table1[],5,FALSE))</f>
        <v>10</v>
      </c>
      <c r="F3619" s="5">
        <f>(VLOOKUP(Table4[[#This Row],[item_sold]],Table1[],4,FALSE))*Table4[[#This Row],[qty]]</f>
        <v>5</v>
      </c>
      <c r="G3619">
        <f t="shared" si="355"/>
        <v>5</v>
      </c>
      <c r="H3619" t="s">
        <v>361</v>
      </c>
    </row>
    <row r="3620" spans="1:12" x14ac:dyDescent="0.25">
      <c r="A3620" s="15">
        <f t="shared" si="357"/>
        <v>45541</v>
      </c>
      <c r="B3620" s="31">
        <f>TIME(19,47,0)</f>
        <v>0.82430555555555562</v>
      </c>
      <c r="C3620" t="str">
        <f>'Inventory as of 12th Aug 2024'!A90</f>
        <v>Onion</v>
      </c>
      <c r="D3620" s="27">
        <v>1</v>
      </c>
      <c r="E3620" s="5">
        <f>Table4[[#This Row],[qty]]*(VLOOKUP(Table4[[#This Row],[item_sold]],Table1[],5,FALSE))</f>
        <v>10</v>
      </c>
      <c r="F3620" s="5">
        <f>(VLOOKUP(Table4[[#This Row],[item_sold]],Table1[],4,FALSE))*Table4[[#This Row],[qty]]</f>
        <v>8</v>
      </c>
      <c r="G3620">
        <f t="shared" si="355"/>
        <v>2</v>
      </c>
      <c r="H3620" t="s">
        <v>361</v>
      </c>
    </row>
    <row r="3621" spans="1:12" x14ac:dyDescent="0.25">
      <c r="A3621" s="15">
        <f t="shared" si="357"/>
        <v>45541</v>
      </c>
      <c r="B3621" s="31">
        <f>TIME(20,26,0)</f>
        <v>0.85138888888888886</v>
      </c>
      <c r="C3621" t="str">
        <f>'Inventory as of 12th Aug 2024'!A45</f>
        <v>Ajab 1kg</v>
      </c>
      <c r="D3621" s="27">
        <v>1</v>
      </c>
      <c r="E3621" s="5">
        <f>Table4[[#This Row],[qty]]*(VLOOKUP(Table4[[#This Row],[item_sold]],Table1[],5,FALSE))</f>
        <v>120</v>
      </c>
      <c r="F3621" s="5">
        <f>(VLOOKUP(Table4[[#This Row],[item_sold]],Table1[],4,FALSE))*Table4[[#This Row],[qty]]</f>
        <v>87.5</v>
      </c>
      <c r="G3621">
        <f t="shared" si="355"/>
        <v>32.5</v>
      </c>
      <c r="H3621" t="s">
        <v>361</v>
      </c>
    </row>
    <row r="3622" spans="1:12" x14ac:dyDescent="0.25">
      <c r="A3622" s="15">
        <f t="shared" si="357"/>
        <v>45541</v>
      </c>
      <c r="B3622" s="31">
        <f t="shared" ref="B3622:B3624" si="369">TIME(20,26,0)</f>
        <v>0.85138888888888886</v>
      </c>
      <c r="C3622" t="str">
        <f>'Inventory as of 12th Aug 2024'!A23</f>
        <v>kinangop 500g youghurt</v>
      </c>
      <c r="D3622" s="27">
        <v>1</v>
      </c>
      <c r="E3622" s="5">
        <f>Table4[[#This Row],[qty]]*(VLOOKUP(Table4[[#This Row],[item_sold]],Table1[],5,FALSE))</f>
        <v>120</v>
      </c>
      <c r="F3622" s="5">
        <f>(VLOOKUP(Table4[[#This Row],[item_sold]],Table1[],4,FALSE))*Table4[[#This Row],[qty]]</f>
        <v>92.5</v>
      </c>
      <c r="G3622">
        <f t="shared" si="355"/>
        <v>27.5</v>
      </c>
      <c r="H3622" t="s">
        <v>361</v>
      </c>
    </row>
    <row r="3623" spans="1:12" x14ac:dyDescent="0.25">
      <c r="A3623" s="15">
        <f t="shared" si="357"/>
        <v>45541</v>
      </c>
      <c r="B3623" s="31">
        <f t="shared" si="369"/>
        <v>0.85138888888888886</v>
      </c>
      <c r="C3623" t="str">
        <f>'Inventory as of 12th Aug 2024'!A149</f>
        <v>Arimis small</v>
      </c>
      <c r="D3623" s="27">
        <v>1</v>
      </c>
      <c r="E3623" s="5">
        <f>Table4[[#This Row],[qty]]*(VLOOKUP(Table4[[#This Row],[item_sold]],Table1[],5,FALSE))</f>
        <v>35</v>
      </c>
      <c r="F3623" s="5">
        <f>(VLOOKUP(Table4[[#This Row],[item_sold]],Table1[],4,FALSE))*Table4[[#This Row],[qty]]</f>
        <v>23.333333333333332</v>
      </c>
      <c r="G3623">
        <f t="shared" si="355"/>
        <v>11.666666666666668</v>
      </c>
      <c r="H3623" t="s">
        <v>361</v>
      </c>
    </row>
    <row r="3624" spans="1:12" x14ac:dyDescent="0.25">
      <c r="A3624" s="15">
        <f t="shared" si="357"/>
        <v>45541</v>
      </c>
      <c r="B3624" s="31">
        <f t="shared" si="369"/>
        <v>0.85138888888888886</v>
      </c>
      <c r="C3624" t="str">
        <f>'Inventory as of 12th Aug 2024'!A263</f>
        <v>Hair band</v>
      </c>
      <c r="D3624" s="27">
        <v>1</v>
      </c>
      <c r="E3624" s="5">
        <f>Table4[[#This Row],[qty]]*(VLOOKUP(Table4[[#This Row],[item_sold]],Table1[],5,FALSE))</f>
        <v>20</v>
      </c>
      <c r="F3624" s="5">
        <f>(VLOOKUP(Table4[[#This Row],[item_sold]],Table1[],4,FALSE))*Table4[[#This Row],[qty]]</f>
        <v>10</v>
      </c>
      <c r="G3624">
        <f t="shared" si="355"/>
        <v>10</v>
      </c>
      <c r="H3624" t="s">
        <v>361</v>
      </c>
    </row>
    <row r="3625" spans="1:12" x14ac:dyDescent="0.25">
      <c r="A3625" s="15">
        <f>DATE(2024,9,7)</f>
        <v>45542</v>
      </c>
      <c r="B3625" s="31">
        <f>TIME(8,6,0)</f>
        <v>0.33749999999999997</v>
      </c>
      <c r="C3625" t="str">
        <f>'Inventory as of 12th Aug 2024'!A71</f>
        <v>Sugar 1/4 kg</v>
      </c>
      <c r="D3625" s="27">
        <v>1</v>
      </c>
      <c r="E3625" s="5">
        <f>Table4[[#This Row],[qty]]*(VLOOKUP(Table4[[#This Row],[item_sold]],Table1[],5,FALSE))</f>
        <v>45</v>
      </c>
      <c r="F3625" s="5">
        <f>(VLOOKUP(Table4[[#This Row],[item_sold]],Table1[],4,FALSE))*Table4[[#This Row],[qty]]</f>
        <v>30</v>
      </c>
      <c r="G3625">
        <f t="shared" si="355"/>
        <v>15</v>
      </c>
      <c r="H3625" t="s">
        <v>361</v>
      </c>
      <c r="J3625" t="s">
        <v>385</v>
      </c>
      <c r="K3625">
        <v>140</v>
      </c>
      <c r="L3625" t="s">
        <v>361</v>
      </c>
    </row>
    <row r="3626" spans="1:12" x14ac:dyDescent="0.25">
      <c r="A3626" s="15">
        <f t="shared" ref="A3626:A3685" si="370">DATE(2024,9,7)</f>
        <v>45542</v>
      </c>
      <c r="B3626" s="31">
        <f>TIME(8,14,0)</f>
        <v>0.3430555555555555</v>
      </c>
      <c r="C3626" t="str">
        <f>'Inventory as of 12th Aug 2024'!A35</f>
        <v>Festive 600g</v>
      </c>
      <c r="D3626" s="27">
        <v>1</v>
      </c>
      <c r="E3626" s="5">
        <f>Table4[[#This Row],[qty]]*(VLOOKUP(Table4[[#This Row],[item_sold]],Table1[],5,FALSE))</f>
        <v>100</v>
      </c>
      <c r="F3626" s="5">
        <f>(VLOOKUP(Table4[[#This Row],[item_sold]],Table1[],4,FALSE))*Table4[[#This Row],[qty]]</f>
        <v>90</v>
      </c>
      <c r="G3626">
        <f t="shared" ref="G3626:G3689" si="371">E3626-F3626</f>
        <v>10</v>
      </c>
      <c r="H3626" t="s">
        <v>361</v>
      </c>
    </row>
    <row r="3627" spans="1:12" x14ac:dyDescent="0.25">
      <c r="A3627" s="15">
        <f t="shared" si="370"/>
        <v>45542</v>
      </c>
      <c r="B3627" s="31">
        <f>TIME(8,30,0)</f>
        <v>0.35416666666666669</v>
      </c>
      <c r="C3627" t="str">
        <f>'Inventory as of 12th Aug 2024'!A58</f>
        <v>Safari</v>
      </c>
      <c r="D3627" s="27">
        <v>2</v>
      </c>
      <c r="E3627" s="5">
        <f>Table4[[#This Row],[qty]]*(VLOOKUP(Table4[[#This Row],[item_sold]],Table1[],5,FALSE))</f>
        <v>30</v>
      </c>
      <c r="F3627" s="5">
        <f>(VLOOKUP(Table4[[#This Row],[item_sold]],Table1[],4,FALSE))*Table4[[#This Row],[qty]]</f>
        <v>17</v>
      </c>
      <c r="G3627">
        <f t="shared" si="371"/>
        <v>13</v>
      </c>
      <c r="H3627" t="s">
        <v>361</v>
      </c>
    </row>
    <row r="3628" spans="1:12" x14ac:dyDescent="0.25">
      <c r="A3628" s="15">
        <f t="shared" si="370"/>
        <v>45542</v>
      </c>
      <c r="B3628" s="31">
        <f>TIME(9,0,0)</f>
        <v>0.375</v>
      </c>
      <c r="C3628" t="str">
        <f>'Inventory as of 12th Aug 2024'!A257</f>
        <v>Jamaa soap</v>
      </c>
      <c r="D3628" s="27">
        <v>0.2</v>
      </c>
      <c r="E3628" s="5">
        <f>Table4[[#This Row],[qty]]*(VLOOKUP(Table4[[#This Row],[item_sold]],Table1[],5,FALSE))</f>
        <v>50</v>
      </c>
      <c r="F3628" s="5">
        <f>(VLOOKUP(Table4[[#This Row],[item_sold]],Table1[],4,FALSE))*Table4[[#This Row],[qty]]</f>
        <v>36</v>
      </c>
      <c r="G3628">
        <f t="shared" si="371"/>
        <v>14</v>
      </c>
      <c r="H3628" t="s">
        <v>430</v>
      </c>
      <c r="I3628" t="s">
        <v>419</v>
      </c>
    </row>
    <row r="3629" spans="1:12" x14ac:dyDescent="0.25">
      <c r="A3629" s="15">
        <f t="shared" si="370"/>
        <v>45542</v>
      </c>
      <c r="B3629" s="31">
        <f>TIME(9,0,0)</f>
        <v>0.375</v>
      </c>
      <c r="C3629" t="str">
        <f>'Inventory as of 12th Aug 2024'!A84</f>
        <v>omo 20g</v>
      </c>
      <c r="D3629" s="27">
        <v>1</v>
      </c>
      <c r="E3629" s="5">
        <f>Table4[[#This Row],[qty]]*(VLOOKUP(Table4[[#This Row],[item_sold]],Table1[],5,FALSE))</f>
        <v>15</v>
      </c>
      <c r="F3629" s="5">
        <f>(VLOOKUP(Table4[[#This Row],[item_sold]],Table1[],4,FALSE))*Table4[[#This Row],[qty]]</f>
        <v>9.1666666666666661</v>
      </c>
      <c r="G3629">
        <f t="shared" si="371"/>
        <v>5.8333333333333339</v>
      </c>
      <c r="H3629" t="s">
        <v>430</v>
      </c>
      <c r="I3629" t="s">
        <v>419</v>
      </c>
    </row>
    <row r="3630" spans="1:12" x14ac:dyDescent="0.25">
      <c r="A3630" s="15">
        <f t="shared" si="370"/>
        <v>45542</v>
      </c>
      <c r="B3630" s="31">
        <f>TIME(9,33,0)</f>
        <v>0.3979166666666667</v>
      </c>
      <c r="C3630" t="str">
        <f>'Inventory as of 12th Aug 2024'!A231</f>
        <v>Patco</v>
      </c>
      <c r="D3630" s="27">
        <v>4</v>
      </c>
      <c r="E3630" s="5">
        <f>Table4[[#This Row],[qty]]*(VLOOKUP(Table4[[#This Row],[item_sold]],Table1[],5,FALSE))</f>
        <v>10</v>
      </c>
      <c r="F3630" s="5">
        <f>(VLOOKUP(Table4[[#This Row],[item_sold]],Table1[],4,FALSE))*Table4[[#This Row],[qty]]</f>
        <v>4.8</v>
      </c>
      <c r="G3630">
        <f t="shared" si="371"/>
        <v>5.2</v>
      </c>
      <c r="H3630" t="s">
        <v>247</v>
      </c>
    </row>
    <row r="3631" spans="1:12" x14ac:dyDescent="0.25">
      <c r="A3631" s="15">
        <f t="shared" si="370"/>
        <v>45542</v>
      </c>
      <c r="B3631" s="31">
        <f t="shared" ref="B3631:B3632" si="372">TIME(9,33,0)</f>
        <v>0.3979166666666667</v>
      </c>
      <c r="C3631" t="str">
        <f>'Inventory as of 12th Aug 2024'!A257</f>
        <v>Jamaa soap</v>
      </c>
      <c r="D3631" s="27">
        <v>0.2</v>
      </c>
      <c r="E3631" s="5">
        <f>Table4[[#This Row],[qty]]*(VLOOKUP(Table4[[#This Row],[item_sold]],Table1[],5,FALSE))</f>
        <v>50</v>
      </c>
      <c r="F3631" s="5">
        <f>(VLOOKUP(Table4[[#This Row],[item_sold]],Table1[],4,FALSE))*Table4[[#This Row],[qty]]</f>
        <v>36</v>
      </c>
      <c r="G3631">
        <f t="shared" si="371"/>
        <v>14</v>
      </c>
      <c r="H3631" t="s">
        <v>361</v>
      </c>
      <c r="J3631" t="s">
        <v>419</v>
      </c>
      <c r="K3631">
        <v>115</v>
      </c>
      <c r="L3631" t="s">
        <v>247</v>
      </c>
    </row>
    <row r="3632" spans="1:12" x14ac:dyDescent="0.25">
      <c r="A3632" s="15">
        <f t="shared" si="370"/>
        <v>45542</v>
      </c>
      <c r="B3632" s="31">
        <f t="shared" si="372"/>
        <v>0.3979166666666667</v>
      </c>
      <c r="C3632" t="str">
        <f>'Inventory as of 12th Aug 2024'!A220</f>
        <v>Super Glue</v>
      </c>
      <c r="D3632" s="27">
        <v>1</v>
      </c>
      <c r="E3632" s="5">
        <f>Table4[[#This Row],[qty]]*(VLOOKUP(Table4[[#This Row],[item_sold]],Table1[],5,FALSE))</f>
        <v>30</v>
      </c>
      <c r="F3632" s="5">
        <f>(VLOOKUP(Table4[[#This Row],[item_sold]],Table1[],4,FALSE))*Table4[[#This Row],[qty]]</f>
        <v>23.333333333333332</v>
      </c>
      <c r="G3632">
        <f t="shared" si="371"/>
        <v>6.6666666666666679</v>
      </c>
      <c r="H3632" t="s">
        <v>361</v>
      </c>
    </row>
    <row r="3633" spans="1:9" x14ac:dyDescent="0.25">
      <c r="A3633" s="15">
        <f t="shared" si="370"/>
        <v>45542</v>
      </c>
      <c r="B3633" s="31">
        <f>TIME(9,54,0)</f>
        <v>0.41250000000000003</v>
      </c>
      <c r="C3633" t="str">
        <f>'Inventory as of 12th Aug 2024'!A87</f>
        <v>Menengai Bar 1kg</v>
      </c>
      <c r="D3633" s="27">
        <v>0.2</v>
      </c>
      <c r="E3633" s="5">
        <f>Table4[[#This Row],[qty]]*(VLOOKUP(Table4[[#This Row],[item_sold]],Table1[],5,FALSE))</f>
        <v>50</v>
      </c>
      <c r="F3633" s="5">
        <f>(VLOOKUP(Table4[[#This Row],[item_sold]],Table1[],4,FALSE))*Table4[[#This Row],[qty]]</f>
        <v>38</v>
      </c>
      <c r="G3633">
        <f t="shared" si="371"/>
        <v>12</v>
      </c>
      <c r="H3633" t="s">
        <v>430</v>
      </c>
      <c r="I3633" t="s">
        <v>384</v>
      </c>
    </row>
    <row r="3634" spans="1:9" x14ac:dyDescent="0.25">
      <c r="A3634" s="15">
        <f t="shared" si="370"/>
        <v>45542</v>
      </c>
      <c r="B3634" s="31">
        <f>TIME(9,54,0)</f>
        <v>0.41250000000000003</v>
      </c>
      <c r="C3634" t="str">
        <f>'Inventory as of 12th Aug 2024'!A82</f>
        <v>ariel 10g</v>
      </c>
      <c r="D3634" s="27">
        <v>1</v>
      </c>
      <c r="E3634" s="5">
        <f>Table4[[#This Row],[qty]]*(VLOOKUP(Table4[[#This Row],[item_sold]],Table1[],5,FALSE))</f>
        <v>15</v>
      </c>
      <c r="F3634" s="5">
        <f>(VLOOKUP(Table4[[#This Row],[item_sold]],Table1[],4,FALSE))*Table4[[#This Row],[qty]]</f>
        <v>9.1666666666666661</v>
      </c>
      <c r="G3634">
        <f t="shared" si="371"/>
        <v>5.8333333333333339</v>
      </c>
      <c r="H3634" t="s">
        <v>430</v>
      </c>
      <c r="I3634" t="s">
        <v>384</v>
      </c>
    </row>
    <row r="3635" spans="1:9" x14ac:dyDescent="0.25">
      <c r="A3635" s="15">
        <f t="shared" si="370"/>
        <v>45542</v>
      </c>
      <c r="B3635" s="31">
        <f>TIME(9,35,0)</f>
        <v>0.39930555555555558</v>
      </c>
      <c r="C3635" t="str">
        <f>'Inventory as of 12th Aug 2024'!A83</f>
        <v>omo 75g</v>
      </c>
      <c r="D3635" s="27">
        <v>1</v>
      </c>
      <c r="E3635" s="5">
        <f>Table4[[#This Row],[qty]]*(VLOOKUP(Table4[[#This Row],[item_sold]],Table1[],5,FALSE))</f>
        <v>35</v>
      </c>
      <c r="F3635" s="5">
        <f>(VLOOKUP(Table4[[#This Row],[item_sold]],Table1[],4,FALSE))*Table4[[#This Row],[qty]]</f>
        <v>27.5</v>
      </c>
      <c r="G3635">
        <f t="shared" si="371"/>
        <v>7.5</v>
      </c>
      <c r="H3635" t="s">
        <v>430</v>
      </c>
      <c r="I3635" t="s">
        <v>385</v>
      </c>
    </row>
    <row r="3636" spans="1:9" x14ac:dyDescent="0.25">
      <c r="A3636" s="15">
        <f t="shared" si="370"/>
        <v>45542</v>
      </c>
      <c r="B3636" s="31">
        <f>TIME(10,34,0)</f>
        <v>0.44027777777777777</v>
      </c>
      <c r="C3636" t="str">
        <f>'Inventory as of 12th Aug 2024'!A36</f>
        <v>Festive 800g</v>
      </c>
      <c r="D3636" s="27">
        <v>1</v>
      </c>
      <c r="E3636" s="5">
        <f>Table4[[#This Row],[qty]]*(VLOOKUP(Table4[[#This Row],[item_sold]],Table1[],5,FALSE))</f>
        <v>130</v>
      </c>
      <c r="F3636" s="5">
        <f>(VLOOKUP(Table4[[#This Row],[item_sold]],Table1[],4,FALSE))*Table4[[#This Row],[qty]]</f>
        <v>120</v>
      </c>
      <c r="G3636">
        <f t="shared" si="371"/>
        <v>10</v>
      </c>
      <c r="H3636" t="s">
        <v>361</v>
      </c>
    </row>
    <row r="3637" spans="1:9" x14ac:dyDescent="0.25">
      <c r="A3637" s="15">
        <f t="shared" si="370"/>
        <v>45542</v>
      </c>
      <c r="B3637" s="31">
        <f>TIME(10,53,0)</f>
        <v>0.45347222222222222</v>
      </c>
      <c r="C3637" t="str">
        <f>'Inventory as of 12th Aug 2024'!A17</f>
        <v>Brookside milk 500ml</v>
      </c>
      <c r="D3637" s="27">
        <v>1</v>
      </c>
      <c r="E3637" s="5">
        <f>Table4[[#This Row],[qty]]*(VLOOKUP(Table4[[#This Row],[item_sold]],Table1[],5,FALSE))</f>
        <v>70</v>
      </c>
      <c r="F3637" s="5">
        <f>(VLOOKUP(Table4[[#This Row],[item_sold]],Table1[],4,FALSE))*Table4[[#This Row],[qty]]</f>
        <v>59</v>
      </c>
      <c r="G3637">
        <f t="shared" si="371"/>
        <v>11</v>
      </c>
      <c r="H3637" t="s">
        <v>361</v>
      </c>
    </row>
    <row r="3638" spans="1:9" x14ac:dyDescent="0.25">
      <c r="A3638" s="15">
        <f t="shared" si="370"/>
        <v>45542</v>
      </c>
      <c r="B3638" s="31">
        <f>TIME(10,53,0)</f>
        <v>0.45347222222222222</v>
      </c>
      <c r="C3638" t="str">
        <f>'Inventory as of 12th Aug 2024'!A187</f>
        <v>Njugu</v>
      </c>
      <c r="D3638" s="27">
        <v>1</v>
      </c>
      <c r="E3638" s="5">
        <f>Table4[[#This Row],[qty]]*(VLOOKUP(Table4[[#This Row],[item_sold]],Table1[],5,FALSE))</f>
        <v>20</v>
      </c>
      <c r="F3638" s="5">
        <f>(VLOOKUP(Table4[[#This Row],[item_sold]],Table1[],4,FALSE))*Table4[[#This Row],[qty]]</f>
        <v>10.666666666666666</v>
      </c>
      <c r="G3638">
        <f t="shared" si="371"/>
        <v>9.3333333333333339</v>
      </c>
      <c r="H3638" t="s">
        <v>361</v>
      </c>
    </row>
    <row r="3639" spans="1:9" x14ac:dyDescent="0.25">
      <c r="A3639" s="15">
        <f t="shared" si="370"/>
        <v>45542</v>
      </c>
      <c r="B3639" s="31">
        <f>TIME(11,39,0)</f>
        <v>0.48541666666666666</v>
      </c>
      <c r="C3639" t="str">
        <f>'Inventory as of 12th Aug 2024'!A33</f>
        <v>BB Bread 400g</v>
      </c>
      <c r="D3639" s="27">
        <v>1</v>
      </c>
      <c r="E3639" s="5">
        <f>Table4[[#This Row],[qty]]*(VLOOKUP(Table4[[#This Row],[item_sold]],Table1[],5,FALSE))</f>
        <v>65</v>
      </c>
      <c r="F3639" s="5">
        <f>(VLOOKUP(Table4[[#This Row],[item_sold]],Table1[],4,FALSE))*Table4[[#This Row],[qty]]</f>
        <v>60</v>
      </c>
      <c r="G3639">
        <f t="shared" si="371"/>
        <v>5</v>
      </c>
      <c r="H3639" t="s">
        <v>361</v>
      </c>
    </row>
    <row r="3640" spans="1:9" x14ac:dyDescent="0.25">
      <c r="A3640" s="15">
        <f t="shared" si="370"/>
        <v>45542</v>
      </c>
      <c r="B3640" s="31">
        <f>TIME(11,39,0)</f>
        <v>0.48541666666666666</v>
      </c>
      <c r="C3640" t="str">
        <f>'Inventory as of 12th Aug 2024'!A92</f>
        <v>Banana</v>
      </c>
      <c r="D3640" s="27">
        <v>1</v>
      </c>
      <c r="E3640" s="5">
        <f>Table4[[#This Row],[qty]]*(VLOOKUP(Table4[[#This Row],[item_sold]],Table1[],5,FALSE))</f>
        <v>10</v>
      </c>
      <c r="F3640" s="5">
        <f>(VLOOKUP(Table4[[#This Row],[item_sold]],Table1[],4,FALSE))*Table4[[#This Row],[qty]]</f>
        <v>8.3333333333333339</v>
      </c>
      <c r="G3640">
        <f t="shared" si="371"/>
        <v>1.6666666666666661</v>
      </c>
      <c r="H3640" t="s">
        <v>361</v>
      </c>
    </row>
    <row r="3641" spans="1:9" x14ac:dyDescent="0.25">
      <c r="A3641" s="15">
        <f t="shared" si="370"/>
        <v>45542</v>
      </c>
      <c r="B3641" s="31">
        <f>TIME(11,51,0)</f>
        <v>0.49374999999999997</v>
      </c>
      <c r="C3641" t="str">
        <f>'Inventory as of 12th Aug 2024'!A58</f>
        <v>Safari</v>
      </c>
      <c r="D3641" s="27">
        <v>6</v>
      </c>
      <c r="E3641" s="5">
        <f>Table4[[#This Row],[qty]]*(VLOOKUP(Table4[[#This Row],[item_sold]],Table1[],5,FALSE))</f>
        <v>90</v>
      </c>
      <c r="F3641" s="5">
        <f>(VLOOKUP(Table4[[#This Row],[item_sold]],Table1[],4,FALSE))*Table4[[#This Row],[qty]]</f>
        <v>51</v>
      </c>
      <c r="G3641">
        <f t="shared" si="371"/>
        <v>39</v>
      </c>
      <c r="H3641" t="s">
        <v>361</v>
      </c>
    </row>
    <row r="3642" spans="1:9" x14ac:dyDescent="0.25">
      <c r="A3642" s="15">
        <f t="shared" si="370"/>
        <v>45542</v>
      </c>
      <c r="B3642" s="31">
        <f>TIME(13,0,0)</f>
        <v>0.54166666666666663</v>
      </c>
      <c r="C3642" t="str">
        <f>'Inventory as of 12th Aug 2024'!A84</f>
        <v>omo 20g</v>
      </c>
      <c r="D3642" s="27">
        <v>1</v>
      </c>
      <c r="E3642" s="5">
        <f>Table4[[#This Row],[qty]]*(VLOOKUP(Table4[[#This Row],[item_sold]],Table1[],5,FALSE))</f>
        <v>15</v>
      </c>
      <c r="F3642" s="5">
        <f>(VLOOKUP(Table4[[#This Row],[item_sold]],Table1[],4,FALSE))*Table4[[#This Row],[qty]]</f>
        <v>9.1666666666666661</v>
      </c>
      <c r="G3642">
        <f t="shared" si="371"/>
        <v>5.8333333333333339</v>
      </c>
      <c r="H3642" t="s">
        <v>430</v>
      </c>
      <c r="I3642" t="s">
        <v>384</v>
      </c>
    </row>
    <row r="3643" spans="1:9" x14ac:dyDescent="0.25">
      <c r="A3643" s="15">
        <f t="shared" si="370"/>
        <v>45542</v>
      </c>
      <c r="B3643" s="31">
        <f t="shared" ref="B3643:B3644" si="373">TIME(13,0,0)</f>
        <v>0.54166666666666663</v>
      </c>
      <c r="C3643" t="str">
        <f>'Inventory as of 12th Aug 2024'!A58</f>
        <v>Safari</v>
      </c>
      <c r="D3643" s="27">
        <v>1</v>
      </c>
      <c r="E3643" s="5">
        <f>Table4[[#This Row],[qty]]*(VLOOKUP(Table4[[#This Row],[item_sold]],Table1[],5,FALSE))</f>
        <v>15</v>
      </c>
      <c r="F3643" s="5">
        <f>(VLOOKUP(Table4[[#This Row],[item_sold]],Table1[],4,FALSE))*Table4[[#This Row],[qty]]</f>
        <v>8.5</v>
      </c>
      <c r="G3643">
        <f t="shared" si="371"/>
        <v>6.5</v>
      </c>
      <c r="H3643" t="s">
        <v>247</v>
      </c>
    </row>
    <row r="3644" spans="1:9" x14ac:dyDescent="0.25">
      <c r="A3644" s="15">
        <f t="shared" si="370"/>
        <v>45542</v>
      </c>
      <c r="B3644" s="31">
        <f t="shared" si="373"/>
        <v>0.54166666666666663</v>
      </c>
      <c r="C3644" t="str">
        <f>'Inventory as of 12th Aug 2024'!A92</f>
        <v>Banana</v>
      </c>
      <c r="D3644" s="27">
        <v>4</v>
      </c>
      <c r="E3644" s="5">
        <f>Table4[[#This Row],[qty]]*(VLOOKUP(Table4[[#This Row],[item_sold]],Table1[],5,FALSE))</f>
        <v>40</v>
      </c>
      <c r="F3644" s="5">
        <f>(VLOOKUP(Table4[[#This Row],[item_sold]],Table1[],4,FALSE))*Table4[[#This Row],[qty]]</f>
        <v>33.333333333333336</v>
      </c>
      <c r="G3644">
        <f t="shared" si="371"/>
        <v>6.6666666666666643</v>
      </c>
      <c r="H3644" t="s">
        <v>430</v>
      </c>
      <c r="I3644" t="s">
        <v>385</v>
      </c>
    </row>
    <row r="3645" spans="1:9" x14ac:dyDescent="0.25">
      <c r="A3645" s="15">
        <f t="shared" si="370"/>
        <v>45542</v>
      </c>
      <c r="B3645" s="31">
        <f>TIME(13,14,0)</f>
        <v>0.55138888888888882</v>
      </c>
      <c r="C3645" t="str">
        <f>'Inventory as of 12th Aug 2024'!A213</f>
        <v>soda 500ml glass</v>
      </c>
      <c r="D3645" s="27">
        <v>1</v>
      </c>
      <c r="E3645" s="5">
        <f>Table4[[#This Row],[qty]]*(VLOOKUP(Table4[[#This Row],[item_sold]],Table1[],5,FALSE))</f>
        <v>55</v>
      </c>
      <c r="F3645" s="5">
        <f>(VLOOKUP(Table4[[#This Row],[item_sold]],Table1[],4,FALSE))*Table4[[#This Row],[qty]]</f>
        <v>50</v>
      </c>
      <c r="G3645">
        <f t="shared" si="371"/>
        <v>5</v>
      </c>
      <c r="H3645" t="s">
        <v>247</v>
      </c>
    </row>
    <row r="3646" spans="1:9" x14ac:dyDescent="0.25">
      <c r="A3646" s="15">
        <f t="shared" si="370"/>
        <v>45542</v>
      </c>
      <c r="B3646" s="31">
        <f t="shared" ref="B3646" si="374">TIME(13,14,0)</f>
        <v>0.55138888888888882</v>
      </c>
      <c r="C3646" t="str">
        <f>'Inventory as of 12th Aug 2024'!A58</f>
        <v>Safari</v>
      </c>
      <c r="D3646" s="27">
        <v>1</v>
      </c>
      <c r="E3646" s="5">
        <f>Table4[[#This Row],[qty]]*(VLOOKUP(Table4[[#This Row],[item_sold]],Table1[],5,FALSE))</f>
        <v>15</v>
      </c>
      <c r="F3646" s="5">
        <f>(VLOOKUP(Table4[[#This Row],[item_sold]],Table1[],4,FALSE))*Table4[[#This Row],[qty]]</f>
        <v>8.5</v>
      </c>
      <c r="G3646">
        <f t="shared" si="371"/>
        <v>6.5</v>
      </c>
      <c r="H3646" t="s">
        <v>247</v>
      </c>
    </row>
    <row r="3647" spans="1:9" x14ac:dyDescent="0.25">
      <c r="A3647" s="15">
        <f t="shared" si="370"/>
        <v>45542</v>
      </c>
      <c r="B3647" s="31">
        <f>TIME(14,1,0)</f>
        <v>0.58402777777777781</v>
      </c>
      <c r="C3647" t="str">
        <f>'Inventory as of 12th Aug 2024'!A206</f>
        <v>soda 500ml plastic</v>
      </c>
      <c r="D3647" s="27">
        <v>1</v>
      </c>
      <c r="E3647" s="5">
        <f>Table4[[#This Row],[qty]]*(VLOOKUP(Table4[[#This Row],[item_sold]],Table1[],5,FALSE))</f>
        <v>70</v>
      </c>
      <c r="F3647" s="5">
        <f>(VLOOKUP(Table4[[#This Row],[item_sold]],Table1[],4,FALSE))*Table4[[#This Row],[qty]]</f>
        <v>60.416666666666664</v>
      </c>
      <c r="G3647">
        <f t="shared" si="371"/>
        <v>9.5833333333333357</v>
      </c>
      <c r="H3647" t="s">
        <v>361</v>
      </c>
    </row>
    <row r="3648" spans="1:9" x14ac:dyDescent="0.25">
      <c r="A3648" s="15">
        <f t="shared" si="370"/>
        <v>45542</v>
      </c>
      <c r="B3648" s="31">
        <f>TIME(14,6,0)</f>
        <v>0.58750000000000002</v>
      </c>
      <c r="C3648" t="str">
        <f>'Inventory as of 12th Aug 2024'!A17</f>
        <v>Brookside milk 500ml</v>
      </c>
      <c r="D3648" s="27">
        <v>1</v>
      </c>
      <c r="E3648" s="5">
        <f>Table4[[#This Row],[qty]]*(VLOOKUP(Table4[[#This Row],[item_sold]],Table1[],5,FALSE))</f>
        <v>70</v>
      </c>
      <c r="F3648" s="5">
        <f>(VLOOKUP(Table4[[#This Row],[item_sold]],Table1[],4,FALSE))*Table4[[#This Row],[qty]]</f>
        <v>59</v>
      </c>
      <c r="G3648">
        <f t="shared" si="371"/>
        <v>11</v>
      </c>
      <c r="H3648" t="s">
        <v>361</v>
      </c>
    </row>
    <row r="3649" spans="1:12" x14ac:dyDescent="0.25">
      <c r="A3649" s="15">
        <f t="shared" si="370"/>
        <v>45542</v>
      </c>
      <c r="B3649" s="31">
        <f t="shared" ref="B3649:B3650" si="375">TIME(14,6,0)</f>
        <v>0.58750000000000002</v>
      </c>
      <c r="C3649" t="str">
        <f>'Inventory as of 12th Aug 2024'!A37</f>
        <v>Festive Bread 400g</v>
      </c>
      <c r="D3649" s="27">
        <v>1</v>
      </c>
      <c r="E3649" s="5">
        <f>Table4[[#This Row],[qty]]*(VLOOKUP(Table4[[#This Row],[item_sold]],Table1[],5,FALSE))</f>
        <v>65</v>
      </c>
      <c r="F3649" s="5">
        <f>(VLOOKUP(Table4[[#This Row],[item_sold]],Table1[],4,FALSE))*Table4[[#This Row],[qty]]</f>
        <v>60</v>
      </c>
      <c r="G3649">
        <f t="shared" si="371"/>
        <v>5</v>
      </c>
      <c r="H3649" t="s">
        <v>361</v>
      </c>
    </row>
    <row r="3650" spans="1:12" x14ac:dyDescent="0.25">
      <c r="A3650" s="15">
        <f t="shared" si="370"/>
        <v>45542</v>
      </c>
      <c r="B3650" s="31">
        <f t="shared" si="375"/>
        <v>0.58750000000000002</v>
      </c>
      <c r="C3650" t="str">
        <f>'Inventory as of 12th Aug 2024'!A206</f>
        <v>soda 500ml plastic</v>
      </c>
      <c r="D3650" s="27">
        <v>1</v>
      </c>
      <c r="E3650" s="5">
        <f>Table4[[#This Row],[qty]]*(VLOOKUP(Table4[[#This Row],[item_sold]],Table1[],5,FALSE))</f>
        <v>70</v>
      </c>
      <c r="F3650" s="5">
        <f>(VLOOKUP(Table4[[#This Row],[item_sold]],Table1[],4,FALSE))*Table4[[#This Row],[qty]]</f>
        <v>60.416666666666664</v>
      </c>
      <c r="G3650">
        <f t="shared" si="371"/>
        <v>9.5833333333333357</v>
      </c>
      <c r="H3650" t="s">
        <v>361</v>
      </c>
    </row>
    <row r="3651" spans="1:12" x14ac:dyDescent="0.25">
      <c r="A3651" s="15">
        <f t="shared" si="370"/>
        <v>45542</v>
      </c>
      <c r="B3651" s="31">
        <f>TIME(14,19,0)</f>
        <v>0.59652777777777777</v>
      </c>
      <c r="C3651" t="str">
        <f>'Inventory as of 12th Aug 2024'!A75</f>
        <v>Cooking Oil Measured</v>
      </c>
      <c r="D3651" s="27">
        <v>0.25</v>
      </c>
      <c r="E3651" s="5">
        <f>Table4[[#This Row],[qty]]*(VLOOKUP(Table4[[#This Row],[item_sold]],Table1[],5,FALSE))</f>
        <v>70</v>
      </c>
      <c r="F3651" s="5">
        <f>(VLOOKUP(Table4[[#This Row],[item_sold]],Table1[],4,FALSE))*Table4[[#This Row],[qty]]</f>
        <v>50</v>
      </c>
      <c r="G3651">
        <f t="shared" si="371"/>
        <v>20</v>
      </c>
      <c r="H3651" t="s">
        <v>361</v>
      </c>
    </row>
    <row r="3652" spans="1:12" x14ac:dyDescent="0.25">
      <c r="A3652" s="15">
        <f t="shared" si="370"/>
        <v>45542</v>
      </c>
      <c r="B3652" s="31">
        <f t="shared" ref="B3652" si="376">TIME(14,19,0)</f>
        <v>0.59652777777777777</v>
      </c>
      <c r="C3652" t="str">
        <f>'Inventory as of 12th Aug 2024'!A70</f>
        <v>Sugar 1/2 kg</v>
      </c>
      <c r="D3652" s="27">
        <v>1</v>
      </c>
      <c r="E3652" s="5">
        <f>Table4[[#This Row],[qty]]*(VLOOKUP(Table4[[#This Row],[item_sold]],Table1[],5,FALSE))</f>
        <v>90</v>
      </c>
      <c r="F3652" s="5">
        <f>(VLOOKUP(Table4[[#This Row],[item_sold]],Table1[],4,FALSE))*Table4[[#This Row],[qty]]</f>
        <v>60</v>
      </c>
      <c r="G3652">
        <f t="shared" si="371"/>
        <v>30</v>
      </c>
      <c r="H3652" t="s">
        <v>361</v>
      </c>
      <c r="J3652" t="s">
        <v>394</v>
      </c>
      <c r="K3652">
        <v>100</v>
      </c>
      <c r="L3652" t="s">
        <v>361</v>
      </c>
    </row>
    <row r="3653" spans="1:12" x14ac:dyDescent="0.25">
      <c r="A3653" s="15">
        <f t="shared" si="370"/>
        <v>45542</v>
      </c>
      <c r="B3653" s="31">
        <f>TIME(14,20,0)</f>
        <v>0.59722222222222221</v>
      </c>
      <c r="C3653" t="str">
        <f>'Inventory as of 12th Aug 2024'!A91</f>
        <v>Tomatoes</v>
      </c>
      <c r="D3653" s="27">
        <v>10</v>
      </c>
      <c r="E3653" s="5">
        <f>Table4[[#This Row],[qty]]*(VLOOKUP(Table4[[#This Row],[item_sold]],Table1[],5,FALSE))</f>
        <v>100</v>
      </c>
      <c r="F3653" s="5">
        <f>(VLOOKUP(Table4[[#This Row],[item_sold]],Table1[],4,FALSE))*Table4[[#This Row],[qty]]</f>
        <v>50</v>
      </c>
      <c r="G3653">
        <f t="shared" si="371"/>
        <v>50</v>
      </c>
      <c r="H3653" t="s">
        <v>430</v>
      </c>
      <c r="I3653" t="s">
        <v>428</v>
      </c>
    </row>
    <row r="3654" spans="1:12" x14ac:dyDescent="0.25">
      <c r="A3654" s="15">
        <f t="shared" si="370"/>
        <v>45542</v>
      </c>
      <c r="B3654" s="31">
        <f>TIME(14,20,0)</f>
        <v>0.59722222222222221</v>
      </c>
      <c r="C3654" t="str">
        <f>'Inventory as of 12th Aug 2024'!A90</f>
        <v>Onion</v>
      </c>
      <c r="D3654" s="27">
        <v>10</v>
      </c>
      <c r="E3654" s="5">
        <f>Table4[[#This Row],[qty]]*(VLOOKUP(Table4[[#This Row],[item_sold]],Table1[],5,FALSE))</f>
        <v>100</v>
      </c>
      <c r="F3654" s="5">
        <f>(VLOOKUP(Table4[[#This Row],[item_sold]],Table1[],4,FALSE))*Table4[[#This Row],[qty]]</f>
        <v>80</v>
      </c>
      <c r="G3654">
        <f t="shared" si="371"/>
        <v>20</v>
      </c>
      <c r="H3654" t="s">
        <v>430</v>
      </c>
      <c r="I3654" t="s">
        <v>428</v>
      </c>
    </row>
    <row r="3655" spans="1:12" x14ac:dyDescent="0.25">
      <c r="A3655" s="15">
        <f t="shared" si="370"/>
        <v>45542</v>
      </c>
      <c r="B3655" s="31">
        <f>TIME(14,20,0)</f>
        <v>0.59722222222222221</v>
      </c>
      <c r="C3655" t="str">
        <f>'Inventory as of 12th Aug 2024'!A240</f>
        <v>Bigboss</v>
      </c>
      <c r="D3655" s="27">
        <v>2</v>
      </c>
      <c r="E3655" s="5">
        <f>Table4[[#This Row],[qty]]*(VLOOKUP(Table4[[#This Row],[item_sold]],Table1[],5,FALSE))</f>
        <v>10</v>
      </c>
      <c r="F3655" s="5">
        <f>(VLOOKUP(Table4[[#This Row],[item_sold]],Table1[],4,FALSE))*Table4[[#This Row],[qty]]</f>
        <v>7</v>
      </c>
      <c r="G3655">
        <f t="shared" si="371"/>
        <v>3</v>
      </c>
      <c r="H3655" t="s">
        <v>247</v>
      </c>
    </row>
    <row r="3656" spans="1:12" x14ac:dyDescent="0.25">
      <c r="A3656" s="15">
        <f t="shared" si="370"/>
        <v>45542</v>
      </c>
      <c r="B3656" s="31">
        <f t="shared" ref="B3656:B3657" si="377">TIME(14,20,0)</f>
        <v>0.59722222222222221</v>
      </c>
      <c r="C3656" t="str">
        <f>'Inventory as of 12th Aug 2024'!A231</f>
        <v>Patco</v>
      </c>
      <c r="D3656" s="27">
        <v>4</v>
      </c>
      <c r="E3656" s="5">
        <f>Table4[[#This Row],[qty]]*(VLOOKUP(Table4[[#This Row],[item_sold]],Table1[],5,FALSE))</f>
        <v>10</v>
      </c>
      <c r="F3656" s="5">
        <f>(VLOOKUP(Table4[[#This Row],[item_sold]],Table1[],4,FALSE))*Table4[[#This Row],[qty]]</f>
        <v>4.8</v>
      </c>
      <c r="G3656">
        <f t="shared" si="371"/>
        <v>5.2</v>
      </c>
      <c r="H3656" t="s">
        <v>247</v>
      </c>
    </row>
    <row r="3657" spans="1:12" x14ac:dyDescent="0.25">
      <c r="A3657" s="15">
        <f t="shared" si="370"/>
        <v>45542</v>
      </c>
      <c r="B3657" s="31">
        <f t="shared" si="377"/>
        <v>0.59722222222222221</v>
      </c>
      <c r="C3657" t="str">
        <f>'Inventory as of 12th Aug 2024'!A206</f>
        <v>soda 500ml plastic</v>
      </c>
      <c r="D3657" s="27">
        <v>2</v>
      </c>
      <c r="E3657" s="5">
        <f>Table4[[#This Row],[qty]]*(VLOOKUP(Table4[[#This Row],[item_sold]],Table1[],5,FALSE))</f>
        <v>140</v>
      </c>
      <c r="F3657" s="5">
        <f>(VLOOKUP(Table4[[#This Row],[item_sold]],Table1[],4,FALSE))*Table4[[#This Row],[qty]]</f>
        <v>120.83333333333333</v>
      </c>
      <c r="G3657">
        <f t="shared" si="371"/>
        <v>19.166666666666671</v>
      </c>
      <c r="H3657" t="s">
        <v>247</v>
      </c>
    </row>
    <row r="3658" spans="1:12" x14ac:dyDescent="0.25">
      <c r="A3658" s="15">
        <f t="shared" si="370"/>
        <v>45542</v>
      </c>
      <c r="B3658" s="31">
        <f>TIME(15,44,0)</f>
        <v>0.65555555555555556</v>
      </c>
      <c r="C3658" t="str">
        <f>'Inventory as of 12th Aug 2024'!A68</f>
        <v>Royco cubes</v>
      </c>
      <c r="D3658" s="27">
        <v>10</v>
      </c>
      <c r="E3658" s="5">
        <f>Table4[[#This Row],[qty]]*(VLOOKUP(Table4[[#This Row],[item_sold]],Table1[],5,FALSE))</f>
        <v>50</v>
      </c>
      <c r="F3658" s="5">
        <f>(VLOOKUP(Table4[[#This Row],[item_sold]],Table1[],4,FALSE))*Table4[[#This Row],[qty]]</f>
        <v>30</v>
      </c>
      <c r="G3658">
        <f t="shared" si="371"/>
        <v>20</v>
      </c>
      <c r="H3658" t="s">
        <v>430</v>
      </c>
      <c r="I3658" t="s">
        <v>451</v>
      </c>
    </row>
    <row r="3659" spans="1:12" x14ac:dyDescent="0.25">
      <c r="A3659" s="15">
        <f t="shared" si="370"/>
        <v>45542</v>
      </c>
      <c r="B3659" s="31">
        <f t="shared" ref="B3659:B3669" si="378">TIME(15,44,0)</f>
        <v>0.65555555555555556</v>
      </c>
      <c r="C3659" t="str">
        <f>'Inventory as of 12th Aug 2024'!A91</f>
        <v>Tomatoes</v>
      </c>
      <c r="D3659" s="27">
        <v>5</v>
      </c>
      <c r="E3659" s="5">
        <f>Table4[[#This Row],[qty]]*(VLOOKUP(Table4[[#This Row],[item_sold]],Table1[],5,FALSE))</f>
        <v>50</v>
      </c>
      <c r="F3659" s="5">
        <f>(VLOOKUP(Table4[[#This Row],[item_sold]],Table1[],4,FALSE))*Table4[[#This Row],[qty]]</f>
        <v>25</v>
      </c>
      <c r="G3659">
        <f t="shared" si="371"/>
        <v>25</v>
      </c>
      <c r="H3659" t="s">
        <v>430</v>
      </c>
      <c r="I3659" t="s">
        <v>451</v>
      </c>
    </row>
    <row r="3660" spans="1:12" x14ac:dyDescent="0.25">
      <c r="A3660" s="15">
        <f t="shared" si="370"/>
        <v>45542</v>
      </c>
      <c r="B3660" s="31">
        <f t="shared" si="378"/>
        <v>0.65555555555555556</v>
      </c>
      <c r="C3660" t="str">
        <f>'Inventory as of 12th Aug 2024'!A79</f>
        <v xml:space="preserve">Whitewash </v>
      </c>
      <c r="D3660" s="27">
        <v>2</v>
      </c>
      <c r="E3660" s="5">
        <f>Table4[[#This Row],[qty]]*(VLOOKUP(Table4[[#This Row],[item_sold]],Table1[],5,FALSE))</f>
        <v>100</v>
      </c>
      <c r="F3660" s="5">
        <f>(VLOOKUP(Table4[[#This Row],[item_sold]],Table1[],4,FALSE))*Table4[[#This Row],[qty]]</f>
        <v>67.5</v>
      </c>
      <c r="G3660">
        <f t="shared" si="371"/>
        <v>32.5</v>
      </c>
      <c r="H3660" t="s">
        <v>430</v>
      </c>
      <c r="I3660" t="s">
        <v>451</v>
      </c>
    </row>
    <row r="3661" spans="1:12" x14ac:dyDescent="0.25">
      <c r="A3661" s="15">
        <f t="shared" si="370"/>
        <v>45542</v>
      </c>
      <c r="B3661" s="31">
        <f t="shared" si="378"/>
        <v>0.65555555555555556</v>
      </c>
      <c r="C3661" t="str">
        <f>'Inventory as of 12th Aug 2024'!A49</f>
        <v>Ndengu</v>
      </c>
      <c r="D3661" s="27">
        <v>1</v>
      </c>
      <c r="E3661" s="5">
        <f>Table4[[#This Row],[qty]]*(VLOOKUP(Table4[[#This Row],[item_sold]],Table1[],5,FALSE))</f>
        <v>160</v>
      </c>
      <c r="F3661" s="5">
        <f>(VLOOKUP(Table4[[#This Row],[item_sold]],Table1[],4,FALSE))*Table4[[#This Row],[qty]]</f>
        <v>120</v>
      </c>
      <c r="G3661">
        <f t="shared" si="371"/>
        <v>40</v>
      </c>
      <c r="H3661" t="s">
        <v>430</v>
      </c>
      <c r="I3661" t="s">
        <v>451</v>
      </c>
    </row>
    <row r="3662" spans="1:12" x14ac:dyDescent="0.25">
      <c r="A3662" s="15">
        <f t="shared" si="370"/>
        <v>45542</v>
      </c>
      <c r="B3662" s="31">
        <f t="shared" si="378"/>
        <v>0.65555555555555556</v>
      </c>
      <c r="C3662" t="str">
        <f>'Inventory as of 12th Aug 2024'!A90</f>
        <v>Onion</v>
      </c>
      <c r="D3662" s="27">
        <v>5</v>
      </c>
      <c r="E3662" s="5">
        <f>Table4[[#This Row],[qty]]*(VLOOKUP(Table4[[#This Row],[item_sold]],Table1[],5,FALSE))</f>
        <v>50</v>
      </c>
      <c r="F3662" s="5">
        <f>(VLOOKUP(Table4[[#This Row],[item_sold]],Table1[],4,FALSE))*Table4[[#This Row],[qty]]</f>
        <v>40</v>
      </c>
      <c r="G3662">
        <f t="shared" si="371"/>
        <v>10</v>
      </c>
      <c r="H3662" t="s">
        <v>430</v>
      </c>
      <c r="I3662" t="s">
        <v>451</v>
      </c>
    </row>
    <row r="3663" spans="1:12" x14ac:dyDescent="0.25">
      <c r="A3663" s="15">
        <f t="shared" si="370"/>
        <v>45542</v>
      </c>
      <c r="B3663" s="31">
        <f t="shared" si="378"/>
        <v>0.65555555555555556</v>
      </c>
      <c r="C3663" t="str">
        <f>'Inventory as of 12th Aug 2024'!A35</f>
        <v>Festive 600g</v>
      </c>
      <c r="D3663" s="27">
        <v>1</v>
      </c>
      <c r="E3663" s="5">
        <f>Table4[[#This Row],[qty]]*(VLOOKUP(Table4[[#This Row],[item_sold]],Table1[],5,FALSE))</f>
        <v>100</v>
      </c>
      <c r="F3663" s="5">
        <f>(VLOOKUP(Table4[[#This Row],[item_sold]],Table1[],4,FALSE))*Table4[[#This Row],[qty]]</f>
        <v>90</v>
      </c>
      <c r="G3663">
        <f t="shared" si="371"/>
        <v>10</v>
      </c>
      <c r="H3663" t="s">
        <v>430</v>
      </c>
      <c r="I3663" t="s">
        <v>451</v>
      </c>
    </row>
    <row r="3664" spans="1:12" x14ac:dyDescent="0.25">
      <c r="A3664" s="15">
        <f t="shared" si="370"/>
        <v>45542</v>
      </c>
      <c r="B3664" s="31">
        <f t="shared" si="378"/>
        <v>0.65555555555555556</v>
      </c>
      <c r="C3664" t="str">
        <f>'Inventory as of 12th Aug 2024'!A16</f>
        <v>Mt kenya milk 500ml</v>
      </c>
      <c r="D3664" s="27">
        <v>2</v>
      </c>
      <c r="E3664" s="5">
        <f>Table4[[#This Row],[qty]]*(VLOOKUP(Table4[[#This Row],[item_sold]],Table1[],5,FALSE))</f>
        <v>130</v>
      </c>
      <c r="F3664" s="5">
        <f>(VLOOKUP(Table4[[#This Row],[item_sold]],Table1[],4,FALSE))*Table4[[#This Row],[qty]]</f>
        <v>96.666666666666671</v>
      </c>
      <c r="G3664">
        <f t="shared" si="371"/>
        <v>33.333333333333329</v>
      </c>
      <c r="H3664" t="s">
        <v>430</v>
      </c>
      <c r="I3664" t="s">
        <v>451</v>
      </c>
    </row>
    <row r="3665" spans="1:12" x14ac:dyDescent="0.25">
      <c r="A3665" s="15">
        <f t="shared" si="370"/>
        <v>45542</v>
      </c>
      <c r="B3665" s="31">
        <f t="shared" si="378"/>
        <v>0.65555555555555556</v>
      </c>
      <c r="C3665" t="str">
        <f>'Inventory as of 12th Aug 2024'!A141</f>
        <v>Colgate 35g</v>
      </c>
      <c r="D3665" s="27">
        <v>1</v>
      </c>
      <c r="E3665" s="5">
        <f>Table4[[#This Row],[qty]]*(VLOOKUP(Table4[[#This Row],[item_sold]],Table1[],5,FALSE))</f>
        <v>80</v>
      </c>
      <c r="F3665" s="5">
        <f>(VLOOKUP(Table4[[#This Row],[item_sold]],Table1[],4,FALSE))*Table4[[#This Row],[qty]]</f>
        <v>62.5</v>
      </c>
      <c r="G3665">
        <f t="shared" si="371"/>
        <v>17.5</v>
      </c>
      <c r="H3665" t="s">
        <v>430</v>
      </c>
      <c r="I3665" t="s">
        <v>451</v>
      </c>
    </row>
    <row r="3666" spans="1:12" x14ac:dyDescent="0.25">
      <c r="A3666" s="15">
        <f t="shared" si="370"/>
        <v>45542</v>
      </c>
      <c r="B3666" s="31">
        <f t="shared" si="378"/>
        <v>0.65555555555555556</v>
      </c>
      <c r="C3666" t="str">
        <f>'Inventory as of 12th Aug 2024'!A44</f>
        <v>Ajab 2kg</v>
      </c>
      <c r="D3666" s="27">
        <v>1</v>
      </c>
      <c r="E3666" s="5">
        <f>Table4[[#This Row],[qty]]*(VLOOKUP(Table4[[#This Row],[item_sold]],Table1[],5,FALSE))</f>
        <v>220</v>
      </c>
      <c r="F3666" s="5">
        <f>(VLOOKUP(Table4[[#This Row],[item_sold]],Table1[],4,FALSE))*Table4[[#This Row],[qty]]</f>
        <v>175</v>
      </c>
      <c r="G3666">
        <f t="shared" si="371"/>
        <v>45</v>
      </c>
      <c r="H3666" t="s">
        <v>430</v>
      </c>
      <c r="I3666" t="s">
        <v>451</v>
      </c>
    </row>
    <row r="3667" spans="1:12" x14ac:dyDescent="0.25">
      <c r="A3667" s="15">
        <f t="shared" si="370"/>
        <v>45542</v>
      </c>
      <c r="B3667" s="31">
        <f t="shared" si="378"/>
        <v>0.65555555555555556</v>
      </c>
      <c r="C3667" t="str">
        <f>'Inventory as of 12th Aug 2024'!A50</f>
        <v>Pishori rice</v>
      </c>
      <c r="D3667" s="27">
        <v>1</v>
      </c>
      <c r="E3667" s="5">
        <f>Table4[[#This Row],[qty]]*(VLOOKUP(Table4[[#This Row],[item_sold]],Table1[],5,FALSE))</f>
        <v>220</v>
      </c>
      <c r="F3667" s="5">
        <f>(VLOOKUP(Table4[[#This Row],[item_sold]],Table1[],4,FALSE))*Table4[[#This Row],[qty]]</f>
        <v>180</v>
      </c>
      <c r="G3667">
        <f t="shared" si="371"/>
        <v>40</v>
      </c>
      <c r="H3667" t="s">
        <v>430</v>
      </c>
      <c r="I3667" t="s">
        <v>451</v>
      </c>
    </row>
    <row r="3668" spans="1:12" x14ac:dyDescent="0.25">
      <c r="A3668" s="15">
        <f t="shared" si="370"/>
        <v>45542</v>
      </c>
      <c r="B3668" s="31">
        <f t="shared" si="378"/>
        <v>0.65555555555555556</v>
      </c>
      <c r="C3668" t="str">
        <f>'Inventory as of 12th Aug 2024'!A75</f>
        <v>Cooking Oil Measured</v>
      </c>
      <c r="D3668" s="27">
        <v>1.5</v>
      </c>
      <c r="E3668" s="5">
        <f>Table4[[#This Row],[qty]]*(VLOOKUP(Table4[[#This Row],[item_sold]],Table1[],5,FALSE))</f>
        <v>420</v>
      </c>
      <c r="F3668" s="5">
        <f>(VLOOKUP(Table4[[#This Row],[item_sold]],Table1[],4,FALSE))*Table4[[#This Row],[qty]]</f>
        <v>300</v>
      </c>
      <c r="G3668">
        <f t="shared" si="371"/>
        <v>120</v>
      </c>
      <c r="H3668" t="s">
        <v>430</v>
      </c>
      <c r="I3668" t="s">
        <v>451</v>
      </c>
    </row>
    <row r="3669" spans="1:12" x14ac:dyDescent="0.25">
      <c r="A3669" s="15">
        <f t="shared" si="370"/>
        <v>45542</v>
      </c>
      <c r="B3669" s="31">
        <f t="shared" si="378"/>
        <v>0.65555555555555556</v>
      </c>
      <c r="C3669" t="str">
        <f>'Inventory as of 12th Aug 2024'!A8</f>
        <v>eggs</v>
      </c>
      <c r="D3669" s="27">
        <v>5</v>
      </c>
      <c r="E3669" s="5">
        <f>Table4[[#This Row],[qty]]*(VLOOKUP(Table4[[#This Row],[item_sold]],Table1[],5,FALSE))</f>
        <v>100</v>
      </c>
      <c r="F3669" s="5">
        <f>(VLOOKUP(Table4[[#This Row],[item_sold]],Table1[],4,FALSE))*Table4[[#This Row],[qty]]</f>
        <v>71.666666666666671</v>
      </c>
      <c r="G3669">
        <f t="shared" si="371"/>
        <v>28.333333333333329</v>
      </c>
      <c r="H3669" t="s">
        <v>430</v>
      </c>
      <c r="I3669" t="s">
        <v>451</v>
      </c>
    </row>
    <row r="3670" spans="1:12" x14ac:dyDescent="0.25">
      <c r="A3670" s="15">
        <f t="shared" si="370"/>
        <v>45542</v>
      </c>
      <c r="B3670" s="31">
        <f>TIME(15,48,0)</f>
        <v>0.65833333333333333</v>
      </c>
      <c r="C3670" t="str">
        <f>'Inventory as of 12th Aug 2024'!A220</f>
        <v>Super Glue</v>
      </c>
      <c r="D3670" s="27">
        <v>1</v>
      </c>
      <c r="E3670" s="5">
        <f>Table4[[#This Row],[qty]]*(VLOOKUP(Table4[[#This Row],[item_sold]],Table1[],5,FALSE))</f>
        <v>30</v>
      </c>
      <c r="F3670" s="5">
        <f>(VLOOKUP(Table4[[#This Row],[item_sold]],Table1[],4,FALSE))*Table4[[#This Row],[qty]]</f>
        <v>23.333333333333332</v>
      </c>
      <c r="G3670">
        <f t="shared" si="371"/>
        <v>6.6666666666666679</v>
      </c>
      <c r="H3670" t="s">
        <v>247</v>
      </c>
    </row>
    <row r="3671" spans="1:12" x14ac:dyDescent="0.25">
      <c r="A3671" s="15">
        <f t="shared" si="370"/>
        <v>45542</v>
      </c>
      <c r="B3671" s="31">
        <f t="shared" ref="B3671:B3673" si="379">TIME(15,48,0)</f>
        <v>0.65833333333333333</v>
      </c>
      <c r="C3671" t="str">
        <f>'Inventory as of 12th Aug 2024'!A91</f>
        <v>Tomatoes</v>
      </c>
      <c r="D3671" s="27">
        <v>1</v>
      </c>
      <c r="E3671" s="5">
        <f>Table4[[#This Row],[qty]]*(VLOOKUP(Table4[[#This Row],[item_sold]],Table1[],5,FALSE))</f>
        <v>10</v>
      </c>
      <c r="F3671" s="5">
        <f>(VLOOKUP(Table4[[#This Row],[item_sold]],Table1[],4,FALSE))*Table4[[#This Row],[qty]]</f>
        <v>5</v>
      </c>
      <c r="G3671">
        <f t="shared" si="371"/>
        <v>5</v>
      </c>
      <c r="H3671" t="s">
        <v>430</v>
      </c>
      <c r="I3671" t="s">
        <v>406</v>
      </c>
    </row>
    <row r="3672" spans="1:12" x14ac:dyDescent="0.25">
      <c r="A3672" s="15">
        <f t="shared" si="370"/>
        <v>45542</v>
      </c>
      <c r="B3672" s="31">
        <f t="shared" si="379"/>
        <v>0.65833333333333333</v>
      </c>
      <c r="C3672" t="str">
        <f>'Inventory as of 12th Aug 2024'!A50</f>
        <v>Pishori rice</v>
      </c>
      <c r="D3672" s="27">
        <v>0.5</v>
      </c>
      <c r="E3672" s="5">
        <f>Table4[[#This Row],[qty]]*(VLOOKUP(Table4[[#This Row],[item_sold]],Table1[],5,FALSE))</f>
        <v>110</v>
      </c>
      <c r="F3672" s="5">
        <f>(VLOOKUP(Table4[[#This Row],[item_sold]],Table1[],4,FALSE))*Table4[[#This Row],[qty]]</f>
        <v>90</v>
      </c>
      <c r="G3672">
        <f t="shared" si="371"/>
        <v>20</v>
      </c>
      <c r="H3672" t="s">
        <v>430</v>
      </c>
      <c r="I3672" t="s">
        <v>406</v>
      </c>
    </row>
    <row r="3673" spans="1:12" x14ac:dyDescent="0.25">
      <c r="A3673" s="15">
        <f t="shared" si="370"/>
        <v>45542</v>
      </c>
      <c r="B3673" s="31">
        <f t="shared" si="379"/>
        <v>0.65833333333333333</v>
      </c>
      <c r="C3673" t="str">
        <f>'Inventory as of 12th Aug 2024'!A215</f>
        <v>Blueband 100g</v>
      </c>
      <c r="D3673" s="27">
        <v>1</v>
      </c>
      <c r="E3673" s="5">
        <f>Table4[[#This Row],[qty]]*(VLOOKUP(Table4[[#This Row],[item_sold]],Table1[],5,FALSE))</f>
        <v>70</v>
      </c>
      <c r="F3673" s="5">
        <f>(VLOOKUP(Table4[[#This Row],[item_sold]],Table1[],4,FALSE))*Table4[[#This Row],[qty]]</f>
        <v>58.333333333333336</v>
      </c>
      <c r="G3673">
        <f t="shared" si="371"/>
        <v>11.666666666666664</v>
      </c>
      <c r="H3673" t="s">
        <v>430</v>
      </c>
      <c r="I3673" t="s">
        <v>406</v>
      </c>
    </row>
    <row r="3674" spans="1:12" x14ac:dyDescent="0.25">
      <c r="A3674" s="15">
        <f t="shared" si="370"/>
        <v>45542</v>
      </c>
      <c r="B3674" s="31">
        <f>TIME(16,53,0)</f>
        <v>0.70347222222222217</v>
      </c>
      <c r="C3674" t="str">
        <f>'Inventory as of 12th Aug 2024'!A37</f>
        <v>Festive Bread 400g</v>
      </c>
      <c r="D3674" s="27">
        <v>1</v>
      </c>
      <c r="E3674" s="5">
        <f>Table4[[#This Row],[qty]]*(VLOOKUP(Table4[[#This Row],[item_sold]],Table1[],5,FALSE))</f>
        <v>65</v>
      </c>
      <c r="F3674" s="5">
        <f>(VLOOKUP(Table4[[#This Row],[item_sold]],Table1[],4,FALSE))*Table4[[#This Row],[qty]]</f>
        <v>60</v>
      </c>
      <c r="G3674">
        <f t="shared" si="371"/>
        <v>5</v>
      </c>
      <c r="H3674" t="s">
        <v>247</v>
      </c>
    </row>
    <row r="3675" spans="1:12" x14ac:dyDescent="0.25">
      <c r="A3675" s="15">
        <f t="shared" si="370"/>
        <v>45542</v>
      </c>
      <c r="B3675" s="31">
        <f t="shared" ref="B3675" si="380">TIME(16,53,0)</f>
        <v>0.70347222222222217</v>
      </c>
      <c r="C3675" t="str">
        <f>'Inventory as of 12th Aug 2024'!A177</f>
        <v>Ringoz Barbeque</v>
      </c>
      <c r="D3675" s="27">
        <v>1</v>
      </c>
      <c r="E3675" s="5">
        <f>Table4[[#This Row],[qty]]*(VLOOKUP(Table4[[#This Row],[item_sold]],Table1[],5,FALSE))</f>
        <v>15</v>
      </c>
      <c r="F3675" s="5">
        <f>(VLOOKUP(Table4[[#This Row],[item_sold]],Table1[],4,FALSE))*Table4[[#This Row],[qty]]</f>
        <v>8.6</v>
      </c>
      <c r="G3675">
        <f t="shared" si="371"/>
        <v>6.4</v>
      </c>
      <c r="H3675" t="s">
        <v>247</v>
      </c>
    </row>
    <row r="3676" spans="1:12" x14ac:dyDescent="0.25">
      <c r="A3676" s="15">
        <f t="shared" si="370"/>
        <v>45542</v>
      </c>
      <c r="B3676" s="31">
        <f>TIME(17,10,0)</f>
        <v>0.71527777777777779</v>
      </c>
      <c r="C3676" t="str">
        <f>'Inventory as of 12th Aug 2024'!A91</f>
        <v>Tomatoes</v>
      </c>
      <c r="D3676" s="27">
        <v>4</v>
      </c>
      <c r="E3676" s="5">
        <f>Table4[[#This Row],[qty]]*(VLOOKUP(Table4[[#This Row],[item_sold]],Table1[],5,FALSE))</f>
        <v>40</v>
      </c>
      <c r="F3676" s="5">
        <f>(VLOOKUP(Table4[[#This Row],[item_sold]],Table1[],4,FALSE))*Table4[[#This Row],[qty]]</f>
        <v>20</v>
      </c>
      <c r="G3676">
        <f t="shared" si="371"/>
        <v>20</v>
      </c>
      <c r="H3676" t="s">
        <v>361</v>
      </c>
      <c r="J3676" t="s">
        <v>406</v>
      </c>
      <c r="K3676">
        <v>65</v>
      </c>
      <c r="L3676" t="s">
        <v>361</v>
      </c>
    </row>
    <row r="3677" spans="1:12" x14ac:dyDescent="0.25">
      <c r="A3677" s="15">
        <f t="shared" si="370"/>
        <v>45542</v>
      </c>
      <c r="B3677" s="31">
        <f>TIME(17,25,0)</f>
        <v>0.72569444444444453</v>
      </c>
      <c r="C3677" t="str">
        <f>'Inventory as of 12th Aug 2024'!A202</f>
        <v>funtime snacks</v>
      </c>
      <c r="D3677" s="27">
        <v>1</v>
      </c>
      <c r="E3677" s="5">
        <f>Table4[[#This Row],[qty]]*(VLOOKUP(Table4[[#This Row],[item_sold]],Table1[],5,FALSE))</f>
        <v>15</v>
      </c>
      <c r="F3677" s="5">
        <f>(VLOOKUP(Table4[[#This Row],[item_sold]],Table1[],4,FALSE))*Table4[[#This Row],[qty]]</f>
        <v>9</v>
      </c>
      <c r="G3677">
        <f t="shared" si="371"/>
        <v>6</v>
      </c>
      <c r="H3677" t="s">
        <v>247</v>
      </c>
    </row>
    <row r="3678" spans="1:12" x14ac:dyDescent="0.25">
      <c r="A3678" s="15">
        <f t="shared" si="370"/>
        <v>45542</v>
      </c>
      <c r="B3678" s="31">
        <f>TIME(19,7,0)</f>
        <v>0.79652777777777783</v>
      </c>
      <c r="C3678" t="str">
        <f>'Inventory as of 12th Aug 2024'!A8</f>
        <v>eggs</v>
      </c>
      <c r="D3678" s="27">
        <v>2</v>
      </c>
      <c r="E3678" s="5">
        <f>Table4[[#This Row],[qty]]*(VLOOKUP(Table4[[#This Row],[item_sold]],Table1[],5,FALSE))</f>
        <v>40</v>
      </c>
      <c r="F3678" s="5">
        <f>(VLOOKUP(Table4[[#This Row],[item_sold]],Table1[],4,FALSE))*Table4[[#This Row],[qty]]</f>
        <v>28.666666666666668</v>
      </c>
      <c r="G3678">
        <f t="shared" si="371"/>
        <v>11.333333333333332</v>
      </c>
      <c r="H3678" t="s">
        <v>361</v>
      </c>
    </row>
    <row r="3679" spans="1:12" x14ac:dyDescent="0.25">
      <c r="A3679" s="15">
        <f t="shared" si="370"/>
        <v>45542</v>
      </c>
      <c r="B3679" s="31">
        <f t="shared" ref="B3679:B3680" si="381">TIME(19,7,0)</f>
        <v>0.79652777777777783</v>
      </c>
      <c r="C3679" t="str">
        <f>'Inventory as of 12th Aug 2024'!A208</f>
        <v>minutemaid 400ml</v>
      </c>
      <c r="D3679" s="27">
        <v>1</v>
      </c>
      <c r="E3679" s="5">
        <f>Table4[[#This Row],[qty]]*(VLOOKUP(Table4[[#This Row],[item_sold]],Table1[],5,FALSE))</f>
        <v>85</v>
      </c>
      <c r="F3679" s="5">
        <f>(VLOOKUP(Table4[[#This Row],[item_sold]],Table1[],4,FALSE))*Table4[[#This Row],[qty]]</f>
        <v>62.5</v>
      </c>
      <c r="G3679">
        <f t="shared" si="371"/>
        <v>22.5</v>
      </c>
      <c r="H3679" t="s">
        <v>247</v>
      </c>
    </row>
    <row r="3680" spans="1:12" x14ac:dyDescent="0.25">
      <c r="A3680" s="15">
        <f t="shared" si="370"/>
        <v>45542</v>
      </c>
      <c r="B3680" s="31">
        <f t="shared" si="381"/>
        <v>0.79652777777777783</v>
      </c>
      <c r="C3680" t="str">
        <f>'Inventory as of 12th Aug 2024'!A221</f>
        <v>Rasor Blade</v>
      </c>
      <c r="D3680" s="27">
        <v>3</v>
      </c>
      <c r="E3680" s="5">
        <f>Table4[[#This Row],[qty]]*(VLOOKUP(Table4[[#This Row],[item_sold]],Table1[],5,FALSE))</f>
        <v>15</v>
      </c>
      <c r="F3680" s="5">
        <f>(VLOOKUP(Table4[[#This Row],[item_sold]],Table1[],4,FALSE))*Table4[[#This Row],[qty]]</f>
        <v>6</v>
      </c>
      <c r="G3680">
        <f t="shared" si="371"/>
        <v>9</v>
      </c>
      <c r="H3680" t="s">
        <v>247</v>
      </c>
    </row>
    <row r="3681" spans="1:8" x14ac:dyDescent="0.25">
      <c r="A3681" s="15">
        <f t="shared" si="370"/>
        <v>45542</v>
      </c>
      <c r="B3681" s="31">
        <f>TIME(20,8,0)</f>
        <v>0.83888888888888891</v>
      </c>
      <c r="C3681" t="str">
        <f>'Inventory as of 12th Aug 2024'!A178</f>
        <v>Ringoz Paprika</v>
      </c>
      <c r="D3681" s="27">
        <v>1</v>
      </c>
      <c r="E3681" s="5">
        <f>Table4[[#This Row],[qty]]*(VLOOKUP(Table4[[#This Row],[item_sold]],Table1[],5,FALSE))</f>
        <v>15</v>
      </c>
      <c r="F3681" s="5">
        <f>(VLOOKUP(Table4[[#This Row],[item_sold]],Table1[],4,FALSE))*Table4[[#This Row],[qty]]</f>
        <v>8.8000000000000007</v>
      </c>
      <c r="G3681">
        <f t="shared" si="371"/>
        <v>6.1999999999999993</v>
      </c>
      <c r="H3681" t="s">
        <v>247</v>
      </c>
    </row>
    <row r="3682" spans="1:8" x14ac:dyDescent="0.25">
      <c r="A3682" s="15">
        <f t="shared" si="370"/>
        <v>45542</v>
      </c>
      <c r="B3682" s="31">
        <f t="shared" ref="B3682" si="382">TIME(20,8,0)</f>
        <v>0.83888888888888891</v>
      </c>
      <c r="C3682" t="str">
        <f>'Inventory as of 12th Aug 2024'!A240</f>
        <v>Bigboss</v>
      </c>
      <c r="D3682" s="27">
        <v>1</v>
      </c>
      <c r="E3682" s="5">
        <f>Table4[[#This Row],[qty]]*(VLOOKUP(Table4[[#This Row],[item_sold]],Table1[],5,FALSE))</f>
        <v>5</v>
      </c>
      <c r="F3682" s="5">
        <f>(VLOOKUP(Table4[[#This Row],[item_sold]],Table1[],4,FALSE))*Table4[[#This Row],[qty]]</f>
        <v>3.5</v>
      </c>
      <c r="G3682">
        <f t="shared" si="371"/>
        <v>1.5</v>
      </c>
      <c r="H3682" t="s">
        <v>247</v>
      </c>
    </row>
    <row r="3683" spans="1:8" x14ac:dyDescent="0.25">
      <c r="A3683" s="15">
        <f t="shared" si="370"/>
        <v>45542</v>
      </c>
      <c r="B3683" s="31">
        <f>TIME(20,9,0)</f>
        <v>0.83958333333333324</v>
      </c>
      <c r="C3683" t="str">
        <f>'Inventory as of 12th Aug 2024'!A58</f>
        <v>Safari</v>
      </c>
      <c r="D3683" s="27">
        <v>1</v>
      </c>
      <c r="E3683" s="5">
        <f>Table4[[#This Row],[qty]]*(VLOOKUP(Table4[[#This Row],[item_sold]],Table1[],5,FALSE))</f>
        <v>15</v>
      </c>
      <c r="F3683" s="5">
        <f>(VLOOKUP(Table4[[#This Row],[item_sold]],Table1[],4,FALSE))*Table4[[#This Row],[qty]]</f>
        <v>8.5</v>
      </c>
      <c r="G3683">
        <f t="shared" si="371"/>
        <v>6.5</v>
      </c>
      <c r="H3683" t="s">
        <v>247</v>
      </c>
    </row>
    <row r="3684" spans="1:8" x14ac:dyDescent="0.25">
      <c r="A3684" s="15">
        <f t="shared" si="370"/>
        <v>45542</v>
      </c>
      <c r="B3684" s="31">
        <f>TIME(20,11,0)</f>
        <v>0.84097222222222223</v>
      </c>
      <c r="C3684" t="str">
        <f>'Inventory as of 12th Aug 2024'!A68</f>
        <v>Royco cubes</v>
      </c>
      <c r="D3684" s="27">
        <v>4</v>
      </c>
      <c r="E3684" s="5">
        <f>Table4[[#This Row],[qty]]*(VLOOKUP(Table4[[#This Row],[item_sold]],Table1[],5,FALSE))</f>
        <v>20</v>
      </c>
      <c r="F3684" s="5">
        <f>(VLOOKUP(Table4[[#This Row],[item_sold]],Table1[],4,FALSE))*Table4[[#This Row],[qty]]</f>
        <v>12</v>
      </c>
      <c r="G3684">
        <f t="shared" si="371"/>
        <v>8</v>
      </c>
      <c r="H3684" t="s">
        <v>361</v>
      </c>
    </row>
    <row r="3685" spans="1:8" x14ac:dyDescent="0.25">
      <c r="A3685" s="15">
        <f t="shared" si="370"/>
        <v>45542</v>
      </c>
      <c r="B3685" s="31">
        <f>TIME(20,9,0)</f>
        <v>0.83958333333333324</v>
      </c>
      <c r="C3685" t="str">
        <f>'Inventory as of 12th Aug 2024'!A234</f>
        <v>Bigdaddy</v>
      </c>
      <c r="D3685" s="27">
        <v>2</v>
      </c>
      <c r="E3685" s="5">
        <f>Table4[[#This Row],[qty]]*(VLOOKUP(Table4[[#This Row],[item_sold]],Table1[],5,FALSE))</f>
        <v>20</v>
      </c>
      <c r="F3685" s="5">
        <f>(VLOOKUP(Table4[[#This Row],[item_sold]],Table1[],4,FALSE))*Table4[[#This Row],[qty]]</f>
        <v>12</v>
      </c>
      <c r="G3685">
        <f t="shared" si="371"/>
        <v>8</v>
      </c>
      <c r="H3685" t="s">
        <v>361</v>
      </c>
    </row>
    <row r="3686" spans="1:8" x14ac:dyDescent="0.25">
      <c r="A3686" s="15">
        <f>DATE(2024,9,8)</f>
        <v>45543</v>
      </c>
      <c r="B3686" s="31">
        <f>TIME(7,30,0)</f>
        <v>0.3125</v>
      </c>
      <c r="C3686" t="str">
        <f>'Inventory as of 12th Aug 2024'!A120</f>
        <v>Maramoja</v>
      </c>
      <c r="D3686" s="27">
        <v>1</v>
      </c>
      <c r="E3686" s="5">
        <f>Table4[[#This Row],[qty]]*(VLOOKUP(Table4[[#This Row],[item_sold]],Table1[],5,FALSE))</f>
        <v>10</v>
      </c>
      <c r="F3686" s="5">
        <f>(VLOOKUP(Table4[[#This Row],[item_sold]],Table1[],4,FALSE))*Table4[[#This Row],[qty]]</f>
        <v>7</v>
      </c>
      <c r="G3686">
        <f t="shared" si="371"/>
        <v>3</v>
      </c>
      <c r="H3686" t="s">
        <v>247</v>
      </c>
    </row>
    <row r="3687" spans="1:8" x14ac:dyDescent="0.25">
      <c r="A3687" s="15">
        <f t="shared" ref="A3687:A3750" si="383">DATE(2024,9,8)</f>
        <v>45543</v>
      </c>
      <c r="B3687" s="31">
        <f>TIME(7,41,0)</f>
        <v>0.32013888888888892</v>
      </c>
      <c r="C3687" t="str">
        <f>'Inventory as of 12th Aug 2024'!A8</f>
        <v>eggs</v>
      </c>
      <c r="D3687" s="27">
        <v>5</v>
      </c>
      <c r="E3687" s="5">
        <f>Table4[[#This Row],[qty]]*(VLOOKUP(Table4[[#This Row],[item_sold]],Table1[],5,FALSE))</f>
        <v>100</v>
      </c>
      <c r="F3687" s="5">
        <f>(VLOOKUP(Table4[[#This Row],[item_sold]],Table1[],4,FALSE))*Table4[[#This Row],[qty]]</f>
        <v>71.666666666666671</v>
      </c>
      <c r="G3687">
        <f t="shared" si="371"/>
        <v>28.333333333333329</v>
      </c>
      <c r="H3687" t="s">
        <v>247</v>
      </c>
    </row>
    <row r="3688" spans="1:8" x14ac:dyDescent="0.25">
      <c r="A3688" s="15">
        <f t="shared" si="383"/>
        <v>45543</v>
      </c>
      <c r="B3688" s="31">
        <f t="shared" ref="B3688" si="384">TIME(7,41,0)</f>
        <v>0.32013888888888892</v>
      </c>
      <c r="C3688" t="str">
        <f>'Inventory as of 12th Aug 2024'!A8</f>
        <v>eggs</v>
      </c>
      <c r="D3688" s="27">
        <v>4</v>
      </c>
      <c r="E3688" s="5">
        <f>Table4[[#This Row],[qty]]*(VLOOKUP(Table4[[#This Row],[item_sold]],Table1[],5,FALSE))</f>
        <v>80</v>
      </c>
      <c r="F3688" s="5">
        <f>(VLOOKUP(Table4[[#This Row],[item_sold]],Table1[],4,FALSE))*Table4[[#This Row],[qty]]</f>
        <v>57.333333333333336</v>
      </c>
      <c r="G3688">
        <f t="shared" si="371"/>
        <v>22.666666666666664</v>
      </c>
      <c r="H3688" t="s">
        <v>361</v>
      </c>
    </row>
    <row r="3689" spans="1:8" x14ac:dyDescent="0.25">
      <c r="A3689" s="15">
        <f t="shared" si="383"/>
        <v>45543</v>
      </c>
      <c r="B3689" s="31">
        <f>TIME(8,3,0)</f>
        <v>0.3354166666666667</v>
      </c>
      <c r="C3689" t="str">
        <f>'Inventory as of 12th Aug 2024'!A91</f>
        <v>Tomatoes</v>
      </c>
      <c r="D3689" s="27">
        <v>2</v>
      </c>
      <c r="E3689" s="5">
        <f>Table4[[#This Row],[qty]]*(VLOOKUP(Table4[[#This Row],[item_sold]],Table1[],5,FALSE))</f>
        <v>20</v>
      </c>
      <c r="F3689" s="5">
        <f>(VLOOKUP(Table4[[#This Row],[item_sold]],Table1[],4,FALSE))*Table4[[#This Row],[qty]]</f>
        <v>10</v>
      </c>
      <c r="G3689">
        <f t="shared" si="371"/>
        <v>10</v>
      </c>
      <c r="H3689" t="s">
        <v>361</v>
      </c>
    </row>
    <row r="3690" spans="1:8" x14ac:dyDescent="0.25">
      <c r="A3690" s="15">
        <f t="shared" si="383"/>
        <v>45543</v>
      </c>
      <c r="B3690" s="31">
        <f t="shared" ref="B3690:B3694" si="385">TIME(8,3,0)</f>
        <v>0.3354166666666667</v>
      </c>
      <c r="C3690" t="str">
        <f>'Inventory as of 12th Aug 2024'!A90</f>
        <v>Onion</v>
      </c>
      <c r="D3690" s="27">
        <v>1</v>
      </c>
      <c r="E3690" s="5">
        <f>Table4[[#This Row],[qty]]*(VLOOKUP(Table4[[#This Row],[item_sold]],Table1[],5,FALSE))</f>
        <v>10</v>
      </c>
      <c r="F3690" s="5">
        <f>(VLOOKUP(Table4[[#This Row],[item_sold]],Table1[],4,FALSE))*Table4[[#This Row],[qty]]</f>
        <v>8</v>
      </c>
      <c r="G3690">
        <f t="shared" ref="G3690:G3753" si="386">E3690-F3690</f>
        <v>2</v>
      </c>
      <c r="H3690" t="s">
        <v>361</v>
      </c>
    </row>
    <row r="3691" spans="1:8" x14ac:dyDescent="0.25">
      <c r="A3691" s="15">
        <f t="shared" si="383"/>
        <v>45543</v>
      </c>
      <c r="B3691" s="31">
        <f t="shared" si="385"/>
        <v>0.3354166666666667</v>
      </c>
      <c r="C3691" t="str">
        <f>'Inventory as of 12th Aug 2024'!A58</f>
        <v>Safari</v>
      </c>
      <c r="D3691" s="27">
        <v>3</v>
      </c>
      <c r="E3691" s="5">
        <f>Table4[[#This Row],[qty]]*(VLOOKUP(Table4[[#This Row],[item_sold]],Table1[],5,FALSE))</f>
        <v>45</v>
      </c>
      <c r="F3691" s="5">
        <f>(VLOOKUP(Table4[[#This Row],[item_sold]],Table1[],4,FALSE))*Table4[[#This Row],[qty]]</f>
        <v>25.5</v>
      </c>
      <c r="G3691">
        <f t="shared" si="386"/>
        <v>19.5</v>
      </c>
      <c r="H3691" t="s">
        <v>361</v>
      </c>
    </row>
    <row r="3692" spans="1:8" x14ac:dyDescent="0.25">
      <c r="A3692" s="15">
        <f t="shared" si="383"/>
        <v>45543</v>
      </c>
      <c r="B3692" s="31">
        <f t="shared" si="385"/>
        <v>0.3354166666666667</v>
      </c>
      <c r="C3692" t="str">
        <f>'Inventory as of 12th Aug 2024'!A107</f>
        <v>Match Box</v>
      </c>
      <c r="D3692" s="27">
        <v>1</v>
      </c>
      <c r="E3692" s="5">
        <f>Table4[[#This Row],[qty]]*(VLOOKUP(Table4[[#This Row],[item_sold]],Table1[],5,FALSE))</f>
        <v>5</v>
      </c>
      <c r="F3692" s="5">
        <f>(VLOOKUP(Table4[[#This Row],[item_sold]],Table1[],4,FALSE))*Table4[[#This Row],[qty]]</f>
        <v>2.3611111111111112</v>
      </c>
      <c r="G3692">
        <f t="shared" si="386"/>
        <v>2.6388888888888888</v>
      </c>
      <c r="H3692" t="s">
        <v>361</v>
      </c>
    </row>
    <row r="3693" spans="1:8" x14ac:dyDescent="0.25">
      <c r="A3693" s="15">
        <f t="shared" si="383"/>
        <v>45543</v>
      </c>
      <c r="B3693" s="31">
        <f t="shared" si="385"/>
        <v>0.3354166666666667</v>
      </c>
      <c r="C3693" t="str">
        <f>'Inventory as of 12th Aug 2024'!A33</f>
        <v>BB Bread 400g</v>
      </c>
      <c r="D3693" s="27">
        <v>1</v>
      </c>
      <c r="E3693" s="5">
        <f>Table4[[#This Row],[qty]]*(VLOOKUP(Table4[[#This Row],[item_sold]],Table1[],5,FALSE))</f>
        <v>65</v>
      </c>
      <c r="F3693" s="5">
        <f>(VLOOKUP(Table4[[#This Row],[item_sold]],Table1[],4,FALSE))*Table4[[#This Row],[qty]]</f>
        <v>60</v>
      </c>
      <c r="G3693">
        <f t="shared" si="386"/>
        <v>5</v>
      </c>
      <c r="H3693" t="s">
        <v>361</v>
      </c>
    </row>
    <row r="3694" spans="1:8" x14ac:dyDescent="0.25">
      <c r="A3694" s="15">
        <f t="shared" si="383"/>
        <v>45543</v>
      </c>
      <c r="B3694" s="31">
        <f t="shared" si="385"/>
        <v>0.3354166666666667</v>
      </c>
      <c r="C3694" t="str">
        <f>'Inventory as of 12th Aug 2024'!A9</f>
        <v>Kinangop Fresh Milk 500ml</v>
      </c>
      <c r="D3694" s="27">
        <v>1</v>
      </c>
      <c r="E3694" s="5">
        <f>Table4[[#This Row],[qty]]*(VLOOKUP(Table4[[#This Row],[item_sold]],Table1[],5,FALSE))</f>
        <v>60</v>
      </c>
      <c r="F3694" s="5">
        <f>(VLOOKUP(Table4[[#This Row],[item_sold]],Table1[],4,FALSE))*Table4[[#This Row],[qty]]</f>
        <v>55</v>
      </c>
      <c r="G3694">
        <f t="shared" si="386"/>
        <v>5</v>
      </c>
      <c r="H3694" t="s">
        <v>361</v>
      </c>
    </row>
    <row r="3695" spans="1:8" x14ac:dyDescent="0.25">
      <c r="A3695" s="15">
        <f t="shared" si="383"/>
        <v>45543</v>
      </c>
      <c r="B3695" s="31">
        <f>TIME(8,12,0)</f>
        <v>0.34166666666666662</v>
      </c>
      <c r="C3695" t="str">
        <f>'Inventory as of 12th Aug 2024'!A37</f>
        <v>Festive Bread 400g</v>
      </c>
      <c r="D3695" s="27">
        <v>1</v>
      </c>
      <c r="E3695" s="5">
        <f>Table4[[#This Row],[qty]]*(VLOOKUP(Table4[[#This Row],[item_sold]],Table1[],5,FALSE))</f>
        <v>65</v>
      </c>
      <c r="F3695" s="5">
        <f>(VLOOKUP(Table4[[#This Row],[item_sold]],Table1[],4,FALSE))*Table4[[#This Row],[qty]]</f>
        <v>60</v>
      </c>
      <c r="G3695">
        <f t="shared" si="386"/>
        <v>5</v>
      </c>
      <c r="H3695" t="s">
        <v>247</v>
      </c>
    </row>
    <row r="3696" spans="1:8" x14ac:dyDescent="0.25">
      <c r="A3696" s="15">
        <f t="shared" si="383"/>
        <v>45543</v>
      </c>
      <c r="B3696" s="31">
        <f>TIME(8,15,0)</f>
        <v>0.34375</v>
      </c>
      <c r="C3696" t="str">
        <f>'Inventory as of 12th Aug 2024'!A58</f>
        <v>Safari</v>
      </c>
      <c r="D3696" s="27">
        <v>2</v>
      </c>
      <c r="E3696" s="5">
        <f>Table4[[#This Row],[qty]]*(VLOOKUP(Table4[[#This Row],[item_sold]],Table1[],5,FALSE))</f>
        <v>30</v>
      </c>
      <c r="F3696" s="5">
        <f>(VLOOKUP(Table4[[#This Row],[item_sold]],Table1[],4,FALSE))*Table4[[#This Row],[qty]]</f>
        <v>17</v>
      </c>
      <c r="G3696">
        <f t="shared" si="386"/>
        <v>13</v>
      </c>
      <c r="H3696" t="s">
        <v>361</v>
      </c>
    </row>
    <row r="3697" spans="1:9" x14ac:dyDescent="0.25">
      <c r="A3697" s="15">
        <f t="shared" si="383"/>
        <v>45543</v>
      </c>
      <c r="B3697" s="31">
        <f>TIME(10,9,0)</f>
        <v>0.42291666666666666</v>
      </c>
      <c r="C3697" t="str">
        <f>'Inventory as of 12th Aug 2024'!A92</f>
        <v>Banana</v>
      </c>
      <c r="D3697" s="27">
        <v>2</v>
      </c>
      <c r="E3697" s="5">
        <f>Table4[[#This Row],[qty]]*(VLOOKUP(Table4[[#This Row],[item_sold]],Table1[],5,FALSE))</f>
        <v>20</v>
      </c>
      <c r="F3697" s="5">
        <f>(VLOOKUP(Table4[[#This Row],[item_sold]],Table1[],4,FALSE))*Table4[[#This Row],[qty]]</f>
        <v>16.666666666666668</v>
      </c>
      <c r="G3697">
        <f t="shared" si="386"/>
        <v>3.3333333333333321</v>
      </c>
      <c r="H3697" t="s">
        <v>361</v>
      </c>
    </row>
    <row r="3698" spans="1:9" x14ac:dyDescent="0.25">
      <c r="A3698" s="15">
        <f t="shared" si="383"/>
        <v>45543</v>
      </c>
      <c r="B3698" s="31">
        <f t="shared" ref="B3698:B3699" si="387">TIME(10,9,0)</f>
        <v>0.42291666666666666</v>
      </c>
      <c r="C3698" t="str">
        <f>'Inventory as of 12th Aug 2024'!A9</f>
        <v>Kinangop Fresh Milk 500ml</v>
      </c>
      <c r="D3698" s="27">
        <v>1</v>
      </c>
      <c r="E3698" s="5">
        <f>Table4[[#This Row],[qty]]*(VLOOKUP(Table4[[#This Row],[item_sold]],Table1[],5,FALSE))</f>
        <v>60</v>
      </c>
      <c r="F3698" s="5">
        <f>(VLOOKUP(Table4[[#This Row],[item_sold]],Table1[],4,FALSE))*Table4[[#This Row],[qty]]</f>
        <v>55</v>
      </c>
      <c r="G3698">
        <f t="shared" si="386"/>
        <v>5</v>
      </c>
      <c r="H3698" t="s">
        <v>361</v>
      </c>
    </row>
    <row r="3699" spans="1:9" x14ac:dyDescent="0.25">
      <c r="A3699" s="15">
        <f t="shared" si="383"/>
        <v>45543</v>
      </c>
      <c r="B3699" s="31">
        <f t="shared" si="387"/>
        <v>0.42291666666666666</v>
      </c>
      <c r="C3699" t="str">
        <f>'Inventory as of 12th Aug 2024'!A37</f>
        <v>Festive Bread 400g</v>
      </c>
      <c r="D3699" s="27">
        <v>1</v>
      </c>
      <c r="E3699" s="5">
        <f>Table4[[#This Row],[qty]]*(VLOOKUP(Table4[[#This Row],[item_sold]],Table1[],5,FALSE))</f>
        <v>65</v>
      </c>
      <c r="F3699" s="5">
        <f>(VLOOKUP(Table4[[#This Row],[item_sold]],Table1[],4,FALSE))*Table4[[#This Row],[qty]]</f>
        <v>60</v>
      </c>
      <c r="G3699">
        <f t="shared" si="386"/>
        <v>5</v>
      </c>
      <c r="H3699" t="s">
        <v>361</v>
      </c>
    </row>
    <row r="3700" spans="1:9" x14ac:dyDescent="0.25">
      <c r="A3700" s="15">
        <f t="shared" si="383"/>
        <v>45543</v>
      </c>
      <c r="B3700" s="31">
        <f>TIME(10,2,0)</f>
        <v>0.41805555555555557</v>
      </c>
      <c r="C3700" t="str">
        <f>'Inventory as of 12th Aug 2024'!A10</f>
        <v>Mt Kenya milk 200ml</v>
      </c>
      <c r="D3700" s="27">
        <v>1</v>
      </c>
      <c r="E3700" s="5">
        <f>Table4[[#This Row],[qty]]*(VLOOKUP(Table4[[#This Row],[item_sold]],Table1[],5,FALSE))</f>
        <v>35</v>
      </c>
      <c r="F3700" s="5">
        <f>(VLOOKUP(Table4[[#This Row],[item_sold]],Table1[],4,FALSE))*Table4[[#This Row],[qty]]</f>
        <v>24.285714285714285</v>
      </c>
      <c r="G3700">
        <f t="shared" si="386"/>
        <v>10.714285714285715</v>
      </c>
      <c r="H3700" t="s">
        <v>361</v>
      </c>
    </row>
    <row r="3701" spans="1:9" x14ac:dyDescent="0.25">
      <c r="A3701" s="15">
        <f t="shared" si="383"/>
        <v>45543</v>
      </c>
      <c r="B3701" s="31">
        <f t="shared" ref="B3701:B3702" si="388">TIME(10,2,0)</f>
        <v>0.41805555555555557</v>
      </c>
      <c r="C3701" t="str">
        <f>'Inventory as of 12th Aug 2024'!A8</f>
        <v>eggs</v>
      </c>
      <c r="D3701" s="27">
        <v>6</v>
      </c>
      <c r="E3701" s="5">
        <f>Table4[[#This Row],[qty]]*(VLOOKUP(Table4[[#This Row],[item_sold]],Table1[],5,FALSE))</f>
        <v>120</v>
      </c>
      <c r="F3701" s="5">
        <f>(VLOOKUP(Table4[[#This Row],[item_sold]],Table1[],4,FALSE))*Table4[[#This Row],[qty]]</f>
        <v>86</v>
      </c>
      <c r="G3701">
        <f t="shared" si="386"/>
        <v>34</v>
      </c>
      <c r="H3701" t="s">
        <v>430</v>
      </c>
      <c r="I3701" t="s">
        <v>417</v>
      </c>
    </row>
    <row r="3702" spans="1:9" x14ac:dyDescent="0.25">
      <c r="A3702" s="15">
        <f t="shared" si="383"/>
        <v>45543</v>
      </c>
      <c r="B3702" s="31">
        <f t="shared" si="388"/>
        <v>0.41805555555555557</v>
      </c>
      <c r="C3702" t="str">
        <f>'Inventory as of 12th Aug 2024'!A215</f>
        <v>Blueband 100g</v>
      </c>
      <c r="D3702" s="27">
        <v>1</v>
      </c>
      <c r="E3702" s="5">
        <f>Table4[[#This Row],[qty]]*(VLOOKUP(Table4[[#This Row],[item_sold]],Table1[],5,FALSE))</f>
        <v>70</v>
      </c>
      <c r="F3702" s="5">
        <f>(VLOOKUP(Table4[[#This Row],[item_sold]],Table1[],4,FALSE))*Table4[[#This Row],[qty]]</f>
        <v>58.333333333333336</v>
      </c>
      <c r="G3702">
        <f t="shared" si="386"/>
        <v>11.666666666666664</v>
      </c>
      <c r="H3702" t="s">
        <v>430</v>
      </c>
      <c r="I3702" t="s">
        <v>417</v>
      </c>
    </row>
    <row r="3703" spans="1:9" x14ac:dyDescent="0.25">
      <c r="A3703" s="15">
        <f t="shared" si="383"/>
        <v>45543</v>
      </c>
      <c r="B3703" s="31">
        <f>TIME(10,30,0)</f>
        <v>0.4375</v>
      </c>
      <c r="C3703" t="str">
        <f>'Inventory as of 12th Aug 2024'!A5</f>
        <v>Airtel 20 Credit</v>
      </c>
      <c r="D3703" s="27">
        <v>1</v>
      </c>
      <c r="E3703" s="5">
        <f>Table4[[#This Row],[qty]]*(VLOOKUP(Table4[[#This Row],[item_sold]],Table1[],5,FALSE))</f>
        <v>20</v>
      </c>
      <c r="F3703" s="5">
        <f>(VLOOKUP(Table4[[#This Row],[item_sold]],Table1[],4,FALSE))*Table4[[#This Row],[qty]]</f>
        <v>18</v>
      </c>
      <c r="G3703">
        <f t="shared" si="386"/>
        <v>2</v>
      </c>
      <c r="H3703" t="s">
        <v>361</v>
      </c>
    </row>
    <row r="3704" spans="1:9" x14ac:dyDescent="0.25">
      <c r="A3704" s="15">
        <f t="shared" si="383"/>
        <v>45543</v>
      </c>
      <c r="B3704" s="31">
        <f>TIME(11,39,0)</f>
        <v>0.48541666666666666</v>
      </c>
      <c r="C3704" t="str">
        <f>'Inventory as of 12th Aug 2024'!A33</f>
        <v>BB Bread 400g</v>
      </c>
      <c r="D3704" s="27">
        <v>1</v>
      </c>
      <c r="E3704" s="5">
        <f>Table4[[#This Row],[qty]]*(VLOOKUP(Table4[[#This Row],[item_sold]],Table1[],5,FALSE))</f>
        <v>65</v>
      </c>
      <c r="F3704" s="5">
        <f>(VLOOKUP(Table4[[#This Row],[item_sold]],Table1[],4,FALSE))*Table4[[#This Row],[qty]]</f>
        <v>60</v>
      </c>
      <c r="G3704">
        <f t="shared" si="386"/>
        <v>5</v>
      </c>
      <c r="H3704" t="s">
        <v>361</v>
      </c>
    </row>
    <row r="3705" spans="1:9" x14ac:dyDescent="0.25">
      <c r="A3705" s="15">
        <f t="shared" si="383"/>
        <v>45543</v>
      </c>
      <c r="B3705" s="31">
        <f>TIME(10,49,0)</f>
        <v>0.45069444444444445</v>
      </c>
      <c r="C3705" t="str">
        <f>'Inventory as of 12th Aug 2024'!A82</f>
        <v>ariel 10g</v>
      </c>
      <c r="D3705" s="27">
        <v>1</v>
      </c>
      <c r="E3705" s="5">
        <f>Table4[[#This Row],[qty]]*(VLOOKUP(Table4[[#This Row],[item_sold]],Table1[],5,FALSE))</f>
        <v>15</v>
      </c>
      <c r="F3705" s="5">
        <f>(VLOOKUP(Table4[[#This Row],[item_sold]],Table1[],4,FALSE))*Table4[[#This Row],[qty]]</f>
        <v>9.1666666666666661</v>
      </c>
      <c r="G3705">
        <f t="shared" si="386"/>
        <v>5.8333333333333339</v>
      </c>
      <c r="H3705" t="s">
        <v>361</v>
      </c>
    </row>
    <row r="3706" spans="1:9" x14ac:dyDescent="0.25">
      <c r="A3706" s="15">
        <f t="shared" si="383"/>
        <v>45543</v>
      </c>
      <c r="B3706" s="31">
        <f t="shared" ref="B3706:B3707" si="389">TIME(10,49,0)</f>
        <v>0.45069444444444445</v>
      </c>
      <c r="C3706" t="str">
        <f>'Inventory as of 12th Aug 2024'!A83</f>
        <v>omo 75g</v>
      </c>
      <c r="D3706" s="27">
        <v>1</v>
      </c>
      <c r="E3706" s="5">
        <f>Table4[[#This Row],[qty]]*(VLOOKUP(Table4[[#This Row],[item_sold]],Table1[],5,FALSE))</f>
        <v>35</v>
      </c>
      <c r="F3706" s="5">
        <f>(VLOOKUP(Table4[[#This Row],[item_sold]],Table1[],4,FALSE))*Table4[[#This Row],[qty]]</f>
        <v>27.5</v>
      </c>
      <c r="G3706">
        <f t="shared" si="386"/>
        <v>7.5</v>
      </c>
      <c r="H3706" t="s">
        <v>361</v>
      </c>
    </row>
    <row r="3707" spans="1:9" x14ac:dyDescent="0.25">
      <c r="A3707" s="15">
        <f t="shared" si="383"/>
        <v>45543</v>
      </c>
      <c r="B3707" s="31">
        <f t="shared" si="389"/>
        <v>0.45069444444444445</v>
      </c>
      <c r="C3707" t="str">
        <f>'Inventory as of 12th Aug 2024'!A79</f>
        <v xml:space="preserve">Whitewash </v>
      </c>
      <c r="D3707" s="27">
        <v>1</v>
      </c>
      <c r="E3707" s="5">
        <f>Table4[[#This Row],[qty]]*(VLOOKUP(Table4[[#This Row],[item_sold]],Table1[],5,FALSE))</f>
        <v>50</v>
      </c>
      <c r="F3707" s="5">
        <f>(VLOOKUP(Table4[[#This Row],[item_sold]],Table1[],4,FALSE))*Table4[[#This Row],[qty]]</f>
        <v>33.75</v>
      </c>
      <c r="G3707">
        <f t="shared" si="386"/>
        <v>16.25</v>
      </c>
      <c r="H3707" t="s">
        <v>361</v>
      </c>
    </row>
    <row r="3708" spans="1:9" x14ac:dyDescent="0.25">
      <c r="A3708" s="15">
        <f t="shared" si="383"/>
        <v>45543</v>
      </c>
      <c r="B3708" s="31">
        <f>TIME(11,12,0)</f>
        <v>0.46666666666666662</v>
      </c>
      <c r="C3708" t="str">
        <f>'Inventory as of 12th Aug 2024'!A58</f>
        <v>Safari</v>
      </c>
      <c r="D3708" s="27">
        <v>3</v>
      </c>
      <c r="E3708" s="5">
        <f>Table4[[#This Row],[qty]]*(VLOOKUP(Table4[[#This Row],[item_sold]],Table1[],5,FALSE))</f>
        <v>45</v>
      </c>
      <c r="F3708" s="5">
        <f>(VLOOKUP(Table4[[#This Row],[item_sold]],Table1[],4,FALSE))*Table4[[#This Row],[qty]]</f>
        <v>25.5</v>
      </c>
      <c r="G3708">
        <f t="shared" si="386"/>
        <v>19.5</v>
      </c>
      <c r="H3708" t="s">
        <v>430</v>
      </c>
      <c r="I3708" t="s">
        <v>391</v>
      </c>
    </row>
    <row r="3709" spans="1:9" x14ac:dyDescent="0.25">
      <c r="A3709" s="15">
        <f t="shared" si="383"/>
        <v>45543</v>
      </c>
      <c r="B3709" s="31">
        <f>TIME(11,13,0)</f>
        <v>0.46736111111111112</v>
      </c>
      <c r="C3709" t="str">
        <f>'Inventory as of 12th Aug 2024'!A120</f>
        <v>Maramoja</v>
      </c>
      <c r="D3709" s="27">
        <v>1</v>
      </c>
      <c r="E3709" s="5">
        <f>Table4[[#This Row],[qty]]*(VLOOKUP(Table4[[#This Row],[item_sold]],Table1[],5,FALSE))</f>
        <v>10</v>
      </c>
      <c r="F3709" s="5">
        <f>(VLOOKUP(Table4[[#This Row],[item_sold]],Table1[],4,FALSE))*Table4[[#This Row],[qty]]</f>
        <v>7</v>
      </c>
      <c r="G3709">
        <f t="shared" si="386"/>
        <v>3</v>
      </c>
      <c r="H3709" t="s">
        <v>361</v>
      </c>
    </row>
    <row r="3710" spans="1:9" x14ac:dyDescent="0.25">
      <c r="A3710" s="15">
        <f t="shared" si="383"/>
        <v>45543</v>
      </c>
      <c r="B3710" s="31">
        <f>TIME(11,40,0)</f>
        <v>0.4861111111111111</v>
      </c>
      <c r="C3710" t="str">
        <f>'Inventory as of 12th Aug 2024'!A182</f>
        <v>T.Heat Potato crisps salted 25g</v>
      </c>
      <c r="D3710" s="27">
        <v>2</v>
      </c>
      <c r="E3710" s="5">
        <f>Table4[[#This Row],[qty]]*(VLOOKUP(Table4[[#This Row],[item_sold]],Table1[],5,FALSE))</f>
        <v>60</v>
      </c>
      <c r="F3710" s="5">
        <f>(VLOOKUP(Table4[[#This Row],[item_sold]],Table1[],4,FALSE))*Table4[[#This Row],[qty]]</f>
        <v>45.833333333333336</v>
      </c>
      <c r="G3710">
        <f t="shared" si="386"/>
        <v>14.166666666666664</v>
      </c>
      <c r="H3710" t="s">
        <v>247</v>
      </c>
    </row>
    <row r="3711" spans="1:9" x14ac:dyDescent="0.25">
      <c r="A3711" s="15">
        <f t="shared" si="383"/>
        <v>45543</v>
      </c>
      <c r="B3711" s="31">
        <f>TIME(11,40,0)</f>
        <v>0.4861111111111111</v>
      </c>
      <c r="C3711" t="str">
        <f>'Inventory as of 12th Aug 2024'!A91</f>
        <v>Tomatoes</v>
      </c>
      <c r="D3711" s="27">
        <v>4</v>
      </c>
      <c r="E3711" s="5">
        <f>Table4[[#This Row],[qty]]*(VLOOKUP(Table4[[#This Row],[item_sold]],Table1[],5,FALSE))</f>
        <v>40</v>
      </c>
      <c r="F3711" s="5">
        <f>(VLOOKUP(Table4[[#This Row],[item_sold]],Table1[],4,FALSE))*Table4[[#This Row],[qty]]</f>
        <v>20</v>
      </c>
      <c r="G3711">
        <f t="shared" si="386"/>
        <v>20</v>
      </c>
      <c r="H3711" t="s">
        <v>247</v>
      </c>
    </row>
    <row r="3712" spans="1:9" x14ac:dyDescent="0.25">
      <c r="A3712" s="15">
        <f t="shared" si="383"/>
        <v>45543</v>
      </c>
      <c r="B3712" s="31">
        <f>TIME(11,15,0)</f>
        <v>0.46875</v>
      </c>
      <c r="C3712" t="str">
        <f>'Inventory as of 12th Aug 2024'!A75</f>
        <v>Cooking Oil Measured</v>
      </c>
      <c r="D3712" s="27">
        <v>0.25</v>
      </c>
      <c r="E3712" s="5">
        <f>Table4[[#This Row],[qty]]*(VLOOKUP(Table4[[#This Row],[item_sold]],Table1[],5,FALSE))</f>
        <v>70</v>
      </c>
      <c r="F3712" s="5">
        <f>(VLOOKUP(Table4[[#This Row],[item_sold]],Table1[],4,FALSE))*Table4[[#This Row],[qty]]</f>
        <v>50</v>
      </c>
      <c r="G3712">
        <f t="shared" si="386"/>
        <v>20</v>
      </c>
      <c r="H3712" t="s">
        <v>361</v>
      </c>
    </row>
    <row r="3713" spans="1:12" x14ac:dyDescent="0.25">
      <c r="A3713" s="15">
        <f t="shared" si="383"/>
        <v>45543</v>
      </c>
      <c r="B3713" s="31">
        <f>TIME(11,15,0)</f>
        <v>0.46875</v>
      </c>
      <c r="C3713" t="str">
        <f>'Inventory as of 12th Aug 2024'!A71</f>
        <v>Sugar 1/4 kg</v>
      </c>
      <c r="D3713" s="27">
        <v>2</v>
      </c>
      <c r="E3713" s="5">
        <f>Table4[[#This Row],[qty]]*(VLOOKUP(Table4[[#This Row],[item_sold]],Table1[],5,FALSE))</f>
        <v>90</v>
      </c>
      <c r="F3713" s="5">
        <f>(VLOOKUP(Table4[[#This Row],[item_sold]],Table1[],4,FALSE))*Table4[[#This Row],[qty]]</f>
        <v>60</v>
      </c>
      <c r="G3713">
        <f t="shared" si="386"/>
        <v>30</v>
      </c>
      <c r="H3713" t="s">
        <v>361</v>
      </c>
    </row>
    <row r="3714" spans="1:12" x14ac:dyDescent="0.25">
      <c r="A3714" s="15">
        <f t="shared" si="383"/>
        <v>45543</v>
      </c>
      <c r="B3714" s="31">
        <f>TIME(12,16,0)</f>
        <v>0.51111111111111118</v>
      </c>
      <c r="C3714" t="str">
        <f>'Inventory as of 12th Aug 2024'!A244</f>
        <v>5ltrs water</v>
      </c>
      <c r="D3714" s="27">
        <v>1</v>
      </c>
      <c r="E3714" s="5">
        <f>Table4[[#This Row],[qty]]*(VLOOKUP(Table4[[#This Row],[item_sold]],Table1[],5,FALSE))</f>
        <v>120</v>
      </c>
      <c r="F3714" s="5">
        <f>(VLOOKUP(Table4[[#This Row],[item_sold]],Table1[],4,FALSE))*Table4[[#This Row],[qty]]</f>
        <v>75</v>
      </c>
      <c r="G3714">
        <f t="shared" si="386"/>
        <v>45</v>
      </c>
      <c r="H3714" t="s">
        <v>430</v>
      </c>
      <c r="I3714" t="s">
        <v>386</v>
      </c>
    </row>
    <row r="3715" spans="1:12" x14ac:dyDescent="0.25">
      <c r="A3715" s="15">
        <f t="shared" si="383"/>
        <v>45543</v>
      </c>
      <c r="B3715" s="31">
        <f t="shared" ref="B3715:B3716" si="390">TIME(12,16,0)</f>
        <v>0.51111111111111118</v>
      </c>
      <c r="C3715" t="str">
        <f>'Inventory as of 12th Aug 2024'!A134</f>
        <v>Hanaan Tissue</v>
      </c>
      <c r="D3715" s="27">
        <v>1</v>
      </c>
      <c r="E3715" s="5">
        <f>Table4[[#This Row],[qty]]*(VLOOKUP(Table4[[#This Row],[item_sold]],Table1[],5,FALSE))</f>
        <v>55</v>
      </c>
      <c r="F3715" s="5">
        <f>(VLOOKUP(Table4[[#This Row],[item_sold]],Table1[],4,FALSE))*Table4[[#This Row],[qty]]</f>
        <v>43</v>
      </c>
      <c r="G3715">
        <f t="shared" si="386"/>
        <v>12</v>
      </c>
      <c r="H3715" t="s">
        <v>430</v>
      </c>
      <c r="I3715" t="s">
        <v>386</v>
      </c>
      <c r="J3715" t="s">
        <v>388</v>
      </c>
      <c r="K3715">
        <v>60</v>
      </c>
      <c r="L3715" t="s">
        <v>361</v>
      </c>
    </row>
    <row r="3716" spans="1:12" x14ac:dyDescent="0.25">
      <c r="A3716" s="15">
        <f t="shared" si="383"/>
        <v>45543</v>
      </c>
      <c r="B3716" s="31">
        <f t="shared" si="390"/>
        <v>0.51111111111111118</v>
      </c>
      <c r="C3716" t="str">
        <f>'Inventory as of 12th Aug 2024'!A92</f>
        <v>Banana</v>
      </c>
      <c r="D3716" s="27">
        <v>1</v>
      </c>
      <c r="E3716" s="5">
        <f>Table4[[#This Row],[qty]]*(VLOOKUP(Table4[[#This Row],[item_sold]],Table1[],5,FALSE))</f>
        <v>10</v>
      </c>
      <c r="F3716" s="5">
        <f>(VLOOKUP(Table4[[#This Row],[item_sold]],Table1[],4,FALSE))*Table4[[#This Row],[qty]]</f>
        <v>8.3333333333333339</v>
      </c>
      <c r="G3716">
        <f t="shared" si="386"/>
        <v>1.6666666666666661</v>
      </c>
      <c r="H3716" t="s">
        <v>361</v>
      </c>
    </row>
    <row r="3717" spans="1:12" x14ac:dyDescent="0.25">
      <c r="A3717" s="15">
        <f t="shared" si="383"/>
        <v>45543</v>
      </c>
      <c r="B3717" s="31">
        <f>TIME(12,19,0)</f>
        <v>0.5131944444444444</v>
      </c>
      <c r="C3717" t="str">
        <f>'Inventory as of 12th Aug 2024'!A35</f>
        <v>Festive 600g</v>
      </c>
      <c r="D3717" s="27">
        <v>1</v>
      </c>
      <c r="E3717" s="5">
        <f>Table4[[#This Row],[qty]]*(VLOOKUP(Table4[[#This Row],[item_sold]],Table1[],5,FALSE))</f>
        <v>100</v>
      </c>
      <c r="F3717" s="5">
        <f>(VLOOKUP(Table4[[#This Row],[item_sold]],Table1[],4,FALSE))*Table4[[#This Row],[qty]]</f>
        <v>90</v>
      </c>
      <c r="G3717">
        <f t="shared" si="386"/>
        <v>10</v>
      </c>
      <c r="H3717" t="s">
        <v>361</v>
      </c>
    </row>
    <row r="3718" spans="1:12" x14ac:dyDescent="0.25">
      <c r="A3718" s="15">
        <f t="shared" si="383"/>
        <v>45543</v>
      </c>
      <c r="B3718" s="31">
        <f>TIME(12,23,0)</f>
        <v>0.51597222222222217</v>
      </c>
      <c r="C3718" t="str">
        <f>'Inventory as of 12th Aug 2024'!A7</f>
        <v>Airtel 50 Credit</v>
      </c>
      <c r="D3718" s="27">
        <v>1</v>
      </c>
      <c r="E3718" s="5">
        <f>Table4[[#This Row],[qty]]*(VLOOKUP(Table4[[#This Row],[item_sold]],Table1[],5,FALSE))</f>
        <v>50</v>
      </c>
      <c r="F3718" s="5">
        <f>(VLOOKUP(Table4[[#This Row],[item_sold]],Table1[],4,FALSE))*Table4[[#This Row],[qty]]</f>
        <v>47</v>
      </c>
      <c r="G3718">
        <f t="shared" si="386"/>
        <v>3</v>
      </c>
      <c r="H3718" t="s">
        <v>247</v>
      </c>
    </row>
    <row r="3719" spans="1:12" x14ac:dyDescent="0.25">
      <c r="A3719" s="15">
        <f t="shared" si="383"/>
        <v>45543</v>
      </c>
      <c r="B3719" s="31">
        <f>TIME(12,46,0)</f>
        <v>0.53194444444444444</v>
      </c>
      <c r="C3719" t="str">
        <f>'Inventory as of 12th Aug 2024'!A90</f>
        <v>Onion</v>
      </c>
      <c r="D3719" s="27">
        <v>1</v>
      </c>
      <c r="E3719" s="5">
        <f>Table4[[#This Row],[qty]]*(VLOOKUP(Table4[[#This Row],[item_sold]],Table1[],5,FALSE))</f>
        <v>10</v>
      </c>
      <c r="F3719" s="5">
        <f>(VLOOKUP(Table4[[#This Row],[item_sold]],Table1[],4,FALSE))*Table4[[#This Row],[qty]]</f>
        <v>8</v>
      </c>
      <c r="G3719">
        <f t="shared" si="386"/>
        <v>2</v>
      </c>
      <c r="H3719" t="s">
        <v>361</v>
      </c>
    </row>
    <row r="3720" spans="1:12" x14ac:dyDescent="0.25">
      <c r="A3720" s="15">
        <f t="shared" si="383"/>
        <v>45543</v>
      </c>
      <c r="B3720" s="31">
        <f t="shared" ref="B3720" si="391">TIME(12,46,0)</f>
        <v>0.53194444444444444</v>
      </c>
      <c r="C3720" t="str">
        <f>'Inventory as of 12th Aug 2024'!A58</f>
        <v>Safari</v>
      </c>
      <c r="D3720" s="27">
        <v>2</v>
      </c>
      <c r="E3720" s="5">
        <f>Table4[[#This Row],[qty]]*(VLOOKUP(Table4[[#This Row],[item_sold]],Table1[],5,FALSE))</f>
        <v>30</v>
      </c>
      <c r="F3720" s="5">
        <f>(VLOOKUP(Table4[[#This Row],[item_sold]],Table1[],4,FALSE))*Table4[[#This Row],[qty]]</f>
        <v>17</v>
      </c>
      <c r="G3720">
        <f t="shared" si="386"/>
        <v>13</v>
      </c>
      <c r="H3720" t="s">
        <v>361</v>
      </c>
    </row>
    <row r="3721" spans="1:12" x14ac:dyDescent="0.25">
      <c r="A3721" s="15">
        <f t="shared" si="383"/>
        <v>45543</v>
      </c>
      <c r="B3721" s="31">
        <f>TIME(12,53,0)</f>
        <v>0.53680555555555554</v>
      </c>
      <c r="C3721" t="str">
        <f>'Inventory as of 12th Aug 2024'!A254</f>
        <v>Maccofee</v>
      </c>
      <c r="D3721" s="27">
        <v>2</v>
      </c>
      <c r="E3721" s="5">
        <f>Table4[[#This Row],[qty]]*(VLOOKUP(Table4[[#This Row],[item_sold]],Table1[],5,FALSE))</f>
        <v>30</v>
      </c>
      <c r="F3721" s="5">
        <f>(VLOOKUP(Table4[[#This Row],[item_sold]],Table1[],4,FALSE))*Table4[[#This Row],[qty]]</f>
        <v>18.666666666666668</v>
      </c>
      <c r="G3721">
        <f t="shared" si="386"/>
        <v>11.333333333333332</v>
      </c>
      <c r="H3721" t="s">
        <v>361</v>
      </c>
    </row>
    <row r="3722" spans="1:12" x14ac:dyDescent="0.25">
      <c r="A3722" s="15">
        <f t="shared" si="383"/>
        <v>45543</v>
      </c>
      <c r="B3722" s="31">
        <f>TIME(12,57,0)</f>
        <v>0.5395833333333333</v>
      </c>
      <c r="C3722" t="str">
        <f>'Inventory as of 12th Aug 2024'!A220</f>
        <v>Super Glue</v>
      </c>
      <c r="D3722" s="27">
        <v>1</v>
      </c>
      <c r="E3722" s="5">
        <f>Table4[[#This Row],[qty]]*(VLOOKUP(Table4[[#This Row],[item_sold]],Table1[],5,FALSE))</f>
        <v>30</v>
      </c>
      <c r="F3722" s="5">
        <f>(VLOOKUP(Table4[[#This Row],[item_sold]],Table1[],4,FALSE))*Table4[[#This Row],[qty]]</f>
        <v>23.333333333333332</v>
      </c>
      <c r="G3722">
        <f t="shared" si="386"/>
        <v>6.6666666666666679</v>
      </c>
      <c r="H3722" t="s">
        <v>247</v>
      </c>
    </row>
    <row r="3723" spans="1:12" x14ac:dyDescent="0.25">
      <c r="A3723" s="15">
        <f t="shared" si="383"/>
        <v>45543</v>
      </c>
      <c r="B3723" s="31">
        <f>TIME(13,45,0)</f>
        <v>0.57291666666666663</v>
      </c>
      <c r="C3723" t="str">
        <f>'Inventory as of 12th Aug 2024'!A205</f>
        <v xml:space="preserve"> soda 1.25lts</v>
      </c>
      <c r="D3723" s="27">
        <v>1</v>
      </c>
      <c r="E3723" s="5">
        <f>Table4[[#This Row],[qty]]*(VLOOKUP(Table4[[#This Row],[item_sold]],Table1[],5,FALSE))</f>
        <v>130</v>
      </c>
      <c r="F3723" s="5">
        <f>(VLOOKUP(Table4[[#This Row],[item_sold]],Table1[],4,FALSE))*Table4[[#This Row],[qty]]</f>
        <v>112.5</v>
      </c>
      <c r="G3723">
        <f t="shared" si="386"/>
        <v>17.5</v>
      </c>
      <c r="H3723" t="s">
        <v>430</v>
      </c>
      <c r="I3723" t="s">
        <v>386</v>
      </c>
    </row>
    <row r="3724" spans="1:12" x14ac:dyDescent="0.25">
      <c r="A3724" s="15">
        <f t="shared" si="383"/>
        <v>45543</v>
      </c>
      <c r="B3724" s="31">
        <f>TIME(13,47,0)</f>
        <v>0.57430555555555551</v>
      </c>
      <c r="C3724" t="str">
        <f>'Inventory as of 12th Aug 2024'!A205</f>
        <v xml:space="preserve"> soda 1.25lts</v>
      </c>
      <c r="D3724" s="27">
        <v>1</v>
      </c>
      <c r="E3724" s="5">
        <f>Table4[[#This Row],[qty]]*(VLOOKUP(Table4[[#This Row],[item_sold]],Table1[],5,FALSE))</f>
        <v>130</v>
      </c>
      <c r="F3724" s="5">
        <f>(VLOOKUP(Table4[[#This Row],[item_sold]],Table1[],4,FALSE))*Table4[[#This Row],[qty]]</f>
        <v>112.5</v>
      </c>
      <c r="G3724">
        <f t="shared" si="386"/>
        <v>17.5</v>
      </c>
      <c r="H3724" t="s">
        <v>247</v>
      </c>
    </row>
    <row r="3725" spans="1:12" x14ac:dyDescent="0.25">
      <c r="A3725" s="15">
        <f t="shared" si="383"/>
        <v>45543</v>
      </c>
      <c r="B3725" s="31">
        <f t="shared" ref="B3725:B3726" si="392">TIME(13,47,0)</f>
        <v>0.57430555555555551</v>
      </c>
      <c r="C3725" t="str">
        <f>'Inventory as of 12th Aug 2024'!A234</f>
        <v>Bigdaddy</v>
      </c>
      <c r="D3725" s="27">
        <v>2</v>
      </c>
      <c r="E3725" s="5">
        <f>Table4[[#This Row],[qty]]*(VLOOKUP(Table4[[#This Row],[item_sold]],Table1[],5,FALSE))</f>
        <v>20</v>
      </c>
      <c r="F3725" s="5">
        <f>(VLOOKUP(Table4[[#This Row],[item_sold]],Table1[],4,FALSE))*Table4[[#This Row],[qty]]</f>
        <v>12</v>
      </c>
      <c r="G3725">
        <f t="shared" si="386"/>
        <v>8</v>
      </c>
      <c r="H3725" t="s">
        <v>247</v>
      </c>
    </row>
    <row r="3726" spans="1:12" x14ac:dyDescent="0.25">
      <c r="A3726" s="15">
        <f t="shared" si="383"/>
        <v>45543</v>
      </c>
      <c r="B3726" s="31">
        <f t="shared" si="392"/>
        <v>0.57430555555555551</v>
      </c>
      <c r="C3726" t="str">
        <f>'Inventory as of 12th Aug 2024'!A177</f>
        <v>Ringoz Barbeque</v>
      </c>
      <c r="D3726" s="27">
        <v>2</v>
      </c>
      <c r="E3726" s="5">
        <f>Table4[[#This Row],[qty]]*(VLOOKUP(Table4[[#This Row],[item_sold]],Table1[],5,FALSE))</f>
        <v>30</v>
      </c>
      <c r="F3726" s="5">
        <f>(VLOOKUP(Table4[[#This Row],[item_sold]],Table1[],4,FALSE))*Table4[[#This Row],[qty]]</f>
        <v>17.2</v>
      </c>
      <c r="G3726">
        <f t="shared" si="386"/>
        <v>12.8</v>
      </c>
      <c r="H3726" t="s">
        <v>247</v>
      </c>
    </row>
    <row r="3727" spans="1:12" x14ac:dyDescent="0.25">
      <c r="A3727" s="15">
        <f t="shared" si="383"/>
        <v>45543</v>
      </c>
      <c r="B3727" s="31">
        <f>TIME(13,54,0)</f>
        <v>0.57916666666666672</v>
      </c>
      <c r="C3727" t="str">
        <f>'Inventory as of 12th Aug 2024'!A92</f>
        <v>Banana</v>
      </c>
      <c r="D3727" s="27">
        <v>2</v>
      </c>
      <c r="E3727" s="5">
        <f>Table4[[#This Row],[qty]]*(VLOOKUP(Table4[[#This Row],[item_sold]],Table1[],5,FALSE))</f>
        <v>20</v>
      </c>
      <c r="F3727" s="5">
        <f>(VLOOKUP(Table4[[#This Row],[item_sold]],Table1[],4,FALSE))*Table4[[#This Row],[qty]]</f>
        <v>16.666666666666668</v>
      </c>
      <c r="G3727">
        <f t="shared" si="386"/>
        <v>3.3333333333333321</v>
      </c>
      <c r="H3727" t="s">
        <v>247</v>
      </c>
    </row>
    <row r="3728" spans="1:12" x14ac:dyDescent="0.25">
      <c r="A3728" s="15">
        <f t="shared" si="383"/>
        <v>45543</v>
      </c>
      <c r="B3728" s="31">
        <f>TIME(14,24,0)</f>
        <v>0.6</v>
      </c>
      <c r="C3728" t="str">
        <f>'Inventory as of 12th Aug 2024'!A58</f>
        <v>Safari</v>
      </c>
      <c r="D3728" s="27">
        <v>1</v>
      </c>
      <c r="E3728" s="5">
        <f>Table4[[#This Row],[qty]]*(VLOOKUP(Table4[[#This Row],[item_sold]],Table1[],5,FALSE))</f>
        <v>15</v>
      </c>
      <c r="F3728" s="5">
        <f>(VLOOKUP(Table4[[#This Row],[item_sold]],Table1[],4,FALSE))*Table4[[#This Row],[qty]]</f>
        <v>8.5</v>
      </c>
      <c r="G3728">
        <f t="shared" si="386"/>
        <v>6.5</v>
      </c>
      <c r="H3728" t="s">
        <v>361</v>
      </c>
    </row>
    <row r="3729" spans="1:9" x14ac:dyDescent="0.25">
      <c r="A3729" s="15">
        <f t="shared" si="383"/>
        <v>45543</v>
      </c>
      <c r="B3729" s="31">
        <f>TIME(14,41,0)</f>
        <v>0.6118055555555556</v>
      </c>
      <c r="C3729" t="str">
        <f>'Inventory as of 12th Aug 2024'!A136</f>
        <v>Poa Pekee Tissue</v>
      </c>
      <c r="D3729" s="27">
        <v>1</v>
      </c>
      <c r="E3729" s="5">
        <f>Table4[[#This Row],[qty]]*(VLOOKUP(Table4[[#This Row],[item_sold]],Table1[],5,FALSE))</f>
        <v>30</v>
      </c>
      <c r="F3729" s="5">
        <f>(VLOOKUP(Table4[[#This Row],[item_sold]],Table1[],4,FALSE))*Table4[[#This Row],[qty]]</f>
        <v>13.333333333333334</v>
      </c>
      <c r="G3729">
        <f t="shared" si="386"/>
        <v>16.666666666666664</v>
      </c>
      <c r="H3729" t="s">
        <v>247</v>
      </c>
    </row>
    <row r="3730" spans="1:9" x14ac:dyDescent="0.25">
      <c r="A3730" s="15">
        <f t="shared" si="383"/>
        <v>45543</v>
      </c>
      <c r="B3730" s="31">
        <f>TIME(14,51,0)</f>
        <v>0.61875000000000002</v>
      </c>
      <c r="C3730" t="str">
        <f>'Inventory as of 12th Aug 2024'!A212</f>
        <v>soda 300ml glass</v>
      </c>
      <c r="D3730" s="27">
        <v>1</v>
      </c>
      <c r="E3730" s="5">
        <f>Table4[[#This Row],[qty]]*(VLOOKUP(Table4[[#This Row],[item_sold]],Table1[],5,FALSE))</f>
        <v>40</v>
      </c>
      <c r="F3730" s="5">
        <f>(VLOOKUP(Table4[[#This Row],[item_sold]],Table1[],4,FALSE))*Table4[[#This Row],[qty]]</f>
        <v>32.5</v>
      </c>
      <c r="G3730">
        <f t="shared" si="386"/>
        <v>7.5</v>
      </c>
      <c r="H3730" t="s">
        <v>247</v>
      </c>
    </row>
    <row r="3731" spans="1:9" x14ac:dyDescent="0.25">
      <c r="A3731" s="15">
        <f t="shared" si="383"/>
        <v>45543</v>
      </c>
      <c r="B3731" s="31">
        <f t="shared" ref="B3731:B3732" si="393">TIME(14,51,0)</f>
        <v>0.61875000000000002</v>
      </c>
      <c r="C3731" t="str">
        <f>'Inventory as of 12th Aug 2024'!A235</f>
        <v>Cough drops</v>
      </c>
      <c r="D3731" s="27">
        <v>1</v>
      </c>
      <c r="E3731" s="5">
        <f>Table4[[#This Row],[qty]]*(VLOOKUP(Table4[[#This Row],[item_sold]],Table1[],5,FALSE))</f>
        <v>5</v>
      </c>
      <c r="F3731" s="5">
        <f>(VLOOKUP(Table4[[#This Row],[item_sold]],Table1[],4,FALSE))*Table4[[#This Row],[qty]]</f>
        <v>4</v>
      </c>
      <c r="G3731">
        <f t="shared" si="386"/>
        <v>1</v>
      </c>
      <c r="H3731" t="s">
        <v>247</v>
      </c>
    </row>
    <row r="3732" spans="1:9" x14ac:dyDescent="0.25">
      <c r="A3732" s="15">
        <f t="shared" si="383"/>
        <v>45543</v>
      </c>
      <c r="B3732" s="31">
        <f t="shared" si="393"/>
        <v>0.61875000000000002</v>
      </c>
      <c r="C3732" t="str">
        <f>'Inventory as of 12th Aug 2024'!A92</f>
        <v>Banana</v>
      </c>
      <c r="D3732" s="27">
        <v>2</v>
      </c>
      <c r="E3732" s="5">
        <f>Table4[[#This Row],[qty]]*(VLOOKUP(Table4[[#This Row],[item_sold]],Table1[],5,FALSE))</f>
        <v>20</v>
      </c>
      <c r="F3732" s="5">
        <f>(VLOOKUP(Table4[[#This Row],[item_sold]],Table1[],4,FALSE))*Table4[[#This Row],[qty]]</f>
        <v>16.666666666666668</v>
      </c>
      <c r="G3732">
        <f t="shared" si="386"/>
        <v>3.3333333333333321</v>
      </c>
      <c r="H3732" t="s">
        <v>247</v>
      </c>
    </row>
    <row r="3733" spans="1:9" x14ac:dyDescent="0.25">
      <c r="A3733" s="15">
        <f t="shared" si="383"/>
        <v>45543</v>
      </c>
      <c r="B3733" s="31">
        <f>TIME(15,28,0)</f>
        <v>0.64444444444444449</v>
      </c>
      <c r="C3733" t="str">
        <f>'Inventory as of 12th Aug 2024'!A8</f>
        <v>eggs</v>
      </c>
      <c r="D3733" s="27">
        <v>10</v>
      </c>
      <c r="E3733" s="5">
        <f>Table4[[#This Row],[qty]]*(VLOOKUP(Table4[[#This Row],[item_sold]],Table1[],5,FALSE))</f>
        <v>200</v>
      </c>
      <c r="F3733" s="5">
        <f>(VLOOKUP(Table4[[#This Row],[item_sold]],Table1[],4,FALSE))*Table4[[#This Row],[qty]]</f>
        <v>143.33333333333334</v>
      </c>
      <c r="G3733">
        <f t="shared" si="386"/>
        <v>56.666666666666657</v>
      </c>
      <c r="H3733" t="s">
        <v>361</v>
      </c>
    </row>
    <row r="3734" spans="1:9" x14ac:dyDescent="0.25">
      <c r="A3734" s="15">
        <f t="shared" si="383"/>
        <v>45543</v>
      </c>
      <c r="B3734" s="31">
        <f t="shared" ref="B3734" si="394">TIME(15,28,0)</f>
        <v>0.64444444444444449</v>
      </c>
      <c r="C3734" t="str">
        <f>'Inventory as of 12th Aug 2024'!A42</f>
        <v>Indomie chicken</v>
      </c>
      <c r="D3734" s="27">
        <v>4</v>
      </c>
      <c r="E3734" s="5">
        <f>Table4[[#This Row],[qty]]*(VLOOKUP(Table4[[#This Row],[item_sold]],Table1[],5,FALSE))</f>
        <v>200</v>
      </c>
      <c r="F3734" s="5">
        <f>(VLOOKUP(Table4[[#This Row],[item_sold]],Table1[],4,FALSE))*Table4[[#This Row],[qty]]</f>
        <v>150</v>
      </c>
      <c r="G3734">
        <f t="shared" si="386"/>
        <v>50</v>
      </c>
      <c r="H3734" t="s">
        <v>361</v>
      </c>
    </row>
    <row r="3735" spans="1:9" x14ac:dyDescent="0.25">
      <c r="A3735" s="15">
        <f t="shared" si="383"/>
        <v>45543</v>
      </c>
      <c r="B3735" s="31">
        <f>TIME(16,1,0)</f>
        <v>0.66736111111111107</v>
      </c>
      <c r="C3735" t="str">
        <f>'Inventory as of 12th Aug 2024'!A205</f>
        <v xml:space="preserve"> soda 1.25lts</v>
      </c>
      <c r="D3735" s="27">
        <v>1</v>
      </c>
      <c r="E3735" s="5">
        <f>Table4[[#This Row],[qty]]*(VLOOKUP(Table4[[#This Row],[item_sold]],Table1[],5,FALSE))</f>
        <v>130</v>
      </c>
      <c r="F3735" s="5">
        <f>(VLOOKUP(Table4[[#This Row],[item_sold]],Table1[],4,FALSE))*Table4[[#This Row],[qty]]</f>
        <v>112.5</v>
      </c>
      <c r="G3735">
        <f t="shared" si="386"/>
        <v>17.5</v>
      </c>
      <c r="H3735" t="s">
        <v>361</v>
      </c>
    </row>
    <row r="3736" spans="1:9" x14ac:dyDescent="0.25">
      <c r="A3736" s="15">
        <f t="shared" si="383"/>
        <v>45543</v>
      </c>
      <c r="B3736" s="31">
        <f t="shared" ref="B3736:B3738" si="395">TIME(16,1,0)</f>
        <v>0.66736111111111107</v>
      </c>
      <c r="C3736" t="str">
        <f>'Inventory as of 12th Aug 2024'!A240</f>
        <v>Bigboss</v>
      </c>
      <c r="D3736" s="27">
        <v>3</v>
      </c>
      <c r="E3736" s="5">
        <f>Table4[[#This Row],[qty]]*(VLOOKUP(Table4[[#This Row],[item_sold]],Table1[],5,FALSE))</f>
        <v>15</v>
      </c>
      <c r="F3736" s="5">
        <f>(VLOOKUP(Table4[[#This Row],[item_sold]],Table1[],4,FALSE))*Table4[[#This Row],[qty]]</f>
        <v>10.5</v>
      </c>
      <c r="G3736">
        <f t="shared" si="386"/>
        <v>4.5</v>
      </c>
      <c r="H3736" t="s">
        <v>361</v>
      </c>
    </row>
    <row r="3737" spans="1:9" x14ac:dyDescent="0.25">
      <c r="A3737" s="15">
        <f t="shared" si="383"/>
        <v>45543</v>
      </c>
      <c r="B3737" s="31">
        <f t="shared" si="395"/>
        <v>0.66736111111111107</v>
      </c>
      <c r="C3737" t="str">
        <f>'Inventory as of 12th Aug 2024'!A208</f>
        <v>minutemaid 400ml</v>
      </c>
      <c r="D3737" s="27">
        <v>1</v>
      </c>
      <c r="E3737" s="5">
        <f>Table4[[#This Row],[qty]]*(VLOOKUP(Table4[[#This Row],[item_sold]],Table1[],5,FALSE))</f>
        <v>85</v>
      </c>
      <c r="F3737" s="5">
        <f>(VLOOKUP(Table4[[#This Row],[item_sold]],Table1[],4,FALSE))*Table4[[#This Row],[qty]]</f>
        <v>62.5</v>
      </c>
      <c r="G3737">
        <f t="shared" si="386"/>
        <v>22.5</v>
      </c>
      <c r="H3737" t="s">
        <v>361</v>
      </c>
    </row>
    <row r="3738" spans="1:9" x14ac:dyDescent="0.25">
      <c r="A3738" s="15">
        <f t="shared" si="383"/>
        <v>45543</v>
      </c>
      <c r="B3738" s="31">
        <f t="shared" si="395"/>
        <v>0.66736111111111107</v>
      </c>
      <c r="C3738" t="str">
        <f>'Inventory as of 12th Aug 2024'!A234</f>
        <v>Bigdaddy</v>
      </c>
      <c r="D3738" s="27">
        <v>3</v>
      </c>
      <c r="E3738" s="5">
        <f>Table4[[#This Row],[qty]]*(VLOOKUP(Table4[[#This Row],[item_sold]],Table1[],5,FALSE))</f>
        <v>30</v>
      </c>
      <c r="F3738" s="5">
        <f>(VLOOKUP(Table4[[#This Row],[item_sold]],Table1[],4,FALSE))*Table4[[#This Row],[qty]]</f>
        <v>18</v>
      </c>
      <c r="G3738">
        <f t="shared" si="386"/>
        <v>12</v>
      </c>
      <c r="H3738" t="s">
        <v>247</v>
      </c>
    </row>
    <row r="3739" spans="1:9" x14ac:dyDescent="0.25">
      <c r="A3739" s="15">
        <f t="shared" si="383"/>
        <v>45543</v>
      </c>
      <c r="B3739" s="31">
        <f>TIME(13,59,0)</f>
        <v>0.58263888888888882</v>
      </c>
      <c r="C3739" t="str">
        <f>'Inventory as of 12th Aug 2024'!A92</f>
        <v>Banana</v>
      </c>
      <c r="D3739" s="27">
        <v>5</v>
      </c>
      <c r="E3739" s="5">
        <f>Table4[[#This Row],[qty]]*(VLOOKUP(Table4[[#This Row],[item_sold]],Table1[],5,FALSE))</f>
        <v>50</v>
      </c>
      <c r="F3739" s="5">
        <f>(VLOOKUP(Table4[[#This Row],[item_sold]],Table1[],4,FALSE))*Table4[[#This Row],[qty]]</f>
        <v>41.666666666666671</v>
      </c>
      <c r="G3739">
        <f t="shared" si="386"/>
        <v>8.3333333333333286</v>
      </c>
      <c r="H3739" t="s">
        <v>361</v>
      </c>
    </row>
    <row r="3740" spans="1:9" x14ac:dyDescent="0.25">
      <c r="A3740" s="15">
        <f t="shared" si="383"/>
        <v>45543</v>
      </c>
      <c r="B3740" s="31">
        <f>TIME(16,20,0)</f>
        <v>0.68055555555555547</v>
      </c>
      <c r="C3740" t="str">
        <f>'Inventory as of 12th Aug 2024'!A206</f>
        <v>soda 500ml plastic</v>
      </c>
      <c r="D3740" s="27">
        <v>2</v>
      </c>
      <c r="E3740" s="5">
        <f>Table4[[#This Row],[qty]]*(VLOOKUP(Table4[[#This Row],[item_sold]],Table1[],5,FALSE))</f>
        <v>140</v>
      </c>
      <c r="F3740" s="5">
        <f>(VLOOKUP(Table4[[#This Row],[item_sold]],Table1[],4,FALSE))*Table4[[#This Row],[qty]]</f>
        <v>120.83333333333333</v>
      </c>
      <c r="G3740">
        <f t="shared" si="386"/>
        <v>19.166666666666671</v>
      </c>
      <c r="H3740" t="s">
        <v>430</v>
      </c>
      <c r="I3740" t="s">
        <v>454</v>
      </c>
    </row>
    <row r="3741" spans="1:9" x14ac:dyDescent="0.25">
      <c r="A3741" s="15">
        <f t="shared" si="383"/>
        <v>45543</v>
      </c>
      <c r="B3741" s="31">
        <f>TIME(16,20,0)</f>
        <v>0.68055555555555547</v>
      </c>
      <c r="C3741" t="str">
        <f>'Inventory as of 12th Aug 2024'!A207</f>
        <v>soda 350ml plastic</v>
      </c>
      <c r="D3741" s="27">
        <v>3</v>
      </c>
      <c r="E3741" s="5">
        <f>Table4[[#This Row],[qty]]*(VLOOKUP(Table4[[#This Row],[item_sold]],Table1[],5,FALSE))</f>
        <v>150</v>
      </c>
      <c r="F3741" s="5">
        <f>(VLOOKUP(Table4[[#This Row],[item_sold]],Table1[],4,FALSE))*Table4[[#This Row],[qty]]</f>
        <v>125</v>
      </c>
      <c r="G3741">
        <f t="shared" si="386"/>
        <v>25</v>
      </c>
      <c r="H3741" t="s">
        <v>430</v>
      </c>
      <c r="I3741" t="s">
        <v>454</v>
      </c>
    </row>
    <row r="3742" spans="1:9" x14ac:dyDescent="0.25">
      <c r="A3742" s="15">
        <f t="shared" si="383"/>
        <v>45543</v>
      </c>
      <c r="B3742" s="31">
        <f>TIME(16,42,0)</f>
        <v>0.6958333333333333</v>
      </c>
      <c r="C3742" t="str">
        <f>'Inventory as of 12th Aug 2024'!A36</f>
        <v>Festive 800g</v>
      </c>
      <c r="D3742" s="27">
        <v>1</v>
      </c>
      <c r="E3742" s="5">
        <f>Table4[[#This Row],[qty]]*(VLOOKUP(Table4[[#This Row],[item_sold]],Table1[],5,FALSE))</f>
        <v>130</v>
      </c>
      <c r="F3742" s="5">
        <f>(VLOOKUP(Table4[[#This Row],[item_sold]],Table1[],4,FALSE))*Table4[[#This Row],[qty]]</f>
        <v>120</v>
      </c>
      <c r="G3742">
        <f t="shared" si="386"/>
        <v>10</v>
      </c>
      <c r="H3742" t="s">
        <v>361</v>
      </c>
    </row>
    <row r="3743" spans="1:9" x14ac:dyDescent="0.25">
      <c r="A3743" s="15">
        <f t="shared" si="383"/>
        <v>45543</v>
      </c>
      <c r="B3743" s="31">
        <f t="shared" ref="B3743:B3745" si="396">TIME(16,42,0)</f>
        <v>0.6958333333333333</v>
      </c>
      <c r="C3743" t="str">
        <f>'Inventory as of 12th Aug 2024'!A17</f>
        <v>Brookside milk 500ml</v>
      </c>
      <c r="D3743" s="27">
        <v>1</v>
      </c>
      <c r="E3743" s="5">
        <f>Table4[[#This Row],[qty]]*(VLOOKUP(Table4[[#This Row],[item_sold]],Table1[],5,FALSE))</f>
        <v>70</v>
      </c>
      <c r="F3743" s="5">
        <f>(VLOOKUP(Table4[[#This Row],[item_sold]],Table1[],4,FALSE))*Table4[[#This Row],[qty]]</f>
        <v>59</v>
      </c>
      <c r="G3743">
        <f t="shared" si="386"/>
        <v>11</v>
      </c>
      <c r="H3743" t="s">
        <v>361</v>
      </c>
    </row>
    <row r="3744" spans="1:9" x14ac:dyDescent="0.25">
      <c r="A3744" s="15">
        <f t="shared" si="383"/>
        <v>45543</v>
      </c>
      <c r="B3744" s="31">
        <f t="shared" si="396"/>
        <v>0.6958333333333333</v>
      </c>
      <c r="C3744" t="str">
        <f>'Inventory as of 12th Aug 2024'!A8</f>
        <v>eggs</v>
      </c>
      <c r="D3744" s="27">
        <v>10</v>
      </c>
      <c r="E3744" s="5">
        <f>Table4[[#This Row],[qty]]*(VLOOKUP(Table4[[#This Row],[item_sold]],Table1[],5,FALSE))</f>
        <v>200</v>
      </c>
      <c r="F3744" s="5">
        <f>(VLOOKUP(Table4[[#This Row],[item_sold]],Table1[],4,FALSE))*Table4[[#This Row],[qty]]</f>
        <v>143.33333333333334</v>
      </c>
      <c r="G3744">
        <f t="shared" si="386"/>
        <v>56.666666666666657</v>
      </c>
      <c r="H3744" t="s">
        <v>247</v>
      </c>
    </row>
    <row r="3745" spans="1:12" x14ac:dyDescent="0.25">
      <c r="A3745" s="15">
        <f t="shared" si="383"/>
        <v>45543</v>
      </c>
      <c r="B3745" s="31">
        <f t="shared" si="396"/>
        <v>0.6958333333333333</v>
      </c>
      <c r="C3745" t="str">
        <f>'Inventory as of 12th Aug 2024'!A209</f>
        <v>afia 500ml</v>
      </c>
      <c r="D3745" s="27">
        <v>1</v>
      </c>
      <c r="E3745" s="5">
        <f>Table4[[#This Row],[qty]]*(VLOOKUP(Table4[[#This Row],[item_sold]],Table1[],5,FALSE))</f>
        <v>85</v>
      </c>
      <c r="F3745" s="5">
        <f>(VLOOKUP(Table4[[#This Row],[item_sold]],Table1[],4,FALSE))*Table4[[#This Row],[qty]]</f>
        <v>70.833333333333329</v>
      </c>
      <c r="G3745">
        <f t="shared" si="386"/>
        <v>14.166666666666671</v>
      </c>
      <c r="H3745" t="s">
        <v>247</v>
      </c>
    </row>
    <row r="3746" spans="1:12" x14ac:dyDescent="0.25">
      <c r="A3746" s="15">
        <f t="shared" si="383"/>
        <v>45543</v>
      </c>
      <c r="B3746" s="31">
        <f>TIME(16,50,0)</f>
        <v>0.70138888888888884</v>
      </c>
      <c r="C3746" t="str">
        <f>'Inventory as of 12th Aug 2024'!A212</f>
        <v>soda 300ml glass</v>
      </c>
      <c r="D3746" s="27">
        <v>1</v>
      </c>
      <c r="E3746" s="5">
        <f>Table4[[#This Row],[qty]]*(VLOOKUP(Table4[[#This Row],[item_sold]],Table1[],5,FALSE))</f>
        <v>40</v>
      </c>
      <c r="F3746" s="5">
        <f>(VLOOKUP(Table4[[#This Row],[item_sold]],Table1[],4,FALSE))*Table4[[#This Row],[qty]]</f>
        <v>32.5</v>
      </c>
      <c r="G3746">
        <f t="shared" si="386"/>
        <v>7.5</v>
      </c>
      <c r="H3746" t="s">
        <v>361</v>
      </c>
      <c r="J3746" t="s">
        <v>454</v>
      </c>
      <c r="K3746">
        <v>215</v>
      </c>
      <c r="L3746" t="s">
        <v>361</v>
      </c>
    </row>
    <row r="3747" spans="1:12" x14ac:dyDescent="0.25">
      <c r="A3747" s="15">
        <f t="shared" si="383"/>
        <v>45543</v>
      </c>
      <c r="B3747" s="31">
        <f>TIME(18,9,0)</f>
        <v>0.75624999999999998</v>
      </c>
      <c r="C3747" t="str">
        <f>'Inventory as of 12th Aug 2024'!A92</f>
        <v>Banana</v>
      </c>
      <c r="D3747" s="27">
        <v>3</v>
      </c>
      <c r="E3747" s="5">
        <f>Table4[[#This Row],[qty]]*(VLOOKUP(Table4[[#This Row],[item_sold]],Table1[],5,FALSE))</f>
        <v>30</v>
      </c>
      <c r="F3747" s="5">
        <f>(VLOOKUP(Table4[[#This Row],[item_sold]],Table1[],4,FALSE))*Table4[[#This Row],[qty]]</f>
        <v>25</v>
      </c>
      <c r="G3747">
        <f t="shared" si="386"/>
        <v>5</v>
      </c>
      <c r="H3747" t="s">
        <v>247</v>
      </c>
    </row>
    <row r="3748" spans="1:12" x14ac:dyDescent="0.25">
      <c r="A3748" s="15">
        <f t="shared" si="383"/>
        <v>45543</v>
      </c>
      <c r="B3748" s="31">
        <f>TIME(19,0,0)</f>
        <v>0.79166666666666663</v>
      </c>
      <c r="C3748" t="str">
        <f>'Inventory as of 12th Aug 2024'!A135</f>
        <v>Bella Tissue</v>
      </c>
      <c r="D3748" s="27">
        <v>4</v>
      </c>
      <c r="E3748" s="5">
        <f>Table4[[#This Row],[qty]]*(VLOOKUP(Table4[[#This Row],[item_sold]],Table1[],5,FALSE))</f>
        <v>200</v>
      </c>
      <c r="F3748" s="5">
        <f>(VLOOKUP(Table4[[#This Row],[item_sold]],Table1[],4,FALSE))*Table4[[#This Row],[qty]]</f>
        <v>140</v>
      </c>
      <c r="G3748">
        <f t="shared" si="386"/>
        <v>60</v>
      </c>
      <c r="H3748" t="s">
        <v>247</v>
      </c>
    </row>
    <row r="3749" spans="1:12" x14ac:dyDescent="0.25">
      <c r="A3749" s="15">
        <f t="shared" si="383"/>
        <v>45543</v>
      </c>
      <c r="B3749" s="31">
        <f>TIME(19,28,0)</f>
        <v>0.81111111111111101</v>
      </c>
      <c r="C3749" t="str">
        <f>'Inventory as of 12th Aug 2024'!A75</f>
        <v>Cooking Oil Measured</v>
      </c>
      <c r="D3749" s="27">
        <v>0.25</v>
      </c>
      <c r="E3749" s="5">
        <f>Table4[[#This Row],[qty]]*(VLOOKUP(Table4[[#This Row],[item_sold]],Table1[],5,FALSE))</f>
        <v>70</v>
      </c>
      <c r="F3749" s="5">
        <f>(VLOOKUP(Table4[[#This Row],[item_sold]],Table1[],4,FALSE))*Table4[[#This Row],[qty]]</f>
        <v>50</v>
      </c>
      <c r="G3749">
        <f t="shared" si="386"/>
        <v>20</v>
      </c>
      <c r="H3749" t="s">
        <v>247</v>
      </c>
    </row>
    <row r="3750" spans="1:12" x14ac:dyDescent="0.25">
      <c r="A3750" s="15">
        <f t="shared" si="383"/>
        <v>45543</v>
      </c>
      <c r="B3750" s="31">
        <f t="shared" ref="B3750:B3751" si="397">TIME(19,28,0)</f>
        <v>0.81111111111111101</v>
      </c>
      <c r="C3750" t="str">
        <f>'Inventory as of 12th Aug 2024'!A66</f>
        <v>Blueband 250g</v>
      </c>
      <c r="D3750" s="27">
        <v>1</v>
      </c>
      <c r="E3750" s="5">
        <f>Table4[[#This Row],[qty]]*(VLOOKUP(Table4[[#This Row],[item_sold]],Table1[],5,FALSE))</f>
        <v>190</v>
      </c>
      <c r="F3750" s="5">
        <f>(VLOOKUP(Table4[[#This Row],[item_sold]],Table1[],4,FALSE))*Table4[[#This Row],[qty]]</f>
        <v>140</v>
      </c>
      <c r="G3750">
        <f t="shared" si="386"/>
        <v>50</v>
      </c>
      <c r="H3750" t="s">
        <v>430</v>
      </c>
      <c r="I3750" t="s">
        <v>394</v>
      </c>
    </row>
    <row r="3751" spans="1:12" x14ac:dyDescent="0.25">
      <c r="A3751" s="15">
        <f t="shared" ref="A3751:A3760" si="398">DATE(2024,9,8)</f>
        <v>45543</v>
      </c>
      <c r="B3751" s="31">
        <f t="shared" si="397"/>
        <v>0.81111111111111101</v>
      </c>
      <c r="C3751" t="str">
        <f>'Inventory as of 12th Aug 2024'!A64</f>
        <v>Tomato paste</v>
      </c>
      <c r="D3751" s="27">
        <v>1</v>
      </c>
      <c r="E3751" s="5">
        <f>Table4[[#This Row],[qty]]*(VLOOKUP(Table4[[#This Row],[item_sold]],Table1[],5,FALSE))</f>
        <v>30</v>
      </c>
      <c r="F3751" s="5">
        <f>(VLOOKUP(Table4[[#This Row],[item_sold]],Table1[],4,FALSE))*Table4[[#This Row],[qty]]</f>
        <v>12.5</v>
      </c>
      <c r="G3751">
        <f t="shared" si="386"/>
        <v>17.5</v>
      </c>
      <c r="H3751" t="s">
        <v>430</v>
      </c>
      <c r="I3751" t="s">
        <v>394</v>
      </c>
    </row>
    <row r="3752" spans="1:12" x14ac:dyDescent="0.25">
      <c r="A3752" s="15">
        <f t="shared" si="398"/>
        <v>45543</v>
      </c>
      <c r="B3752" s="31">
        <f>TIME(20,7,0)</f>
        <v>0.83819444444444446</v>
      </c>
      <c r="C3752" t="str">
        <f>'Inventory as of 12th Aug 2024'!A90</f>
        <v>Onion</v>
      </c>
      <c r="D3752" s="27">
        <v>2</v>
      </c>
      <c r="E3752" s="5">
        <f>Table4[[#This Row],[qty]]*(VLOOKUP(Table4[[#This Row],[item_sold]],Table1[],5,FALSE))</f>
        <v>20</v>
      </c>
      <c r="F3752" s="5">
        <f>(VLOOKUP(Table4[[#This Row],[item_sold]],Table1[],4,FALSE))*Table4[[#This Row],[qty]]</f>
        <v>16</v>
      </c>
      <c r="G3752">
        <f t="shared" si="386"/>
        <v>4</v>
      </c>
      <c r="H3752" t="s">
        <v>361</v>
      </c>
      <c r="J3752" t="s">
        <v>386</v>
      </c>
      <c r="K3752">
        <v>910</v>
      </c>
      <c r="L3752" t="s">
        <v>361</v>
      </c>
    </row>
    <row r="3753" spans="1:12" x14ac:dyDescent="0.25">
      <c r="A3753" s="15">
        <f t="shared" si="398"/>
        <v>45543</v>
      </c>
      <c r="B3753" s="31">
        <f>TIME(20,50,0)</f>
        <v>0.86805555555555547</v>
      </c>
      <c r="C3753" t="str">
        <f>'Inventory as of 12th Aug 2024'!A246</f>
        <v>300ml water</v>
      </c>
      <c r="D3753" s="27">
        <v>1</v>
      </c>
      <c r="E3753" s="5">
        <f>Table4[[#This Row],[qty]]*(VLOOKUP(Table4[[#This Row],[item_sold]],Table1[],5,FALSE))</f>
        <v>30</v>
      </c>
      <c r="F3753" s="5">
        <f>(VLOOKUP(Table4[[#This Row],[item_sold]],Table1[],4,FALSE))*Table4[[#This Row],[qty]]</f>
        <v>12.5</v>
      </c>
      <c r="G3753">
        <f t="shared" si="386"/>
        <v>17.5</v>
      </c>
      <c r="H3753" t="s">
        <v>361</v>
      </c>
    </row>
    <row r="3754" spans="1:12" x14ac:dyDescent="0.25">
      <c r="A3754" s="15">
        <f t="shared" si="398"/>
        <v>45543</v>
      </c>
      <c r="B3754" s="31">
        <f>TIME(20,9,0)</f>
        <v>0.83958333333333324</v>
      </c>
      <c r="C3754" t="str">
        <f>'Inventory as of 12th Aug 2024'!A8</f>
        <v>eggs</v>
      </c>
      <c r="D3754" s="27">
        <v>5</v>
      </c>
      <c r="E3754" s="5">
        <f>Table4[[#This Row],[qty]]*(VLOOKUP(Table4[[#This Row],[item_sold]],Table1[],5,FALSE))</f>
        <v>100</v>
      </c>
      <c r="F3754" s="5">
        <f>(VLOOKUP(Table4[[#This Row],[item_sold]],Table1[],4,FALSE))*Table4[[#This Row],[qty]]</f>
        <v>71.666666666666671</v>
      </c>
      <c r="G3754">
        <f t="shared" ref="G3754:G3817" si="399">E3754-F3754</f>
        <v>28.333333333333329</v>
      </c>
      <c r="H3754" t="s">
        <v>361</v>
      </c>
    </row>
    <row r="3755" spans="1:12" x14ac:dyDescent="0.25">
      <c r="A3755" s="15">
        <f t="shared" si="398"/>
        <v>45543</v>
      </c>
      <c r="B3755" s="31">
        <f>TIME(20,10,0)</f>
        <v>0.84027777777777779</v>
      </c>
      <c r="C3755" t="str">
        <f>'Inventory as of 12th Aug 2024'!A256</f>
        <v>Family bisquit</v>
      </c>
      <c r="D3755" s="27">
        <v>1</v>
      </c>
      <c r="E3755" s="5">
        <f>Table4[[#This Row],[qty]]*(VLOOKUP(Table4[[#This Row],[item_sold]],Table1[],5,FALSE))</f>
        <v>35</v>
      </c>
      <c r="F3755" s="5">
        <f>(VLOOKUP(Table4[[#This Row],[item_sold]],Table1[],4,FALSE))*Table4[[#This Row],[qty]]</f>
        <v>23.333333333333332</v>
      </c>
      <c r="G3755">
        <f t="shared" si="399"/>
        <v>11.666666666666668</v>
      </c>
      <c r="H3755" t="s">
        <v>361</v>
      </c>
    </row>
    <row r="3756" spans="1:12" x14ac:dyDescent="0.25">
      <c r="A3756" s="15">
        <f t="shared" si="398"/>
        <v>45543</v>
      </c>
      <c r="B3756" s="31">
        <f>TIME(20,13,0)</f>
        <v>0.84236111111111101</v>
      </c>
      <c r="C3756" t="str">
        <f>'Inventory as of 12th Aug 2024'!A58</f>
        <v>Safari</v>
      </c>
      <c r="D3756" s="27">
        <v>2</v>
      </c>
      <c r="E3756" s="5">
        <f>Table4[[#This Row],[qty]]*(VLOOKUP(Table4[[#This Row],[item_sold]],Table1[],5,FALSE))</f>
        <v>30</v>
      </c>
      <c r="F3756" s="5">
        <f>(VLOOKUP(Table4[[#This Row],[item_sold]],Table1[],4,FALSE))*Table4[[#This Row],[qty]]</f>
        <v>17</v>
      </c>
      <c r="G3756">
        <f t="shared" si="399"/>
        <v>13</v>
      </c>
      <c r="H3756" t="s">
        <v>361</v>
      </c>
      <c r="J3756" t="s">
        <v>394</v>
      </c>
      <c r="K3756">
        <v>30</v>
      </c>
      <c r="L3756" t="s">
        <v>247</v>
      </c>
    </row>
    <row r="3757" spans="1:12" x14ac:dyDescent="0.25">
      <c r="A3757" s="15">
        <f t="shared" si="398"/>
        <v>45543</v>
      </c>
      <c r="B3757" s="31">
        <f t="shared" ref="B3757" si="400">TIME(20,7,0)</f>
        <v>0.83819444444444446</v>
      </c>
      <c r="C3757" t="str">
        <f>'Inventory as of 12th Aug 2024'!A107</f>
        <v>Match Box</v>
      </c>
      <c r="D3757" s="27">
        <v>1</v>
      </c>
      <c r="E3757" s="5">
        <f>Table4[[#This Row],[qty]]*(VLOOKUP(Table4[[#This Row],[item_sold]],Table1[],5,FALSE))</f>
        <v>5</v>
      </c>
      <c r="F3757" s="5">
        <f>(VLOOKUP(Table4[[#This Row],[item_sold]],Table1[],4,FALSE))*Table4[[#This Row],[qty]]</f>
        <v>2.3611111111111112</v>
      </c>
      <c r="G3757">
        <f t="shared" si="399"/>
        <v>2.6388888888888888</v>
      </c>
      <c r="H3757" t="s">
        <v>361</v>
      </c>
    </row>
    <row r="3758" spans="1:12" x14ac:dyDescent="0.25">
      <c r="A3758" s="15">
        <f t="shared" si="398"/>
        <v>45543</v>
      </c>
      <c r="B3758" s="31">
        <f>TIME(19,10,0)</f>
        <v>0.79861111111111116</v>
      </c>
      <c r="D3758" s="27"/>
      <c r="F3758" s="5"/>
      <c r="G3758"/>
    </row>
    <row r="3759" spans="1:12" x14ac:dyDescent="0.25">
      <c r="A3759" s="15">
        <f t="shared" si="398"/>
        <v>45543</v>
      </c>
      <c r="B3759" s="31">
        <f>TIME(20,10,0)</f>
        <v>0.84027777777777779</v>
      </c>
      <c r="C3759" t="str">
        <f>'Inventory as of 12th Aug 2024'!A229</f>
        <v>Fresh green</v>
      </c>
      <c r="D3759" s="27">
        <v>1</v>
      </c>
      <c r="E3759" s="5">
        <f>Table4[[#This Row],[qty]]*(VLOOKUP(Table4[[#This Row],[item_sold]],Table1[],5,FALSE))</f>
        <v>10</v>
      </c>
      <c r="F3759" s="5">
        <f>(VLOOKUP(Table4[[#This Row],[item_sold]],Table1[],4,FALSE))*Table4[[#This Row],[qty]]</f>
        <v>5</v>
      </c>
      <c r="G3759">
        <f t="shared" si="399"/>
        <v>5</v>
      </c>
      <c r="H3759" t="s">
        <v>361</v>
      </c>
    </row>
    <row r="3760" spans="1:12" x14ac:dyDescent="0.25">
      <c r="A3760" s="15">
        <f t="shared" si="398"/>
        <v>45543</v>
      </c>
      <c r="B3760" s="31">
        <f>TIME(20,49,0)</f>
        <v>0.86736111111111114</v>
      </c>
      <c r="C3760" s="31" t="str">
        <f>'Inventory as of 12th Aug 2024'!A230</f>
        <v>Fresh Blue</v>
      </c>
      <c r="D3760" s="27">
        <v>1</v>
      </c>
      <c r="E3760" s="5">
        <f>Table4[[#This Row],[qty]]*(VLOOKUP(Table4[[#This Row],[item_sold]],Table1[],5,FALSE))</f>
        <v>10</v>
      </c>
      <c r="F3760" s="5">
        <f>(VLOOKUP(Table4[[#This Row],[item_sold]],Table1[],4,FALSE))*Table4[[#This Row],[qty]]</f>
        <v>5</v>
      </c>
      <c r="G3760">
        <f t="shared" si="399"/>
        <v>5</v>
      </c>
      <c r="H3760" t="s">
        <v>361</v>
      </c>
    </row>
    <row r="3761" spans="1:12" x14ac:dyDescent="0.25">
      <c r="A3761" s="15">
        <f>DATE(2024,9,9)</f>
        <v>45544</v>
      </c>
      <c r="B3761" s="31">
        <f>TIME(7,35,0)</f>
        <v>0.31597222222222221</v>
      </c>
      <c r="C3761" s="31" t="str">
        <f>'Inventory as of 12th Aug 2024'!A58</f>
        <v>Safari</v>
      </c>
      <c r="D3761" s="27">
        <v>1</v>
      </c>
      <c r="E3761" s="5">
        <f>Table4[[#This Row],[qty]]*(VLOOKUP(Table4[[#This Row],[item_sold]],Table1[],5,FALSE))</f>
        <v>15</v>
      </c>
      <c r="F3761" s="5">
        <f>(VLOOKUP(Table4[[#This Row],[item_sold]],Table1[],4,FALSE))*Table4[[#This Row],[qty]]</f>
        <v>8.5</v>
      </c>
      <c r="G3761">
        <f t="shared" si="399"/>
        <v>6.5</v>
      </c>
      <c r="H3761" t="s">
        <v>361</v>
      </c>
    </row>
    <row r="3762" spans="1:12" x14ac:dyDescent="0.25">
      <c r="A3762" s="15">
        <f t="shared" ref="A3762:A3818" si="401">DATE(2024,9,9)</f>
        <v>45544</v>
      </c>
      <c r="B3762" s="31">
        <f t="shared" ref="B3762:B3763" si="402">TIME(7,35,0)</f>
        <v>0.31597222222222221</v>
      </c>
      <c r="C3762" t="str">
        <f>'Inventory as of 12th Aug 2024'!A57</f>
        <v>Sportsman</v>
      </c>
      <c r="D3762" s="27">
        <v>2</v>
      </c>
      <c r="E3762" s="5">
        <f>Table4[[#This Row],[qty]]*(VLOOKUP(Table4[[#This Row],[item_sold]],Table1[],5,FALSE))</f>
        <v>40</v>
      </c>
      <c r="F3762" s="5">
        <f>(VLOOKUP(Table4[[#This Row],[item_sold]],Table1[],4,FALSE))*Table4[[#This Row],[qty]]</f>
        <v>26</v>
      </c>
      <c r="G3762">
        <f t="shared" si="399"/>
        <v>14</v>
      </c>
      <c r="H3762" t="s">
        <v>361</v>
      </c>
    </row>
    <row r="3763" spans="1:12" x14ac:dyDescent="0.25">
      <c r="A3763" s="15">
        <f t="shared" si="401"/>
        <v>45544</v>
      </c>
      <c r="B3763" s="31">
        <f t="shared" si="402"/>
        <v>0.31597222222222221</v>
      </c>
      <c r="C3763" t="str">
        <f>'Inventory as of 12th Aug 2024'!A107</f>
        <v>Match Box</v>
      </c>
      <c r="D3763" s="27">
        <v>1</v>
      </c>
      <c r="E3763" s="5">
        <f>Table4[[#This Row],[qty]]*(VLOOKUP(Table4[[#This Row],[item_sold]],Table1[],5,FALSE))</f>
        <v>5</v>
      </c>
      <c r="F3763" s="5">
        <f>(VLOOKUP(Table4[[#This Row],[item_sold]],Table1[],4,FALSE))*Table4[[#This Row],[qty]]</f>
        <v>2.3611111111111112</v>
      </c>
      <c r="G3763">
        <f t="shared" si="399"/>
        <v>2.6388888888888888</v>
      </c>
      <c r="H3763" t="s">
        <v>361</v>
      </c>
    </row>
    <row r="3764" spans="1:12" x14ac:dyDescent="0.25">
      <c r="A3764" s="15">
        <f t="shared" si="401"/>
        <v>45544</v>
      </c>
      <c r="B3764" s="31">
        <f>TIME(8,15,0)</f>
        <v>0.34375</v>
      </c>
      <c r="C3764" t="str">
        <f>'Inventory as of 12th Aug 2024'!A10</f>
        <v>Mt Kenya milk 200ml</v>
      </c>
      <c r="D3764" s="27">
        <v>1</v>
      </c>
      <c r="E3764" s="5">
        <f>Table4[[#This Row],[qty]]*(VLOOKUP(Table4[[#This Row],[item_sold]],Table1[],5,FALSE))</f>
        <v>35</v>
      </c>
      <c r="F3764" s="5">
        <f>(VLOOKUP(Table4[[#This Row],[item_sold]],Table1[],4,FALSE))*Table4[[#This Row],[qty]]</f>
        <v>24.285714285714285</v>
      </c>
      <c r="G3764">
        <f t="shared" si="399"/>
        <v>10.714285714285715</v>
      </c>
      <c r="H3764" t="s">
        <v>430</v>
      </c>
      <c r="I3764" t="s">
        <v>387</v>
      </c>
    </row>
    <row r="3765" spans="1:12" x14ac:dyDescent="0.25">
      <c r="A3765" s="15">
        <f t="shared" si="401"/>
        <v>45544</v>
      </c>
      <c r="B3765" s="31">
        <f>TIME(8,15,0)</f>
        <v>0.34375</v>
      </c>
      <c r="C3765" t="str">
        <f>'Inventory as of 12th Aug 2024'!A37</f>
        <v>Festive Bread 400g</v>
      </c>
      <c r="D3765" s="27">
        <v>1</v>
      </c>
      <c r="E3765" s="5">
        <f>Table4[[#This Row],[qty]]*(VLOOKUP(Table4[[#This Row],[item_sold]],Table1[],5,FALSE))</f>
        <v>65</v>
      </c>
      <c r="F3765" s="5">
        <f>(VLOOKUP(Table4[[#This Row],[item_sold]],Table1[],4,FALSE))*Table4[[#This Row],[qty]]</f>
        <v>60</v>
      </c>
      <c r="G3765">
        <f t="shared" si="399"/>
        <v>5</v>
      </c>
      <c r="H3765" t="s">
        <v>430</v>
      </c>
      <c r="I3765" t="s">
        <v>387</v>
      </c>
    </row>
    <row r="3766" spans="1:12" x14ac:dyDescent="0.25">
      <c r="A3766" s="15">
        <f t="shared" si="401"/>
        <v>45544</v>
      </c>
      <c r="B3766" s="31">
        <f>TIME(8,17,0)</f>
        <v>0.34513888888888888</v>
      </c>
      <c r="C3766" t="str">
        <f>'Inventory as of 12th Aug 2024'!A248</f>
        <v>Soko Maize meal</v>
      </c>
      <c r="D3766" s="27">
        <v>1</v>
      </c>
      <c r="E3766" s="5">
        <f>Table4[[#This Row],[qty]]*(VLOOKUP(Table4[[#This Row],[item_sold]],Table1[],5,FALSE))</f>
        <v>160</v>
      </c>
      <c r="F3766" s="5">
        <f>(VLOOKUP(Table4[[#This Row],[item_sold]],Table1[],4,FALSE))*Table4[[#This Row],[qty]]</f>
        <v>125</v>
      </c>
      <c r="G3766">
        <f t="shared" si="399"/>
        <v>35</v>
      </c>
      <c r="H3766" t="s">
        <v>430</v>
      </c>
      <c r="I3766" t="s">
        <v>427</v>
      </c>
    </row>
    <row r="3767" spans="1:12" x14ac:dyDescent="0.25">
      <c r="A3767" s="15">
        <f t="shared" si="401"/>
        <v>45544</v>
      </c>
      <c r="B3767" s="31">
        <f>TIME(8,21,0)</f>
        <v>0.34791666666666665</v>
      </c>
      <c r="C3767" t="str">
        <f>'Inventory as of 12th Aug 2024'!A35</f>
        <v>Festive 600g</v>
      </c>
      <c r="D3767" s="27">
        <v>1</v>
      </c>
      <c r="E3767" s="5">
        <f>Table4[[#This Row],[qty]]*(VLOOKUP(Table4[[#This Row],[item_sold]],Table1[],5,FALSE))</f>
        <v>100</v>
      </c>
      <c r="F3767" s="5">
        <f>(VLOOKUP(Table4[[#This Row],[item_sold]],Table1[],4,FALSE))*Table4[[#This Row],[qty]]</f>
        <v>90</v>
      </c>
      <c r="G3767">
        <f t="shared" si="399"/>
        <v>10</v>
      </c>
      <c r="H3767" t="s">
        <v>430</v>
      </c>
      <c r="I3767" t="s">
        <v>390</v>
      </c>
    </row>
    <row r="3768" spans="1:12" x14ac:dyDescent="0.25">
      <c r="A3768" s="15">
        <f t="shared" si="401"/>
        <v>45544</v>
      </c>
      <c r="B3768" s="31">
        <f>TIME(8,42,0)</f>
        <v>0.36249999999999999</v>
      </c>
      <c r="C3768" t="str">
        <f>'Inventory as of 12th Aug 2024'!A5</f>
        <v>Airtel 20 Credit</v>
      </c>
      <c r="D3768" s="27">
        <v>1</v>
      </c>
      <c r="E3768" s="5">
        <f>Table4[[#This Row],[qty]]*(VLOOKUP(Table4[[#This Row],[item_sold]],Table1[],5,FALSE))</f>
        <v>20</v>
      </c>
      <c r="F3768" s="5">
        <f>(VLOOKUP(Table4[[#This Row],[item_sold]],Table1[],4,FALSE))*Table4[[#This Row],[qty]]</f>
        <v>18</v>
      </c>
      <c r="G3768">
        <f t="shared" si="399"/>
        <v>2</v>
      </c>
      <c r="H3768" t="s">
        <v>361</v>
      </c>
    </row>
    <row r="3769" spans="1:12" x14ac:dyDescent="0.25">
      <c r="A3769" s="15">
        <f t="shared" si="401"/>
        <v>45544</v>
      </c>
      <c r="B3769" s="31">
        <f>TIME(8,43,0)</f>
        <v>0.36319444444444443</v>
      </c>
      <c r="C3769" s="31" t="str">
        <f>'Inventory as of 12th Aug 2024'!A50</f>
        <v>Pishori rice</v>
      </c>
      <c r="D3769" s="27">
        <v>0.25</v>
      </c>
      <c r="E3769" s="5">
        <f>Table4[[#This Row],[qty]]*(VLOOKUP(Table4[[#This Row],[item_sold]],Table1[],5,FALSE))</f>
        <v>55</v>
      </c>
      <c r="F3769" s="5">
        <f>(VLOOKUP(Table4[[#This Row],[item_sold]],Table1[],4,FALSE))*Table4[[#This Row],[qty]]</f>
        <v>45</v>
      </c>
      <c r="G3769">
        <f t="shared" si="399"/>
        <v>10</v>
      </c>
      <c r="H3769" t="s">
        <v>361</v>
      </c>
    </row>
    <row r="3770" spans="1:12" x14ac:dyDescent="0.25">
      <c r="A3770" s="15">
        <f t="shared" si="401"/>
        <v>45544</v>
      </c>
      <c r="B3770" s="31">
        <f>TIME(8,45,0)</f>
        <v>0.36458333333333331</v>
      </c>
      <c r="C3770" t="str">
        <f>'Inventory as of 12th Aug 2024'!A58</f>
        <v>Safari</v>
      </c>
      <c r="D3770" s="27">
        <v>1</v>
      </c>
      <c r="E3770" s="5">
        <f>Table4[[#This Row],[qty]]*(VLOOKUP(Table4[[#This Row],[item_sold]],Table1[],5,FALSE))</f>
        <v>15</v>
      </c>
      <c r="F3770" s="5">
        <f>(VLOOKUP(Table4[[#This Row],[item_sold]],Table1[],4,FALSE))*Table4[[#This Row],[qty]]</f>
        <v>8.5</v>
      </c>
      <c r="G3770">
        <f t="shared" si="399"/>
        <v>6.5</v>
      </c>
      <c r="H3770" t="s">
        <v>247</v>
      </c>
    </row>
    <row r="3771" spans="1:12" x14ac:dyDescent="0.25">
      <c r="A3771" s="15">
        <f t="shared" si="401"/>
        <v>45544</v>
      </c>
      <c r="B3771" s="31">
        <f>TIME(8,47,0)</f>
        <v>0.3659722222222222</v>
      </c>
      <c r="C3771" t="str">
        <f>'Inventory as of 12th Aug 2024'!A245</f>
        <v>1.5ltrs water</v>
      </c>
      <c r="D3771" s="27">
        <v>1</v>
      </c>
      <c r="E3771" s="5">
        <f>Table4[[#This Row],[qty]]*(VLOOKUP(Table4[[#This Row],[item_sold]],Table1[],5,FALSE))</f>
        <v>70</v>
      </c>
      <c r="F3771" s="5">
        <f>(VLOOKUP(Table4[[#This Row],[item_sold]],Table1[],4,FALSE))*Table4[[#This Row],[qty]]</f>
        <v>25</v>
      </c>
      <c r="G3771">
        <f t="shared" si="399"/>
        <v>45</v>
      </c>
      <c r="H3771" t="s">
        <v>430</v>
      </c>
      <c r="I3771" t="s">
        <v>403</v>
      </c>
      <c r="J3771" t="s">
        <v>403</v>
      </c>
      <c r="K3771">
        <v>10</v>
      </c>
      <c r="L3771" t="s">
        <v>247</v>
      </c>
    </row>
    <row r="3772" spans="1:12" x14ac:dyDescent="0.25">
      <c r="A3772" s="15">
        <f t="shared" si="401"/>
        <v>45544</v>
      </c>
      <c r="B3772" s="31">
        <f>TIME(10,2,0)</f>
        <v>0.41805555555555557</v>
      </c>
      <c r="C3772" t="str">
        <f>'Inventory as of 12th Aug 2024'!A82</f>
        <v>ariel 10g</v>
      </c>
      <c r="D3772" s="27">
        <v>2</v>
      </c>
      <c r="E3772" s="5">
        <f>Table4[[#This Row],[qty]]*(VLOOKUP(Table4[[#This Row],[item_sold]],Table1[],5,FALSE))</f>
        <v>30</v>
      </c>
      <c r="F3772" s="5">
        <f>(VLOOKUP(Table4[[#This Row],[item_sold]],Table1[],4,FALSE))*Table4[[#This Row],[qty]]</f>
        <v>18.333333333333332</v>
      </c>
      <c r="G3772">
        <f t="shared" si="399"/>
        <v>11.666666666666668</v>
      </c>
      <c r="H3772" t="s">
        <v>247</v>
      </c>
    </row>
    <row r="3773" spans="1:12" x14ac:dyDescent="0.25">
      <c r="A3773" s="15">
        <f t="shared" si="401"/>
        <v>45544</v>
      </c>
      <c r="B3773" s="31">
        <f>TIME(10,3,0)</f>
        <v>0.41875000000000001</v>
      </c>
      <c r="C3773" t="str">
        <f>'Inventory as of 12th Aug 2024'!A8</f>
        <v>eggs</v>
      </c>
      <c r="D3773" s="27">
        <v>3</v>
      </c>
      <c r="E3773" s="5">
        <f>Table4[[#This Row],[qty]]*(VLOOKUP(Table4[[#This Row],[item_sold]],Table1[],5,FALSE))</f>
        <v>60</v>
      </c>
      <c r="F3773" s="5">
        <f>(VLOOKUP(Table4[[#This Row],[item_sold]],Table1[],4,FALSE))*Table4[[#This Row],[qty]]</f>
        <v>43</v>
      </c>
      <c r="G3773">
        <f t="shared" si="399"/>
        <v>17</v>
      </c>
      <c r="H3773" t="s">
        <v>247</v>
      </c>
    </row>
    <row r="3774" spans="1:12" x14ac:dyDescent="0.25">
      <c r="A3774" s="15">
        <f t="shared" si="401"/>
        <v>45544</v>
      </c>
      <c r="B3774" s="31">
        <f>TIME(10,40,0)</f>
        <v>0.44444444444444442</v>
      </c>
      <c r="C3774" t="str">
        <f>'Inventory as of 12th Aug 2024'!A211</f>
        <v>predator</v>
      </c>
      <c r="D3774" s="27">
        <v>1</v>
      </c>
      <c r="E3774" s="5">
        <f>Table4[[#This Row],[qty]]*(VLOOKUP(Table4[[#This Row],[item_sold]],Table1[],5,FALSE))</f>
        <v>70</v>
      </c>
      <c r="F3774" s="5">
        <f>(VLOOKUP(Table4[[#This Row],[item_sold]],Table1[],4,FALSE))*Table4[[#This Row],[qty]]</f>
        <v>54.166666666666664</v>
      </c>
      <c r="G3774">
        <f t="shared" si="399"/>
        <v>15.833333333333336</v>
      </c>
      <c r="H3774" t="s">
        <v>247</v>
      </c>
      <c r="J3774" t="s">
        <v>401</v>
      </c>
      <c r="K3774">
        <v>800</v>
      </c>
      <c r="L3774" t="s">
        <v>247</v>
      </c>
    </row>
    <row r="3775" spans="1:12" x14ac:dyDescent="0.25">
      <c r="A3775" s="15">
        <f t="shared" si="401"/>
        <v>45544</v>
      </c>
      <c r="B3775" s="31">
        <f>TIME(12,54,0)</f>
        <v>0.53749999999999998</v>
      </c>
      <c r="C3775" t="str">
        <f>'Inventory as of 12th Aug 2024'!A200</f>
        <v>Ngumu</v>
      </c>
      <c r="D3775" s="27">
        <v>1</v>
      </c>
      <c r="E3775" s="5">
        <f>Table4[[#This Row],[qty]]*(VLOOKUP(Table4[[#This Row],[item_sold]],Table1[],5,FALSE))</f>
        <v>10</v>
      </c>
      <c r="F3775" s="5">
        <f>(VLOOKUP(Table4[[#This Row],[item_sold]],Table1[],4,FALSE))*Table4[[#This Row],[qty]]</f>
        <v>8.3333333333333339</v>
      </c>
      <c r="G3775">
        <f t="shared" si="399"/>
        <v>1.6666666666666661</v>
      </c>
      <c r="H3775" t="s">
        <v>361</v>
      </c>
    </row>
    <row r="3776" spans="1:12" x14ac:dyDescent="0.25">
      <c r="A3776" s="15">
        <f t="shared" si="401"/>
        <v>45544</v>
      </c>
      <c r="B3776" s="31">
        <f t="shared" ref="B3776:B3777" si="403">TIME(12,54,0)</f>
        <v>0.53749999999999998</v>
      </c>
      <c r="C3776" t="str">
        <f>'Inventory as of 12th Aug 2024'!A5</f>
        <v>Airtel 20 Credit</v>
      </c>
      <c r="D3776" s="27">
        <v>1</v>
      </c>
      <c r="E3776" s="5">
        <f>Table4[[#This Row],[qty]]*(VLOOKUP(Table4[[#This Row],[item_sold]],Table1[],5,FALSE))</f>
        <v>20</v>
      </c>
      <c r="F3776" s="5">
        <f>(VLOOKUP(Table4[[#This Row],[item_sold]],Table1[],4,FALSE))*Table4[[#This Row],[qty]]</f>
        <v>18</v>
      </c>
      <c r="G3776">
        <f t="shared" si="399"/>
        <v>2</v>
      </c>
      <c r="H3776" t="s">
        <v>361</v>
      </c>
    </row>
    <row r="3777" spans="1:9" x14ac:dyDescent="0.25">
      <c r="A3777" s="15">
        <f t="shared" si="401"/>
        <v>45544</v>
      </c>
      <c r="B3777" s="31">
        <f t="shared" si="403"/>
        <v>0.53749999999999998</v>
      </c>
      <c r="C3777" t="str">
        <f>'Inventory as of 12th Aug 2024'!A58</f>
        <v>Safari</v>
      </c>
      <c r="D3777" s="27">
        <v>1</v>
      </c>
      <c r="E3777" s="5">
        <f>Table4[[#This Row],[qty]]*(VLOOKUP(Table4[[#This Row],[item_sold]],Table1[],5,FALSE))</f>
        <v>15</v>
      </c>
      <c r="F3777" s="5">
        <f>(VLOOKUP(Table4[[#This Row],[item_sold]],Table1[],4,FALSE))*Table4[[#This Row],[qty]]</f>
        <v>8.5</v>
      </c>
      <c r="G3777">
        <f t="shared" si="399"/>
        <v>6.5</v>
      </c>
      <c r="H3777" t="s">
        <v>361</v>
      </c>
    </row>
    <row r="3778" spans="1:9" x14ac:dyDescent="0.25">
      <c r="A3778" s="15">
        <f t="shared" si="401"/>
        <v>45544</v>
      </c>
      <c r="B3778" s="31">
        <f>TIME(13,2,0)</f>
        <v>0.54305555555555551</v>
      </c>
      <c r="C3778" t="str">
        <f>'Inventory as of 12th Aug 2024'!A8</f>
        <v>eggs</v>
      </c>
      <c r="D3778" s="27">
        <v>1</v>
      </c>
      <c r="E3778" s="5">
        <f>Table4[[#This Row],[qty]]*(VLOOKUP(Table4[[#This Row],[item_sold]],Table1[],5,FALSE))</f>
        <v>20</v>
      </c>
      <c r="F3778" s="5">
        <f>(VLOOKUP(Table4[[#This Row],[item_sold]],Table1[],4,FALSE))*Table4[[#This Row],[qty]]</f>
        <v>14.333333333333334</v>
      </c>
      <c r="G3778">
        <f t="shared" si="399"/>
        <v>5.6666666666666661</v>
      </c>
      <c r="H3778" t="s">
        <v>361</v>
      </c>
    </row>
    <row r="3779" spans="1:9" x14ac:dyDescent="0.25">
      <c r="A3779" s="15">
        <f t="shared" si="401"/>
        <v>45544</v>
      </c>
      <c r="B3779" s="31">
        <f>TIME(13,3,0)</f>
        <v>0.54375000000000007</v>
      </c>
      <c r="C3779" t="str">
        <f>'Inventory as of 12th Aug 2024'!A9</f>
        <v>Kinangop Fresh Milk 500ml</v>
      </c>
      <c r="D3779" s="27">
        <v>2</v>
      </c>
      <c r="E3779" s="5">
        <f>Table4[[#This Row],[qty]]*(VLOOKUP(Table4[[#This Row],[item_sold]],Table1[],5,FALSE))</f>
        <v>120</v>
      </c>
      <c r="F3779" s="5">
        <f>(VLOOKUP(Table4[[#This Row],[item_sold]],Table1[],4,FALSE))*Table4[[#This Row],[qty]]</f>
        <v>110</v>
      </c>
      <c r="G3779">
        <f t="shared" si="399"/>
        <v>10</v>
      </c>
      <c r="H3779" t="s">
        <v>361</v>
      </c>
    </row>
    <row r="3780" spans="1:9" x14ac:dyDescent="0.25">
      <c r="A3780" s="15">
        <f t="shared" si="401"/>
        <v>45544</v>
      </c>
      <c r="B3780" s="31">
        <f>TIME(13,54,0)</f>
        <v>0.57916666666666672</v>
      </c>
      <c r="C3780" t="str">
        <f>'Inventory as of 12th Aug 2024'!A33</f>
        <v>BB Bread 400g</v>
      </c>
      <c r="D3780" s="27">
        <v>1</v>
      </c>
      <c r="E3780" s="5">
        <f>Table4[[#This Row],[qty]]*(VLOOKUP(Table4[[#This Row],[item_sold]],Table1[],5,FALSE))</f>
        <v>65</v>
      </c>
      <c r="F3780" s="5">
        <f>(VLOOKUP(Table4[[#This Row],[item_sold]],Table1[],4,FALSE))*Table4[[#This Row],[qty]]</f>
        <v>60</v>
      </c>
      <c r="G3780">
        <f t="shared" si="399"/>
        <v>5</v>
      </c>
      <c r="H3780" t="s">
        <v>361</v>
      </c>
    </row>
    <row r="3781" spans="1:9" x14ac:dyDescent="0.25">
      <c r="A3781" s="15">
        <f t="shared" si="401"/>
        <v>45544</v>
      </c>
      <c r="B3781" s="31">
        <f>TIME(14,2,0)</f>
        <v>0.58472222222222225</v>
      </c>
      <c r="C3781" t="str">
        <f>'Inventory as of 12th Aug 2024'!A213</f>
        <v>soda 500ml glass</v>
      </c>
      <c r="D3781" s="27">
        <v>1</v>
      </c>
      <c r="E3781" s="5">
        <f>Table4[[#This Row],[qty]]*(VLOOKUP(Table4[[#This Row],[item_sold]],Table1[],5,FALSE))</f>
        <v>55</v>
      </c>
      <c r="F3781" s="5">
        <f>(VLOOKUP(Table4[[#This Row],[item_sold]],Table1[],4,FALSE))*Table4[[#This Row],[qty]]</f>
        <v>50</v>
      </c>
      <c r="G3781">
        <f t="shared" si="399"/>
        <v>5</v>
      </c>
      <c r="H3781" t="s">
        <v>430</v>
      </c>
      <c r="I3781" t="s">
        <v>419</v>
      </c>
    </row>
    <row r="3782" spans="1:9" x14ac:dyDescent="0.25">
      <c r="A3782" s="15">
        <f t="shared" si="401"/>
        <v>45544</v>
      </c>
      <c r="B3782" s="31">
        <f t="shared" ref="B3782" si="404">TIME(14,2,0)</f>
        <v>0.58472222222222225</v>
      </c>
      <c r="C3782" t="str">
        <f>'Inventory as of 12th Aug 2024'!A200</f>
        <v>Ngumu</v>
      </c>
      <c r="D3782" s="27">
        <v>8</v>
      </c>
      <c r="E3782" s="5">
        <f>Table4[[#This Row],[qty]]*(VLOOKUP(Table4[[#This Row],[item_sold]],Table1[],5,FALSE))</f>
        <v>80</v>
      </c>
      <c r="F3782" s="5">
        <f>(VLOOKUP(Table4[[#This Row],[item_sold]],Table1[],4,FALSE))*Table4[[#This Row],[qty]]</f>
        <v>66.666666666666671</v>
      </c>
      <c r="G3782">
        <f t="shared" si="399"/>
        <v>13.333333333333329</v>
      </c>
      <c r="H3782" t="s">
        <v>430</v>
      </c>
      <c r="I3782" t="s">
        <v>419</v>
      </c>
    </row>
    <row r="3783" spans="1:9" x14ac:dyDescent="0.25">
      <c r="A3783" s="15">
        <f t="shared" si="401"/>
        <v>45544</v>
      </c>
      <c r="B3783" s="31">
        <f>TIME(14,3,0)</f>
        <v>0.5854166666666667</v>
      </c>
      <c r="C3783" t="str">
        <f>'Inventory as of 12th Aug 2024'!A209</f>
        <v>afia 500ml</v>
      </c>
      <c r="D3783" s="27">
        <v>1</v>
      </c>
      <c r="E3783" s="5">
        <f>Table4[[#This Row],[qty]]*(VLOOKUP(Table4[[#This Row],[item_sold]],Table1[],5,FALSE))</f>
        <v>85</v>
      </c>
      <c r="F3783" s="5">
        <f>(VLOOKUP(Table4[[#This Row],[item_sold]],Table1[],4,FALSE))*Table4[[#This Row],[qty]]</f>
        <v>70.833333333333329</v>
      </c>
      <c r="G3783">
        <f t="shared" si="399"/>
        <v>14.166666666666671</v>
      </c>
      <c r="H3783" t="s">
        <v>430</v>
      </c>
      <c r="I3783" t="s">
        <v>401</v>
      </c>
    </row>
    <row r="3784" spans="1:9" x14ac:dyDescent="0.25">
      <c r="A3784" s="15">
        <f t="shared" si="401"/>
        <v>45544</v>
      </c>
      <c r="B3784" s="31">
        <f>TIME(14,5,0)</f>
        <v>0.58680555555555558</v>
      </c>
      <c r="C3784" t="str">
        <f>'Inventory as of 12th Aug 2024'!A8</f>
        <v>eggs</v>
      </c>
      <c r="D3784" s="27">
        <v>3</v>
      </c>
      <c r="E3784" s="5">
        <f>Table4[[#This Row],[qty]]*(VLOOKUP(Table4[[#This Row],[item_sold]],Table1[],5,FALSE))</f>
        <v>60</v>
      </c>
      <c r="F3784" s="5">
        <f>(VLOOKUP(Table4[[#This Row],[item_sold]],Table1[],4,FALSE))*Table4[[#This Row],[qty]]</f>
        <v>43</v>
      </c>
      <c r="G3784">
        <f t="shared" si="399"/>
        <v>17</v>
      </c>
      <c r="H3784" t="s">
        <v>361</v>
      </c>
    </row>
    <row r="3785" spans="1:9" x14ac:dyDescent="0.25">
      <c r="A3785" s="15">
        <f t="shared" si="401"/>
        <v>45544</v>
      </c>
      <c r="B3785" s="31">
        <f>TIME(15,9,0)</f>
        <v>0.63124999999999998</v>
      </c>
      <c r="C3785" t="str">
        <f>'Inventory as of 12th Aug 2024'!A58</f>
        <v>Safari</v>
      </c>
      <c r="D3785" s="27">
        <v>3</v>
      </c>
      <c r="E3785" s="5">
        <f>Table4[[#This Row],[qty]]*(VLOOKUP(Table4[[#This Row],[item_sold]],Table1[],5,FALSE))</f>
        <v>45</v>
      </c>
      <c r="F3785" s="5">
        <f>(VLOOKUP(Table4[[#This Row],[item_sold]],Table1[],4,FALSE))*Table4[[#This Row],[qty]]</f>
        <v>25.5</v>
      </c>
      <c r="G3785">
        <f t="shared" si="399"/>
        <v>19.5</v>
      </c>
      <c r="H3785" t="s">
        <v>361</v>
      </c>
    </row>
    <row r="3786" spans="1:9" x14ac:dyDescent="0.25">
      <c r="A3786" s="15">
        <f t="shared" si="401"/>
        <v>45544</v>
      </c>
      <c r="B3786" s="31">
        <f>TIME(15,40,0)</f>
        <v>0.65277777777777779</v>
      </c>
      <c r="C3786" t="str">
        <f>'Inventory as of 12th Aug 2024'!A21</f>
        <v>kinangop250g youghurt</v>
      </c>
      <c r="D3786" s="27">
        <v>2</v>
      </c>
      <c r="E3786" s="5">
        <f>Table4[[#This Row],[qty]]*(VLOOKUP(Table4[[#This Row],[item_sold]],Table1[],5,FALSE))</f>
        <v>120</v>
      </c>
      <c r="F3786" s="5">
        <f>(VLOOKUP(Table4[[#This Row],[item_sold]],Table1[],4,FALSE))*Table4[[#This Row],[qty]]</f>
        <v>96.666666666666671</v>
      </c>
      <c r="G3786">
        <f t="shared" si="399"/>
        <v>23.333333333333329</v>
      </c>
      <c r="H3786" t="s">
        <v>247</v>
      </c>
    </row>
    <row r="3787" spans="1:9" x14ac:dyDescent="0.25">
      <c r="A3787" s="15">
        <f t="shared" si="401"/>
        <v>45544</v>
      </c>
      <c r="B3787" s="31">
        <f>TIME(15,48,0)</f>
        <v>0.65833333333333333</v>
      </c>
      <c r="C3787" t="str">
        <f>'Inventory as of 12th Aug 2024'!A36</f>
        <v>Festive 800g</v>
      </c>
      <c r="D3787" s="27">
        <v>1</v>
      </c>
      <c r="E3787" s="5">
        <f>Table4[[#This Row],[qty]]*(VLOOKUP(Table4[[#This Row],[item_sold]],Table1[],5,FALSE))</f>
        <v>130</v>
      </c>
      <c r="F3787" s="5">
        <f>(VLOOKUP(Table4[[#This Row],[item_sold]],Table1[],4,FALSE))*Table4[[#This Row],[qty]]</f>
        <v>120</v>
      </c>
      <c r="G3787">
        <f t="shared" si="399"/>
        <v>10</v>
      </c>
      <c r="H3787" t="s">
        <v>361</v>
      </c>
    </row>
    <row r="3788" spans="1:9" x14ac:dyDescent="0.25">
      <c r="A3788" s="15">
        <f t="shared" si="401"/>
        <v>45544</v>
      </c>
      <c r="B3788" s="31">
        <f>TIME(15,48,0)</f>
        <v>0.65833333333333333</v>
      </c>
      <c r="C3788" t="str">
        <f>'Inventory as of 12th Aug 2024'!A16</f>
        <v>Mt kenya milk 500ml</v>
      </c>
      <c r="D3788" s="27">
        <v>2</v>
      </c>
      <c r="E3788" s="5">
        <f>Table4[[#This Row],[qty]]*(VLOOKUP(Table4[[#This Row],[item_sold]],Table1[],5,FALSE))</f>
        <v>130</v>
      </c>
      <c r="F3788" s="5">
        <f>(VLOOKUP(Table4[[#This Row],[item_sold]],Table1[],4,FALSE))*Table4[[#This Row],[qty]]</f>
        <v>96.666666666666671</v>
      </c>
      <c r="G3788">
        <f t="shared" si="399"/>
        <v>33.333333333333329</v>
      </c>
      <c r="H3788" t="s">
        <v>430</v>
      </c>
      <c r="I3788" t="s">
        <v>431</v>
      </c>
    </row>
    <row r="3789" spans="1:9" x14ac:dyDescent="0.25">
      <c r="A3789" s="15">
        <f t="shared" si="401"/>
        <v>45544</v>
      </c>
      <c r="B3789" s="31">
        <f>TIME(17,9,0)</f>
        <v>0.71458333333333324</v>
      </c>
      <c r="C3789" t="str">
        <f>'Inventory as of 12th Aug 2024'!A42</f>
        <v>Indomie chicken</v>
      </c>
      <c r="D3789" s="27">
        <v>1</v>
      </c>
      <c r="E3789" s="5">
        <f>Table4[[#This Row],[qty]]*(VLOOKUP(Table4[[#This Row],[item_sold]],Table1[],5,FALSE))</f>
        <v>50</v>
      </c>
      <c r="F3789" s="5">
        <f>(VLOOKUP(Table4[[#This Row],[item_sold]],Table1[],4,FALSE))*Table4[[#This Row],[qty]]</f>
        <v>37.5</v>
      </c>
      <c r="G3789">
        <f t="shared" si="399"/>
        <v>12.5</v>
      </c>
      <c r="H3789" t="s">
        <v>247</v>
      </c>
    </row>
    <row r="3790" spans="1:9" x14ac:dyDescent="0.25">
      <c r="A3790" s="15">
        <f t="shared" si="401"/>
        <v>45544</v>
      </c>
      <c r="B3790" s="31">
        <f t="shared" ref="B3790:B3791" si="405">TIME(17,9,0)</f>
        <v>0.71458333333333324</v>
      </c>
      <c r="C3790" t="str">
        <f>'Inventory as of 12th Aug 2024'!A242</f>
        <v>Icepop</v>
      </c>
      <c r="D3790" s="27">
        <v>1</v>
      </c>
      <c r="E3790" s="5">
        <f>Table4[[#This Row],[qty]]*(VLOOKUP(Table4[[#This Row],[item_sold]],Table1[],5,FALSE))</f>
        <v>15</v>
      </c>
      <c r="F3790" s="5">
        <f>(VLOOKUP(Table4[[#This Row],[item_sold]],Table1[],4,FALSE))*Table4[[#This Row],[qty]]</f>
        <v>7.5</v>
      </c>
      <c r="G3790">
        <f t="shared" si="399"/>
        <v>7.5</v>
      </c>
      <c r="H3790" t="s">
        <v>247</v>
      </c>
    </row>
    <row r="3791" spans="1:9" x14ac:dyDescent="0.25">
      <c r="A3791" s="15">
        <f t="shared" si="401"/>
        <v>45544</v>
      </c>
      <c r="B3791" s="31">
        <f t="shared" si="405"/>
        <v>0.71458333333333324</v>
      </c>
      <c r="C3791" t="str">
        <f>'Inventory as of 12th Aug 2024'!A3</f>
        <v>Safaricom 10 Credit</v>
      </c>
      <c r="D3791" s="27">
        <v>1</v>
      </c>
      <c r="E3791" s="5">
        <f>Table4[[#This Row],[qty]]*(VLOOKUP(Table4[[#This Row],[item_sold]],Table1[],5,FALSE))</f>
        <v>10</v>
      </c>
      <c r="F3791" s="5">
        <f>(VLOOKUP(Table4[[#This Row],[item_sold]],Table1[],4,FALSE))*Table4[[#This Row],[qty]]</f>
        <v>9</v>
      </c>
      <c r="G3791">
        <f t="shared" si="399"/>
        <v>1</v>
      </c>
      <c r="H3791" t="s">
        <v>247</v>
      </c>
    </row>
    <row r="3792" spans="1:9" x14ac:dyDescent="0.25">
      <c r="A3792" s="15">
        <f t="shared" si="401"/>
        <v>45544</v>
      </c>
      <c r="B3792" s="31">
        <f>TIME(17,39,0)</f>
        <v>0.73541666666666661</v>
      </c>
      <c r="C3792" t="str">
        <f>'Inventory as of 12th Aug 2024'!A185</f>
        <v>Glucose 10g</v>
      </c>
      <c r="D3792" s="27">
        <v>2</v>
      </c>
      <c r="E3792" s="5">
        <f>Table4[[#This Row],[qty]]*(VLOOKUP(Table4[[#This Row],[item_sold]],Table1[],5,FALSE))</f>
        <v>10</v>
      </c>
      <c r="F3792" s="5">
        <f>(VLOOKUP(Table4[[#This Row],[item_sold]],Table1[],4,FALSE))*Table4[[#This Row],[qty]]</f>
        <v>7.5</v>
      </c>
      <c r="G3792">
        <f t="shared" si="399"/>
        <v>2.5</v>
      </c>
      <c r="H3792" t="s">
        <v>247</v>
      </c>
    </row>
    <row r="3793" spans="1:9" x14ac:dyDescent="0.25">
      <c r="A3793" s="15">
        <f t="shared" si="401"/>
        <v>45544</v>
      </c>
      <c r="B3793" s="31">
        <f>TIME(17,39,0)</f>
        <v>0.73541666666666661</v>
      </c>
      <c r="C3793" t="str">
        <f>'Inventory as of 12th Aug 2024'!A240</f>
        <v>Bigboss</v>
      </c>
      <c r="D3793" s="27">
        <v>1</v>
      </c>
      <c r="E3793" s="5">
        <f>Table4[[#This Row],[qty]]*(VLOOKUP(Table4[[#This Row],[item_sold]],Table1[],5,FALSE))</f>
        <v>5</v>
      </c>
      <c r="F3793" s="5">
        <f>(VLOOKUP(Table4[[#This Row],[item_sold]],Table1[],4,FALSE))*Table4[[#This Row],[qty]]</f>
        <v>3.5</v>
      </c>
      <c r="G3793">
        <f t="shared" si="399"/>
        <v>1.5</v>
      </c>
      <c r="H3793" t="s">
        <v>247</v>
      </c>
    </row>
    <row r="3794" spans="1:9" x14ac:dyDescent="0.25">
      <c r="A3794" s="15">
        <f t="shared" si="401"/>
        <v>45544</v>
      </c>
      <c r="B3794" s="31">
        <f>TIME(17,40,0)</f>
        <v>0.73611111111111116</v>
      </c>
      <c r="C3794" t="str">
        <f>'Inventory as of 12th Aug 2024'!A58</f>
        <v>Safari</v>
      </c>
      <c r="D3794" s="27">
        <v>1</v>
      </c>
      <c r="E3794" s="5">
        <f>Table4[[#This Row],[qty]]*(VLOOKUP(Table4[[#This Row],[item_sold]],Table1[],5,FALSE))</f>
        <v>15</v>
      </c>
      <c r="F3794" s="5">
        <f>(VLOOKUP(Table4[[#This Row],[item_sold]],Table1[],4,FALSE))*Table4[[#This Row],[qty]]</f>
        <v>8.5</v>
      </c>
      <c r="G3794">
        <f t="shared" si="399"/>
        <v>6.5</v>
      </c>
      <c r="H3794" t="s">
        <v>361</v>
      </c>
    </row>
    <row r="3795" spans="1:9" x14ac:dyDescent="0.25">
      <c r="A3795" s="15">
        <f t="shared" si="401"/>
        <v>45544</v>
      </c>
      <c r="B3795" s="31">
        <f>TIME(18,45,0)</f>
        <v>0.78125</v>
      </c>
      <c r="C3795" t="str">
        <f>'Inventory as of 12th Aug 2024'!A9</f>
        <v>Kinangop Fresh Milk 500ml</v>
      </c>
      <c r="D3795" s="27">
        <v>1</v>
      </c>
      <c r="E3795" s="5">
        <f>Table4[[#This Row],[qty]]*(VLOOKUP(Table4[[#This Row],[item_sold]],Table1[],5,FALSE))</f>
        <v>60</v>
      </c>
      <c r="F3795" s="5">
        <f>(VLOOKUP(Table4[[#This Row],[item_sold]],Table1[],4,FALSE))*Table4[[#This Row],[qty]]</f>
        <v>55</v>
      </c>
      <c r="G3795">
        <f t="shared" si="399"/>
        <v>5</v>
      </c>
      <c r="H3795" t="s">
        <v>361</v>
      </c>
    </row>
    <row r="3796" spans="1:9" x14ac:dyDescent="0.25">
      <c r="A3796" s="15">
        <f t="shared" si="401"/>
        <v>45544</v>
      </c>
      <c r="B3796" s="31">
        <f>TIME(18,50,0)</f>
        <v>0.78472222222222221</v>
      </c>
      <c r="C3796" t="str">
        <f>'Inventory as of 12th Aug 2024'!A8</f>
        <v>eggs</v>
      </c>
      <c r="D3796" s="27">
        <v>2</v>
      </c>
      <c r="E3796" s="5">
        <f>Table4[[#This Row],[qty]]*(VLOOKUP(Table4[[#This Row],[item_sold]],Table1[],5,FALSE))</f>
        <v>40</v>
      </c>
      <c r="F3796" s="5">
        <f>(VLOOKUP(Table4[[#This Row],[item_sold]],Table1[],4,FALSE))*Table4[[#This Row],[qty]]</f>
        <v>28.666666666666668</v>
      </c>
      <c r="G3796">
        <f t="shared" si="399"/>
        <v>11.333333333333332</v>
      </c>
      <c r="H3796" t="s">
        <v>247</v>
      </c>
    </row>
    <row r="3797" spans="1:9" x14ac:dyDescent="0.25">
      <c r="A3797" s="15">
        <f t="shared" si="401"/>
        <v>45544</v>
      </c>
      <c r="B3797" s="31">
        <f>TIME(18,58,0)</f>
        <v>0.79027777777777775</v>
      </c>
      <c r="C3797" t="str">
        <f>'Inventory as of 12th Aug 2024'!A58</f>
        <v>Safari</v>
      </c>
      <c r="D3797" s="27">
        <v>1</v>
      </c>
      <c r="E3797" s="5">
        <f>Table4[[#This Row],[qty]]*(VLOOKUP(Table4[[#This Row],[item_sold]],Table1[],5,FALSE))</f>
        <v>15</v>
      </c>
      <c r="F3797" s="5">
        <f>(VLOOKUP(Table4[[#This Row],[item_sold]],Table1[],4,FALSE))*Table4[[#This Row],[qty]]</f>
        <v>8.5</v>
      </c>
      <c r="G3797">
        <f t="shared" si="399"/>
        <v>6.5</v>
      </c>
      <c r="H3797" t="s">
        <v>361</v>
      </c>
    </row>
    <row r="3798" spans="1:9" x14ac:dyDescent="0.25">
      <c r="A3798" s="15">
        <f t="shared" si="401"/>
        <v>45544</v>
      </c>
      <c r="B3798" s="31">
        <f>TIME(19,19,0)</f>
        <v>0.80486111111111114</v>
      </c>
      <c r="C3798" t="str">
        <f>'Inventory as of 12th Aug 2024'!A8</f>
        <v>eggs</v>
      </c>
      <c r="D3798" s="27">
        <v>6</v>
      </c>
      <c r="E3798" s="5">
        <f>Table4[[#This Row],[qty]]*(VLOOKUP(Table4[[#This Row],[item_sold]],Table1[],5,FALSE))</f>
        <v>120</v>
      </c>
      <c r="F3798" s="5">
        <f>(VLOOKUP(Table4[[#This Row],[item_sold]],Table1[],4,FALSE))*Table4[[#This Row],[qty]]</f>
        <v>86</v>
      </c>
      <c r="G3798">
        <f t="shared" si="399"/>
        <v>34</v>
      </c>
      <c r="H3798" t="s">
        <v>361</v>
      </c>
    </row>
    <row r="3799" spans="1:9" x14ac:dyDescent="0.25">
      <c r="A3799" s="15">
        <f t="shared" si="401"/>
        <v>45544</v>
      </c>
      <c r="B3799" s="31">
        <f t="shared" ref="B3799:B3802" si="406">TIME(19,19,0)</f>
        <v>0.80486111111111114</v>
      </c>
      <c r="C3799" t="str">
        <f>'Inventory as of 12th Aug 2024'!A91</f>
        <v>Tomatoes</v>
      </c>
      <c r="D3799" s="27">
        <v>5</v>
      </c>
      <c r="E3799" s="5">
        <f>Table4[[#This Row],[qty]]*(VLOOKUP(Table4[[#This Row],[item_sold]],Table1[],5,FALSE))</f>
        <v>50</v>
      </c>
      <c r="F3799" s="5">
        <f>(VLOOKUP(Table4[[#This Row],[item_sold]],Table1[],4,FALSE))*Table4[[#This Row],[qty]]</f>
        <v>25</v>
      </c>
      <c r="G3799">
        <f t="shared" si="399"/>
        <v>25</v>
      </c>
      <c r="H3799" t="s">
        <v>361</v>
      </c>
    </row>
    <row r="3800" spans="1:9" x14ac:dyDescent="0.25">
      <c r="A3800" s="15">
        <f t="shared" si="401"/>
        <v>45544</v>
      </c>
      <c r="B3800" s="31">
        <f t="shared" si="406"/>
        <v>0.80486111111111114</v>
      </c>
      <c r="C3800" t="str">
        <f>'Inventory as of 12th Aug 2024'!A248</f>
        <v>Soko Maize meal</v>
      </c>
      <c r="D3800" s="27">
        <v>1</v>
      </c>
      <c r="E3800" s="5">
        <f>Table4[[#This Row],[qty]]*(VLOOKUP(Table4[[#This Row],[item_sold]],Table1[],5,FALSE))</f>
        <v>160</v>
      </c>
      <c r="F3800" s="5">
        <f>(VLOOKUP(Table4[[#This Row],[item_sold]],Table1[],4,FALSE))*Table4[[#This Row],[qty]]</f>
        <v>125</v>
      </c>
      <c r="G3800">
        <f t="shared" si="399"/>
        <v>35</v>
      </c>
      <c r="H3800" t="s">
        <v>361</v>
      </c>
    </row>
    <row r="3801" spans="1:9" x14ac:dyDescent="0.25">
      <c r="A3801" s="15">
        <f t="shared" si="401"/>
        <v>45544</v>
      </c>
      <c r="B3801" s="31">
        <f t="shared" si="406"/>
        <v>0.80486111111111114</v>
      </c>
      <c r="C3801" t="str">
        <f>'Inventory as of 12th Aug 2024'!A134</f>
        <v>Hanaan Tissue</v>
      </c>
      <c r="D3801" s="27">
        <v>1</v>
      </c>
      <c r="E3801" s="5">
        <f>Table4[[#This Row],[qty]]*(VLOOKUP(Table4[[#This Row],[item_sold]],Table1[],5,FALSE))</f>
        <v>55</v>
      </c>
      <c r="F3801" s="5">
        <f>(VLOOKUP(Table4[[#This Row],[item_sold]],Table1[],4,FALSE))*Table4[[#This Row],[qty]]</f>
        <v>43</v>
      </c>
      <c r="G3801">
        <f t="shared" si="399"/>
        <v>12</v>
      </c>
      <c r="H3801" t="s">
        <v>361</v>
      </c>
    </row>
    <row r="3802" spans="1:9" x14ac:dyDescent="0.25">
      <c r="A3802" s="15">
        <f t="shared" si="401"/>
        <v>45544</v>
      </c>
      <c r="B3802" s="31">
        <f t="shared" si="406"/>
        <v>0.80486111111111114</v>
      </c>
      <c r="C3802" t="str">
        <f>'Inventory as of 12th Aug 2024'!A16</f>
        <v>Mt kenya milk 500ml</v>
      </c>
      <c r="D3802" s="27">
        <v>1</v>
      </c>
      <c r="E3802" s="5">
        <f>Table4[[#This Row],[qty]]*(VLOOKUP(Table4[[#This Row],[item_sold]],Table1[],5,FALSE))</f>
        <v>65</v>
      </c>
      <c r="F3802" s="5">
        <f>(VLOOKUP(Table4[[#This Row],[item_sold]],Table1[],4,FALSE))*Table4[[#This Row],[qty]]</f>
        <v>48.333333333333336</v>
      </c>
      <c r="G3802">
        <f t="shared" si="399"/>
        <v>16.666666666666664</v>
      </c>
      <c r="H3802" t="s">
        <v>361</v>
      </c>
    </row>
    <row r="3803" spans="1:9" x14ac:dyDescent="0.25">
      <c r="A3803" s="15">
        <f t="shared" si="401"/>
        <v>45544</v>
      </c>
      <c r="B3803" s="31">
        <f>TIME(19,23,0)</f>
        <v>0.80763888888888891</v>
      </c>
      <c r="C3803" t="str">
        <f>'Inventory as of 12th Aug 2024'!A10</f>
        <v>Mt Kenya milk 200ml</v>
      </c>
      <c r="D3803" s="27">
        <v>1</v>
      </c>
      <c r="E3803" s="5">
        <f>Table4[[#This Row],[qty]]*(VLOOKUP(Table4[[#This Row],[item_sold]],Table1[],5,FALSE))</f>
        <v>35</v>
      </c>
      <c r="F3803" s="5">
        <f>(VLOOKUP(Table4[[#This Row],[item_sold]],Table1[],4,FALSE))*Table4[[#This Row],[qty]]</f>
        <v>24.285714285714285</v>
      </c>
      <c r="G3803">
        <f t="shared" si="399"/>
        <v>10.714285714285715</v>
      </c>
      <c r="H3803" t="s">
        <v>361</v>
      </c>
    </row>
    <row r="3804" spans="1:9" x14ac:dyDescent="0.25">
      <c r="A3804" s="15">
        <f t="shared" si="401"/>
        <v>45544</v>
      </c>
      <c r="B3804" s="31">
        <f t="shared" ref="B3804" si="407">TIME(19,23,0)</f>
        <v>0.80763888888888891</v>
      </c>
      <c r="C3804" t="str">
        <f>'Inventory as of 12th Aug 2024'!A43</f>
        <v>sossi</v>
      </c>
      <c r="D3804" s="27">
        <v>1</v>
      </c>
      <c r="E3804" s="5">
        <f>Table4[[#This Row],[qty]]*(VLOOKUP(Table4[[#This Row],[item_sold]],Table1[],5,FALSE))</f>
        <v>50</v>
      </c>
      <c r="F3804" s="5">
        <f>(VLOOKUP(Table4[[#This Row],[item_sold]],Table1[],4,FALSE))*Table4[[#This Row],[qty]]</f>
        <v>37.5</v>
      </c>
      <c r="G3804">
        <f t="shared" ref="G3804" si="408">E3804-F3804</f>
        <v>12.5</v>
      </c>
      <c r="H3804" t="s">
        <v>361</v>
      </c>
    </row>
    <row r="3805" spans="1:9" x14ac:dyDescent="0.25">
      <c r="A3805" s="15">
        <f t="shared" si="401"/>
        <v>45544</v>
      </c>
      <c r="B3805" s="31">
        <f>TIME(19,28,0)</f>
        <v>0.81111111111111101</v>
      </c>
      <c r="C3805" t="str">
        <f>'Inventory as of 12th Aug 2024'!A8</f>
        <v>eggs</v>
      </c>
      <c r="D3805" s="27">
        <v>3</v>
      </c>
      <c r="E3805" s="5">
        <f>Table4[[#This Row],[qty]]*(VLOOKUP(Table4[[#This Row],[item_sold]],Table1[],5,FALSE))</f>
        <v>60</v>
      </c>
      <c r="F3805" s="5">
        <f>(VLOOKUP(Table4[[#This Row],[item_sold]],Table1[],4,FALSE))*Table4[[#This Row],[qty]]</f>
        <v>43</v>
      </c>
      <c r="G3805">
        <f t="shared" si="399"/>
        <v>17</v>
      </c>
      <c r="H3805" t="s">
        <v>430</v>
      </c>
      <c r="I3805" t="s">
        <v>406</v>
      </c>
    </row>
    <row r="3806" spans="1:9" x14ac:dyDescent="0.25">
      <c r="A3806" s="15">
        <f t="shared" si="401"/>
        <v>45544</v>
      </c>
      <c r="B3806" s="31">
        <f t="shared" ref="B3806:B3807" si="409">TIME(19,28,0)</f>
        <v>0.81111111111111101</v>
      </c>
      <c r="C3806" t="str">
        <f>'Inventory as of 12th Aug 2024'!A91</f>
        <v>Tomatoes</v>
      </c>
      <c r="D3806" s="27">
        <v>1</v>
      </c>
      <c r="E3806" s="5">
        <f>Table4[[#This Row],[qty]]*(VLOOKUP(Table4[[#This Row],[item_sold]],Table1[],5,FALSE))</f>
        <v>10</v>
      </c>
      <c r="F3806" s="5">
        <f>(VLOOKUP(Table4[[#This Row],[item_sold]],Table1[],4,FALSE))*Table4[[#This Row],[qty]]</f>
        <v>5</v>
      </c>
      <c r="G3806">
        <f t="shared" si="399"/>
        <v>5</v>
      </c>
      <c r="H3806" t="s">
        <v>430</v>
      </c>
      <c r="I3806" t="s">
        <v>406</v>
      </c>
    </row>
    <row r="3807" spans="1:9" x14ac:dyDescent="0.25">
      <c r="A3807" s="15">
        <f t="shared" si="401"/>
        <v>45544</v>
      </c>
      <c r="B3807" s="31">
        <f t="shared" si="409"/>
        <v>0.81111111111111101</v>
      </c>
      <c r="C3807" t="str">
        <f>'Inventory as of 12th Aug 2024'!A50</f>
        <v>Pishori rice</v>
      </c>
      <c r="D3807" s="27">
        <v>0.5</v>
      </c>
      <c r="E3807" s="5">
        <f>Table4[[#This Row],[qty]]*(VLOOKUP(Table4[[#This Row],[item_sold]],Table1[],5,FALSE))</f>
        <v>110</v>
      </c>
      <c r="F3807" s="5">
        <f>(VLOOKUP(Table4[[#This Row],[item_sold]],Table1[],4,FALSE))*Table4[[#This Row],[qty]]</f>
        <v>90</v>
      </c>
      <c r="G3807">
        <f t="shared" si="399"/>
        <v>20</v>
      </c>
      <c r="H3807" t="s">
        <v>430</v>
      </c>
      <c r="I3807" t="s">
        <v>406</v>
      </c>
    </row>
    <row r="3808" spans="1:9" x14ac:dyDescent="0.25">
      <c r="A3808" s="15">
        <f t="shared" si="401"/>
        <v>45544</v>
      </c>
      <c r="B3808" s="31">
        <f>TIME(19,32,0)</f>
        <v>0.81388888888888899</v>
      </c>
      <c r="C3808" t="str">
        <f>'Inventory as of 12th Aug 2024'!A46</f>
        <v>Tukuza 1kg</v>
      </c>
      <c r="D3808" s="27">
        <v>1</v>
      </c>
      <c r="E3808" s="5">
        <f>Table4[[#This Row],[qty]]*(VLOOKUP(Table4[[#This Row],[item_sold]],Table1[],5,FALSE))</f>
        <v>90</v>
      </c>
      <c r="F3808" s="5">
        <f>(VLOOKUP(Table4[[#This Row],[item_sold]],Table1[],4,FALSE))*Table4[[#This Row],[qty]]</f>
        <v>61.25</v>
      </c>
      <c r="G3808">
        <f t="shared" si="399"/>
        <v>28.75</v>
      </c>
      <c r="H3808" t="s">
        <v>361</v>
      </c>
    </row>
    <row r="3809" spans="1:12" x14ac:dyDescent="0.25">
      <c r="A3809" s="15">
        <f t="shared" si="401"/>
        <v>45544</v>
      </c>
      <c r="B3809" s="31">
        <f t="shared" ref="B3809:B3810" si="410">TIME(19,32,0)</f>
        <v>0.81388888888888899</v>
      </c>
      <c r="C3809" t="str">
        <f>'Inventory as of 12th Aug 2024'!A27</f>
        <v>Nescafe 1.5g</v>
      </c>
      <c r="D3809" s="27">
        <v>2</v>
      </c>
      <c r="E3809" s="5">
        <f>Table4[[#This Row],[qty]]*(VLOOKUP(Table4[[#This Row],[item_sold]],Table1[],5,FALSE))</f>
        <v>30</v>
      </c>
      <c r="F3809" s="5">
        <f>(VLOOKUP(Table4[[#This Row],[item_sold]],Table1[],4,FALSE))*Table4[[#This Row],[qty]]</f>
        <v>18.333333333333332</v>
      </c>
      <c r="G3809">
        <f t="shared" si="399"/>
        <v>11.666666666666668</v>
      </c>
      <c r="H3809" t="s">
        <v>361</v>
      </c>
    </row>
    <row r="3810" spans="1:12" x14ac:dyDescent="0.25">
      <c r="A3810" s="15">
        <f t="shared" si="401"/>
        <v>45544</v>
      </c>
      <c r="B3810" s="31">
        <f t="shared" si="410"/>
        <v>0.81388888888888899</v>
      </c>
      <c r="C3810" t="str">
        <f>'Inventory as of 12th Aug 2024'!A37</f>
        <v>Festive Bread 400g</v>
      </c>
      <c r="D3810" s="27">
        <v>1</v>
      </c>
      <c r="E3810" s="5">
        <f>Table4[[#This Row],[qty]]*(VLOOKUP(Table4[[#This Row],[item_sold]],Table1[],5,FALSE))</f>
        <v>65</v>
      </c>
      <c r="F3810" s="5">
        <f>(VLOOKUP(Table4[[#This Row],[item_sold]],Table1[],4,FALSE))*Table4[[#This Row],[qty]]</f>
        <v>60</v>
      </c>
      <c r="G3810">
        <f t="shared" si="399"/>
        <v>5</v>
      </c>
      <c r="H3810" t="s">
        <v>361</v>
      </c>
    </row>
    <row r="3811" spans="1:12" x14ac:dyDescent="0.25">
      <c r="A3811" s="15">
        <f t="shared" si="401"/>
        <v>45544</v>
      </c>
      <c r="B3811" s="31">
        <f>TIME(19,38,0)</f>
        <v>0.81805555555555554</v>
      </c>
      <c r="C3811" t="str">
        <f>'Inventory as of 12th Aug 2024'!A60</f>
        <v>kensalt 200g</v>
      </c>
      <c r="D3811" s="27">
        <v>1</v>
      </c>
      <c r="E3811" s="5">
        <f>Table4[[#This Row],[qty]]*(VLOOKUP(Table4[[#This Row],[item_sold]],Table1[],5,FALSE))</f>
        <v>15</v>
      </c>
      <c r="F3811" s="5">
        <f>(VLOOKUP(Table4[[#This Row],[item_sold]],Table1[],4,FALSE))*Table4[[#This Row],[qty]]</f>
        <v>5.5</v>
      </c>
      <c r="G3811">
        <f t="shared" si="399"/>
        <v>9.5</v>
      </c>
      <c r="H3811" t="s">
        <v>430</v>
      </c>
      <c r="I3811" t="s">
        <v>406</v>
      </c>
    </row>
    <row r="3812" spans="1:12" x14ac:dyDescent="0.25">
      <c r="A3812" s="15">
        <f t="shared" si="401"/>
        <v>45544</v>
      </c>
      <c r="B3812" s="31">
        <f>TIME(19,51,0)</f>
        <v>0.82708333333333339</v>
      </c>
      <c r="C3812" t="str">
        <f>'Inventory as of 12th Aug 2024'!A251</f>
        <v>Piriton</v>
      </c>
      <c r="D3812" s="27">
        <v>10</v>
      </c>
      <c r="E3812" s="5">
        <f>Table4[[#This Row],[qty]]*(VLOOKUP(Table4[[#This Row],[item_sold]],Table1[],5,FALSE))</f>
        <v>10</v>
      </c>
      <c r="F3812" s="5">
        <f>(VLOOKUP(Table4[[#This Row],[item_sold]],Table1[],4,FALSE))*Table4[[#This Row],[qty]]</f>
        <v>5</v>
      </c>
      <c r="G3812">
        <f t="shared" si="399"/>
        <v>5</v>
      </c>
      <c r="H3812" t="s">
        <v>430</v>
      </c>
      <c r="I3812" t="s">
        <v>455</v>
      </c>
    </row>
    <row r="3813" spans="1:12" x14ac:dyDescent="0.25">
      <c r="A3813" s="15">
        <f t="shared" si="401"/>
        <v>45544</v>
      </c>
      <c r="B3813" s="31">
        <f t="shared" ref="B3813" si="411">TIME(19,51,0)</f>
        <v>0.82708333333333339</v>
      </c>
      <c r="C3813" t="str">
        <f>'Inventory as of 12th Aug 2024'!A131</f>
        <v>Zycet (cetrizine)</v>
      </c>
      <c r="D3813" s="27">
        <v>3</v>
      </c>
      <c r="E3813" s="5">
        <f>Table4[[#This Row],[qty]]*(VLOOKUP(Table4[[#This Row],[item_sold]],Table1[],5,FALSE))</f>
        <v>45</v>
      </c>
      <c r="F3813" s="5">
        <f>(VLOOKUP(Table4[[#This Row],[item_sold]],Table1[],4,FALSE))*Table4[[#This Row],[qty]]</f>
        <v>24</v>
      </c>
      <c r="G3813">
        <f t="shared" si="399"/>
        <v>21</v>
      </c>
      <c r="H3813" t="s">
        <v>430</v>
      </c>
    </row>
    <row r="3814" spans="1:12" x14ac:dyDescent="0.25">
      <c r="A3814" s="15">
        <f t="shared" si="401"/>
        <v>45544</v>
      </c>
      <c r="B3814" s="31">
        <f>TIME(20,8,0)</f>
        <v>0.83888888888888891</v>
      </c>
      <c r="C3814" t="str">
        <f>'Inventory as of 12th Aug 2024'!A57</f>
        <v>Sportsman</v>
      </c>
      <c r="D3814" s="27">
        <v>1</v>
      </c>
      <c r="E3814" s="5">
        <f>Table4[[#This Row],[qty]]*(VLOOKUP(Table4[[#This Row],[item_sold]],Table1[],5,FALSE))</f>
        <v>20</v>
      </c>
      <c r="F3814" s="5">
        <f>(VLOOKUP(Table4[[#This Row],[item_sold]],Table1[],4,FALSE))*Table4[[#This Row],[qty]]</f>
        <v>13</v>
      </c>
      <c r="G3814">
        <f t="shared" si="399"/>
        <v>7</v>
      </c>
      <c r="H3814" t="s">
        <v>361</v>
      </c>
    </row>
    <row r="3815" spans="1:12" x14ac:dyDescent="0.25">
      <c r="A3815" s="15">
        <f t="shared" si="401"/>
        <v>45544</v>
      </c>
      <c r="B3815" s="31">
        <f>TIME(20,17,0)</f>
        <v>0.84513888888888899</v>
      </c>
      <c r="C3815" t="str">
        <f>'Inventory as of 12th Aug 2024'!A177</f>
        <v>Ringoz Barbeque</v>
      </c>
      <c r="D3815" s="27">
        <v>2</v>
      </c>
      <c r="E3815" s="5">
        <f>Table4[[#This Row],[qty]]*(VLOOKUP(Table4[[#This Row],[item_sold]],Table1[],5,FALSE))</f>
        <v>30</v>
      </c>
      <c r="F3815" s="5">
        <f>(VLOOKUP(Table4[[#This Row],[item_sold]],Table1[],4,FALSE))*Table4[[#This Row],[qty]]</f>
        <v>17.2</v>
      </c>
      <c r="G3815">
        <f t="shared" si="399"/>
        <v>12.8</v>
      </c>
      <c r="H3815" t="s">
        <v>361</v>
      </c>
    </row>
    <row r="3816" spans="1:12" x14ac:dyDescent="0.25">
      <c r="A3816" s="15">
        <f t="shared" si="401"/>
        <v>45544</v>
      </c>
      <c r="B3816" s="31">
        <f>TIME(20,24,0)</f>
        <v>0.85</v>
      </c>
      <c r="C3816" t="str">
        <f>'Inventory as of 12th Aug 2024'!A200</f>
        <v>Ngumu</v>
      </c>
      <c r="D3816" s="27">
        <v>1</v>
      </c>
      <c r="E3816" s="5">
        <f>Table4[[#This Row],[qty]]*(VLOOKUP(Table4[[#This Row],[item_sold]],Table1[],5,FALSE))</f>
        <v>10</v>
      </c>
      <c r="F3816" s="5">
        <f>(VLOOKUP(Table4[[#This Row],[item_sold]],Table1[],4,FALSE))*Table4[[#This Row],[qty]]</f>
        <v>8.3333333333333339</v>
      </c>
      <c r="G3816">
        <f t="shared" si="399"/>
        <v>1.6666666666666661</v>
      </c>
      <c r="H3816" t="s">
        <v>247</v>
      </c>
    </row>
    <row r="3817" spans="1:12" x14ac:dyDescent="0.25">
      <c r="A3817" s="15">
        <f t="shared" si="401"/>
        <v>45544</v>
      </c>
      <c r="B3817" s="31">
        <f t="shared" ref="B3817:B3818" si="412">TIME(20,24,0)</f>
        <v>0.85</v>
      </c>
      <c r="C3817" t="str">
        <f>'Inventory as of 12th Aug 2024'!A208</f>
        <v>minutemaid 400ml</v>
      </c>
      <c r="D3817" s="27">
        <v>1</v>
      </c>
      <c r="E3817" s="5">
        <f>Table4[[#This Row],[qty]]*(VLOOKUP(Table4[[#This Row],[item_sold]],Table1[],5,FALSE))</f>
        <v>85</v>
      </c>
      <c r="F3817" s="5">
        <f>(VLOOKUP(Table4[[#This Row],[item_sold]],Table1[],4,FALSE))*Table4[[#This Row],[qty]]</f>
        <v>62.5</v>
      </c>
      <c r="G3817">
        <f t="shared" si="399"/>
        <v>22.5</v>
      </c>
      <c r="H3817" t="s">
        <v>361</v>
      </c>
    </row>
    <row r="3818" spans="1:12" x14ac:dyDescent="0.25">
      <c r="A3818" s="15">
        <f t="shared" si="401"/>
        <v>45544</v>
      </c>
      <c r="B3818" s="31">
        <f t="shared" si="412"/>
        <v>0.85</v>
      </c>
      <c r="C3818" t="str">
        <f>'Inventory as of 12th Aug 2024'!A92</f>
        <v>Banana</v>
      </c>
      <c r="D3818" s="27">
        <v>2</v>
      </c>
      <c r="E3818" s="5">
        <f>Table4[[#This Row],[qty]]*(VLOOKUP(Table4[[#This Row],[item_sold]],Table1[],5,FALSE))</f>
        <v>20</v>
      </c>
      <c r="F3818" s="5">
        <f>(VLOOKUP(Table4[[#This Row],[item_sold]],Table1[],4,FALSE))*Table4[[#This Row],[qty]]</f>
        <v>16.666666666666668</v>
      </c>
      <c r="G3818">
        <f t="shared" ref="G3818:G3881" si="413">E3818-F3818</f>
        <v>3.3333333333333321</v>
      </c>
      <c r="H3818" t="s">
        <v>430</v>
      </c>
      <c r="I3818" t="s">
        <v>456</v>
      </c>
    </row>
    <row r="3819" spans="1:12" x14ac:dyDescent="0.25">
      <c r="A3819" s="15">
        <f>DATE(2024,9,10)</f>
        <v>45545</v>
      </c>
      <c r="B3819" s="31">
        <f>TIME(7,10,0)</f>
        <v>0.2986111111111111</v>
      </c>
      <c r="C3819" t="str">
        <f>'Inventory as of 12th Aug 2024'!A57</f>
        <v>Sportsman</v>
      </c>
      <c r="D3819" s="27">
        <v>2</v>
      </c>
      <c r="E3819" s="5">
        <f>Table4[[#This Row],[qty]]*(VLOOKUP(Table4[[#This Row],[item_sold]],Table1[],5,FALSE))</f>
        <v>40</v>
      </c>
      <c r="F3819" s="5">
        <f>(VLOOKUP(Table4[[#This Row],[item_sold]],Table1[],4,FALSE))*Table4[[#This Row],[qty]]</f>
        <v>26</v>
      </c>
      <c r="G3819">
        <f t="shared" si="413"/>
        <v>14</v>
      </c>
      <c r="H3819" t="s">
        <v>361</v>
      </c>
    </row>
    <row r="3820" spans="1:12" x14ac:dyDescent="0.25">
      <c r="A3820" s="15">
        <f t="shared" ref="A3820:A3881" si="414">DATE(2024,9,10)</f>
        <v>45545</v>
      </c>
      <c r="B3820" s="31">
        <f t="shared" ref="B3820:B3822" si="415">TIME(7,10,0)</f>
        <v>0.2986111111111111</v>
      </c>
      <c r="C3820" t="str">
        <f>'Inventory as of 12th Aug 2024'!A58</f>
        <v>Safari</v>
      </c>
      <c r="D3820" s="27">
        <v>1</v>
      </c>
      <c r="E3820" s="5">
        <f>Table4[[#This Row],[qty]]*(VLOOKUP(Table4[[#This Row],[item_sold]],Table1[],5,FALSE))</f>
        <v>15</v>
      </c>
      <c r="F3820" s="5">
        <f>(VLOOKUP(Table4[[#This Row],[item_sold]],Table1[],4,FALSE))*Table4[[#This Row],[qty]]</f>
        <v>8.5</v>
      </c>
      <c r="G3820">
        <f t="shared" si="413"/>
        <v>6.5</v>
      </c>
      <c r="H3820" t="s">
        <v>361</v>
      </c>
    </row>
    <row r="3821" spans="1:12" x14ac:dyDescent="0.25">
      <c r="A3821" s="15">
        <f t="shared" si="414"/>
        <v>45545</v>
      </c>
      <c r="B3821" s="31">
        <f t="shared" si="415"/>
        <v>0.2986111111111111</v>
      </c>
      <c r="C3821" t="str">
        <f>'Inventory as of 12th Aug 2024'!A8</f>
        <v>eggs</v>
      </c>
      <c r="D3821" s="27">
        <v>4</v>
      </c>
      <c r="E3821" s="5">
        <f>Table4[[#This Row],[qty]]*(VLOOKUP(Table4[[#This Row],[item_sold]],Table1[],5,FALSE))</f>
        <v>80</v>
      </c>
      <c r="F3821" s="5">
        <f>(VLOOKUP(Table4[[#This Row],[item_sold]],Table1[],4,FALSE))*Table4[[#This Row],[qty]]</f>
        <v>57.333333333333336</v>
      </c>
      <c r="G3821">
        <f t="shared" si="413"/>
        <v>22.666666666666664</v>
      </c>
      <c r="H3821" t="s">
        <v>430</v>
      </c>
      <c r="I3821" t="s">
        <v>390</v>
      </c>
    </row>
    <row r="3822" spans="1:12" x14ac:dyDescent="0.25">
      <c r="A3822" s="15">
        <f t="shared" si="414"/>
        <v>45545</v>
      </c>
      <c r="B3822" s="31">
        <f t="shared" si="415"/>
        <v>0.2986111111111111</v>
      </c>
      <c r="C3822" t="str">
        <f>'Inventory as of 12th Aug 2024'!A199</f>
        <v>Kdf</v>
      </c>
      <c r="D3822" s="27">
        <v>4</v>
      </c>
      <c r="E3822" s="5">
        <f>Table4[[#This Row],[qty]]*(VLOOKUP(Table4[[#This Row],[item_sold]],Table1[],5,FALSE))</f>
        <v>40</v>
      </c>
      <c r="F3822" s="5">
        <f>(VLOOKUP(Table4[[#This Row],[item_sold]],Table1[],4,FALSE))*Table4[[#This Row],[qty]]</f>
        <v>33.333333333333336</v>
      </c>
      <c r="G3822">
        <f t="shared" si="413"/>
        <v>6.6666666666666643</v>
      </c>
      <c r="H3822" t="s">
        <v>430</v>
      </c>
      <c r="I3822" t="s">
        <v>390</v>
      </c>
      <c r="J3822" t="s">
        <v>390</v>
      </c>
      <c r="K3822">
        <v>200</v>
      </c>
      <c r="L3822" t="s">
        <v>247</v>
      </c>
    </row>
    <row r="3823" spans="1:12" x14ac:dyDescent="0.25">
      <c r="A3823" s="15">
        <f t="shared" si="414"/>
        <v>45545</v>
      </c>
      <c r="B3823" s="31">
        <f>TIME(7,40,0)</f>
        <v>0.31944444444444448</v>
      </c>
      <c r="C3823" t="str">
        <f>'Inventory as of 12th Aug 2024'!A16</f>
        <v>Mt kenya milk 500ml</v>
      </c>
      <c r="D3823" s="27">
        <v>2</v>
      </c>
      <c r="E3823" s="5">
        <f>Table4[[#This Row],[qty]]*(VLOOKUP(Table4[[#This Row],[item_sold]],Table1[],5,FALSE))</f>
        <v>130</v>
      </c>
      <c r="F3823" s="5">
        <f>(VLOOKUP(Table4[[#This Row],[item_sold]],Table1[],4,FALSE))*Table4[[#This Row],[qty]]</f>
        <v>96.666666666666671</v>
      </c>
      <c r="G3823">
        <f t="shared" si="413"/>
        <v>33.333333333333329</v>
      </c>
      <c r="H3823" t="s">
        <v>430</v>
      </c>
      <c r="I3823" t="s">
        <v>427</v>
      </c>
    </row>
    <row r="3824" spans="1:12" x14ac:dyDescent="0.25">
      <c r="A3824" s="15">
        <f t="shared" si="414"/>
        <v>45545</v>
      </c>
      <c r="B3824" s="31">
        <f>TIME(9,37,0)</f>
        <v>0.40069444444444446</v>
      </c>
      <c r="C3824" t="str">
        <f>'Inventory as of 12th Aug 2024'!A33</f>
        <v>BB Bread 400g</v>
      </c>
      <c r="D3824" s="27">
        <v>1</v>
      </c>
      <c r="E3824" s="5">
        <f>Table4[[#This Row],[qty]]*(VLOOKUP(Table4[[#This Row],[item_sold]],Table1[],5,FALSE))</f>
        <v>65</v>
      </c>
      <c r="F3824" s="5">
        <f>(VLOOKUP(Table4[[#This Row],[item_sold]],Table1[],4,FALSE))*Table4[[#This Row],[qty]]</f>
        <v>60</v>
      </c>
      <c r="G3824">
        <f t="shared" si="413"/>
        <v>5</v>
      </c>
      <c r="H3824" t="s">
        <v>430</v>
      </c>
      <c r="I3824" t="s">
        <v>385</v>
      </c>
    </row>
    <row r="3825" spans="1:9" x14ac:dyDescent="0.25">
      <c r="A3825" s="15">
        <f t="shared" si="414"/>
        <v>45545</v>
      </c>
      <c r="B3825" s="31">
        <f>TIME(9,38,0)</f>
        <v>0.40138888888888885</v>
      </c>
      <c r="C3825" t="str">
        <f>'Inventory as of 12th Aug 2024'!A7</f>
        <v>Airtel 50 Credit</v>
      </c>
      <c r="D3825" s="27">
        <v>2</v>
      </c>
      <c r="E3825" s="5">
        <f>Table4[[#This Row],[qty]]*(VLOOKUP(Table4[[#This Row],[item_sold]],Table1[],5,FALSE))</f>
        <v>100</v>
      </c>
      <c r="F3825" s="5">
        <f>(VLOOKUP(Table4[[#This Row],[item_sold]],Table1[],4,FALSE))*Table4[[#This Row],[qty]]</f>
        <v>94</v>
      </c>
      <c r="G3825">
        <f t="shared" si="413"/>
        <v>6</v>
      </c>
      <c r="H3825" t="s">
        <v>247</v>
      </c>
    </row>
    <row r="3826" spans="1:9" x14ac:dyDescent="0.25">
      <c r="A3826" s="15">
        <f t="shared" si="414"/>
        <v>45545</v>
      </c>
      <c r="B3826" s="31">
        <f>TIME(9,38,0)</f>
        <v>0.40138888888888885</v>
      </c>
      <c r="C3826" t="str">
        <f>'Inventory as of 12th Aug 2024'!A256</f>
        <v>Family bisquit</v>
      </c>
      <c r="D3826" s="27">
        <v>1</v>
      </c>
      <c r="E3826" s="5">
        <f>Table4[[#This Row],[qty]]*(VLOOKUP(Table4[[#This Row],[item_sold]],Table1[],5,FALSE))</f>
        <v>35</v>
      </c>
      <c r="F3826" s="5">
        <f>(VLOOKUP(Table4[[#This Row],[item_sold]],Table1[],4,FALSE))*Table4[[#This Row],[qty]]</f>
        <v>23.333333333333332</v>
      </c>
      <c r="G3826">
        <f t="shared" si="413"/>
        <v>11.666666666666668</v>
      </c>
      <c r="H3826" t="s">
        <v>247</v>
      </c>
    </row>
    <row r="3827" spans="1:9" x14ac:dyDescent="0.25">
      <c r="A3827" s="15">
        <f t="shared" si="414"/>
        <v>45545</v>
      </c>
      <c r="B3827" s="31">
        <f>TIME(10,47,0)</f>
        <v>0.44930555555555557</v>
      </c>
      <c r="C3827" t="str">
        <f>'Inventory as of 12th Aug 2024'!A57</f>
        <v>Sportsman</v>
      </c>
      <c r="D3827" s="27">
        <v>1</v>
      </c>
      <c r="E3827" s="5">
        <f>Table4[[#This Row],[qty]]*(VLOOKUP(Table4[[#This Row],[item_sold]],Table1[],5,FALSE))</f>
        <v>20</v>
      </c>
      <c r="F3827" s="5">
        <f>(VLOOKUP(Table4[[#This Row],[item_sold]],Table1[],4,FALSE))*Table4[[#This Row],[qty]]</f>
        <v>13</v>
      </c>
      <c r="G3827">
        <f t="shared" si="413"/>
        <v>7</v>
      </c>
      <c r="H3827" t="s">
        <v>361</v>
      </c>
    </row>
    <row r="3828" spans="1:9" x14ac:dyDescent="0.25">
      <c r="A3828" s="15">
        <f t="shared" si="414"/>
        <v>45545</v>
      </c>
      <c r="B3828" s="31">
        <f>TIME(10,47,0)</f>
        <v>0.44930555555555557</v>
      </c>
      <c r="C3828" t="str">
        <f>'Inventory as of 12th Aug 2024'!A200</f>
        <v>Ngumu</v>
      </c>
      <c r="D3828" s="27">
        <v>1</v>
      </c>
      <c r="E3828" s="5">
        <f>Table4[[#This Row],[qty]]*(VLOOKUP(Table4[[#This Row],[item_sold]],Table1[],5,FALSE))</f>
        <v>10</v>
      </c>
      <c r="F3828" s="5">
        <f>(VLOOKUP(Table4[[#This Row],[item_sold]],Table1[],4,FALSE))*Table4[[#This Row],[qty]]</f>
        <v>8.3333333333333339</v>
      </c>
      <c r="G3828">
        <f t="shared" si="413"/>
        <v>1.6666666666666661</v>
      </c>
      <c r="H3828" t="s">
        <v>361</v>
      </c>
    </row>
    <row r="3829" spans="1:9" x14ac:dyDescent="0.25">
      <c r="A3829" s="15">
        <f t="shared" si="414"/>
        <v>45545</v>
      </c>
      <c r="B3829" s="31">
        <f>TIME(12,1,0)</f>
        <v>0.50069444444444444</v>
      </c>
      <c r="C3829" t="str">
        <f>'Inventory as of 12th Aug 2024'!A244</f>
        <v>5ltrs water</v>
      </c>
      <c r="D3829" s="27">
        <v>1</v>
      </c>
      <c r="E3829" s="5">
        <f>Table4[[#This Row],[qty]]*(VLOOKUP(Table4[[#This Row],[item_sold]],Table1[],5,FALSE))</f>
        <v>120</v>
      </c>
      <c r="F3829" s="5">
        <f>(VLOOKUP(Table4[[#This Row],[item_sold]],Table1[],4,FALSE))*Table4[[#This Row],[qty]]</f>
        <v>75</v>
      </c>
      <c r="G3829">
        <f t="shared" si="413"/>
        <v>45</v>
      </c>
      <c r="H3829" t="s">
        <v>361</v>
      </c>
    </row>
    <row r="3830" spans="1:9" x14ac:dyDescent="0.25">
      <c r="A3830" s="15">
        <f t="shared" si="414"/>
        <v>45545</v>
      </c>
      <c r="B3830" s="31">
        <f t="shared" ref="B3830:B3831" si="416">TIME(12,1,0)</f>
        <v>0.50069444444444444</v>
      </c>
      <c r="C3830" t="str">
        <f>'Inventory as of 12th Aug 2024'!A8</f>
        <v>eggs</v>
      </c>
      <c r="D3830" s="27">
        <v>3</v>
      </c>
      <c r="E3830" s="5">
        <f>Table4[[#This Row],[qty]]*(VLOOKUP(Table4[[#This Row],[item_sold]],Table1[],5,FALSE))</f>
        <v>60</v>
      </c>
      <c r="F3830" s="5">
        <f>(VLOOKUP(Table4[[#This Row],[item_sold]],Table1[],4,FALSE))*Table4[[#This Row],[qty]]</f>
        <v>43</v>
      </c>
      <c r="G3830">
        <f t="shared" si="413"/>
        <v>17</v>
      </c>
      <c r="H3830" t="s">
        <v>361</v>
      </c>
    </row>
    <row r="3831" spans="1:9" x14ac:dyDescent="0.25">
      <c r="A3831" s="15">
        <f t="shared" si="414"/>
        <v>45545</v>
      </c>
      <c r="B3831" s="31">
        <f t="shared" si="416"/>
        <v>0.50069444444444444</v>
      </c>
      <c r="C3831" t="str">
        <f>'Inventory as of 12th Aug 2024'!A91</f>
        <v>Tomatoes</v>
      </c>
      <c r="D3831" s="27">
        <v>1</v>
      </c>
      <c r="E3831" s="5">
        <f>Table4[[#This Row],[qty]]*(VLOOKUP(Table4[[#This Row],[item_sold]],Table1[],5,FALSE))</f>
        <v>10</v>
      </c>
      <c r="F3831" s="5">
        <f>(VLOOKUP(Table4[[#This Row],[item_sold]],Table1[],4,FALSE))*Table4[[#This Row],[qty]]</f>
        <v>5</v>
      </c>
      <c r="G3831">
        <f t="shared" si="413"/>
        <v>5</v>
      </c>
      <c r="H3831" t="s">
        <v>361</v>
      </c>
    </row>
    <row r="3832" spans="1:9" x14ac:dyDescent="0.25">
      <c r="A3832" s="15">
        <f t="shared" si="414"/>
        <v>45545</v>
      </c>
      <c r="B3832" s="31">
        <f>TIME(12,31,0)</f>
        <v>0.52152777777777781</v>
      </c>
      <c r="C3832" t="str">
        <f>'Inventory as of 12th Aug 2024'!A200</f>
        <v>Ngumu</v>
      </c>
      <c r="D3832" s="27">
        <v>2</v>
      </c>
      <c r="E3832" s="5">
        <f>Table4[[#This Row],[qty]]*(VLOOKUP(Table4[[#This Row],[item_sold]],Table1[],5,FALSE))</f>
        <v>20</v>
      </c>
      <c r="F3832" s="5">
        <f>(VLOOKUP(Table4[[#This Row],[item_sold]],Table1[],4,FALSE))*Table4[[#This Row],[qty]]</f>
        <v>16.666666666666668</v>
      </c>
      <c r="G3832">
        <f t="shared" si="413"/>
        <v>3.3333333333333321</v>
      </c>
      <c r="H3832" t="s">
        <v>361</v>
      </c>
    </row>
    <row r="3833" spans="1:9" x14ac:dyDescent="0.25">
      <c r="A3833" s="15">
        <f t="shared" si="414"/>
        <v>45545</v>
      </c>
      <c r="B3833" s="31">
        <f>TIME(13,5,0)</f>
        <v>0.54513888888888895</v>
      </c>
      <c r="C3833" t="str">
        <f>'Inventory as of 12th Aug 2024'!A24</f>
        <v>Brookside Lala Natural</v>
      </c>
      <c r="D3833" s="27">
        <v>2</v>
      </c>
      <c r="E3833" s="5">
        <f>Table4[[#This Row],[qty]]*(VLOOKUP(Table4[[#This Row],[item_sold]],Table1[],5,FALSE))</f>
        <v>200</v>
      </c>
      <c r="F3833" s="5">
        <f>(VLOOKUP(Table4[[#This Row],[item_sold]],Table1[],4,FALSE))*Table4[[#This Row],[qty]]</f>
        <v>174</v>
      </c>
      <c r="G3833">
        <f t="shared" si="413"/>
        <v>26</v>
      </c>
      <c r="H3833" t="s">
        <v>361</v>
      </c>
    </row>
    <row r="3834" spans="1:9" x14ac:dyDescent="0.25">
      <c r="A3834" s="15">
        <f t="shared" si="414"/>
        <v>45545</v>
      </c>
      <c r="B3834" s="31">
        <f t="shared" ref="B3834:B3836" si="417">TIME(13,5,0)</f>
        <v>0.54513888888888895</v>
      </c>
      <c r="C3834" t="str">
        <f>'Inventory as of 12th Aug 2024'!A69</f>
        <v>Royco Beef Mchuzi Mix</v>
      </c>
      <c r="D3834" s="27">
        <v>1</v>
      </c>
      <c r="E3834" s="5">
        <f>Table4[[#This Row],[qty]]*(VLOOKUP(Table4[[#This Row],[item_sold]],Table1[],5,FALSE))</f>
        <v>10</v>
      </c>
      <c r="F3834" s="5">
        <f>(VLOOKUP(Table4[[#This Row],[item_sold]],Table1[],4,FALSE))*Table4[[#This Row],[qty]]</f>
        <v>8.3333333333333339</v>
      </c>
      <c r="G3834">
        <f t="shared" si="413"/>
        <v>1.6666666666666661</v>
      </c>
      <c r="H3834" t="s">
        <v>361</v>
      </c>
    </row>
    <row r="3835" spans="1:9" x14ac:dyDescent="0.25">
      <c r="A3835" s="15">
        <f t="shared" si="414"/>
        <v>45545</v>
      </c>
      <c r="B3835" s="31">
        <f t="shared" si="417"/>
        <v>0.54513888888888895</v>
      </c>
      <c r="C3835" t="str">
        <f>'Inventory as of 12th Aug 2024'!A85</f>
        <v>Downy lavender</v>
      </c>
      <c r="D3835" s="27">
        <v>2</v>
      </c>
      <c r="E3835" s="5">
        <f>Table4[[#This Row],[qty]]*(VLOOKUP(Table4[[#This Row],[item_sold]],Table1[],5,FALSE))</f>
        <v>40</v>
      </c>
      <c r="F3835" s="5">
        <f>(VLOOKUP(Table4[[#This Row],[item_sold]],Table1[],4,FALSE))*Table4[[#This Row],[qty]]</f>
        <v>34.666666666666664</v>
      </c>
      <c r="G3835">
        <f t="shared" si="413"/>
        <v>5.3333333333333357</v>
      </c>
      <c r="H3835" t="s">
        <v>361</v>
      </c>
    </row>
    <row r="3836" spans="1:9" x14ac:dyDescent="0.25">
      <c r="A3836" s="15">
        <f t="shared" si="414"/>
        <v>45545</v>
      </c>
      <c r="B3836" s="31">
        <f t="shared" si="417"/>
        <v>0.54513888888888895</v>
      </c>
      <c r="C3836" t="str">
        <f>'Inventory as of 12th Aug 2024'!A172</f>
        <v>Carrier bag small</v>
      </c>
      <c r="D3836" s="27">
        <v>1</v>
      </c>
      <c r="E3836" s="5">
        <f>Table4[[#This Row],[qty]]*(VLOOKUP(Table4[[#This Row],[item_sold]],Table1[],5,FALSE))</f>
        <v>10</v>
      </c>
      <c r="F3836" s="5">
        <f>(VLOOKUP(Table4[[#This Row],[item_sold]],Table1[],4,FALSE))*Table4[[#This Row],[qty]]</f>
        <v>3</v>
      </c>
      <c r="G3836">
        <f t="shared" si="413"/>
        <v>7</v>
      </c>
      <c r="H3836" t="s">
        <v>361</v>
      </c>
    </row>
    <row r="3837" spans="1:9" x14ac:dyDescent="0.25">
      <c r="A3837" s="15">
        <f t="shared" si="414"/>
        <v>45545</v>
      </c>
      <c r="B3837" s="31">
        <f>TIME(13,16,0)</f>
        <v>0.55277777777777781</v>
      </c>
      <c r="C3837" t="str">
        <f>'Inventory as of 12th Aug 2024'!A7</f>
        <v>Airtel 50 Credit</v>
      </c>
      <c r="D3837" s="27">
        <v>2</v>
      </c>
      <c r="E3837" s="5">
        <f>Table4[[#This Row],[qty]]*(VLOOKUP(Table4[[#This Row],[item_sold]],Table1[],5,FALSE))</f>
        <v>100</v>
      </c>
      <c r="F3837" s="5">
        <f>(VLOOKUP(Table4[[#This Row],[item_sold]],Table1[],4,FALSE))*Table4[[#This Row],[qty]]</f>
        <v>94</v>
      </c>
      <c r="G3837">
        <f t="shared" si="413"/>
        <v>6</v>
      </c>
      <c r="H3837" t="s">
        <v>247</v>
      </c>
    </row>
    <row r="3838" spans="1:9" x14ac:dyDescent="0.25">
      <c r="A3838" s="15">
        <f t="shared" si="414"/>
        <v>45545</v>
      </c>
      <c r="B3838" s="31">
        <f>TIME(14,13,0)</f>
        <v>0.59236111111111112</v>
      </c>
      <c r="C3838" t="str">
        <f>'Inventory as of 12th Aug 2024'!A213</f>
        <v>soda 500ml glass</v>
      </c>
      <c r="D3838" s="27">
        <v>1</v>
      </c>
      <c r="E3838" s="5">
        <f>Table4[[#This Row],[qty]]*(VLOOKUP(Table4[[#This Row],[item_sold]],Table1[],5,FALSE))</f>
        <v>55</v>
      </c>
      <c r="F3838" s="5">
        <f>(VLOOKUP(Table4[[#This Row],[item_sold]],Table1[],4,FALSE))*Table4[[#This Row],[qty]]</f>
        <v>50</v>
      </c>
      <c r="G3838">
        <f t="shared" si="413"/>
        <v>5</v>
      </c>
      <c r="H3838" t="s">
        <v>247</v>
      </c>
    </row>
    <row r="3839" spans="1:9" x14ac:dyDescent="0.25">
      <c r="A3839" s="15">
        <f t="shared" si="414"/>
        <v>45545</v>
      </c>
      <c r="B3839" s="31">
        <f t="shared" ref="B3839:B3840" si="418">TIME(14,13,0)</f>
        <v>0.59236111111111112</v>
      </c>
      <c r="C3839" t="str">
        <f>'Inventory as of 12th Aug 2024'!A199</f>
        <v>Kdf</v>
      </c>
      <c r="D3839" s="27">
        <v>3</v>
      </c>
      <c r="E3839" s="5">
        <f>Table4[[#This Row],[qty]]*(VLOOKUP(Table4[[#This Row],[item_sold]],Table1[],5,FALSE))</f>
        <v>30</v>
      </c>
      <c r="F3839" s="5">
        <f>(VLOOKUP(Table4[[#This Row],[item_sold]],Table1[],4,FALSE))*Table4[[#This Row],[qty]]</f>
        <v>25</v>
      </c>
      <c r="G3839">
        <f t="shared" si="413"/>
        <v>5</v>
      </c>
      <c r="H3839" t="s">
        <v>247</v>
      </c>
    </row>
    <row r="3840" spans="1:9" x14ac:dyDescent="0.25">
      <c r="A3840" s="15">
        <f t="shared" si="414"/>
        <v>45545</v>
      </c>
      <c r="B3840" s="31">
        <f t="shared" si="418"/>
        <v>0.59236111111111112</v>
      </c>
      <c r="C3840" t="str">
        <f>'Inventory as of 12th Aug 2024'!A57</f>
        <v>Sportsman</v>
      </c>
      <c r="D3840" s="27">
        <v>1</v>
      </c>
      <c r="E3840" s="5">
        <f>Table4[[#This Row],[qty]]*(VLOOKUP(Table4[[#This Row],[item_sold]],Table1[],5,FALSE))</f>
        <v>20</v>
      </c>
      <c r="F3840" s="5">
        <f>(VLOOKUP(Table4[[#This Row],[item_sold]],Table1[],4,FALSE))*Table4[[#This Row],[qty]]</f>
        <v>13</v>
      </c>
      <c r="G3840">
        <f t="shared" si="413"/>
        <v>7</v>
      </c>
      <c r="H3840" t="s">
        <v>430</v>
      </c>
      <c r="I3840" t="s">
        <v>447</v>
      </c>
    </row>
    <row r="3841" spans="1:9" x14ac:dyDescent="0.25">
      <c r="A3841" s="15">
        <f t="shared" si="414"/>
        <v>45545</v>
      </c>
      <c r="B3841" s="31">
        <f>TIME(15,9,0)</f>
        <v>0.63124999999999998</v>
      </c>
      <c r="C3841" t="str">
        <f>'Inventory as of 12th Aug 2024'!A208</f>
        <v>minutemaid 400ml</v>
      </c>
      <c r="D3841" s="27">
        <v>1</v>
      </c>
      <c r="E3841" s="5">
        <f>Table4[[#This Row],[qty]]*(VLOOKUP(Table4[[#This Row],[item_sold]],Table1[],5,FALSE))</f>
        <v>85</v>
      </c>
      <c r="F3841" s="5">
        <f>(VLOOKUP(Table4[[#This Row],[item_sold]],Table1[],4,FALSE))*Table4[[#This Row],[qty]]</f>
        <v>62.5</v>
      </c>
      <c r="G3841">
        <f t="shared" si="413"/>
        <v>22.5</v>
      </c>
      <c r="H3841" t="s">
        <v>430</v>
      </c>
      <c r="I3841" t="s">
        <v>452</v>
      </c>
    </row>
    <row r="3842" spans="1:9" x14ac:dyDescent="0.25">
      <c r="A3842" s="15">
        <f t="shared" si="414"/>
        <v>45545</v>
      </c>
      <c r="B3842" s="31">
        <f>TIME(15,10,0)</f>
        <v>0.63194444444444442</v>
      </c>
      <c r="C3842" t="str">
        <f>'Inventory as of 12th Aug 2024'!A246</f>
        <v>300ml water</v>
      </c>
      <c r="D3842" s="27">
        <v>1</v>
      </c>
      <c r="E3842" s="5">
        <f>Table4[[#This Row],[qty]]*(VLOOKUP(Table4[[#This Row],[item_sold]],Table1[],5,FALSE))</f>
        <v>30</v>
      </c>
      <c r="F3842" s="5">
        <f>(VLOOKUP(Table4[[#This Row],[item_sold]],Table1[],4,FALSE))*Table4[[#This Row],[qty]]</f>
        <v>12.5</v>
      </c>
      <c r="G3842">
        <f t="shared" si="413"/>
        <v>17.5</v>
      </c>
      <c r="H3842" t="s">
        <v>430</v>
      </c>
      <c r="I3842" t="s">
        <v>401</v>
      </c>
    </row>
    <row r="3843" spans="1:9" x14ac:dyDescent="0.25">
      <c r="A3843" s="15">
        <f t="shared" si="414"/>
        <v>45545</v>
      </c>
      <c r="B3843" s="31">
        <f t="shared" ref="B3843" si="419">TIME(15,10,0)</f>
        <v>0.63194444444444442</v>
      </c>
      <c r="C3843" t="str">
        <f>'Inventory as of 12th Aug 2024'!A244</f>
        <v>5ltrs water</v>
      </c>
      <c r="D3843" s="27">
        <v>1</v>
      </c>
      <c r="E3843" s="5">
        <f>Table4[[#This Row],[qty]]*(VLOOKUP(Table4[[#This Row],[item_sold]],Table1[],5,FALSE))</f>
        <v>120</v>
      </c>
      <c r="F3843" s="5">
        <f>(VLOOKUP(Table4[[#This Row],[item_sold]],Table1[],4,FALSE))*Table4[[#This Row],[qty]]</f>
        <v>75</v>
      </c>
      <c r="G3843">
        <f t="shared" si="413"/>
        <v>45</v>
      </c>
      <c r="H3843" t="s">
        <v>430</v>
      </c>
    </row>
    <row r="3844" spans="1:9" x14ac:dyDescent="0.25">
      <c r="A3844" s="15">
        <f t="shared" si="414"/>
        <v>45545</v>
      </c>
      <c r="B3844" s="31">
        <f>TIME(16,18,0)</f>
        <v>0.6791666666666667</v>
      </c>
      <c r="C3844" t="str">
        <f>'Inventory as of 12th Aug 2024'!A18</f>
        <v>Crown Gold Milk 500ml</v>
      </c>
      <c r="D3844" s="27">
        <v>2</v>
      </c>
      <c r="E3844" s="5">
        <f>Table4[[#This Row],[qty]]*(VLOOKUP(Table4[[#This Row],[item_sold]],Table1[],5,FALSE))</f>
        <v>130</v>
      </c>
      <c r="F3844" s="5">
        <f>(VLOOKUP(Table4[[#This Row],[item_sold]],Table1[],4,FALSE))*Table4[[#This Row],[qty]]</f>
        <v>108.33333333333333</v>
      </c>
      <c r="G3844">
        <f t="shared" si="413"/>
        <v>21.666666666666671</v>
      </c>
      <c r="H3844" t="s">
        <v>361</v>
      </c>
    </row>
    <row r="3845" spans="1:9" x14ac:dyDescent="0.25">
      <c r="A3845" s="15">
        <f t="shared" si="414"/>
        <v>45545</v>
      </c>
      <c r="B3845" s="31">
        <f>TIME(16,19,0)</f>
        <v>0.67986111111111114</v>
      </c>
      <c r="C3845" t="str">
        <f>'Inventory as of 12th Aug 2024'!A75</f>
        <v>Cooking Oil Measured</v>
      </c>
      <c r="D3845" s="27">
        <v>0.25</v>
      </c>
      <c r="E3845" s="5">
        <f>Table4[[#This Row],[qty]]*(VLOOKUP(Table4[[#This Row],[item_sold]],Table1[],5,FALSE))</f>
        <v>70</v>
      </c>
      <c r="F3845" s="5">
        <f>(VLOOKUP(Table4[[#This Row],[item_sold]],Table1[],4,FALSE))*Table4[[#This Row],[qty]]</f>
        <v>50</v>
      </c>
      <c r="G3845">
        <f t="shared" si="413"/>
        <v>20</v>
      </c>
      <c r="H3845" t="s">
        <v>361</v>
      </c>
    </row>
    <row r="3846" spans="1:9" x14ac:dyDescent="0.25">
      <c r="A3846" s="15">
        <f t="shared" si="414"/>
        <v>45545</v>
      </c>
      <c r="B3846" s="31">
        <f t="shared" ref="B3846:B3847" si="420">TIME(16,19,0)</f>
        <v>0.67986111111111114</v>
      </c>
      <c r="C3846" t="str">
        <f>'Inventory as of 12th Aug 2024'!A33</f>
        <v>BB Bread 400g</v>
      </c>
      <c r="D3846" s="27">
        <v>1</v>
      </c>
      <c r="E3846" s="5">
        <f>Table4[[#This Row],[qty]]*(VLOOKUP(Table4[[#This Row],[item_sold]],Table1[],5,FALSE))</f>
        <v>65</v>
      </c>
      <c r="F3846" s="5">
        <f>(VLOOKUP(Table4[[#This Row],[item_sold]],Table1[],4,FALSE))*Table4[[#This Row],[qty]]</f>
        <v>60</v>
      </c>
      <c r="G3846">
        <f t="shared" si="413"/>
        <v>5</v>
      </c>
      <c r="H3846" t="s">
        <v>361</v>
      </c>
    </row>
    <row r="3847" spans="1:9" x14ac:dyDescent="0.25">
      <c r="A3847" s="15">
        <f t="shared" si="414"/>
        <v>45545</v>
      </c>
      <c r="B3847" s="31">
        <f t="shared" si="420"/>
        <v>0.67986111111111114</v>
      </c>
      <c r="C3847" t="str">
        <f>'Inventory as of 12th Aug 2024'!A64</f>
        <v>Tomato paste</v>
      </c>
      <c r="D3847" s="27">
        <v>1</v>
      </c>
      <c r="E3847" s="5">
        <f>Table4[[#This Row],[qty]]*(VLOOKUP(Table4[[#This Row],[item_sold]],Table1[],5,FALSE))</f>
        <v>30</v>
      </c>
      <c r="F3847" s="5">
        <f>(VLOOKUP(Table4[[#This Row],[item_sold]],Table1[],4,FALSE))*Table4[[#This Row],[qty]]</f>
        <v>12.5</v>
      </c>
      <c r="G3847">
        <f t="shared" si="413"/>
        <v>17.5</v>
      </c>
      <c r="H3847" t="s">
        <v>361</v>
      </c>
    </row>
    <row r="3848" spans="1:9" x14ac:dyDescent="0.25">
      <c r="A3848" s="15">
        <f t="shared" si="414"/>
        <v>45545</v>
      </c>
      <c r="B3848" s="31">
        <f>TIME(16,27,0)</f>
        <v>0.68541666666666667</v>
      </c>
      <c r="C3848" t="str">
        <f>'Inventory as of 12th Aug 2024'!A57</f>
        <v>Sportsman</v>
      </c>
      <c r="D3848" s="27">
        <v>1</v>
      </c>
      <c r="E3848" s="5">
        <f>Table4[[#This Row],[qty]]*(VLOOKUP(Table4[[#This Row],[item_sold]],Table1[],5,FALSE))</f>
        <v>20</v>
      </c>
      <c r="F3848" s="5">
        <f>(VLOOKUP(Table4[[#This Row],[item_sold]],Table1[],4,FALSE))*Table4[[#This Row],[qty]]</f>
        <v>13</v>
      </c>
      <c r="G3848">
        <f t="shared" si="413"/>
        <v>7</v>
      </c>
      <c r="H3848" t="s">
        <v>247</v>
      </c>
    </row>
    <row r="3849" spans="1:9" x14ac:dyDescent="0.25">
      <c r="A3849" s="15">
        <f t="shared" si="414"/>
        <v>45545</v>
      </c>
      <c r="B3849" s="31">
        <f>TIME(17,42,0)</f>
        <v>0.73749999999999993</v>
      </c>
      <c r="C3849" t="str">
        <f>'Inventory as of 12th Aug 2024'!A57</f>
        <v>Sportsman</v>
      </c>
      <c r="D3849" s="27">
        <v>1</v>
      </c>
      <c r="E3849" s="5">
        <f>Table4[[#This Row],[qty]]*(VLOOKUP(Table4[[#This Row],[item_sold]],Table1[],5,FALSE))</f>
        <v>20</v>
      </c>
      <c r="F3849" s="5">
        <f>(VLOOKUP(Table4[[#This Row],[item_sold]],Table1[],4,FALSE))*Table4[[#This Row],[qty]]</f>
        <v>13</v>
      </c>
      <c r="G3849">
        <f t="shared" si="413"/>
        <v>7</v>
      </c>
      <c r="H3849" t="s">
        <v>247</v>
      </c>
    </row>
    <row r="3850" spans="1:9" x14ac:dyDescent="0.25">
      <c r="A3850" s="15">
        <f t="shared" si="414"/>
        <v>45545</v>
      </c>
      <c r="B3850" s="31">
        <f t="shared" ref="B3850" si="421">TIME(17,42,0)</f>
        <v>0.73749999999999993</v>
      </c>
      <c r="C3850" t="str">
        <f>'Inventory as of 12th Aug 2024'!A107</f>
        <v>Match Box</v>
      </c>
      <c r="D3850" s="27">
        <v>1</v>
      </c>
      <c r="E3850" s="5">
        <f>Table4[[#This Row],[qty]]*(VLOOKUP(Table4[[#This Row],[item_sold]],Table1[],5,FALSE))</f>
        <v>5</v>
      </c>
      <c r="F3850" s="5">
        <f>(VLOOKUP(Table4[[#This Row],[item_sold]],Table1[],4,FALSE))*Table4[[#This Row],[qty]]</f>
        <v>2.3611111111111112</v>
      </c>
      <c r="G3850">
        <f t="shared" si="413"/>
        <v>2.6388888888888888</v>
      </c>
      <c r="H3850" t="s">
        <v>361</v>
      </c>
    </row>
    <row r="3851" spans="1:9" x14ac:dyDescent="0.25">
      <c r="A3851" s="15">
        <f t="shared" si="414"/>
        <v>45545</v>
      </c>
      <c r="B3851" s="31">
        <f>TIME(17,43,0)</f>
        <v>0.73819444444444438</v>
      </c>
      <c r="C3851" t="str">
        <f>'Inventory as of 12th Aug 2024'!A199</f>
        <v>Kdf</v>
      </c>
      <c r="D3851" s="27">
        <v>2</v>
      </c>
      <c r="E3851" s="5">
        <f>Table4[[#This Row],[qty]]*(VLOOKUP(Table4[[#This Row],[item_sold]],Table1[],5,FALSE))</f>
        <v>20</v>
      </c>
      <c r="F3851" s="5">
        <f>(VLOOKUP(Table4[[#This Row],[item_sold]],Table1[],4,FALSE))*Table4[[#This Row],[qty]]</f>
        <v>16.666666666666668</v>
      </c>
      <c r="G3851">
        <f t="shared" si="413"/>
        <v>3.3333333333333321</v>
      </c>
      <c r="H3851" t="s">
        <v>430</v>
      </c>
      <c r="I3851" t="s">
        <v>388</v>
      </c>
    </row>
    <row r="3852" spans="1:9" x14ac:dyDescent="0.25">
      <c r="A3852" s="15">
        <f t="shared" si="414"/>
        <v>45545</v>
      </c>
      <c r="B3852" s="31">
        <f t="shared" ref="B3852" si="422">TIME(17,43,0)</f>
        <v>0.73819444444444438</v>
      </c>
      <c r="C3852" t="str">
        <f>'Inventory as of 12th Aug 2024'!A48</f>
        <v>Chapa Mandashi</v>
      </c>
      <c r="D3852" s="27">
        <v>1</v>
      </c>
      <c r="E3852" s="5">
        <f>Table4[[#This Row],[qty]]*(VLOOKUP(Table4[[#This Row],[item_sold]],Table1[],5,FALSE))</f>
        <v>40</v>
      </c>
      <c r="F3852" s="5">
        <f>(VLOOKUP(Table4[[#This Row],[item_sold]],Table1[],4,FALSE))*Table4[[#This Row],[qty]]</f>
        <v>26.666666666666668</v>
      </c>
      <c r="G3852">
        <f t="shared" si="413"/>
        <v>13.333333333333332</v>
      </c>
      <c r="H3852" t="s">
        <v>247</v>
      </c>
    </row>
    <row r="3853" spans="1:9" x14ac:dyDescent="0.25">
      <c r="A3853" s="15">
        <f t="shared" si="414"/>
        <v>45545</v>
      </c>
      <c r="B3853" s="31">
        <f>TIME(17,50,0)</f>
        <v>0.74305555555555547</v>
      </c>
      <c r="C3853" t="str">
        <f>'Inventory as of 12th Aug 2024'!A91</f>
        <v>Tomatoes</v>
      </c>
      <c r="D3853" s="27">
        <v>1</v>
      </c>
      <c r="E3853" s="5">
        <f>Table4[[#This Row],[qty]]*(VLOOKUP(Table4[[#This Row],[item_sold]],Table1[],5,FALSE))</f>
        <v>10</v>
      </c>
      <c r="F3853" s="5">
        <f>(VLOOKUP(Table4[[#This Row],[item_sold]],Table1[],4,FALSE))*Table4[[#This Row],[qty]]</f>
        <v>5</v>
      </c>
      <c r="G3853">
        <f t="shared" si="413"/>
        <v>5</v>
      </c>
      <c r="H3853" t="s">
        <v>247</v>
      </c>
    </row>
    <row r="3854" spans="1:9" x14ac:dyDescent="0.25">
      <c r="A3854" s="15">
        <f t="shared" si="414"/>
        <v>45545</v>
      </c>
      <c r="B3854" s="31">
        <f>TIME(17,51,0)</f>
        <v>0.74375000000000002</v>
      </c>
      <c r="C3854" t="str">
        <f>'Inventory as of 12th Aug 2024'!A200</f>
        <v>Ngumu</v>
      </c>
      <c r="D3854" s="27">
        <v>1</v>
      </c>
      <c r="E3854" s="5">
        <f>Table4[[#This Row],[qty]]*(VLOOKUP(Table4[[#This Row],[item_sold]],Table1[],5,FALSE))</f>
        <v>10</v>
      </c>
      <c r="F3854" s="5">
        <f>(VLOOKUP(Table4[[#This Row],[item_sold]],Table1[],4,FALSE))*Table4[[#This Row],[qty]]</f>
        <v>8.3333333333333339</v>
      </c>
      <c r="G3854">
        <f t="shared" si="413"/>
        <v>1.6666666666666661</v>
      </c>
      <c r="H3854" t="s">
        <v>247</v>
      </c>
    </row>
    <row r="3855" spans="1:9" x14ac:dyDescent="0.25">
      <c r="A3855" s="15">
        <f t="shared" si="414"/>
        <v>45545</v>
      </c>
      <c r="B3855" s="31">
        <f>TIME(17,52,0)</f>
        <v>0.74444444444444446</v>
      </c>
      <c r="C3855" t="str">
        <f>'Inventory as of 12th Aug 2024'!A199</f>
        <v>Kdf</v>
      </c>
      <c r="D3855" s="27">
        <v>1</v>
      </c>
      <c r="E3855" s="5">
        <f>Table4[[#This Row],[qty]]*(VLOOKUP(Table4[[#This Row],[item_sold]],Table1[],5,FALSE))</f>
        <v>10</v>
      </c>
      <c r="F3855" s="5">
        <f>(VLOOKUP(Table4[[#This Row],[item_sold]],Table1[],4,FALSE))*Table4[[#This Row],[qty]]</f>
        <v>8.3333333333333339</v>
      </c>
      <c r="G3855">
        <f t="shared" si="413"/>
        <v>1.6666666666666661</v>
      </c>
      <c r="H3855" t="s">
        <v>430</v>
      </c>
      <c r="I3855" t="s">
        <v>388</v>
      </c>
    </row>
    <row r="3856" spans="1:9" x14ac:dyDescent="0.25">
      <c r="A3856" s="15">
        <f t="shared" si="414"/>
        <v>45545</v>
      </c>
      <c r="B3856" s="31">
        <f>TIME(18,0,0)</f>
        <v>0.75</v>
      </c>
      <c r="C3856" t="str">
        <f>'Inventory as of 12th Aug 2024'!A200</f>
        <v>Ngumu</v>
      </c>
      <c r="D3856" s="27">
        <v>1</v>
      </c>
      <c r="E3856" s="5">
        <f>Table4[[#This Row],[qty]]*(VLOOKUP(Table4[[#This Row],[item_sold]],Table1[],5,FALSE))</f>
        <v>10</v>
      </c>
      <c r="F3856" s="5">
        <f>(VLOOKUP(Table4[[#This Row],[item_sold]],Table1[],4,FALSE))*Table4[[#This Row],[qty]]</f>
        <v>8.3333333333333339</v>
      </c>
      <c r="G3856">
        <f t="shared" si="413"/>
        <v>1.6666666666666661</v>
      </c>
      <c r="H3856" t="s">
        <v>430</v>
      </c>
      <c r="I3856" t="s">
        <v>388</v>
      </c>
    </row>
    <row r="3857" spans="1:12" x14ac:dyDescent="0.25">
      <c r="A3857" s="15">
        <f t="shared" si="414"/>
        <v>45545</v>
      </c>
      <c r="B3857" s="31">
        <f>TIME(18,30,0)</f>
        <v>0.77083333333333337</v>
      </c>
      <c r="C3857" t="str">
        <f>'Inventory as of 12th Aug 2024'!A47</f>
        <v>Pembe 2kg</v>
      </c>
      <c r="D3857" s="27">
        <v>1</v>
      </c>
      <c r="E3857" s="5">
        <f>Table4[[#This Row],[qty]]*(VLOOKUP(Table4[[#This Row],[item_sold]],Table1[],5,FALSE))</f>
        <v>160</v>
      </c>
      <c r="F3857" s="5">
        <f>(VLOOKUP(Table4[[#This Row],[item_sold]],Table1[],4,FALSE))*Table4[[#This Row],[qty]]</f>
        <v>123.33333333333333</v>
      </c>
      <c r="G3857">
        <f t="shared" si="413"/>
        <v>36.666666666666671</v>
      </c>
      <c r="H3857" t="s">
        <v>247</v>
      </c>
    </row>
    <row r="3858" spans="1:12" x14ac:dyDescent="0.25">
      <c r="A3858" s="15">
        <f t="shared" si="414"/>
        <v>45545</v>
      </c>
      <c r="B3858" s="31">
        <f t="shared" ref="B3858:B3860" si="423">TIME(18,30,0)</f>
        <v>0.77083333333333337</v>
      </c>
      <c r="C3858" t="str">
        <f>'Inventory as of 12th Aug 2024'!A16</f>
        <v>Mt kenya milk 500ml</v>
      </c>
      <c r="D3858" s="27">
        <v>1</v>
      </c>
      <c r="E3858" s="5">
        <f>Table4[[#This Row],[qty]]*(VLOOKUP(Table4[[#This Row],[item_sold]],Table1[],5,FALSE))</f>
        <v>65</v>
      </c>
      <c r="F3858" s="5">
        <f>(VLOOKUP(Table4[[#This Row],[item_sold]],Table1[],4,FALSE))*Table4[[#This Row],[qty]]</f>
        <v>48.333333333333336</v>
      </c>
      <c r="G3858">
        <f t="shared" si="413"/>
        <v>16.666666666666664</v>
      </c>
      <c r="H3858" t="s">
        <v>247</v>
      </c>
    </row>
    <row r="3859" spans="1:12" x14ac:dyDescent="0.25">
      <c r="A3859" s="15">
        <f t="shared" si="414"/>
        <v>45545</v>
      </c>
      <c r="B3859" s="31">
        <f t="shared" si="423"/>
        <v>0.77083333333333337</v>
      </c>
      <c r="C3859" t="str">
        <f>'Inventory as of 12th Aug 2024'!A37</f>
        <v>Festive Bread 400g</v>
      </c>
      <c r="D3859" s="27">
        <v>1</v>
      </c>
      <c r="E3859" s="5">
        <f>Table4[[#This Row],[qty]]*(VLOOKUP(Table4[[#This Row],[item_sold]],Table1[],5,FALSE))</f>
        <v>65</v>
      </c>
      <c r="F3859" s="5">
        <f>(VLOOKUP(Table4[[#This Row],[item_sold]],Table1[],4,FALSE))*Table4[[#This Row],[qty]]</f>
        <v>60</v>
      </c>
      <c r="G3859">
        <f t="shared" si="413"/>
        <v>5</v>
      </c>
      <c r="H3859" t="s">
        <v>247</v>
      </c>
    </row>
    <row r="3860" spans="1:12" x14ac:dyDescent="0.25">
      <c r="A3860" s="15">
        <f t="shared" si="414"/>
        <v>45545</v>
      </c>
      <c r="B3860" s="31">
        <f t="shared" si="423"/>
        <v>0.77083333333333337</v>
      </c>
      <c r="C3860" t="str">
        <f>'Inventory as of 12th Aug 2024'!A57</f>
        <v>Sportsman</v>
      </c>
      <c r="D3860" s="27">
        <v>2</v>
      </c>
      <c r="E3860" s="5">
        <f>Table4[[#This Row],[qty]]*(VLOOKUP(Table4[[#This Row],[item_sold]],Table1[],5,FALSE))</f>
        <v>40</v>
      </c>
      <c r="F3860" s="5">
        <f>(VLOOKUP(Table4[[#This Row],[item_sold]],Table1[],4,FALSE))*Table4[[#This Row],[qty]]</f>
        <v>26</v>
      </c>
      <c r="G3860">
        <f t="shared" si="413"/>
        <v>14</v>
      </c>
      <c r="H3860" t="s">
        <v>247</v>
      </c>
      <c r="J3860" t="s">
        <v>419</v>
      </c>
      <c r="K3860">
        <v>5</v>
      </c>
      <c r="L3860" t="s">
        <v>247</v>
      </c>
    </row>
    <row r="3861" spans="1:12" x14ac:dyDescent="0.25">
      <c r="A3861" s="15">
        <f t="shared" si="414"/>
        <v>45545</v>
      </c>
      <c r="B3861" s="31">
        <f>TIME(18,32,0)</f>
        <v>0.77222222222222225</v>
      </c>
      <c r="C3861" t="str">
        <f>'Inventory as of 12th Aug 2024'!A200</f>
        <v>Ngumu</v>
      </c>
      <c r="D3861" s="27">
        <v>2</v>
      </c>
      <c r="E3861" s="5">
        <f>Table4[[#This Row],[qty]]*(VLOOKUP(Table4[[#This Row],[item_sold]],Table1[],5,FALSE))</f>
        <v>20</v>
      </c>
      <c r="F3861" s="5">
        <f>(VLOOKUP(Table4[[#This Row],[item_sold]],Table1[],4,FALSE))*Table4[[#This Row],[qty]]</f>
        <v>16.666666666666668</v>
      </c>
      <c r="G3861">
        <f t="shared" si="413"/>
        <v>3.3333333333333321</v>
      </c>
      <c r="H3861" t="s">
        <v>247</v>
      </c>
    </row>
    <row r="3862" spans="1:12" x14ac:dyDescent="0.25">
      <c r="A3862" s="15">
        <f t="shared" si="414"/>
        <v>45545</v>
      </c>
      <c r="B3862" s="31">
        <f>TIME(18,35,0)</f>
        <v>0.77430555555555547</v>
      </c>
      <c r="C3862" t="str">
        <f>'Inventory as of 12th Aug 2024'!A33</f>
        <v>BB Bread 400g</v>
      </c>
      <c r="D3862" s="27">
        <v>2</v>
      </c>
      <c r="E3862" s="5">
        <f>Table4[[#This Row],[qty]]*(VLOOKUP(Table4[[#This Row],[item_sold]],Table1[],5,FALSE))</f>
        <v>130</v>
      </c>
      <c r="F3862" s="5">
        <f>(VLOOKUP(Table4[[#This Row],[item_sold]],Table1[],4,FALSE))*Table4[[#This Row],[qty]]</f>
        <v>120</v>
      </c>
      <c r="G3862">
        <f t="shared" si="413"/>
        <v>10</v>
      </c>
      <c r="H3862" t="s">
        <v>361</v>
      </c>
    </row>
    <row r="3863" spans="1:12" x14ac:dyDescent="0.25">
      <c r="A3863" s="15">
        <f t="shared" si="414"/>
        <v>45545</v>
      </c>
      <c r="B3863" s="31">
        <f>TIME(18,39,0)</f>
        <v>0.77708333333333324</v>
      </c>
      <c r="C3863" t="str">
        <f>'Inventory as of 12th Aug 2024'!A91</f>
        <v>Tomatoes</v>
      </c>
      <c r="D3863" s="27">
        <v>5</v>
      </c>
      <c r="E3863" s="5">
        <f>Table4[[#This Row],[qty]]*(VLOOKUP(Table4[[#This Row],[item_sold]],Table1[],5,FALSE))</f>
        <v>50</v>
      </c>
      <c r="F3863" s="5">
        <f>(VLOOKUP(Table4[[#This Row],[item_sold]],Table1[],4,FALSE))*Table4[[#This Row],[qty]]</f>
        <v>25</v>
      </c>
      <c r="G3863">
        <f t="shared" si="413"/>
        <v>25</v>
      </c>
      <c r="H3863" t="s">
        <v>361</v>
      </c>
    </row>
    <row r="3864" spans="1:12" x14ac:dyDescent="0.25">
      <c r="A3864" s="15">
        <f t="shared" si="414"/>
        <v>45545</v>
      </c>
      <c r="B3864" s="31">
        <f>TIME(18,56,0)</f>
        <v>0.78888888888888886</v>
      </c>
      <c r="C3864" t="str">
        <f>'Inventory as of 12th Aug 2024'!A234</f>
        <v>Bigdaddy</v>
      </c>
      <c r="D3864" s="27">
        <v>1</v>
      </c>
      <c r="E3864" s="5">
        <f>Table4[[#This Row],[qty]]*(VLOOKUP(Table4[[#This Row],[item_sold]],Table1[],5,FALSE))</f>
        <v>10</v>
      </c>
      <c r="F3864" s="5">
        <f>(VLOOKUP(Table4[[#This Row],[item_sold]],Table1[],4,FALSE))*Table4[[#This Row],[qty]]</f>
        <v>6</v>
      </c>
      <c r="G3864">
        <f t="shared" si="413"/>
        <v>4</v>
      </c>
      <c r="H3864" t="s">
        <v>247</v>
      </c>
    </row>
    <row r="3865" spans="1:12" x14ac:dyDescent="0.25">
      <c r="A3865" s="15">
        <f t="shared" si="414"/>
        <v>45545</v>
      </c>
      <c r="B3865" s="31">
        <f>TIME(18,56,0)</f>
        <v>0.78888888888888886</v>
      </c>
      <c r="C3865" t="str">
        <f>'Inventory as of 12th Aug 2024'!A33</f>
        <v>BB Bread 400g</v>
      </c>
      <c r="D3865" s="27">
        <v>1</v>
      </c>
      <c r="E3865" s="5">
        <f>Table4[[#This Row],[qty]]*(VLOOKUP(Table4[[#This Row],[item_sold]],Table1[],5,FALSE))</f>
        <v>65</v>
      </c>
      <c r="F3865" s="5">
        <f>(VLOOKUP(Table4[[#This Row],[item_sold]],Table1[],4,FALSE))*Table4[[#This Row],[qty]]</f>
        <v>60</v>
      </c>
      <c r="G3865">
        <f t="shared" si="413"/>
        <v>5</v>
      </c>
      <c r="H3865" t="s">
        <v>430</v>
      </c>
      <c r="I3865" t="s">
        <v>455</v>
      </c>
    </row>
    <row r="3866" spans="1:12" x14ac:dyDescent="0.25">
      <c r="A3866" s="15">
        <f t="shared" si="414"/>
        <v>45545</v>
      </c>
      <c r="B3866" s="31">
        <f>TIME(19,4,0)</f>
        <v>0.7944444444444444</v>
      </c>
      <c r="C3866" t="str">
        <f>'Inventory as of 12th Aug 2024'!A252</f>
        <v>Toothbrush Children</v>
      </c>
      <c r="D3866" s="27">
        <v>2</v>
      </c>
      <c r="E3866" s="5">
        <f>Table4[[#This Row],[qty]]*(VLOOKUP(Table4[[#This Row],[item_sold]],Table1[],5,FALSE))</f>
        <v>60</v>
      </c>
      <c r="F3866" s="5">
        <f>(VLOOKUP(Table4[[#This Row],[item_sold]],Table1[],4,FALSE))*Table4[[#This Row],[qty]]</f>
        <v>38.333333333333336</v>
      </c>
      <c r="G3866">
        <f t="shared" si="413"/>
        <v>21.666666666666664</v>
      </c>
      <c r="H3866" t="s">
        <v>361</v>
      </c>
    </row>
    <row r="3867" spans="1:12" x14ac:dyDescent="0.25">
      <c r="A3867" s="15">
        <f t="shared" si="414"/>
        <v>45545</v>
      </c>
      <c r="B3867" s="31">
        <f t="shared" ref="B3867" si="424">TIME(19,4,0)</f>
        <v>0.7944444444444444</v>
      </c>
      <c r="C3867" t="str">
        <f>'Inventory as of 12th Aug 2024'!A133</f>
        <v>Medium Colgate Toothbrush</v>
      </c>
      <c r="D3867" s="27">
        <v>1</v>
      </c>
      <c r="E3867" s="5">
        <f>Table4[[#This Row],[qty]]*(VLOOKUP(Table4[[#This Row],[item_sold]],Table1[],5,FALSE))</f>
        <v>40</v>
      </c>
      <c r="F3867" s="5">
        <f>(VLOOKUP(Table4[[#This Row],[item_sold]],Table1[],4,FALSE))*Table4[[#This Row],[qty]]</f>
        <v>25</v>
      </c>
      <c r="G3867">
        <f t="shared" si="413"/>
        <v>15</v>
      </c>
      <c r="H3867" t="s">
        <v>361</v>
      </c>
    </row>
    <row r="3868" spans="1:12" x14ac:dyDescent="0.25">
      <c r="A3868" s="15">
        <f t="shared" si="414"/>
        <v>45545</v>
      </c>
      <c r="B3868" s="31">
        <f>TIME(19,13,0)</f>
        <v>0.80069444444444438</v>
      </c>
      <c r="C3868" t="str">
        <f>'Inventory as of 12th Aug 2024'!A68</f>
        <v>Royco cubes</v>
      </c>
      <c r="D3868" s="27">
        <v>8</v>
      </c>
      <c r="E3868" s="5">
        <f>Table4[[#This Row],[qty]]*(VLOOKUP(Table4[[#This Row],[item_sold]],Table1[],5,FALSE))</f>
        <v>40</v>
      </c>
      <c r="F3868" s="5">
        <f>(VLOOKUP(Table4[[#This Row],[item_sold]],Table1[],4,FALSE))*Table4[[#This Row],[qty]]</f>
        <v>24</v>
      </c>
      <c r="G3868">
        <f t="shared" si="413"/>
        <v>16</v>
      </c>
      <c r="H3868" t="s">
        <v>430</v>
      </c>
      <c r="I3868" t="s">
        <v>451</v>
      </c>
    </row>
    <row r="3869" spans="1:12" x14ac:dyDescent="0.25">
      <c r="A3869" s="15">
        <f t="shared" si="414"/>
        <v>45545</v>
      </c>
      <c r="B3869" s="31">
        <f t="shared" ref="B3869:B3870" si="425">TIME(19,13,0)</f>
        <v>0.80069444444444438</v>
      </c>
      <c r="C3869" t="str">
        <f>'Inventory as of 12th Aug 2024'!A16</f>
        <v>Mt kenya milk 500ml</v>
      </c>
      <c r="D3869" s="27">
        <v>1</v>
      </c>
      <c r="E3869" s="5">
        <f>Table4[[#This Row],[qty]]*(VLOOKUP(Table4[[#This Row],[item_sold]],Table1[],5,FALSE))</f>
        <v>65</v>
      </c>
      <c r="F3869" s="5">
        <f>(VLOOKUP(Table4[[#This Row],[item_sold]],Table1[],4,FALSE))*Table4[[#This Row],[qty]]</f>
        <v>48.333333333333336</v>
      </c>
      <c r="G3869">
        <f t="shared" si="413"/>
        <v>16.666666666666664</v>
      </c>
      <c r="H3869" t="s">
        <v>430</v>
      </c>
      <c r="I3869" t="s">
        <v>451</v>
      </c>
    </row>
    <row r="3870" spans="1:12" x14ac:dyDescent="0.25">
      <c r="A3870" s="15">
        <f t="shared" si="414"/>
        <v>45545</v>
      </c>
      <c r="B3870" s="31">
        <f t="shared" si="425"/>
        <v>0.80069444444444438</v>
      </c>
      <c r="C3870" t="str">
        <f>'Inventory as of 12th Aug 2024'!A91</f>
        <v>Tomatoes</v>
      </c>
      <c r="D3870" s="27">
        <v>5</v>
      </c>
      <c r="E3870" s="5">
        <f>Table4[[#This Row],[qty]]*(VLOOKUP(Table4[[#This Row],[item_sold]],Table1[],5,FALSE))</f>
        <v>50</v>
      </c>
      <c r="F3870" s="5">
        <f>(VLOOKUP(Table4[[#This Row],[item_sold]],Table1[],4,FALSE))*Table4[[#This Row],[qty]]</f>
        <v>25</v>
      </c>
      <c r="G3870">
        <f t="shared" si="413"/>
        <v>25</v>
      </c>
      <c r="H3870" t="s">
        <v>430</v>
      </c>
      <c r="I3870" t="s">
        <v>451</v>
      </c>
    </row>
    <row r="3871" spans="1:12" x14ac:dyDescent="0.25">
      <c r="A3871" s="15">
        <f t="shared" si="414"/>
        <v>45545</v>
      </c>
      <c r="B3871" s="31">
        <f>TIME(19,20,0)</f>
        <v>0.80555555555555547</v>
      </c>
      <c r="C3871" t="str">
        <f>'Inventory as of 12th Aug 2024'!A51</f>
        <v>Sindano rice</v>
      </c>
      <c r="D3871" s="27">
        <v>1</v>
      </c>
      <c r="E3871" s="5">
        <f>Table4[[#This Row],[qty]]*(VLOOKUP(Table4[[#This Row],[item_sold]],Table1[],5,FALSE))</f>
        <v>150</v>
      </c>
      <c r="F3871" s="5">
        <f>(VLOOKUP(Table4[[#This Row],[item_sold]],Table1[],4,FALSE))*Table4[[#This Row],[qty]]</f>
        <v>120</v>
      </c>
      <c r="G3871">
        <f t="shared" si="413"/>
        <v>30</v>
      </c>
      <c r="H3871" t="s">
        <v>361</v>
      </c>
    </row>
    <row r="3872" spans="1:12" x14ac:dyDescent="0.25">
      <c r="A3872" s="15">
        <f t="shared" si="414"/>
        <v>45545</v>
      </c>
      <c r="B3872" s="31">
        <f t="shared" ref="B3872:B3873" si="426">TIME(19,20,0)</f>
        <v>0.80555555555555547</v>
      </c>
      <c r="C3872" t="str">
        <f>'Inventory as of 12th Aug 2024'!A33</f>
        <v>BB Bread 400g</v>
      </c>
      <c r="D3872" s="27">
        <v>1</v>
      </c>
      <c r="E3872" s="5">
        <f>Table4[[#This Row],[qty]]*(VLOOKUP(Table4[[#This Row],[item_sold]],Table1[],5,FALSE))</f>
        <v>65</v>
      </c>
      <c r="F3872" s="5">
        <f>(VLOOKUP(Table4[[#This Row],[item_sold]],Table1[],4,FALSE))*Table4[[#This Row],[qty]]</f>
        <v>60</v>
      </c>
      <c r="G3872">
        <f t="shared" si="413"/>
        <v>5</v>
      </c>
      <c r="H3872" t="s">
        <v>361</v>
      </c>
    </row>
    <row r="3873" spans="1:12" x14ac:dyDescent="0.25">
      <c r="A3873" s="15">
        <f t="shared" si="414"/>
        <v>45545</v>
      </c>
      <c r="B3873" s="31">
        <f t="shared" si="426"/>
        <v>0.80555555555555547</v>
      </c>
      <c r="C3873" t="str">
        <f>'Inventory as of 12th Aug 2024'!A193</f>
        <v>Ginger Bisquit</v>
      </c>
      <c r="D3873" s="27">
        <v>4</v>
      </c>
      <c r="E3873" s="5">
        <f>Table4[[#This Row],[qty]]*(VLOOKUP(Table4[[#This Row],[item_sold]],Table1[],5,FALSE))</f>
        <v>20</v>
      </c>
      <c r="F3873" s="5">
        <f>(VLOOKUP(Table4[[#This Row],[item_sold]],Table1[],4,FALSE))*Table4[[#This Row],[qty]]</f>
        <v>17.333333333333332</v>
      </c>
      <c r="G3873">
        <f t="shared" si="413"/>
        <v>2.6666666666666679</v>
      </c>
      <c r="H3873" t="s">
        <v>361</v>
      </c>
    </row>
    <row r="3874" spans="1:12" x14ac:dyDescent="0.25">
      <c r="A3874" s="15">
        <f t="shared" si="414"/>
        <v>45545</v>
      </c>
      <c r="B3874" s="31">
        <f>TIME(19,47,0)</f>
        <v>0.82430555555555562</v>
      </c>
      <c r="C3874" t="str">
        <f>'Inventory as of 12th Aug 2024'!A57</f>
        <v>Sportsman</v>
      </c>
      <c r="D3874" s="27">
        <v>2</v>
      </c>
      <c r="E3874" s="5">
        <f>Table4[[#This Row],[qty]]*(VLOOKUP(Table4[[#This Row],[item_sold]],Table1[],5,FALSE))</f>
        <v>40</v>
      </c>
      <c r="F3874" s="5">
        <f>(VLOOKUP(Table4[[#This Row],[item_sold]],Table1[],4,FALSE))*Table4[[#This Row],[qty]]</f>
        <v>26</v>
      </c>
      <c r="G3874">
        <f t="shared" si="413"/>
        <v>14</v>
      </c>
      <c r="H3874" t="s">
        <v>361</v>
      </c>
    </row>
    <row r="3875" spans="1:12" x14ac:dyDescent="0.25">
      <c r="A3875" s="15">
        <f t="shared" si="414"/>
        <v>45545</v>
      </c>
      <c r="B3875" s="31">
        <f>TIME(19,50,0)</f>
        <v>0.82638888888888884</v>
      </c>
      <c r="C3875" t="str">
        <f>'Inventory as of 12th Aug 2024'!A120</f>
        <v>Maramoja</v>
      </c>
      <c r="D3875" s="27">
        <v>1</v>
      </c>
      <c r="E3875" s="5">
        <f>Table4[[#This Row],[qty]]*(VLOOKUP(Table4[[#This Row],[item_sold]],Table1[],5,FALSE))</f>
        <v>10</v>
      </c>
      <c r="F3875" s="5">
        <f>(VLOOKUP(Table4[[#This Row],[item_sold]],Table1[],4,FALSE))*Table4[[#This Row],[qty]]</f>
        <v>7</v>
      </c>
      <c r="G3875">
        <f t="shared" si="413"/>
        <v>3</v>
      </c>
      <c r="H3875" t="s">
        <v>361</v>
      </c>
    </row>
    <row r="3876" spans="1:12" x14ac:dyDescent="0.25">
      <c r="A3876" s="15">
        <f t="shared" si="414"/>
        <v>45545</v>
      </c>
      <c r="B3876" s="31">
        <f t="shared" ref="B3876" si="427">TIME(19,50,0)</f>
        <v>0.82638888888888884</v>
      </c>
      <c r="C3876" t="str">
        <f>'Inventory as of 12th Aug 2024'!A200</f>
        <v>Ngumu</v>
      </c>
      <c r="D3876" s="27">
        <v>1</v>
      </c>
      <c r="E3876" s="5">
        <f>Table4[[#This Row],[qty]]*(VLOOKUP(Table4[[#This Row],[item_sold]],Table1[],5,FALSE))</f>
        <v>10</v>
      </c>
      <c r="F3876" s="5">
        <f>(VLOOKUP(Table4[[#This Row],[item_sold]],Table1[],4,FALSE))*Table4[[#This Row],[qty]]</f>
        <v>8.3333333333333339</v>
      </c>
      <c r="G3876">
        <f t="shared" si="413"/>
        <v>1.6666666666666661</v>
      </c>
      <c r="H3876" t="s">
        <v>361</v>
      </c>
    </row>
    <row r="3877" spans="1:12" x14ac:dyDescent="0.25">
      <c r="A3877" s="15">
        <f t="shared" si="414"/>
        <v>45545</v>
      </c>
      <c r="B3877" s="31">
        <f>TIME(19,51,0)</f>
        <v>0.82708333333333339</v>
      </c>
      <c r="C3877" t="str">
        <f>'Inventory as of 12th Aug 2024'!A151</f>
        <v>Arimis big</v>
      </c>
      <c r="D3877" s="27">
        <v>1</v>
      </c>
      <c r="E3877" s="5">
        <f>Table4[[#This Row],[qty]]*(VLOOKUP(Table4[[#This Row],[item_sold]],Table1[],5,FALSE))</f>
        <v>60</v>
      </c>
      <c r="F3877" s="5">
        <f>(VLOOKUP(Table4[[#This Row],[item_sold]],Table1[],4,FALSE))*Table4[[#This Row],[qty]]</f>
        <v>45.833333333333336</v>
      </c>
      <c r="G3877">
        <f t="shared" si="413"/>
        <v>14.166666666666664</v>
      </c>
      <c r="H3877" t="s">
        <v>247</v>
      </c>
    </row>
    <row r="3878" spans="1:12" x14ac:dyDescent="0.25">
      <c r="A3878" s="15">
        <f t="shared" si="414"/>
        <v>45545</v>
      </c>
      <c r="B3878" s="31">
        <f>TIME(20,2,0)</f>
        <v>0.83472222222222225</v>
      </c>
      <c r="C3878" t="str">
        <f>'Inventory as of 12th Aug 2024'!A57</f>
        <v>Sportsman</v>
      </c>
      <c r="D3878" s="27">
        <v>2</v>
      </c>
      <c r="E3878" s="5">
        <f>Table4[[#This Row],[qty]]*(VLOOKUP(Table4[[#This Row],[item_sold]],Table1[],5,FALSE))</f>
        <v>40</v>
      </c>
      <c r="F3878" s="5">
        <f>(VLOOKUP(Table4[[#This Row],[item_sold]],Table1[],4,FALSE))*Table4[[#This Row],[qty]]</f>
        <v>26</v>
      </c>
      <c r="G3878">
        <f t="shared" si="413"/>
        <v>14</v>
      </c>
      <c r="H3878" t="s">
        <v>247</v>
      </c>
    </row>
    <row r="3879" spans="1:12" x14ac:dyDescent="0.25">
      <c r="A3879" s="15">
        <f t="shared" si="414"/>
        <v>45545</v>
      </c>
      <c r="B3879" s="31">
        <f t="shared" ref="B3879" si="428">TIME(20,2,0)</f>
        <v>0.83472222222222225</v>
      </c>
      <c r="C3879" t="str">
        <f>'Inventory as of 12th Aug 2024'!A87</f>
        <v>Menengai Bar 1kg</v>
      </c>
      <c r="D3879" s="27">
        <v>0.2</v>
      </c>
      <c r="E3879" s="5">
        <f>Table4[[#This Row],[qty]]*(VLOOKUP(Table4[[#This Row],[item_sold]],Table1[],5,FALSE))</f>
        <v>50</v>
      </c>
      <c r="F3879" s="5">
        <f>(VLOOKUP(Table4[[#This Row],[item_sold]],Table1[],4,FALSE))*Table4[[#This Row],[qty]]</f>
        <v>38</v>
      </c>
      <c r="G3879">
        <f t="shared" si="413"/>
        <v>12</v>
      </c>
      <c r="H3879" t="s">
        <v>247</v>
      </c>
    </row>
    <row r="3880" spans="1:12" x14ac:dyDescent="0.25">
      <c r="A3880" s="15">
        <f t="shared" si="414"/>
        <v>45545</v>
      </c>
      <c r="B3880" s="31">
        <f>TIME(20,32,0)</f>
        <v>0.85555555555555562</v>
      </c>
      <c r="C3880" t="str">
        <f>'Inventory as of 12th Aug 2024'!A191</f>
        <v>Nuvita Bisquit</v>
      </c>
      <c r="D3880" s="27">
        <v>4</v>
      </c>
      <c r="E3880" s="5">
        <f>Table4[[#This Row],[qty]]*(VLOOKUP(Table4[[#This Row],[item_sold]],Table1[],5,FALSE))</f>
        <v>20</v>
      </c>
      <c r="F3880" s="5">
        <f>(VLOOKUP(Table4[[#This Row],[item_sold]],Table1[],4,FALSE))*Table4[[#This Row],[qty]]</f>
        <v>16.666666666666668</v>
      </c>
      <c r="G3880">
        <f t="shared" si="413"/>
        <v>3.3333333333333321</v>
      </c>
      <c r="H3880" t="s">
        <v>361</v>
      </c>
    </row>
    <row r="3881" spans="1:12" x14ac:dyDescent="0.25">
      <c r="A3881" s="15">
        <f t="shared" si="414"/>
        <v>45545</v>
      </c>
      <c r="B3881" s="31">
        <f>TIME(20,32,0)</f>
        <v>0.85555555555555562</v>
      </c>
      <c r="C3881" t="str">
        <f>'Inventory as of 12th Aug 2024'!A220</f>
        <v>Super Glue</v>
      </c>
      <c r="D3881" s="27">
        <v>1</v>
      </c>
      <c r="E3881" s="5">
        <f>Table4[[#This Row],[qty]]*(VLOOKUP(Table4[[#This Row],[item_sold]],Table1[],5,FALSE))</f>
        <v>30</v>
      </c>
      <c r="F3881" s="5">
        <f>(VLOOKUP(Table4[[#This Row],[item_sold]],Table1[],4,FALSE))*Table4[[#This Row],[qty]]</f>
        <v>23.333333333333332</v>
      </c>
      <c r="G3881">
        <f t="shared" si="413"/>
        <v>6.6666666666666679</v>
      </c>
      <c r="H3881" t="s">
        <v>361</v>
      </c>
      <c r="J3881" t="s">
        <v>419</v>
      </c>
      <c r="K3881">
        <v>170</v>
      </c>
      <c r="L3881" t="s">
        <v>361</v>
      </c>
    </row>
    <row r="3882" spans="1:12" x14ac:dyDescent="0.25">
      <c r="A3882" s="15">
        <f>DATE(2024,9,11)</f>
        <v>45546</v>
      </c>
      <c r="B3882" s="31">
        <f>TIME(7,20,0)</f>
        <v>0.30555555555555552</v>
      </c>
      <c r="C3882" t="str">
        <f>'Inventory as of 12th Aug 2024'!A57</f>
        <v>Sportsman</v>
      </c>
      <c r="D3882" s="27">
        <v>1</v>
      </c>
      <c r="E3882" s="5">
        <f>Table4[[#This Row],[qty]]*(VLOOKUP(Table4[[#This Row],[item_sold]],Table1[],5,FALSE))</f>
        <v>20</v>
      </c>
      <c r="F3882" s="5">
        <f>(VLOOKUP(Table4[[#This Row],[item_sold]],Table1[],4,FALSE))*Table4[[#This Row],[qty]]</f>
        <v>13</v>
      </c>
      <c r="G3882">
        <f t="shared" ref="G3882:G3945" si="429">E3882-F3882</f>
        <v>7</v>
      </c>
      <c r="H3882" t="s">
        <v>247</v>
      </c>
    </row>
    <row r="3883" spans="1:12" x14ac:dyDescent="0.25">
      <c r="A3883" s="15">
        <f t="shared" ref="A3883:A3928" si="430">DATE(2024,9,11)</f>
        <v>45546</v>
      </c>
      <c r="B3883" s="31">
        <f>TIME(8,24,0)</f>
        <v>0.35000000000000003</v>
      </c>
      <c r="C3883" t="str">
        <f>'Inventory as of 12th Aug 2024'!A57</f>
        <v>Sportsman</v>
      </c>
      <c r="D3883" s="27">
        <v>1</v>
      </c>
      <c r="E3883" s="5">
        <f>Table4[[#This Row],[qty]]*(VLOOKUP(Table4[[#This Row],[item_sold]],Table1[],5,FALSE))</f>
        <v>20</v>
      </c>
      <c r="F3883" s="5">
        <f>(VLOOKUP(Table4[[#This Row],[item_sold]],Table1[],4,FALSE))*Table4[[#This Row],[qty]]</f>
        <v>13</v>
      </c>
      <c r="G3883">
        <f t="shared" si="429"/>
        <v>7</v>
      </c>
      <c r="H3883" t="s">
        <v>247</v>
      </c>
    </row>
    <row r="3884" spans="1:12" x14ac:dyDescent="0.25">
      <c r="A3884" s="15">
        <f t="shared" si="430"/>
        <v>45546</v>
      </c>
      <c r="B3884" s="31">
        <f t="shared" ref="B3884:B3885" si="431">TIME(8,24,0)</f>
        <v>0.35000000000000003</v>
      </c>
      <c r="C3884" t="str">
        <f>'Inventory as of 12th Aug 2024'!A5</f>
        <v>Airtel 20 Credit</v>
      </c>
      <c r="D3884" s="27">
        <v>1</v>
      </c>
      <c r="E3884" s="5">
        <f>Table4[[#This Row],[qty]]*(VLOOKUP(Table4[[#This Row],[item_sold]],Table1[],5,FALSE))</f>
        <v>20</v>
      </c>
      <c r="F3884" s="5">
        <f>(VLOOKUP(Table4[[#This Row],[item_sold]],Table1[],4,FALSE))*Table4[[#This Row],[qty]]</f>
        <v>18</v>
      </c>
      <c r="G3884">
        <f t="shared" si="429"/>
        <v>2</v>
      </c>
      <c r="H3884" t="s">
        <v>247</v>
      </c>
    </row>
    <row r="3885" spans="1:12" x14ac:dyDescent="0.25">
      <c r="A3885" s="15">
        <f t="shared" si="430"/>
        <v>45546</v>
      </c>
      <c r="B3885" s="31">
        <f t="shared" si="431"/>
        <v>0.35000000000000003</v>
      </c>
      <c r="C3885" t="str">
        <f>'Inventory as of 12th Aug 2024'!A107</f>
        <v>Match Box</v>
      </c>
      <c r="D3885" s="27">
        <v>1</v>
      </c>
      <c r="E3885" s="5">
        <f>Table4[[#This Row],[qty]]*(VLOOKUP(Table4[[#This Row],[item_sold]],Table1[],5,FALSE))</f>
        <v>5</v>
      </c>
      <c r="F3885" s="5">
        <f>(VLOOKUP(Table4[[#This Row],[item_sold]],Table1[],4,FALSE))*Table4[[#This Row],[qty]]</f>
        <v>2.3611111111111112</v>
      </c>
      <c r="G3885">
        <f t="shared" si="429"/>
        <v>2.6388888888888888</v>
      </c>
      <c r="H3885" t="s">
        <v>247</v>
      </c>
    </row>
    <row r="3886" spans="1:12" x14ac:dyDescent="0.25">
      <c r="A3886" s="15">
        <f t="shared" si="430"/>
        <v>45546</v>
      </c>
      <c r="B3886" s="31">
        <f>TIME(8,29,0)</f>
        <v>0.35347222222222219</v>
      </c>
      <c r="C3886" t="str">
        <f>'Inventory as of 12th Aug 2024'!A57</f>
        <v>Sportsman</v>
      </c>
      <c r="D3886" s="27">
        <v>2</v>
      </c>
      <c r="E3886" s="5">
        <f>Table4[[#This Row],[qty]]*(VLOOKUP(Table4[[#This Row],[item_sold]],Table1[],5,FALSE))</f>
        <v>40</v>
      </c>
      <c r="F3886" s="5">
        <f>(VLOOKUP(Table4[[#This Row],[item_sold]],Table1[],4,FALSE))*Table4[[#This Row],[qty]]</f>
        <v>26</v>
      </c>
      <c r="G3886">
        <f t="shared" si="429"/>
        <v>14</v>
      </c>
      <c r="H3886" t="s">
        <v>361</v>
      </c>
    </row>
    <row r="3887" spans="1:12" x14ac:dyDescent="0.25">
      <c r="A3887" s="15">
        <f t="shared" si="430"/>
        <v>45546</v>
      </c>
      <c r="B3887" s="31">
        <f>TIME(9,46,0)</f>
        <v>0.4069444444444445</v>
      </c>
      <c r="C3887" t="str">
        <f>'Inventory as of 12th Aug 2024'!A33</f>
        <v>BB Bread 400g</v>
      </c>
      <c r="D3887" s="27">
        <v>1</v>
      </c>
      <c r="E3887" s="5">
        <f>Table4[[#This Row],[qty]]*(VLOOKUP(Table4[[#This Row],[item_sold]],Table1[],5,FALSE))</f>
        <v>65</v>
      </c>
      <c r="F3887" s="5">
        <f>(VLOOKUP(Table4[[#This Row],[item_sold]],Table1[],4,FALSE))*Table4[[#This Row],[qty]]</f>
        <v>60</v>
      </c>
      <c r="G3887">
        <f t="shared" si="429"/>
        <v>5</v>
      </c>
      <c r="H3887" t="s">
        <v>361</v>
      </c>
    </row>
    <row r="3888" spans="1:12" x14ac:dyDescent="0.25">
      <c r="A3888" s="15">
        <f t="shared" si="430"/>
        <v>45546</v>
      </c>
      <c r="B3888" s="31">
        <f>TIME(9,47,0)</f>
        <v>0.40763888888888888</v>
      </c>
      <c r="C3888" t="str">
        <f>'Inventory as of 12th Aug 2024'!A57</f>
        <v>Sportsman</v>
      </c>
      <c r="D3888" s="27">
        <v>1</v>
      </c>
      <c r="E3888" s="5">
        <f>Table4[[#This Row],[qty]]*(VLOOKUP(Table4[[#This Row],[item_sold]],Table1[],5,FALSE))</f>
        <v>20</v>
      </c>
      <c r="F3888" s="5">
        <f>(VLOOKUP(Table4[[#This Row],[item_sold]],Table1[],4,FALSE))*Table4[[#This Row],[qty]]</f>
        <v>13</v>
      </c>
      <c r="G3888">
        <f t="shared" si="429"/>
        <v>7</v>
      </c>
      <c r="H3888" t="s">
        <v>247</v>
      </c>
    </row>
    <row r="3889" spans="1:9" x14ac:dyDescent="0.25">
      <c r="A3889" s="15">
        <f t="shared" si="430"/>
        <v>45546</v>
      </c>
      <c r="B3889" s="31">
        <f>TIME(10,5,0)</f>
        <v>0.4201388888888889</v>
      </c>
      <c r="C3889" t="str">
        <f>'Inventory as of 12th Aug 2024'!A7</f>
        <v>Airtel 50 Credit</v>
      </c>
      <c r="D3889" s="27">
        <v>1</v>
      </c>
      <c r="E3889" s="5">
        <f>Table4[[#This Row],[qty]]*(VLOOKUP(Table4[[#This Row],[item_sold]],Table1[],5,FALSE))</f>
        <v>50</v>
      </c>
      <c r="F3889" s="5">
        <f>(VLOOKUP(Table4[[#This Row],[item_sold]],Table1[],4,FALSE))*Table4[[#This Row],[qty]]</f>
        <v>47</v>
      </c>
      <c r="G3889">
        <f t="shared" si="429"/>
        <v>3</v>
      </c>
      <c r="H3889" t="s">
        <v>247</v>
      </c>
    </row>
    <row r="3890" spans="1:9" x14ac:dyDescent="0.25">
      <c r="A3890" s="15">
        <f t="shared" si="430"/>
        <v>45546</v>
      </c>
      <c r="B3890" s="31">
        <f>TIME(10,8,0)</f>
        <v>0.42222222222222222</v>
      </c>
      <c r="C3890" t="str">
        <f>'Inventory as of 12th Aug 2024'!A208</f>
        <v>minutemaid 400ml</v>
      </c>
      <c r="D3890" s="27">
        <v>1</v>
      </c>
      <c r="E3890" s="5">
        <f>Table4[[#This Row],[qty]]*(VLOOKUP(Table4[[#This Row],[item_sold]],Table1[],5,FALSE))</f>
        <v>85</v>
      </c>
      <c r="F3890" s="5">
        <f>(VLOOKUP(Table4[[#This Row],[item_sold]],Table1[],4,FALSE))*Table4[[#This Row],[qty]]</f>
        <v>62.5</v>
      </c>
      <c r="G3890">
        <f t="shared" si="429"/>
        <v>22.5</v>
      </c>
      <c r="H3890" t="s">
        <v>361</v>
      </c>
    </row>
    <row r="3891" spans="1:9" x14ac:dyDescent="0.25">
      <c r="A3891" s="15">
        <f t="shared" si="430"/>
        <v>45546</v>
      </c>
      <c r="B3891" s="31">
        <f>TIME(11,43,0)</f>
        <v>0.48819444444444443</v>
      </c>
      <c r="C3891" t="str">
        <f>'Inventory as of 12th Aug 2024'!A70</f>
        <v>Sugar 1/2 kg</v>
      </c>
      <c r="D3891" s="27">
        <v>1</v>
      </c>
      <c r="E3891" s="5">
        <f>Table4[[#This Row],[qty]]*(VLOOKUP(Table4[[#This Row],[item_sold]],Table1[],5,FALSE))</f>
        <v>90</v>
      </c>
      <c r="F3891" s="5">
        <f>(VLOOKUP(Table4[[#This Row],[item_sold]],Table1[],4,FALSE))*Table4[[#This Row],[qty]]</f>
        <v>60</v>
      </c>
      <c r="G3891">
        <f t="shared" si="429"/>
        <v>30</v>
      </c>
      <c r="H3891" t="s">
        <v>361</v>
      </c>
    </row>
    <row r="3892" spans="1:9" x14ac:dyDescent="0.25">
      <c r="A3892" s="15">
        <f t="shared" si="430"/>
        <v>45546</v>
      </c>
      <c r="B3892" s="31">
        <f t="shared" ref="B3892:B3893" si="432">TIME(11,43,0)</f>
        <v>0.48819444444444443</v>
      </c>
      <c r="C3892" t="str">
        <f>'Inventory as of 12th Aug 2024'!A8</f>
        <v>eggs</v>
      </c>
      <c r="D3892" s="27">
        <v>2</v>
      </c>
      <c r="E3892" s="5">
        <f>Table4[[#This Row],[qty]]*(VLOOKUP(Table4[[#This Row],[item_sold]],Table1[],5,FALSE))</f>
        <v>40</v>
      </c>
      <c r="F3892" s="5">
        <f>(VLOOKUP(Table4[[#This Row],[item_sold]],Table1[],4,FALSE))*Table4[[#This Row],[qty]]</f>
        <v>28.666666666666668</v>
      </c>
      <c r="G3892">
        <f t="shared" si="429"/>
        <v>11.333333333333332</v>
      </c>
      <c r="H3892" t="s">
        <v>430</v>
      </c>
      <c r="I3892" t="s">
        <v>401</v>
      </c>
    </row>
    <row r="3893" spans="1:9" x14ac:dyDescent="0.25">
      <c r="A3893" s="15">
        <f t="shared" si="430"/>
        <v>45546</v>
      </c>
      <c r="B3893" s="31">
        <f t="shared" si="432"/>
        <v>0.48819444444444443</v>
      </c>
      <c r="C3893" t="str">
        <f>'Inventory as of 12th Aug 2024'!A91</f>
        <v>Tomatoes</v>
      </c>
      <c r="D3893" s="27">
        <v>2</v>
      </c>
      <c r="E3893" s="5">
        <f>Table4[[#This Row],[qty]]*(VLOOKUP(Table4[[#This Row],[item_sold]],Table1[],5,FALSE))</f>
        <v>20</v>
      </c>
      <c r="F3893" s="5">
        <f>(VLOOKUP(Table4[[#This Row],[item_sold]],Table1[],4,FALSE))*Table4[[#This Row],[qty]]</f>
        <v>10</v>
      </c>
      <c r="G3893">
        <f t="shared" si="429"/>
        <v>10</v>
      </c>
      <c r="H3893" t="s">
        <v>430</v>
      </c>
      <c r="I3893" t="s">
        <v>401</v>
      </c>
    </row>
    <row r="3894" spans="1:9" x14ac:dyDescent="0.25">
      <c r="A3894" s="15">
        <f t="shared" si="430"/>
        <v>45546</v>
      </c>
      <c r="B3894" s="31">
        <f>TIME(13,55,0)</f>
        <v>0.57986111111111105</v>
      </c>
      <c r="C3894" t="str">
        <f>'Inventory as of 12th Aug 2024'!A57</f>
        <v>Sportsman</v>
      </c>
      <c r="D3894" s="27">
        <v>1</v>
      </c>
      <c r="E3894" s="5">
        <f>Table4[[#This Row],[qty]]*(VLOOKUP(Table4[[#This Row],[item_sold]],Table1[],5,FALSE))</f>
        <v>20</v>
      </c>
      <c r="F3894" s="5">
        <f>(VLOOKUP(Table4[[#This Row],[item_sold]],Table1[],4,FALSE))*Table4[[#This Row],[qty]]</f>
        <v>13</v>
      </c>
      <c r="G3894">
        <f t="shared" si="429"/>
        <v>7</v>
      </c>
      <c r="H3894" t="s">
        <v>361</v>
      </c>
    </row>
    <row r="3895" spans="1:9" x14ac:dyDescent="0.25">
      <c r="A3895" s="15">
        <f t="shared" si="430"/>
        <v>45546</v>
      </c>
      <c r="B3895" s="31">
        <f>TIME(14,47,0)</f>
        <v>0.61597222222222225</v>
      </c>
      <c r="C3895" t="str">
        <f>'Inventory as of 12th Aug 2024'!A14</f>
        <v>1ltr Brookside Lala Sweetened</v>
      </c>
      <c r="D3895" s="27">
        <v>1</v>
      </c>
      <c r="E3895" s="5">
        <f>Table4[[#This Row],[qty]]*(VLOOKUP(Table4[[#This Row],[item_sold]],Table1[],5,FALSE))</f>
        <v>190</v>
      </c>
      <c r="F3895" s="5">
        <f>(VLOOKUP(Table4[[#This Row],[item_sold]],Table1[],4,FALSE))*Table4[[#This Row],[qty]]</f>
        <v>173</v>
      </c>
      <c r="G3895">
        <f t="shared" si="429"/>
        <v>17</v>
      </c>
      <c r="H3895" t="s">
        <v>361</v>
      </c>
    </row>
    <row r="3896" spans="1:9" x14ac:dyDescent="0.25">
      <c r="A3896" s="15">
        <f t="shared" si="430"/>
        <v>45546</v>
      </c>
      <c r="B3896" s="31">
        <f>TIME(16,0,0)</f>
        <v>0.66666666666666663</v>
      </c>
      <c r="C3896" t="str">
        <f>'Inventory as of 12th Aug 2024'!A57</f>
        <v>Sportsman</v>
      </c>
      <c r="D3896" s="27">
        <v>1</v>
      </c>
      <c r="E3896" s="5">
        <f>Table4[[#This Row],[qty]]*(VLOOKUP(Table4[[#This Row],[item_sold]],Table1[],5,FALSE))</f>
        <v>20</v>
      </c>
      <c r="F3896" s="5">
        <f>(VLOOKUP(Table4[[#This Row],[item_sold]],Table1[],4,FALSE))*Table4[[#This Row],[qty]]</f>
        <v>13</v>
      </c>
      <c r="G3896">
        <f t="shared" si="429"/>
        <v>7</v>
      </c>
      <c r="H3896" t="s">
        <v>361</v>
      </c>
    </row>
    <row r="3897" spans="1:9" x14ac:dyDescent="0.25">
      <c r="A3897" s="15">
        <f t="shared" si="430"/>
        <v>45546</v>
      </c>
      <c r="B3897" s="31">
        <f>TIME(16,7,0)</f>
        <v>0.67152777777777783</v>
      </c>
      <c r="C3897" t="str">
        <f>'Inventory as of 12th Aug 2024'!A191</f>
        <v>Nuvita Bisquit</v>
      </c>
      <c r="D3897" s="27">
        <v>5</v>
      </c>
      <c r="E3897" s="5">
        <f>Table4[[#This Row],[qty]]*(VLOOKUP(Table4[[#This Row],[item_sold]],Table1[],5,FALSE))</f>
        <v>25</v>
      </c>
      <c r="F3897" s="5">
        <f>(VLOOKUP(Table4[[#This Row],[item_sold]],Table1[],4,FALSE))*Table4[[#This Row],[qty]]</f>
        <v>20.833333333333336</v>
      </c>
      <c r="G3897">
        <f t="shared" si="429"/>
        <v>4.1666666666666643</v>
      </c>
      <c r="H3897" t="s">
        <v>361</v>
      </c>
    </row>
    <row r="3898" spans="1:9" x14ac:dyDescent="0.25">
      <c r="A3898" s="15">
        <f t="shared" si="430"/>
        <v>45546</v>
      </c>
      <c r="B3898" s="31">
        <f>TIME(16,55,0)</f>
        <v>0.70486111111111116</v>
      </c>
      <c r="C3898" t="str">
        <f>'Inventory as of 12th Aug 2024'!A33</f>
        <v>BB Bread 400g</v>
      </c>
      <c r="D3898" s="27">
        <v>2</v>
      </c>
      <c r="E3898" s="5">
        <f>Table4[[#This Row],[qty]]*(VLOOKUP(Table4[[#This Row],[item_sold]],Table1[],5,FALSE))</f>
        <v>130</v>
      </c>
      <c r="F3898" s="5">
        <f>(VLOOKUP(Table4[[#This Row],[item_sold]],Table1[],4,FALSE))*Table4[[#This Row],[qty]]</f>
        <v>120</v>
      </c>
      <c r="G3898">
        <f t="shared" si="429"/>
        <v>10</v>
      </c>
      <c r="H3898" t="s">
        <v>361</v>
      </c>
    </row>
    <row r="3899" spans="1:9" x14ac:dyDescent="0.25">
      <c r="A3899" s="15">
        <f t="shared" si="430"/>
        <v>45546</v>
      </c>
      <c r="B3899" s="31">
        <f>TIME(16,59,0)</f>
        <v>0.70763888888888893</v>
      </c>
      <c r="C3899" t="str">
        <f>'Inventory as of 12th Aug 2024'!A42</f>
        <v>Indomie chicken</v>
      </c>
      <c r="D3899" s="27">
        <v>2</v>
      </c>
      <c r="E3899" s="5">
        <f>Table4[[#This Row],[qty]]*(VLOOKUP(Table4[[#This Row],[item_sold]],Table1[],5,FALSE))</f>
        <v>100</v>
      </c>
      <c r="F3899" s="5">
        <f>(VLOOKUP(Table4[[#This Row],[item_sold]],Table1[],4,FALSE))*Table4[[#This Row],[qty]]</f>
        <v>75</v>
      </c>
      <c r="G3899">
        <f t="shared" si="429"/>
        <v>25</v>
      </c>
      <c r="H3899" t="s">
        <v>361</v>
      </c>
    </row>
    <row r="3900" spans="1:9" x14ac:dyDescent="0.25">
      <c r="A3900" s="15">
        <f t="shared" si="430"/>
        <v>45546</v>
      </c>
      <c r="B3900" s="31">
        <f>TIME(18,13,0)</f>
        <v>0.75902777777777775</v>
      </c>
      <c r="C3900" t="str">
        <f>'Inventory as of 12th Aug 2024'!A212</f>
        <v>soda 300ml glass</v>
      </c>
      <c r="D3900" s="27">
        <v>1</v>
      </c>
      <c r="E3900" s="5">
        <f>Table4[[#This Row],[qty]]*(VLOOKUP(Table4[[#This Row],[item_sold]],Table1[],5,FALSE))</f>
        <v>40</v>
      </c>
      <c r="F3900" s="5">
        <f>(VLOOKUP(Table4[[#This Row],[item_sold]],Table1[],4,FALSE))*Table4[[#This Row],[qty]]</f>
        <v>32.5</v>
      </c>
      <c r="G3900">
        <f t="shared" si="429"/>
        <v>7.5</v>
      </c>
      <c r="H3900" t="s">
        <v>430</v>
      </c>
      <c r="I3900" t="s">
        <v>386</v>
      </c>
    </row>
    <row r="3901" spans="1:9" x14ac:dyDescent="0.25">
      <c r="A3901" s="15">
        <f t="shared" si="430"/>
        <v>45546</v>
      </c>
      <c r="B3901" s="31">
        <f t="shared" ref="B3901" si="433">TIME(18,13,0)</f>
        <v>0.75902777777777775</v>
      </c>
      <c r="C3901" t="str">
        <f>'Inventory as of 12th Aug 2024'!A193</f>
        <v>Ginger Bisquit</v>
      </c>
      <c r="D3901" s="27">
        <v>4</v>
      </c>
      <c r="E3901" s="5">
        <f>Table4[[#This Row],[qty]]*(VLOOKUP(Table4[[#This Row],[item_sold]],Table1[],5,FALSE))</f>
        <v>20</v>
      </c>
      <c r="F3901" s="5">
        <f>(VLOOKUP(Table4[[#This Row],[item_sold]],Table1[],4,FALSE))*Table4[[#This Row],[qty]]</f>
        <v>17.333333333333332</v>
      </c>
      <c r="G3901">
        <f t="shared" si="429"/>
        <v>2.6666666666666679</v>
      </c>
      <c r="H3901" t="s">
        <v>430</v>
      </c>
      <c r="I3901" t="s">
        <v>386</v>
      </c>
    </row>
    <row r="3902" spans="1:9" x14ac:dyDescent="0.25">
      <c r="A3902" s="15">
        <f t="shared" si="430"/>
        <v>45546</v>
      </c>
      <c r="B3902" s="31">
        <f>TIME(18,27,0)</f>
        <v>0.76874999999999993</v>
      </c>
      <c r="C3902" t="str">
        <f>'Inventory as of 12th Aug 2024'!A8</f>
        <v>eggs</v>
      </c>
      <c r="D3902" s="27">
        <v>4</v>
      </c>
      <c r="E3902" s="5">
        <f>Table4[[#This Row],[qty]]*(VLOOKUP(Table4[[#This Row],[item_sold]],Table1[],5,FALSE))</f>
        <v>80</v>
      </c>
      <c r="F3902" s="5">
        <f>(VLOOKUP(Table4[[#This Row],[item_sold]],Table1[],4,FALSE))*Table4[[#This Row],[qty]]</f>
        <v>57.333333333333336</v>
      </c>
      <c r="G3902">
        <f t="shared" si="429"/>
        <v>22.666666666666664</v>
      </c>
      <c r="H3902" t="s">
        <v>247</v>
      </c>
    </row>
    <row r="3903" spans="1:9" x14ac:dyDescent="0.25">
      <c r="A3903" s="15">
        <f t="shared" si="430"/>
        <v>45546</v>
      </c>
      <c r="B3903" s="31">
        <f>TIME(18,38,0)</f>
        <v>0.77638888888888891</v>
      </c>
      <c r="C3903" t="str">
        <f>'Inventory as of 12th Aug 2024'!A222</f>
        <v>Rubber</v>
      </c>
      <c r="D3903" s="27">
        <v>1</v>
      </c>
      <c r="E3903" s="5">
        <f>Table4[[#This Row],[qty]]*(VLOOKUP(Table4[[#This Row],[item_sold]],Table1[],5,FALSE))</f>
        <v>10</v>
      </c>
      <c r="F3903" s="5">
        <f>(VLOOKUP(Table4[[#This Row],[item_sold]],Table1[],4,FALSE))*Table4[[#This Row],[qty]]</f>
        <v>5.6</v>
      </c>
      <c r="G3903">
        <f t="shared" si="429"/>
        <v>4.4000000000000004</v>
      </c>
      <c r="H3903" t="s">
        <v>247</v>
      </c>
    </row>
    <row r="3904" spans="1:9" x14ac:dyDescent="0.25">
      <c r="A3904" s="15">
        <f t="shared" si="430"/>
        <v>45546</v>
      </c>
      <c r="B3904" s="31">
        <f t="shared" ref="B3904:B3905" si="434">TIME(18,38,0)</f>
        <v>0.77638888888888891</v>
      </c>
      <c r="C3904" t="str">
        <f>'Inventory as of 12th Aug 2024'!A226</f>
        <v>pens blue</v>
      </c>
      <c r="D3904" s="27">
        <v>1</v>
      </c>
      <c r="E3904" s="5">
        <f>Table4[[#This Row],[qty]]*(VLOOKUP(Table4[[#This Row],[item_sold]],Table1[],5,FALSE))</f>
        <v>10</v>
      </c>
      <c r="F3904" s="5">
        <f>(VLOOKUP(Table4[[#This Row],[item_sold]],Table1[],4,FALSE))*Table4[[#This Row],[qty]]</f>
        <v>5</v>
      </c>
      <c r="G3904">
        <f t="shared" si="429"/>
        <v>5</v>
      </c>
      <c r="H3904" t="s">
        <v>247</v>
      </c>
    </row>
    <row r="3905" spans="1:12" x14ac:dyDescent="0.25">
      <c r="A3905" s="15">
        <f t="shared" si="430"/>
        <v>45546</v>
      </c>
      <c r="B3905" s="31">
        <f t="shared" si="434"/>
        <v>0.77638888888888891</v>
      </c>
      <c r="C3905" t="str">
        <f>'Inventory as of 12th Aug 2024'!A217</f>
        <v>Pencil</v>
      </c>
      <c r="D3905" s="27">
        <v>2</v>
      </c>
      <c r="E3905" s="5">
        <f>Table4[[#This Row],[qty]]*(VLOOKUP(Table4[[#This Row],[item_sold]],Table1[],5,FALSE))</f>
        <v>20</v>
      </c>
      <c r="F3905" s="5">
        <f>(VLOOKUP(Table4[[#This Row],[item_sold]],Table1[],4,FALSE))*Table4[[#This Row],[qty]]</f>
        <v>15</v>
      </c>
      <c r="G3905">
        <f t="shared" si="429"/>
        <v>5</v>
      </c>
      <c r="H3905" t="s">
        <v>247</v>
      </c>
    </row>
    <row r="3906" spans="1:12" x14ac:dyDescent="0.25">
      <c r="A3906" s="15">
        <f t="shared" si="430"/>
        <v>45546</v>
      </c>
      <c r="B3906" s="31">
        <f>TIME(18,40,0)</f>
        <v>0.77777777777777779</v>
      </c>
      <c r="C3906" t="str">
        <f>'Inventory as of 12th Aug 2024'!A57</f>
        <v>Sportsman</v>
      </c>
      <c r="D3906" s="27">
        <v>1</v>
      </c>
      <c r="E3906" s="5">
        <f>Table4[[#This Row],[qty]]*(VLOOKUP(Table4[[#This Row],[item_sold]],Table1[],5,FALSE))</f>
        <v>20</v>
      </c>
      <c r="F3906" s="5">
        <f>(VLOOKUP(Table4[[#This Row],[item_sold]],Table1[],4,FALSE))*Table4[[#This Row],[qty]]</f>
        <v>13</v>
      </c>
      <c r="G3906">
        <f t="shared" si="429"/>
        <v>7</v>
      </c>
      <c r="H3906" t="s">
        <v>361</v>
      </c>
    </row>
    <row r="3907" spans="1:12" x14ac:dyDescent="0.25">
      <c r="A3907" s="15">
        <f t="shared" si="430"/>
        <v>45546</v>
      </c>
      <c r="B3907" s="31">
        <f>TIME(18,40,0)</f>
        <v>0.77777777777777779</v>
      </c>
      <c r="C3907" t="str">
        <f>'Inventory as of 12th Aug 2024'!A199</f>
        <v>Kdf</v>
      </c>
      <c r="D3907" s="27">
        <v>2</v>
      </c>
      <c r="E3907" s="5">
        <f>Table4[[#This Row],[qty]]*(VLOOKUP(Table4[[#This Row],[item_sold]],Table1[],5,FALSE))</f>
        <v>20</v>
      </c>
      <c r="F3907" s="5">
        <f>(VLOOKUP(Table4[[#This Row],[item_sold]],Table1[],4,FALSE))*Table4[[#This Row],[qty]]</f>
        <v>16.666666666666668</v>
      </c>
      <c r="G3907">
        <f t="shared" si="429"/>
        <v>3.3333333333333321</v>
      </c>
      <c r="H3907" t="s">
        <v>247</v>
      </c>
    </row>
    <row r="3908" spans="1:12" x14ac:dyDescent="0.25">
      <c r="A3908" s="15">
        <f t="shared" si="430"/>
        <v>45546</v>
      </c>
      <c r="B3908" s="31">
        <f t="shared" ref="B3908" si="435">TIME(18,57,0)</f>
        <v>0.7895833333333333</v>
      </c>
      <c r="C3908" t="str">
        <f>'Inventory as of 12th Aug 2024'!A200</f>
        <v>Ngumu</v>
      </c>
      <c r="D3908" s="27">
        <v>3</v>
      </c>
      <c r="E3908" s="5">
        <f>Table4[[#This Row],[qty]]*(VLOOKUP(Table4[[#This Row],[item_sold]],Table1[],5,FALSE))</f>
        <v>30</v>
      </c>
      <c r="F3908" s="5">
        <f>(VLOOKUP(Table4[[#This Row],[item_sold]],Table1[],4,FALSE))*Table4[[#This Row],[qty]]</f>
        <v>25</v>
      </c>
      <c r="G3908">
        <f t="shared" si="429"/>
        <v>5</v>
      </c>
      <c r="H3908" t="s">
        <v>361</v>
      </c>
    </row>
    <row r="3909" spans="1:12" x14ac:dyDescent="0.25">
      <c r="A3909" s="15">
        <f t="shared" si="430"/>
        <v>45546</v>
      </c>
      <c r="B3909" s="31">
        <f>TIME(19,3,0)</f>
        <v>0.79375000000000007</v>
      </c>
      <c r="C3909" t="str">
        <f>'Inventory as of 12th Aug 2024'!A206</f>
        <v>soda 500ml plastic</v>
      </c>
      <c r="D3909" s="27">
        <v>1</v>
      </c>
      <c r="E3909" s="5">
        <f>Table4[[#This Row],[qty]]*(VLOOKUP(Table4[[#This Row],[item_sold]],Table1[],5,FALSE))</f>
        <v>70</v>
      </c>
      <c r="F3909" s="5">
        <f>(VLOOKUP(Table4[[#This Row],[item_sold]],Table1[],4,FALSE))*Table4[[#This Row],[qty]]</f>
        <v>60.416666666666664</v>
      </c>
      <c r="G3909">
        <f t="shared" si="429"/>
        <v>9.5833333333333357</v>
      </c>
      <c r="H3909" t="s">
        <v>361</v>
      </c>
    </row>
    <row r="3910" spans="1:12" x14ac:dyDescent="0.25">
      <c r="A3910" s="15">
        <f t="shared" si="430"/>
        <v>45546</v>
      </c>
      <c r="B3910" s="31">
        <f t="shared" ref="B3910:B3912" si="436">TIME(19,3,0)</f>
        <v>0.79375000000000007</v>
      </c>
      <c r="C3910" t="str">
        <f>'Inventory as of 12th Aug 2024'!A199</f>
        <v>Kdf</v>
      </c>
      <c r="D3910" s="27">
        <v>2</v>
      </c>
      <c r="E3910" s="5">
        <f>Table4[[#This Row],[qty]]*(VLOOKUP(Table4[[#This Row],[item_sold]],Table1[],5,FALSE))</f>
        <v>20</v>
      </c>
      <c r="F3910" s="5">
        <f>(VLOOKUP(Table4[[#This Row],[item_sold]],Table1[],4,FALSE))*Table4[[#This Row],[qty]]</f>
        <v>16.666666666666668</v>
      </c>
      <c r="G3910">
        <f t="shared" si="429"/>
        <v>3.3333333333333321</v>
      </c>
      <c r="H3910" t="s">
        <v>361</v>
      </c>
    </row>
    <row r="3911" spans="1:12" x14ac:dyDescent="0.25">
      <c r="A3911" s="15">
        <f t="shared" si="430"/>
        <v>45546</v>
      </c>
      <c r="B3911" s="31">
        <f t="shared" si="436"/>
        <v>0.79375000000000007</v>
      </c>
      <c r="C3911" t="str">
        <f>'Inventory as of 12th Aug 2024'!A136</f>
        <v>Poa Pekee Tissue</v>
      </c>
      <c r="D3911" s="27">
        <v>2</v>
      </c>
      <c r="E3911" s="5">
        <f>Table4[[#This Row],[qty]]*(VLOOKUP(Table4[[#This Row],[item_sold]],Table1[],5,FALSE))</f>
        <v>60</v>
      </c>
      <c r="F3911" s="5">
        <f>(VLOOKUP(Table4[[#This Row],[item_sold]],Table1[],4,FALSE))*Table4[[#This Row],[qty]]</f>
        <v>26.666666666666668</v>
      </c>
      <c r="G3911">
        <f t="shared" si="429"/>
        <v>33.333333333333329</v>
      </c>
      <c r="H3911" t="s">
        <v>361</v>
      </c>
    </row>
    <row r="3912" spans="1:12" x14ac:dyDescent="0.25">
      <c r="A3912" s="15">
        <f t="shared" si="430"/>
        <v>45546</v>
      </c>
      <c r="B3912" s="31">
        <f t="shared" si="436"/>
        <v>0.79375000000000007</v>
      </c>
      <c r="C3912" t="str">
        <f>'Inventory as of 12th Aug 2024'!A75</f>
        <v>Cooking Oil Measured</v>
      </c>
      <c r="D3912" s="27">
        <v>0.36</v>
      </c>
      <c r="E3912" s="5">
        <f>Table4[[#This Row],[qty]]*(VLOOKUP(Table4[[#This Row],[item_sold]],Table1[],5,FALSE))</f>
        <v>100.8</v>
      </c>
      <c r="F3912" s="5">
        <f>(VLOOKUP(Table4[[#This Row],[item_sold]],Table1[],4,FALSE))*Table4[[#This Row],[qty]]</f>
        <v>72</v>
      </c>
      <c r="G3912">
        <f t="shared" si="429"/>
        <v>28.799999999999997</v>
      </c>
      <c r="H3912" t="s">
        <v>361</v>
      </c>
    </row>
    <row r="3913" spans="1:12" x14ac:dyDescent="0.25">
      <c r="A3913" s="15">
        <f t="shared" si="430"/>
        <v>45546</v>
      </c>
      <c r="B3913" s="31">
        <f>TIME(19,6,0)</f>
        <v>0.79583333333333339</v>
      </c>
      <c r="C3913" t="str">
        <f>'Inventory as of 12th Aug 2024'!A8</f>
        <v>eggs</v>
      </c>
      <c r="D3913" s="27">
        <v>3</v>
      </c>
      <c r="E3913" s="5">
        <f>Table4[[#This Row],[qty]]*(VLOOKUP(Table4[[#This Row],[item_sold]],Table1[],5,FALSE))</f>
        <v>60</v>
      </c>
      <c r="F3913" s="5">
        <f>(VLOOKUP(Table4[[#This Row],[item_sold]],Table1[],4,FALSE))*Table4[[#This Row],[qty]]</f>
        <v>43</v>
      </c>
      <c r="G3913">
        <f t="shared" si="429"/>
        <v>17</v>
      </c>
      <c r="H3913" t="s">
        <v>247</v>
      </c>
    </row>
    <row r="3914" spans="1:12" x14ac:dyDescent="0.25">
      <c r="A3914" s="15">
        <f t="shared" si="430"/>
        <v>45546</v>
      </c>
      <c r="B3914" s="31">
        <f>TIME(19,15,0)</f>
        <v>0.80208333333333337</v>
      </c>
      <c r="C3914" t="str">
        <f>'Inventory as of 12th Aug 2024'!A217</f>
        <v>Pencil</v>
      </c>
      <c r="D3914" s="27">
        <v>3</v>
      </c>
      <c r="E3914" s="5">
        <f>Table4[[#This Row],[qty]]*(VLOOKUP(Table4[[#This Row],[item_sold]],Table1[],5,FALSE))</f>
        <v>30</v>
      </c>
      <c r="F3914" s="5">
        <f>(VLOOKUP(Table4[[#This Row],[item_sold]],Table1[],4,FALSE))*Table4[[#This Row],[qty]]</f>
        <v>22.5</v>
      </c>
      <c r="G3914">
        <f t="shared" si="429"/>
        <v>7.5</v>
      </c>
      <c r="H3914" t="s">
        <v>361</v>
      </c>
    </row>
    <row r="3915" spans="1:12" x14ac:dyDescent="0.25">
      <c r="A3915" s="15">
        <f t="shared" si="430"/>
        <v>45546</v>
      </c>
      <c r="B3915" s="31">
        <f t="shared" ref="B3915:B3917" si="437">TIME(19,15,0)</f>
        <v>0.80208333333333337</v>
      </c>
      <c r="C3915" t="str">
        <f>'Inventory as of 12th Aug 2024'!A222</f>
        <v>Rubber</v>
      </c>
      <c r="D3915" s="27">
        <v>2</v>
      </c>
      <c r="E3915" s="5">
        <f>Table4[[#This Row],[qty]]*(VLOOKUP(Table4[[#This Row],[item_sold]],Table1[],5,FALSE))</f>
        <v>20</v>
      </c>
      <c r="F3915" s="5">
        <f>(VLOOKUP(Table4[[#This Row],[item_sold]],Table1[],4,FALSE))*Table4[[#This Row],[qty]]</f>
        <v>11.2</v>
      </c>
      <c r="G3915">
        <f t="shared" si="429"/>
        <v>8.8000000000000007</v>
      </c>
      <c r="H3915" t="s">
        <v>361</v>
      </c>
    </row>
    <row r="3916" spans="1:12" x14ac:dyDescent="0.25">
      <c r="A3916" s="15">
        <f t="shared" si="430"/>
        <v>45546</v>
      </c>
      <c r="B3916" s="31">
        <f t="shared" si="437"/>
        <v>0.80208333333333337</v>
      </c>
      <c r="C3916" t="str">
        <f>'Inventory as of 12th Aug 2024'!A136</f>
        <v>Poa Pekee Tissue</v>
      </c>
      <c r="D3916" s="27">
        <v>1</v>
      </c>
      <c r="E3916" s="5">
        <f>Table4[[#This Row],[qty]]*(VLOOKUP(Table4[[#This Row],[item_sold]],Table1[],5,FALSE))</f>
        <v>30</v>
      </c>
      <c r="F3916" s="5">
        <f>(VLOOKUP(Table4[[#This Row],[item_sold]],Table1[],4,FALSE))*Table4[[#This Row],[qty]]</f>
        <v>13.333333333333334</v>
      </c>
      <c r="G3916">
        <f t="shared" si="429"/>
        <v>16.666666666666664</v>
      </c>
      <c r="H3916" t="s">
        <v>361</v>
      </c>
    </row>
    <row r="3917" spans="1:12" x14ac:dyDescent="0.25">
      <c r="A3917" s="15">
        <f t="shared" si="430"/>
        <v>45546</v>
      </c>
      <c r="B3917" s="31">
        <f t="shared" si="437"/>
        <v>0.80208333333333337</v>
      </c>
      <c r="C3917" t="str">
        <f>'Inventory as of 12th Aug 2024'!A199</f>
        <v>Kdf</v>
      </c>
      <c r="D3917" s="27">
        <v>6</v>
      </c>
      <c r="E3917" s="5">
        <f>Table4[[#This Row],[qty]]*(VLOOKUP(Table4[[#This Row],[item_sold]],Table1[],5,FALSE))</f>
        <v>60</v>
      </c>
      <c r="F3917" s="5">
        <f>(VLOOKUP(Table4[[#This Row],[item_sold]],Table1[],4,FALSE))*Table4[[#This Row],[qty]]</f>
        <v>50</v>
      </c>
      <c r="G3917">
        <f t="shared" si="429"/>
        <v>10</v>
      </c>
      <c r="H3917" t="s">
        <v>361</v>
      </c>
    </row>
    <row r="3918" spans="1:12" x14ac:dyDescent="0.25">
      <c r="A3918" s="15">
        <f t="shared" si="430"/>
        <v>45546</v>
      </c>
      <c r="B3918" s="31">
        <f>TIME(19,19,0)</f>
        <v>0.80486111111111114</v>
      </c>
      <c r="C3918" t="str">
        <f>'Inventory as of 12th Aug 2024'!A2</f>
        <v>Safaricom 20 Credit</v>
      </c>
      <c r="D3918" s="27">
        <v>1</v>
      </c>
      <c r="E3918" s="5">
        <f>Table4[[#This Row],[qty]]*(VLOOKUP(Table4[[#This Row],[item_sold]],Table1[],5,FALSE))</f>
        <v>20</v>
      </c>
      <c r="F3918" s="5">
        <f>(VLOOKUP(Table4[[#This Row],[item_sold]],Table1[],4,FALSE))*Table4[[#This Row],[qty]]</f>
        <v>18</v>
      </c>
      <c r="G3918">
        <f t="shared" si="429"/>
        <v>2</v>
      </c>
      <c r="H3918" t="s">
        <v>361</v>
      </c>
      <c r="J3918" t="s">
        <v>447</v>
      </c>
      <c r="K3918">
        <v>10</v>
      </c>
      <c r="L3918" t="s">
        <v>361</v>
      </c>
    </row>
    <row r="3919" spans="1:12" x14ac:dyDescent="0.25">
      <c r="A3919" s="15">
        <f t="shared" si="430"/>
        <v>45546</v>
      </c>
      <c r="B3919" s="31">
        <f>TIME(19,35,0)</f>
        <v>0.81597222222222221</v>
      </c>
      <c r="C3919" t="str">
        <f>'Inventory as of 12th Aug 2024'!A8</f>
        <v>eggs</v>
      </c>
      <c r="D3919" s="27">
        <v>6</v>
      </c>
      <c r="E3919" s="5">
        <f>Table4[[#This Row],[qty]]*(VLOOKUP(Table4[[#This Row],[item_sold]],Table1[],5,FALSE))</f>
        <v>120</v>
      </c>
      <c r="F3919" s="5">
        <f>(VLOOKUP(Table4[[#This Row],[item_sold]],Table1[],4,FALSE))*Table4[[#This Row],[qty]]</f>
        <v>86</v>
      </c>
      <c r="G3919">
        <f t="shared" si="429"/>
        <v>34</v>
      </c>
      <c r="H3919" t="s">
        <v>361</v>
      </c>
    </row>
    <row r="3920" spans="1:12" x14ac:dyDescent="0.25">
      <c r="A3920" s="15">
        <f t="shared" si="430"/>
        <v>45546</v>
      </c>
      <c r="B3920" s="31">
        <f t="shared" ref="B3920:B3921" si="438">TIME(19,35,0)</f>
        <v>0.81597222222222221</v>
      </c>
      <c r="C3920" t="str">
        <f>'Inventory as of 12th Aug 2024'!A33</f>
        <v>BB Bread 400g</v>
      </c>
      <c r="D3920" s="27">
        <v>1</v>
      </c>
      <c r="E3920" s="5">
        <f>Table4[[#This Row],[qty]]*(VLOOKUP(Table4[[#This Row],[item_sold]],Table1[],5,FALSE))</f>
        <v>65</v>
      </c>
      <c r="F3920" s="5">
        <f>(VLOOKUP(Table4[[#This Row],[item_sold]],Table1[],4,FALSE))*Table4[[#This Row],[qty]]</f>
        <v>60</v>
      </c>
      <c r="G3920">
        <f t="shared" si="429"/>
        <v>5</v>
      </c>
      <c r="H3920" t="s">
        <v>361</v>
      </c>
    </row>
    <row r="3921" spans="1:12" x14ac:dyDescent="0.25">
      <c r="A3921" s="15">
        <f t="shared" si="430"/>
        <v>45546</v>
      </c>
      <c r="B3921" s="31">
        <f t="shared" si="438"/>
        <v>0.81597222222222221</v>
      </c>
      <c r="C3921" t="str">
        <f>'Inventory as of 12th Aug 2024'!A16</f>
        <v>Mt kenya milk 500ml</v>
      </c>
      <c r="D3921" s="27">
        <v>1</v>
      </c>
      <c r="E3921" s="5">
        <f>Table4[[#This Row],[qty]]*(VLOOKUP(Table4[[#This Row],[item_sold]],Table1[],5,FALSE))</f>
        <v>65</v>
      </c>
      <c r="F3921" s="5">
        <f>(VLOOKUP(Table4[[#This Row],[item_sold]],Table1[],4,FALSE))*Table4[[#This Row],[qty]]</f>
        <v>48.333333333333336</v>
      </c>
      <c r="G3921">
        <f t="shared" si="429"/>
        <v>16.666666666666664</v>
      </c>
      <c r="H3921" t="s">
        <v>361</v>
      </c>
    </row>
    <row r="3922" spans="1:12" x14ac:dyDescent="0.25">
      <c r="A3922" s="15">
        <f t="shared" si="430"/>
        <v>45546</v>
      </c>
      <c r="B3922" s="31">
        <f>TIME(19,32,0)</f>
        <v>0.81388888888888899</v>
      </c>
      <c r="C3922" t="str">
        <f>'Inventory as of 12th Aug 2024'!A211</f>
        <v>predator</v>
      </c>
      <c r="D3922" s="27">
        <v>1</v>
      </c>
      <c r="E3922" s="5">
        <f>Table4[[#This Row],[qty]]*(VLOOKUP(Table4[[#This Row],[item_sold]],Table1[],5,FALSE))</f>
        <v>70</v>
      </c>
      <c r="F3922" s="5">
        <f>(VLOOKUP(Table4[[#This Row],[item_sold]],Table1[],4,FALSE))*Table4[[#This Row],[qty]]</f>
        <v>54.166666666666664</v>
      </c>
      <c r="G3922">
        <f t="shared" si="429"/>
        <v>15.833333333333336</v>
      </c>
      <c r="H3922" t="s">
        <v>361</v>
      </c>
    </row>
    <row r="3923" spans="1:12" x14ac:dyDescent="0.25">
      <c r="A3923" s="15">
        <f t="shared" si="430"/>
        <v>45546</v>
      </c>
      <c r="B3923" s="31">
        <f>TIME(19,38,0)</f>
        <v>0.81805555555555554</v>
      </c>
      <c r="C3923" t="str">
        <f>'Inventory as of 12th Aug 2024'!A8</f>
        <v>eggs</v>
      </c>
      <c r="D3923" s="27">
        <v>5</v>
      </c>
      <c r="E3923" s="5">
        <f>Table4[[#This Row],[qty]]*(VLOOKUP(Table4[[#This Row],[item_sold]],Table1[],5,FALSE))</f>
        <v>100</v>
      </c>
      <c r="F3923" s="5">
        <f>(VLOOKUP(Table4[[#This Row],[item_sold]],Table1[],4,FALSE))*Table4[[#This Row],[qty]]</f>
        <v>71.666666666666671</v>
      </c>
      <c r="G3923">
        <f t="shared" si="429"/>
        <v>28.333333333333329</v>
      </c>
      <c r="H3923" t="s">
        <v>430</v>
      </c>
      <c r="I3923" t="s">
        <v>390</v>
      </c>
    </row>
    <row r="3924" spans="1:12" x14ac:dyDescent="0.25">
      <c r="A3924" s="15">
        <f t="shared" si="430"/>
        <v>45546</v>
      </c>
      <c r="B3924" s="31">
        <f t="shared" ref="B3924:B3926" si="439">TIME(19,38,0)</f>
        <v>0.81805555555555554</v>
      </c>
      <c r="C3924" t="str">
        <f>'Inventory as of 12th Aug 2024'!A16</f>
        <v>Mt kenya milk 500ml</v>
      </c>
      <c r="D3924" s="27">
        <v>1</v>
      </c>
      <c r="E3924" s="5">
        <f>Table4[[#This Row],[qty]]*(VLOOKUP(Table4[[#This Row],[item_sold]],Table1[],5,FALSE))</f>
        <v>65</v>
      </c>
      <c r="F3924" s="5">
        <f>(VLOOKUP(Table4[[#This Row],[item_sold]],Table1[],4,FALSE))*Table4[[#This Row],[qty]]</f>
        <v>48.333333333333336</v>
      </c>
      <c r="G3924">
        <f t="shared" si="429"/>
        <v>16.666666666666664</v>
      </c>
      <c r="H3924" t="s">
        <v>430</v>
      </c>
      <c r="I3924" t="s">
        <v>390</v>
      </c>
    </row>
    <row r="3925" spans="1:12" x14ac:dyDescent="0.25">
      <c r="A3925" s="15">
        <f t="shared" si="430"/>
        <v>45546</v>
      </c>
      <c r="B3925" s="31">
        <f t="shared" si="439"/>
        <v>0.81805555555555554</v>
      </c>
      <c r="C3925" t="str">
        <f>'Inventory as of 12th Aug 2024'!A193</f>
        <v>Ginger Bisquit</v>
      </c>
      <c r="D3925" s="27">
        <v>4</v>
      </c>
      <c r="E3925" s="5">
        <f>Table4[[#This Row],[qty]]*(VLOOKUP(Table4[[#This Row],[item_sold]],Table1[],5,FALSE))</f>
        <v>20</v>
      </c>
      <c r="F3925" s="5">
        <f>(VLOOKUP(Table4[[#This Row],[item_sold]],Table1[],4,FALSE))*Table4[[#This Row],[qty]]</f>
        <v>17.333333333333332</v>
      </c>
      <c r="G3925">
        <f t="shared" si="429"/>
        <v>2.6666666666666679</v>
      </c>
      <c r="H3925" t="s">
        <v>361</v>
      </c>
    </row>
    <row r="3926" spans="1:12" x14ac:dyDescent="0.25">
      <c r="A3926" s="15">
        <f t="shared" si="430"/>
        <v>45546</v>
      </c>
      <c r="B3926" s="31">
        <f t="shared" si="439"/>
        <v>0.81805555555555554</v>
      </c>
      <c r="C3926" t="str">
        <f>'Inventory as of 12th Aug 2024'!A30</f>
        <v>Tangawizi Tea 50g</v>
      </c>
      <c r="D3926" s="27">
        <v>1</v>
      </c>
      <c r="E3926" s="5">
        <f>Table4[[#This Row],[qty]]*(VLOOKUP(Table4[[#This Row],[item_sold]],Table1[],5,FALSE))</f>
        <v>35</v>
      </c>
      <c r="F3926" s="5">
        <f>(VLOOKUP(Table4[[#This Row],[item_sold]],Table1[],4,FALSE))*Table4[[#This Row],[qty]]</f>
        <v>29.166666666666668</v>
      </c>
      <c r="G3926">
        <f t="shared" si="429"/>
        <v>5.8333333333333321</v>
      </c>
      <c r="H3926" t="s">
        <v>430</v>
      </c>
      <c r="I3926" t="s">
        <v>419</v>
      </c>
      <c r="J3926" t="s">
        <v>419</v>
      </c>
      <c r="K3926">
        <v>70</v>
      </c>
      <c r="L3926" t="s">
        <v>361</v>
      </c>
    </row>
    <row r="3927" spans="1:12" x14ac:dyDescent="0.25">
      <c r="A3927" s="15">
        <f t="shared" si="430"/>
        <v>45546</v>
      </c>
      <c r="B3927" s="31">
        <f>TIME(19,56,0)</f>
        <v>0.8305555555555556</v>
      </c>
      <c r="C3927" t="str">
        <f>'Inventory as of 12th Aug 2024'!A199</f>
        <v>Kdf</v>
      </c>
      <c r="D3927" s="27">
        <v>2</v>
      </c>
      <c r="E3927" s="5">
        <f>Table4[[#This Row],[qty]]*(VLOOKUP(Table4[[#This Row],[item_sold]],Table1[],5,FALSE))</f>
        <v>20</v>
      </c>
      <c r="F3927" s="5">
        <f>(VLOOKUP(Table4[[#This Row],[item_sold]],Table1[],4,FALSE))*Table4[[#This Row],[qty]]</f>
        <v>16.666666666666668</v>
      </c>
      <c r="G3927">
        <f t="shared" si="429"/>
        <v>3.3333333333333321</v>
      </c>
      <c r="H3927" t="s">
        <v>430</v>
      </c>
      <c r="I3927" t="s">
        <v>385</v>
      </c>
    </row>
    <row r="3928" spans="1:12" x14ac:dyDescent="0.25">
      <c r="A3928" s="15">
        <f t="shared" si="430"/>
        <v>45546</v>
      </c>
      <c r="B3928" s="31">
        <f>TIME(20,28,0)</f>
        <v>0.85277777777777775</v>
      </c>
      <c r="C3928" t="str">
        <f>'Inventory as of 12th Aug 2024'!A191</f>
        <v>Nuvita Bisquit</v>
      </c>
      <c r="D3928" s="27">
        <v>4</v>
      </c>
      <c r="E3928" s="5">
        <f>Table4[[#This Row],[qty]]*(VLOOKUP(Table4[[#This Row],[item_sold]],Table1[],5,FALSE))</f>
        <v>20</v>
      </c>
      <c r="F3928" s="5">
        <f>(VLOOKUP(Table4[[#This Row],[item_sold]],Table1[],4,FALSE))*Table4[[#This Row],[qty]]</f>
        <v>16.666666666666668</v>
      </c>
      <c r="G3928">
        <f t="shared" si="429"/>
        <v>3.3333333333333321</v>
      </c>
      <c r="H3928" t="s">
        <v>361</v>
      </c>
    </row>
    <row r="3929" spans="1:12" x14ac:dyDescent="0.25">
      <c r="A3929" s="15">
        <f>DATE(2024,9,12)</f>
        <v>45547</v>
      </c>
      <c r="B3929" s="31">
        <f>TIME(7,37,0)</f>
        <v>0.31736111111111115</v>
      </c>
      <c r="C3929" t="str">
        <f>'Inventory as of 12th Aug 2024'!A135</f>
        <v>Bella Tissue</v>
      </c>
      <c r="D3929" s="27">
        <v>2</v>
      </c>
      <c r="E3929" s="5">
        <f>Table4[[#This Row],[qty]]*(VLOOKUP(Table4[[#This Row],[item_sold]],Table1[],5,FALSE))</f>
        <v>100</v>
      </c>
      <c r="F3929" s="5">
        <f>(VLOOKUP(Table4[[#This Row],[item_sold]],Table1[],4,FALSE))*Table4[[#This Row],[qty]]</f>
        <v>70</v>
      </c>
      <c r="G3929">
        <f t="shared" si="429"/>
        <v>30</v>
      </c>
      <c r="H3929" t="s">
        <v>361</v>
      </c>
    </row>
    <row r="3930" spans="1:12" x14ac:dyDescent="0.25">
      <c r="A3930" s="15">
        <f t="shared" ref="A3930:A3988" si="440">DATE(2024,9,12)</f>
        <v>45547</v>
      </c>
      <c r="B3930" s="31">
        <f t="shared" ref="B3930:B3932" si="441">TIME(7,37,0)</f>
        <v>0.31736111111111115</v>
      </c>
      <c r="C3930" t="str">
        <f>'Inventory as of 12th Aug 2024'!A85</f>
        <v>Downy lavender</v>
      </c>
      <c r="D3930" s="27">
        <v>2</v>
      </c>
      <c r="E3930" s="5">
        <f>Table4[[#This Row],[qty]]*(VLOOKUP(Table4[[#This Row],[item_sold]],Table1[],5,FALSE))</f>
        <v>40</v>
      </c>
      <c r="F3930" s="5">
        <f>(VLOOKUP(Table4[[#This Row],[item_sold]],Table1[],4,FALSE))*Table4[[#This Row],[qty]]</f>
        <v>34.666666666666664</v>
      </c>
      <c r="G3930">
        <f t="shared" si="429"/>
        <v>5.3333333333333357</v>
      </c>
      <c r="H3930" t="s">
        <v>361</v>
      </c>
    </row>
    <row r="3931" spans="1:12" x14ac:dyDescent="0.25">
      <c r="A3931" s="15">
        <f t="shared" si="440"/>
        <v>45547</v>
      </c>
      <c r="B3931" s="31">
        <f t="shared" si="441"/>
        <v>0.31736111111111115</v>
      </c>
      <c r="C3931" t="str">
        <f>'Inventory as of 12th Aug 2024'!A33</f>
        <v>BB Bread 400g</v>
      </c>
      <c r="D3931" s="27">
        <v>1</v>
      </c>
      <c r="E3931" s="5">
        <f>Table4[[#This Row],[qty]]*(VLOOKUP(Table4[[#This Row],[item_sold]],Table1[],5,FALSE))</f>
        <v>65</v>
      </c>
      <c r="F3931" s="5">
        <f>(VLOOKUP(Table4[[#This Row],[item_sold]],Table1[],4,FALSE))*Table4[[#This Row],[qty]]</f>
        <v>60</v>
      </c>
      <c r="G3931">
        <f t="shared" si="429"/>
        <v>5</v>
      </c>
      <c r="H3931" t="s">
        <v>361</v>
      </c>
    </row>
    <row r="3932" spans="1:12" x14ac:dyDescent="0.25">
      <c r="A3932" s="15">
        <f t="shared" si="440"/>
        <v>45547</v>
      </c>
      <c r="B3932" s="31">
        <f t="shared" si="441"/>
        <v>0.31736111111111115</v>
      </c>
      <c r="C3932" t="str">
        <f>'Inventory as of 12th Aug 2024'!A16</f>
        <v>Mt kenya milk 500ml</v>
      </c>
      <c r="D3932" s="27">
        <v>1</v>
      </c>
      <c r="E3932" s="5">
        <f>Table4[[#This Row],[qty]]*(VLOOKUP(Table4[[#This Row],[item_sold]],Table1[],5,FALSE))</f>
        <v>65</v>
      </c>
      <c r="F3932" s="5">
        <f>(VLOOKUP(Table4[[#This Row],[item_sold]],Table1[],4,FALSE))*Table4[[#This Row],[qty]]</f>
        <v>48.333333333333336</v>
      </c>
      <c r="G3932">
        <f t="shared" si="429"/>
        <v>16.666666666666664</v>
      </c>
      <c r="H3932" t="s">
        <v>361</v>
      </c>
    </row>
    <row r="3933" spans="1:12" x14ac:dyDescent="0.25">
      <c r="A3933" s="15">
        <f t="shared" si="440"/>
        <v>45547</v>
      </c>
      <c r="B3933" s="31">
        <f>TIME(7,38,0)</f>
        <v>0.31805555555555554</v>
      </c>
      <c r="C3933" t="str">
        <f>'Inventory as of 12th Aug 2024'!A9</f>
        <v>Kinangop Fresh Milk 500ml</v>
      </c>
      <c r="D3933" s="27">
        <v>1</v>
      </c>
      <c r="E3933" s="5">
        <f>Table4[[#This Row],[qty]]*(VLOOKUP(Table4[[#This Row],[item_sold]],Table1[],5,FALSE))</f>
        <v>60</v>
      </c>
      <c r="F3933" s="5">
        <f>(VLOOKUP(Table4[[#This Row],[item_sold]],Table1[],4,FALSE))*Table4[[#This Row],[qty]]</f>
        <v>55</v>
      </c>
      <c r="G3933">
        <f t="shared" si="429"/>
        <v>5</v>
      </c>
      <c r="H3933" t="s">
        <v>247</v>
      </c>
    </row>
    <row r="3934" spans="1:12" x14ac:dyDescent="0.25">
      <c r="A3934" s="15">
        <f t="shared" si="440"/>
        <v>45547</v>
      </c>
      <c r="B3934" s="31">
        <f>TIME(7,43,0)</f>
        <v>0.3215277777777778</v>
      </c>
      <c r="C3934" t="str">
        <f>'Inventory as of 12th Aug 2024'!A200</f>
        <v>Ngumu</v>
      </c>
      <c r="D3934" s="27">
        <v>1</v>
      </c>
      <c r="E3934" s="5">
        <f>Table4[[#This Row],[qty]]*(VLOOKUP(Table4[[#This Row],[item_sold]],Table1[],5,FALSE))</f>
        <v>10</v>
      </c>
      <c r="F3934" s="5">
        <f>(VLOOKUP(Table4[[#This Row],[item_sold]],Table1[],4,FALSE))*Table4[[#This Row],[qty]]</f>
        <v>8.3333333333333339</v>
      </c>
      <c r="G3934">
        <f t="shared" si="429"/>
        <v>1.6666666666666661</v>
      </c>
      <c r="H3934" t="s">
        <v>247</v>
      </c>
    </row>
    <row r="3935" spans="1:12" x14ac:dyDescent="0.25">
      <c r="A3935" s="15">
        <f t="shared" si="440"/>
        <v>45547</v>
      </c>
      <c r="B3935" s="31">
        <f>TIME(7,43,0)</f>
        <v>0.3215277777777778</v>
      </c>
      <c r="C3935" t="str">
        <f>'Inventory as of 12th Aug 2024'!A199</f>
        <v>Kdf</v>
      </c>
      <c r="D3935" s="27">
        <v>1</v>
      </c>
      <c r="E3935" s="5">
        <f>Table4[[#This Row],[qty]]*(VLOOKUP(Table4[[#This Row],[item_sold]],Table1[],5,FALSE))</f>
        <v>10</v>
      </c>
      <c r="F3935" s="5">
        <f>(VLOOKUP(Table4[[#This Row],[item_sold]],Table1[],4,FALSE))*Table4[[#This Row],[qty]]</f>
        <v>8.3333333333333339</v>
      </c>
      <c r="G3935">
        <f t="shared" si="429"/>
        <v>1.6666666666666661</v>
      </c>
      <c r="H3935" t="s">
        <v>247</v>
      </c>
    </row>
    <row r="3936" spans="1:12" x14ac:dyDescent="0.25">
      <c r="A3936" s="15">
        <f t="shared" si="440"/>
        <v>45547</v>
      </c>
      <c r="B3936" s="31">
        <f>TIME(7,44,0)</f>
        <v>0.32222222222222224</v>
      </c>
      <c r="C3936" t="str">
        <f>'Inventory as of 12th Aug 2024'!A33</f>
        <v>BB Bread 400g</v>
      </c>
      <c r="D3936" s="27">
        <v>1</v>
      </c>
      <c r="E3936" s="5">
        <f>Table4[[#This Row],[qty]]*(VLOOKUP(Table4[[#This Row],[item_sold]],Table1[],5,FALSE))</f>
        <v>65</v>
      </c>
      <c r="F3936" s="5">
        <f>(VLOOKUP(Table4[[#This Row],[item_sold]],Table1[],4,FALSE))*Table4[[#This Row],[qty]]</f>
        <v>60</v>
      </c>
      <c r="G3936">
        <f t="shared" si="429"/>
        <v>5</v>
      </c>
      <c r="H3936" t="s">
        <v>430</v>
      </c>
      <c r="I3936" t="s">
        <v>390</v>
      </c>
    </row>
    <row r="3937" spans="1:12" x14ac:dyDescent="0.25">
      <c r="A3937" s="15">
        <f t="shared" si="440"/>
        <v>45547</v>
      </c>
      <c r="B3937" s="31">
        <f>TIME(9,1,0)</f>
        <v>0.3756944444444445</v>
      </c>
      <c r="C3937" t="str">
        <f>'Inventory as of 12th Aug 2024'!A57</f>
        <v>Sportsman</v>
      </c>
      <c r="D3937" s="27">
        <v>1</v>
      </c>
      <c r="E3937" s="5">
        <f>Table4[[#This Row],[qty]]*(VLOOKUP(Table4[[#This Row],[item_sold]],Table1[],5,FALSE))</f>
        <v>20</v>
      </c>
      <c r="F3937" s="5">
        <f>(VLOOKUP(Table4[[#This Row],[item_sold]],Table1[],4,FALSE))*Table4[[#This Row],[qty]]</f>
        <v>13</v>
      </c>
      <c r="G3937">
        <f t="shared" si="429"/>
        <v>7</v>
      </c>
      <c r="H3937" t="s">
        <v>361</v>
      </c>
    </row>
    <row r="3938" spans="1:12" x14ac:dyDescent="0.25">
      <c r="A3938" s="15">
        <f t="shared" si="440"/>
        <v>45547</v>
      </c>
      <c r="B3938" s="31">
        <f>TIME(9,2,0)</f>
        <v>0.37638888888888888</v>
      </c>
      <c r="C3938" t="str">
        <f>'Inventory as of 12th Aug 2024'!A9</f>
        <v>Kinangop Fresh Milk 500ml</v>
      </c>
      <c r="D3938" s="27">
        <v>1</v>
      </c>
      <c r="E3938" s="5">
        <f>Table4[[#This Row],[qty]]*(VLOOKUP(Table4[[#This Row],[item_sold]],Table1[],5,FALSE))</f>
        <v>60</v>
      </c>
      <c r="F3938" s="5">
        <f>(VLOOKUP(Table4[[#This Row],[item_sold]],Table1[],4,FALSE))*Table4[[#This Row],[qty]]</f>
        <v>55</v>
      </c>
      <c r="G3938">
        <f t="shared" si="429"/>
        <v>5</v>
      </c>
      <c r="H3938" t="s">
        <v>430</v>
      </c>
      <c r="I3938" t="s">
        <v>388</v>
      </c>
    </row>
    <row r="3939" spans="1:12" x14ac:dyDescent="0.25">
      <c r="A3939" s="15">
        <f t="shared" si="440"/>
        <v>45547</v>
      </c>
      <c r="B3939" s="31">
        <f t="shared" ref="B3939:B3940" si="442">TIME(9,2,0)</f>
        <v>0.37638888888888888</v>
      </c>
      <c r="C3939" t="str">
        <f>'Inventory as of 12th Aug 2024'!A33</f>
        <v>BB Bread 400g</v>
      </c>
      <c r="D3939" s="27">
        <v>1</v>
      </c>
      <c r="E3939" s="5">
        <f>Table4[[#This Row],[qty]]*(VLOOKUP(Table4[[#This Row],[item_sold]],Table1[],5,FALSE))</f>
        <v>65</v>
      </c>
      <c r="F3939" s="5">
        <f>(VLOOKUP(Table4[[#This Row],[item_sold]],Table1[],4,FALSE))*Table4[[#This Row],[qty]]</f>
        <v>60</v>
      </c>
      <c r="G3939">
        <f t="shared" si="429"/>
        <v>5</v>
      </c>
      <c r="H3939" t="s">
        <v>430</v>
      </c>
      <c r="I3939" t="s">
        <v>388</v>
      </c>
    </row>
    <row r="3940" spans="1:12" x14ac:dyDescent="0.25">
      <c r="A3940" s="15">
        <f t="shared" si="440"/>
        <v>45547</v>
      </c>
      <c r="B3940" s="31">
        <f t="shared" si="442"/>
        <v>0.37638888888888888</v>
      </c>
      <c r="C3940" t="str">
        <f>'Inventory as of 12th Aug 2024'!A5</f>
        <v>Airtel 20 Credit</v>
      </c>
      <c r="D3940" s="27">
        <v>1</v>
      </c>
      <c r="E3940" s="5">
        <f>Table4[[#This Row],[qty]]*(VLOOKUP(Table4[[#This Row],[item_sold]],Table1[],5,FALSE))</f>
        <v>20</v>
      </c>
      <c r="F3940" s="5">
        <f>(VLOOKUP(Table4[[#This Row],[item_sold]],Table1[],4,FALSE))*Table4[[#This Row],[qty]]</f>
        <v>18</v>
      </c>
      <c r="G3940">
        <f t="shared" si="429"/>
        <v>2</v>
      </c>
      <c r="H3940" t="s">
        <v>361</v>
      </c>
    </row>
    <row r="3941" spans="1:12" x14ac:dyDescent="0.25">
      <c r="A3941" s="15">
        <f t="shared" si="440"/>
        <v>45547</v>
      </c>
      <c r="B3941" s="31">
        <f>TIME(9,27,0)</f>
        <v>0.39374999999999999</v>
      </c>
      <c r="C3941" t="str">
        <f>'Inventory as of 12th Aug 2024'!A83</f>
        <v>omo 75g</v>
      </c>
      <c r="D3941" s="27">
        <v>2</v>
      </c>
      <c r="E3941" s="5">
        <f>Table4[[#This Row],[qty]]*(VLOOKUP(Table4[[#This Row],[item_sold]],Table1[],5,FALSE))</f>
        <v>70</v>
      </c>
      <c r="F3941" s="5">
        <f>(VLOOKUP(Table4[[#This Row],[item_sold]],Table1[],4,FALSE))*Table4[[#This Row],[qty]]</f>
        <v>55</v>
      </c>
      <c r="G3941">
        <f t="shared" si="429"/>
        <v>15</v>
      </c>
      <c r="H3941" t="s">
        <v>361</v>
      </c>
    </row>
    <row r="3942" spans="1:12" x14ac:dyDescent="0.25">
      <c r="A3942" s="15">
        <f t="shared" si="440"/>
        <v>45547</v>
      </c>
      <c r="B3942" s="31">
        <f t="shared" ref="B3942" si="443">TIME(9,27,0)</f>
        <v>0.39374999999999999</v>
      </c>
      <c r="C3942" t="str">
        <f>'Inventory as of 12th Aug 2024'!A234</f>
        <v>Bigdaddy</v>
      </c>
      <c r="D3942" s="27">
        <v>1</v>
      </c>
      <c r="E3942" s="5">
        <f>Table4[[#This Row],[qty]]*(VLOOKUP(Table4[[#This Row],[item_sold]],Table1[],5,FALSE))</f>
        <v>10</v>
      </c>
      <c r="F3942" s="5">
        <f>(VLOOKUP(Table4[[#This Row],[item_sold]],Table1[],4,FALSE))*Table4[[#This Row],[qty]]</f>
        <v>6</v>
      </c>
      <c r="G3942">
        <f t="shared" si="429"/>
        <v>4</v>
      </c>
      <c r="H3942" t="s">
        <v>361</v>
      </c>
    </row>
    <row r="3943" spans="1:12" x14ac:dyDescent="0.25">
      <c r="A3943" s="15">
        <f t="shared" si="440"/>
        <v>45547</v>
      </c>
      <c r="B3943" s="31">
        <f>TIME(10,10,0)</f>
        <v>0.4236111111111111</v>
      </c>
      <c r="D3943" s="27"/>
      <c r="F3943" s="5"/>
      <c r="G3943"/>
      <c r="J3943" t="s">
        <v>384</v>
      </c>
      <c r="K3943">
        <v>80</v>
      </c>
      <c r="L3943" t="s">
        <v>361</v>
      </c>
    </row>
    <row r="3944" spans="1:12" x14ac:dyDescent="0.25">
      <c r="A3944" s="15">
        <f t="shared" si="440"/>
        <v>45547</v>
      </c>
      <c r="B3944" s="31">
        <f>TIME(11,18,0)</f>
        <v>0.47083333333333338</v>
      </c>
      <c r="C3944" t="str">
        <f>'Inventory as of 12th Aug 2024'!A205</f>
        <v xml:space="preserve"> soda 1.25lts</v>
      </c>
      <c r="D3944" s="27">
        <v>1</v>
      </c>
      <c r="E3944" s="5">
        <f>Table4[[#This Row],[qty]]*(VLOOKUP(Table4[[#This Row],[item_sold]],Table1[],5,FALSE))</f>
        <v>130</v>
      </c>
      <c r="F3944" s="5">
        <f>(VLOOKUP(Table4[[#This Row],[item_sold]],Table1[],4,FALSE))*Table4[[#This Row],[qty]]</f>
        <v>112.5</v>
      </c>
      <c r="G3944">
        <f t="shared" si="429"/>
        <v>17.5</v>
      </c>
      <c r="H3944" t="s">
        <v>361</v>
      </c>
    </row>
    <row r="3945" spans="1:12" x14ac:dyDescent="0.25">
      <c r="A3945" s="15">
        <f t="shared" si="440"/>
        <v>45547</v>
      </c>
      <c r="B3945" s="31">
        <f>TIME(11,38,0)</f>
        <v>0.48472222222222222</v>
      </c>
      <c r="C3945" t="str">
        <f>'Inventory as of 12th Aug 2024'!A7</f>
        <v>Airtel 50 Credit</v>
      </c>
      <c r="D3945" s="27">
        <v>3</v>
      </c>
      <c r="E3945" s="5">
        <f>Table4[[#This Row],[qty]]*(VLOOKUP(Table4[[#This Row],[item_sold]],Table1[],5,FALSE))</f>
        <v>150</v>
      </c>
      <c r="F3945" s="5">
        <f>(VLOOKUP(Table4[[#This Row],[item_sold]],Table1[],4,FALSE))*Table4[[#This Row],[qty]]</f>
        <v>141</v>
      </c>
      <c r="G3945">
        <f t="shared" si="429"/>
        <v>9</v>
      </c>
      <c r="H3945" t="s">
        <v>247</v>
      </c>
    </row>
    <row r="3946" spans="1:12" x14ac:dyDescent="0.25">
      <c r="A3946" s="15">
        <f t="shared" si="440"/>
        <v>45547</v>
      </c>
      <c r="B3946" s="31">
        <f t="shared" ref="B3946" si="444">TIME(11,38,0)</f>
        <v>0.48472222222222222</v>
      </c>
      <c r="C3946" t="str">
        <f>'Inventory as of 12th Aug 2024'!A207</f>
        <v>soda 350ml plastic</v>
      </c>
      <c r="D3946" s="27">
        <v>1</v>
      </c>
      <c r="E3946" s="5">
        <f>Table4[[#This Row],[qty]]*(VLOOKUP(Table4[[#This Row],[item_sold]],Table1[],5,FALSE))</f>
        <v>50</v>
      </c>
      <c r="F3946" s="5">
        <f>(VLOOKUP(Table4[[#This Row],[item_sold]],Table1[],4,FALSE))*Table4[[#This Row],[qty]]</f>
        <v>41.666666666666664</v>
      </c>
      <c r="G3946">
        <f t="shared" ref="G3946:G3986" si="445">E3946-F3946</f>
        <v>8.3333333333333357</v>
      </c>
      <c r="H3946" t="s">
        <v>247</v>
      </c>
    </row>
    <row r="3947" spans="1:12" x14ac:dyDescent="0.25">
      <c r="A3947" s="15">
        <f t="shared" si="440"/>
        <v>45547</v>
      </c>
      <c r="B3947" s="31">
        <f>TIME(11,45,0)</f>
        <v>0.48958333333333331</v>
      </c>
      <c r="C3947" t="str">
        <f>'Inventory as of 12th Aug 2024'!A57</f>
        <v>Sportsman</v>
      </c>
      <c r="D3947" s="27">
        <v>1</v>
      </c>
      <c r="E3947" s="5">
        <f>Table4[[#This Row],[qty]]*(VLOOKUP(Table4[[#This Row],[item_sold]],Table1[],5,FALSE))</f>
        <v>20</v>
      </c>
      <c r="F3947" s="5">
        <f>(VLOOKUP(Table4[[#This Row],[item_sold]],Table1[],4,FALSE))*Table4[[#This Row],[qty]]</f>
        <v>13</v>
      </c>
      <c r="G3947">
        <f t="shared" si="445"/>
        <v>7</v>
      </c>
      <c r="H3947" t="s">
        <v>247</v>
      </c>
    </row>
    <row r="3948" spans="1:12" x14ac:dyDescent="0.25">
      <c r="A3948" s="15">
        <f t="shared" si="440"/>
        <v>45547</v>
      </c>
      <c r="B3948" s="31">
        <f>TIME(12,47,0)</f>
        <v>0.53263888888888888</v>
      </c>
      <c r="C3948" t="str">
        <f>'Inventory as of 12th Aug 2024'!A8</f>
        <v>eggs</v>
      </c>
      <c r="D3948" s="27">
        <v>8</v>
      </c>
      <c r="E3948" s="5">
        <f>Table4[[#This Row],[qty]]*(VLOOKUP(Table4[[#This Row],[item_sold]],Table1[],5,FALSE))</f>
        <v>160</v>
      </c>
      <c r="F3948" s="5">
        <f>(VLOOKUP(Table4[[#This Row],[item_sold]],Table1[],4,FALSE))*Table4[[#This Row],[qty]]</f>
        <v>114.66666666666667</v>
      </c>
      <c r="G3948">
        <f t="shared" si="445"/>
        <v>45.333333333333329</v>
      </c>
      <c r="H3948" t="s">
        <v>430</v>
      </c>
      <c r="I3948" t="s">
        <v>394</v>
      </c>
      <c r="J3948" t="s">
        <v>394</v>
      </c>
      <c r="K3948">
        <v>120</v>
      </c>
      <c r="L3948" t="s">
        <v>361</v>
      </c>
    </row>
    <row r="3949" spans="1:12" x14ac:dyDescent="0.25">
      <c r="A3949" s="15">
        <f t="shared" si="440"/>
        <v>45547</v>
      </c>
      <c r="B3949" s="31">
        <f>TIME(12,49,0)</f>
        <v>0.53402777777777777</v>
      </c>
      <c r="C3949" t="str">
        <f>'Inventory as of 12th Aug 2024'!A255</f>
        <v>Masking Tape</v>
      </c>
      <c r="D3949" s="27">
        <v>1</v>
      </c>
      <c r="E3949" s="5">
        <f>Table4[[#This Row],[qty]]*(VLOOKUP(Table4[[#This Row],[item_sold]],Table1[],5,FALSE))</f>
        <v>30</v>
      </c>
      <c r="F3949" s="5">
        <f>(VLOOKUP(Table4[[#This Row],[item_sold]],Table1[],4,FALSE))*Table4[[#This Row],[qty]]</f>
        <v>20.833333333333332</v>
      </c>
      <c r="G3949">
        <f t="shared" si="445"/>
        <v>9.1666666666666679</v>
      </c>
      <c r="H3949" t="s">
        <v>361</v>
      </c>
    </row>
    <row r="3950" spans="1:12" x14ac:dyDescent="0.25">
      <c r="A3950" s="15">
        <f t="shared" si="440"/>
        <v>45547</v>
      </c>
      <c r="B3950" s="31">
        <f>TIME(13,56,0)</f>
        <v>0.5805555555555556</v>
      </c>
      <c r="C3950" t="str">
        <f>'Inventory as of 12th Aug 2024'!A135</f>
        <v>Bella Tissue</v>
      </c>
      <c r="D3950" s="27">
        <v>1</v>
      </c>
      <c r="E3950" s="5">
        <f>Table4[[#This Row],[qty]]*(VLOOKUP(Table4[[#This Row],[item_sold]],Table1[],5,FALSE))</f>
        <v>50</v>
      </c>
      <c r="F3950" s="5">
        <f>(VLOOKUP(Table4[[#This Row],[item_sold]],Table1[],4,FALSE))*Table4[[#This Row],[qty]]</f>
        <v>35</v>
      </c>
      <c r="G3950">
        <f t="shared" si="445"/>
        <v>15</v>
      </c>
      <c r="H3950" t="s">
        <v>247</v>
      </c>
    </row>
    <row r="3951" spans="1:12" x14ac:dyDescent="0.25">
      <c r="A3951" s="15">
        <f t="shared" si="440"/>
        <v>45547</v>
      </c>
      <c r="B3951" s="31">
        <f t="shared" ref="B3951" si="446">TIME(13,56,0)</f>
        <v>0.5805555555555556</v>
      </c>
      <c r="C3951" t="str">
        <f>'Inventory as of 12th Aug 2024'!A139</f>
        <v>Sunny girl pad</v>
      </c>
      <c r="D3951" s="27">
        <v>1</v>
      </c>
      <c r="E3951" s="5">
        <f>Table4[[#This Row],[qty]]*(VLOOKUP(Table4[[#This Row],[item_sold]],Table1[],5,FALSE))</f>
        <v>70</v>
      </c>
      <c r="F3951" s="5">
        <f>(VLOOKUP(Table4[[#This Row],[item_sold]],Table1[],4,FALSE))*Table4[[#This Row],[qty]]</f>
        <v>56.666666666666664</v>
      </c>
      <c r="G3951">
        <f t="shared" si="445"/>
        <v>13.333333333333336</v>
      </c>
      <c r="H3951" t="s">
        <v>430</v>
      </c>
      <c r="I3951" s="27" t="s">
        <v>385</v>
      </c>
    </row>
    <row r="3952" spans="1:12" x14ac:dyDescent="0.25">
      <c r="A3952" s="15">
        <f t="shared" si="440"/>
        <v>45547</v>
      </c>
      <c r="B3952" s="31">
        <f>TIME(14,0,0)</f>
        <v>0.58333333333333337</v>
      </c>
      <c r="C3952" t="str">
        <f>'Inventory as of 12th Aug 2024'!A171</f>
        <v>Cutex</v>
      </c>
      <c r="D3952" s="27">
        <v>1</v>
      </c>
      <c r="E3952" s="5">
        <f>Table4[[#This Row],[qty]]*(VLOOKUP(Table4[[#This Row],[item_sold]],Table1[],5,FALSE))</f>
        <v>60</v>
      </c>
      <c r="F3952" s="5">
        <f>(VLOOKUP(Table4[[#This Row],[item_sold]],Table1[],4,FALSE))*Table4[[#This Row],[qty]]</f>
        <v>45</v>
      </c>
      <c r="G3952">
        <f t="shared" si="445"/>
        <v>15</v>
      </c>
      <c r="H3952" t="s">
        <v>247</v>
      </c>
    </row>
    <row r="3953" spans="1:9" x14ac:dyDescent="0.25">
      <c r="A3953" s="15">
        <f t="shared" si="440"/>
        <v>45547</v>
      </c>
      <c r="B3953" s="31">
        <f>TIME(14,1,0)</f>
        <v>0.58402777777777781</v>
      </c>
      <c r="C3953" t="str">
        <f>'Inventory as of 12th Aug 2024'!A246</f>
        <v>300ml water</v>
      </c>
      <c r="D3953" s="27">
        <v>1</v>
      </c>
      <c r="E3953" s="5">
        <f>Table4[[#This Row],[qty]]*(VLOOKUP(Table4[[#This Row],[item_sold]],Table1[],5,FALSE))</f>
        <v>30</v>
      </c>
      <c r="F3953" s="5">
        <f>(VLOOKUP(Table4[[#This Row],[item_sold]],Table1[],4,FALSE))*Table4[[#This Row],[qty]]</f>
        <v>12.5</v>
      </c>
      <c r="G3953">
        <f t="shared" si="445"/>
        <v>17.5</v>
      </c>
      <c r="H3953" t="s">
        <v>430</v>
      </c>
      <c r="I3953" t="s">
        <v>384</v>
      </c>
    </row>
    <row r="3954" spans="1:9" x14ac:dyDescent="0.25">
      <c r="A3954" s="15">
        <f t="shared" si="440"/>
        <v>45547</v>
      </c>
      <c r="B3954" s="31">
        <f>TIME(16,37,0)</f>
        <v>0.69236111111111109</v>
      </c>
      <c r="C3954" t="str">
        <f>'Inventory as of 12th Aug 2024'!A242</f>
        <v>Icepop</v>
      </c>
      <c r="D3954" s="27">
        <v>1</v>
      </c>
      <c r="E3954" s="5">
        <f>Table4[[#This Row],[qty]]*(VLOOKUP(Table4[[#This Row],[item_sold]],Table1[],5,FALSE))</f>
        <v>15</v>
      </c>
      <c r="F3954" s="5">
        <f>(VLOOKUP(Table4[[#This Row],[item_sold]],Table1[],4,FALSE))*Table4[[#This Row],[qty]]</f>
        <v>7.5</v>
      </c>
      <c r="G3954">
        <f t="shared" si="445"/>
        <v>7.5</v>
      </c>
      <c r="H3954" t="s">
        <v>247</v>
      </c>
    </row>
    <row r="3955" spans="1:9" x14ac:dyDescent="0.25">
      <c r="A3955" s="15">
        <f t="shared" si="440"/>
        <v>45547</v>
      </c>
      <c r="B3955" s="31">
        <f>TIME(16,37,0)</f>
        <v>0.69236111111111109</v>
      </c>
      <c r="C3955" t="str">
        <f>'Inventory as of 12th Aug 2024'!A191</f>
        <v>Nuvita Bisquit</v>
      </c>
      <c r="D3955" s="27">
        <v>2</v>
      </c>
      <c r="E3955" s="5">
        <f>Table4[[#This Row],[qty]]*(VLOOKUP(Table4[[#This Row],[item_sold]],Table1[],5,FALSE))</f>
        <v>10</v>
      </c>
      <c r="F3955" s="5">
        <f>(VLOOKUP(Table4[[#This Row],[item_sold]],Table1[],4,FALSE))*Table4[[#This Row],[qty]]</f>
        <v>8.3333333333333339</v>
      </c>
      <c r="G3955">
        <f t="shared" si="445"/>
        <v>1.6666666666666661</v>
      </c>
      <c r="H3955" t="s">
        <v>247</v>
      </c>
    </row>
    <row r="3956" spans="1:9" x14ac:dyDescent="0.25">
      <c r="A3956" s="15">
        <f t="shared" si="440"/>
        <v>45547</v>
      </c>
      <c r="B3956" s="31">
        <f t="shared" ref="B3956:B3958" si="447">TIME(16,37,0)</f>
        <v>0.69236111111111109</v>
      </c>
      <c r="C3956" t="str">
        <f>'Inventory as of 12th Aug 2024'!A208</f>
        <v>minutemaid 400ml</v>
      </c>
      <c r="D3956" s="27">
        <v>1</v>
      </c>
      <c r="E3956" s="5">
        <f>Table4[[#This Row],[qty]]*(VLOOKUP(Table4[[#This Row],[item_sold]],Table1[],5,FALSE))</f>
        <v>85</v>
      </c>
      <c r="F3956" s="5">
        <f>(VLOOKUP(Table4[[#This Row],[item_sold]],Table1[],4,FALSE))*Table4[[#This Row],[qty]]</f>
        <v>62.5</v>
      </c>
      <c r="G3956">
        <f t="shared" si="445"/>
        <v>22.5</v>
      </c>
      <c r="H3956" t="s">
        <v>247</v>
      </c>
    </row>
    <row r="3957" spans="1:9" x14ac:dyDescent="0.25">
      <c r="A3957" s="15">
        <f t="shared" si="440"/>
        <v>45547</v>
      </c>
      <c r="B3957" s="31">
        <f t="shared" si="447"/>
        <v>0.69236111111111109</v>
      </c>
      <c r="C3957" t="str">
        <f>'Inventory as of 12th Aug 2024'!A213</f>
        <v>soda 500ml glass</v>
      </c>
      <c r="D3957" s="27">
        <v>1</v>
      </c>
      <c r="E3957" s="5">
        <f>Table4[[#This Row],[qty]]*(VLOOKUP(Table4[[#This Row],[item_sold]],Table1[],5,FALSE))</f>
        <v>55</v>
      </c>
      <c r="F3957" s="5">
        <f>(VLOOKUP(Table4[[#This Row],[item_sold]],Table1[],4,FALSE))*Table4[[#This Row],[qty]]</f>
        <v>50</v>
      </c>
      <c r="G3957">
        <f t="shared" si="445"/>
        <v>5</v>
      </c>
      <c r="H3957" t="s">
        <v>247</v>
      </c>
    </row>
    <row r="3958" spans="1:9" x14ac:dyDescent="0.25">
      <c r="A3958" s="15">
        <f t="shared" si="440"/>
        <v>45547</v>
      </c>
      <c r="B3958" s="31">
        <f t="shared" si="447"/>
        <v>0.69236111111111109</v>
      </c>
      <c r="C3958" t="str">
        <f>'Inventory as of 12th Aug 2024'!A7</f>
        <v>Airtel 50 Credit</v>
      </c>
      <c r="D3958" s="27">
        <v>1</v>
      </c>
      <c r="E3958" s="5">
        <f>Table4[[#This Row],[qty]]*(VLOOKUP(Table4[[#This Row],[item_sold]],Table1[],5,FALSE))</f>
        <v>50</v>
      </c>
      <c r="F3958" s="5">
        <f>(VLOOKUP(Table4[[#This Row],[item_sold]],Table1[],4,FALSE))*Table4[[#This Row],[qty]]</f>
        <v>47</v>
      </c>
      <c r="G3958">
        <f t="shared" si="445"/>
        <v>3</v>
      </c>
      <c r="H3958" t="s">
        <v>247</v>
      </c>
    </row>
    <row r="3959" spans="1:9" x14ac:dyDescent="0.25">
      <c r="A3959" s="15">
        <f t="shared" si="440"/>
        <v>45547</v>
      </c>
      <c r="B3959" s="31">
        <f>TIME(16,56,0)</f>
        <v>0.7055555555555556</v>
      </c>
      <c r="C3959" t="str">
        <f>'Inventory as of 12th Aug 2024'!A209</f>
        <v>afia 500ml</v>
      </c>
      <c r="D3959" s="27">
        <v>1</v>
      </c>
      <c r="E3959" s="5">
        <f>Table4[[#This Row],[qty]]*(VLOOKUP(Table4[[#This Row],[item_sold]],Table1[],5,FALSE))</f>
        <v>85</v>
      </c>
      <c r="F3959" s="5">
        <f>(VLOOKUP(Table4[[#This Row],[item_sold]],Table1[],4,FALSE))*Table4[[#This Row],[qty]]</f>
        <v>70.833333333333329</v>
      </c>
      <c r="G3959">
        <f t="shared" si="445"/>
        <v>14.166666666666671</v>
      </c>
      <c r="H3959" t="s">
        <v>430</v>
      </c>
      <c r="I3959" t="s">
        <v>401</v>
      </c>
    </row>
    <row r="3960" spans="1:9" x14ac:dyDescent="0.25">
      <c r="A3960" s="15">
        <f t="shared" si="440"/>
        <v>45547</v>
      </c>
      <c r="B3960" s="31">
        <f>TIME(16,56,0)</f>
        <v>0.7055555555555556</v>
      </c>
      <c r="C3960" t="str">
        <f>'Inventory as of 12th Aug 2024'!A193</f>
        <v>Ginger Bisquit</v>
      </c>
      <c r="D3960" s="27">
        <v>4</v>
      </c>
      <c r="E3960" s="5">
        <f>Table4[[#This Row],[qty]]*(VLOOKUP(Table4[[#This Row],[item_sold]],Table1[],5,FALSE))</f>
        <v>20</v>
      </c>
      <c r="F3960" s="5">
        <f>(VLOOKUP(Table4[[#This Row],[item_sold]],Table1[],4,FALSE))*Table4[[#This Row],[qty]]</f>
        <v>17.333333333333332</v>
      </c>
      <c r="G3960">
        <f t="shared" si="445"/>
        <v>2.6666666666666679</v>
      </c>
      <c r="H3960" t="s">
        <v>430</v>
      </c>
      <c r="I3960" t="s">
        <v>401</v>
      </c>
    </row>
    <row r="3961" spans="1:9" x14ac:dyDescent="0.25">
      <c r="A3961" s="15">
        <f t="shared" si="440"/>
        <v>45547</v>
      </c>
      <c r="B3961" s="31">
        <f>TIME(17,50,0)</f>
        <v>0.74305555555555547</v>
      </c>
      <c r="C3961" t="str">
        <f>'Inventory as of 12th Aug 2024'!A8</f>
        <v>eggs</v>
      </c>
      <c r="D3961" s="27">
        <v>2</v>
      </c>
      <c r="E3961" s="5">
        <f>Table4[[#This Row],[qty]]*(VLOOKUP(Table4[[#This Row],[item_sold]],Table1[],5,FALSE))</f>
        <v>40</v>
      </c>
      <c r="F3961" s="5">
        <f>(VLOOKUP(Table4[[#This Row],[item_sold]],Table1[],4,FALSE))*Table4[[#This Row],[qty]]</f>
        <v>28.666666666666668</v>
      </c>
      <c r="G3961">
        <f t="shared" si="445"/>
        <v>11.333333333333332</v>
      </c>
      <c r="H3961" t="s">
        <v>430</v>
      </c>
      <c r="I3961" t="s">
        <v>385</v>
      </c>
    </row>
    <row r="3962" spans="1:9" x14ac:dyDescent="0.25">
      <c r="A3962" s="15">
        <f t="shared" si="440"/>
        <v>45547</v>
      </c>
      <c r="B3962" s="31">
        <f t="shared" ref="B3962" si="448">TIME(17,50,0)</f>
        <v>0.74305555555555547</v>
      </c>
      <c r="C3962" t="str">
        <f>'Inventory as of 12th Aug 2024'!A27</f>
        <v>Nescafe 1.5g</v>
      </c>
      <c r="D3962" s="27">
        <v>1</v>
      </c>
      <c r="E3962" s="5">
        <f>Table4[[#This Row],[qty]]*(VLOOKUP(Table4[[#This Row],[item_sold]],Table1[],5,FALSE))</f>
        <v>15</v>
      </c>
      <c r="F3962" s="5">
        <f>(VLOOKUP(Table4[[#This Row],[item_sold]],Table1[],4,FALSE))*Table4[[#This Row],[qty]]</f>
        <v>9.1666666666666661</v>
      </c>
      <c r="G3962">
        <f t="shared" si="445"/>
        <v>5.8333333333333339</v>
      </c>
      <c r="H3962" t="s">
        <v>430</v>
      </c>
      <c r="I3962" t="s">
        <v>385</v>
      </c>
    </row>
    <row r="3963" spans="1:9" x14ac:dyDescent="0.25">
      <c r="A3963" s="15">
        <f t="shared" si="440"/>
        <v>45547</v>
      </c>
      <c r="B3963" s="31">
        <f>TIME(17,54,0)</f>
        <v>0.74583333333333324</v>
      </c>
      <c r="C3963" t="str">
        <f>'Inventory as of 12th Aug 2024'!A211</f>
        <v>predator</v>
      </c>
      <c r="D3963" s="27">
        <v>1</v>
      </c>
      <c r="E3963" s="5">
        <f>Table4[[#This Row],[qty]]*(VLOOKUP(Table4[[#This Row],[item_sold]],Table1[],5,FALSE))</f>
        <v>70</v>
      </c>
      <c r="F3963" s="5">
        <f>(VLOOKUP(Table4[[#This Row],[item_sold]],Table1[],4,FALSE))*Table4[[#This Row],[qty]]</f>
        <v>54.166666666666664</v>
      </c>
      <c r="G3963">
        <f t="shared" si="445"/>
        <v>15.833333333333336</v>
      </c>
      <c r="H3963" t="s">
        <v>247</v>
      </c>
    </row>
    <row r="3964" spans="1:9" x14ac:dyDescent="0.25">
      <c r="A3964" s="15">
        <f t="shared" si="440"/>
        <v>45547</v>
      </c>
      <c r="B3964" s="31">
        <f>TIME(18,22,0)</f>
        <v>0.76527777777777783</v>
      </c>
      <c r="C3964" t="str">
        <f>'Inventory as of 12th Aug 2024'!A54</f>
        <v>Yellow Beans</v>
      </c>
      <c r="D3964" s="27">
        <v>1</v>
      </c>
      <c r="E3964" s="5">
        <f>Table4[[#This Row],[qty]]*(VLOOKUP(Table4[[#This Row],[item_sold]],Table1[],5,FALSE))</f>
        <v>180</v>
      </c>
      <c r="F3964" s="5">
        <f>(VLOOKUP(Table4[[#This Row],[item_sold]],Table1[],4,FALSE))*Table4[[#This Row],[qty]]</f>
        <v>125</v>
      </c>
      <c r="G3964">
        <f t="shared" si="445"/>
        <v>55</v>
      </c>
      <c r="H3964" t="s">
        <v>430</v>
      </c>
      <c r="I3964" t="s">
        <v>390</v>
      </c>
    </row>
    <row r="3965" spans="1:9" x14ac:dyDescent="0.25">
      <c r="A3965" s="15">
        <f t="shared" si="440"/>
        <v>45547</v>
      </c>
      <c r="B3965" s="31">
        <f>TIME(18,31,0)</f>
        <v>0.7715277777777777</v>
      </c>
      <c r="C3965" t="str">
        <f>'Inventory as of 12th Aug 2024'!A199</f>
        <v>Kdf</v>
      </c>
      <c r="D3965" s="27">
        <v>2</v>
      </c>
      <c r="E3965" s="5">
        <f>Table4[[#This Row],[qty]]*(VLOOKUP(Table4[[#This Row],[item_sold]],Table1[],5,FALSE))</f>
        <v>20</v>
      </c>
      <c r="F3965" s="5">
        <f>(VLOOKUP(Table4[[#This Row],[item_sold]],Table1[],4,FALSE))*Table4[[#This Row],[qty]]</f>
        <v>16.666666666666668</v>
      </c>
      <c r="G3965">
        <f t="shared" si="445"/>
        <v>3.3333333333333321</v>
      </c>
      <c r="H3965" t="s">
        <v>361</v>
      </c>
    </row>
    <row r="3966" spans="1:9" x14ac:dyDescent="0.25">
      <c r="A3966" s="15">
        <f t="shared" si="440"/>
        <v>45547</v>
      </c>
      <c r="B3966" s="31">
        <f>TIME(18,31,0)</f>
        <v>0.7715277777777777</v>
      </c>
      <c r="C3966" t="str">
        <f>'Inventory as of 12th Aug 2024'!A92</f>
        <v>Banana</v>
      </c>
      <c r="D3966" s="27">
        <v>1</v>
      </c>
      <c r="E3966" s="5">
        <f>Table4[[#This Row],[qty]]*(VLOOKUP(Table4[[#This Row],[item_sold]],Table1[],5,FALSE))</f>
        <v>10</v>
      </c>
      <c r="F3966" s="5">
        <f>(VLOOKUP(Table4[[#This Row],[item_sold]],Table1[],4,FALSE))*Table4[[#This Row],[qty]]</f>
        <v>8.3333333333333339</v>
      </c>
      <c r="G3966">
        <f t="shared" si="445"/>
        <v>1.6666666666666661</v>
      </c>
      <c r="H3966" t="s">
        <v>247</v>
      </c>
    </row>
    <row r="3967" spans="1:9" x14ac:dyDescent="0.25">
      <c r="A3967" s="15">
        <f t="shared" si="440"/>
        <v>45547</v>
      </c>
      <c r="B3967" s="31">
        <f>TIME(18,37,0)</f>
        <v>0.77569444444444446</v>
      </c>
      <c r="C3967" t="str">
        <f>'Inventory as of 12th Aug 2024'!A42</f>
        <v>Indomie chicken</v>
      </c>
      <c r="D3967" s="27">
        <v>1</v>
      </c>
      <c r="E3967" s="5">
        <f>Table4[[#This Row],[qty]]*(VLOOKUP(Table4[[#This Row],[item_sold]],Table1[],5,FALSE))</f>
        <v>50</v>
      </c>
      <c r="F3967" s="5">
        <f>(VLOOKUP(Table4[[#This Row],[item_sold]],Table1[],4,FALSE))*Table4[[#This Row],[qty]]</f>
        <v>37.5</v>
      </c>
      <c r="G3967">
        <f t="shared" si="445"/>
        <v>12.5</v>
      </c>
      <c r="H3967" t="s">
        <v>361</v>
      </c>
    </row>
    <row r="3968" spans="1:9" x14ac:dyDescent="0.25">
      <c r="A3968" s="15">
        <f t="shared" si="440"/>
        <v>45547</v>
      </c>
      <c r="B3968" s="31">
        <f t="shared" ref="B3968:B3969" si="449">TIME(18,37,0)</f>
        <v>0.77569444444444446</v>
      </c>
      <c r="C3968" t="str">
        <f>'Inventory as of 12th Aug 2024'!A179</f>
        <v>Bitez</v>
      </c>
      <c r="D3968" s="27">
        <v>3</v>
      </c>
      <c r="E3968" s="5">
        <f>Table4[[#This Row],[qty]]*(VLOOKUP(Table4[[#This Row],[item_sold]],Table1[],5,FALSE))</f>
        <v>45</v>
      </c>
      <c r="F3968" s="5">
        <f>(VLOOKUP(Table4[[#This Row],[item_sold]],Table1[],4,FALSE))*Table4[[#This Row],[qty]]</f>
        <v>26.400000000000002</v>
      </c>
      <c r="G3968">
        <f t="shared" si="445"/>
        <v>18.599999999999998</v>
      </c>
      <c r="H3968" t="s">
        <v>361</v>
      </c>
    </row>
    <row r="3969" spans="1:9" x14ac:dyDescent="0.25">
      <c r="A3969" s="15">
        <f t="shared" si="440"/>
        <v>45547</v>
      </c>
      <c r="B3969" s="31">
        <f t="shared" si="449"/>
        <v>0.77569444444444446</v>
      </c>
      <c r="C3969" t="str">
        <f>'Inventory as of 12th Aug 2024'!A240</f>
        <v>Bigboss</v>
      </c>
      <c r="D3969" s="27">
        <v>1</v>
      </c>
      <c r="E3969" s="5">
        <f>Table4[[#This Row],[qty]]*(VLOOKUP(Table4[[#This Row],[item_sold]],Table1[],5,FALSE))</f>
        <v>5</v>
      </c>
      <c r="F3969" s="5">
        <f>(VLOOKUP(Table4[[#This Row],[item_sold]],Table1[],4,FALSE))*Table4[[#This Row],[qty]]</f>
        <v>3.5</v>
      </c>
      <c r="G3969">
        <f t="shared" si="445"/>
        <v>1.5</v>
      </c>
      <c r="H3969" t="s">
        <v>361</v>
      </c>
    </row>
    <row r="3970" spans="1:9" x14ac:dyDescent="0.25">
      <c r="A3970" s="15">
        <f t="shared" si="440"/>
        <v>45547</v>
      </c>
      <c r="B3970" s="31">
        <f>TIME(18,46,0)</f>
        <v>0.78194444444444444</v>
      </c>
      <c r="C3970" t="str">
        <f>'Inventory as of 12th Aug 2024'!A8</f>
        <v>eggs</v>
      </c>
      <c r="D3970" s="27">
        <v>2</v>
      </c>
      <c r="E3970" s="5">
        <f>Table4[[#This Row],[qty]]*(VLOOKUP(Table4[[#This Row],[item_sold]],Table1[],5,FALSE))</f>
        <v>40</v>
      </c>
      <c r="F3970" s="5">
        <f>(VLOOKUP(Table4[[#This Row],[item_sold]],Table1[],4,FALSE))*Table4[[#This Row],[qty]]</f>
        <v>28.666666666666668</v>
      </c>
      <c r="G3970">
        <f t="shared" si="445"/>
        <v>11.333333333333332</v>
      </c>
      <c r="H3970" t="s">
        <v>361</v>
      </c>
    </row>
    <row r="3971" spans="1:9" x14ac:dyDescent="0.25">
      <c r="A3971" s="15">
        <f t="shared" si="440"/>
        <v>45547</v>
      </c>
      <c r="B3971" s="31">
        <f>TIME(18,47,0)</f>
        <v>0.78263888888888899</v>
      </c>
      <c r="C3971" t="str">
        <f>'Inventory as of 12th Aug 2024'!A75</f>
        <v>Cooking Oil Measured</v>
      </c>
      <c r="D3971" s="27">
        <v>0.25</v>
      </c>
      <c r="E3971" s="5">
        <f>Table4[[#This Row],[qty]]*(VLOOKUP(Table4[[#This Row],[item_sold]],Table1[],5,FALSE))</f>
        <v>70</v>
      </c>
      <c r="F3971" s="5">
        <f>(VLOOKUP(Table4[[#This Row],[item_sold]],Table1[],4,FALSE))*Table4[[#This Row],[qty]]</f>
        <v>50</v>
      </c>
      <c r="G3971">
        <f t="shared" si="445"/>
        <v>20</v>
      </c>
      <c r="H3971" t="s">
        <v>361</v>
      </c>
    </row>
    <row r="3972" spans="1:9" x14ac:dyDescent="0.25">
      <c r="A3972" s="15">
        <f t="shared" si="440"/>
        <v>45547</v>
      </c>
      <c r="B3972" s="31">
        <f t="shared" ref="B3972" si="450">TIME(18,47,0)</f>
        <v>0.78263888888888899</v>
      </c>
      <c r="C3972" t="str">
        <f>'Inventory as of 12th Aug 2024'!A73</f>
        <v>Royco Chicken mchuzi mix</v>
      </c>
      <c r="D3972" s="27">
        <v>1</v>
      </c>
      <c r="E3972" s="5">
        <f>Table4[[#This Row],[qty]]*(VLOOKUP(Table4[[#This Row],[item_sold]],Table1[],5,FALSE))</f>
        <v>10</v>
      </c>
      <c r="F3972" s="5">
        <f>(VLOOKUP(Table4[[#This Row],[item_sold]],Table1[],4,FALSE))*Table4[[#This Row],[qty]]</f>
        <v>9</v>
      </c>
      <c r="G3972">
        <f t="shared" si="445"/>
        <v>1</v>
      </c>
      <c r="H3972" t="s">
        <v>361</v>
      </c>
    </row>
    <row r="3973" spans="1:9" x14ac:dyDescent="0.25">
      <c r="A3973" s="15">
        <f t="shared" si="440"/>
        <v>45547</v>
      </c>
      <c r="B3973" s="31">
        <f>TIME(19,1,0)</f>
        <v>0.79236111111111107</v>
      </c>
      <c r="C3973" t="str">
        <f>'Inventory as of 12th Aug 2024'!A75</f>
        <v>Cooking Oil Measured</v>
      </c>
      <c r="D3973" s="27">
        <v>0.25</v>
      </c>
      <c r="E3973" s="5">
        <f>Table4[[#This Row],[qty]]*(VLOOKUP(Table4[[#This Row],[item_sold]],Table1[],5,FALSE))</f>
        <v>70</v>
      </c>
      <c r="F3973" s="5">
        <f>(VLOOKUP(Table4[[#This Row],[item_sold]],Table1[],4,FALSE))*Table4[[#This Row],[qty]]</f>
        <v>50</v>
      </c>
      <c r="G3973">
        <f t="shared" si="445"/>
        <v>20</v>
      </c>
      <c r="H3973" t="s">
        <v>361</v>
      </c>
    </row>
    <row r="3974" spans="1:9" x14ac:dyDescent="0.25">
      <c r="A3974" s="15">
        <f t="shared" si="440"/>
        <v>45547</v>
      </c>
      <c r="B3974" s="31">
        <f t="shared" ref="B3974:B3975" si="451">TIME(19,1,0)</f>
        <v>0.79236111111111107</v>
      </c>
      <c r="C3974" t="str">
        <f>'Inventory as of 12th Aug 2024'!A58</f>
        <v>Safari</v>
      </c>
      <c r="D3974" s="27">
        <v>1</v>
      </c>
      <c r="E3974" s="5">
        <f>Table4[[#This Row],[qty]]*(VLOOKUP(Table4[[#This Row],[item_sold]],Table1[],5,FALSE))</f>
        <v>15</v>
      </c>
      <c r="F3974" s="5">
        <f>(VLOOKUP(Table4[[#This Row],[item_sold]],Table1[],4,FALSE))*Table4[[#This Row],[qty]]</f>
        <v>8.5</v>
      </c>
      <c r="G3974">
        <f t="shared" si="445"/>
        <v>6.5</v>
      </c>
      <c r="H3974" t="s">
        <v>361</v>
      </c>
    </row>
    <row r="3975" spans="1:9" x14ac:dyDescent="0.25">
      <c r="A3975" s="15">
        <f t="shared" si="440"/>
        <v>45547</v>
      </c>
      <c r="B3975" s="31">
        <f t="shared" si="451"/>
        <v>0.79236111111111107</v>
      </c>
      <c r="C3975" t="str">
        <f>'Inventory as of 12th Aug 2024'!A5</f>
        <v>Airtel 20 Credit</v>
      </c>
      <c r="D3975" s="27">
        <v>1</v>
      </c>
      <c r="E3975" s="5">
        <f>Table4[[#This Row],[qty]]*(VLOOKUP(Table4[[#This Row],[item_sold]],Table1[],5,FALSE))</f>
        <v>20</v>
      </c>
      <c r="F3975" s="5">
        <f>(VLOOKUP(Table4[[#This Row],[item_sold]],Table1[],4,FALSE))*Table4[[#This Row],[qty]]</f>
        <v>18</v>
      </c>
      <c r="G3975">
        <f t="shared" si="445"/>
        <v>2</v>
      </c>
      <c r="H3975" t="s">
        <v>361</v>
      </c>
    </row>
    <row r="3976" spans="1:9" x14ac:dyDescent="0.25">
      <c r="A3976" s="15">
        <f t="shared" si="440"/>
        <v>45547</v>
      </c>
      <c r="B3976" s="31">
        <f>TIME(19,51,0)</f>
        <v>0.82708333333333339</v>
      </c>
      <c r="C3976" t="str">
        <f>'Inventory as of 12th Aug 2024'!A53</f>
        <v>Kamande</v>
      </c>
      <c r="D3976" s="27">
        <v>0.5</v>
      </c>
      <c r="E3976" s="5">
        <f>Table4[[#This Row],[qty]]*(VLOOKUP(Table4[[#This Row],[item_sold]],Table1[],5,FALSE))</f>
        <v>175</v>
      </c>
      <c r="F3976" s="5">
        <f>(VLOOKUP(Table4[[#This Row],[item_sold]],Table1[],4,FALSE))*Table4[[#This Row],[qty]]</f>
        <v>150</v>
      </c>
      <c r="G3976">
        <f t="shared" si="445"/>
        <v>25</v>
      </c>
      <c r="H3976" t="s">
        <v>430</v>
      </c>
      <c r="I3976" t="s">
        <v>451</v>
      </c>
    </row>
    <row r="3977" spans="1:9" x14ac:dyDescent="0.25">
      <c r="A3977" s="15">
        <f t="shared" si="440"/>
        <v>45547</v>
      </c>
      <c r="B3977" s="31">
        <f>TIME(19,51,0)</f>
        <v>0.82708333333333339</v>
      </c>
      <c r="C3977" t="str">
        <f>'Inventory as of 12th Aug 2024'!A50</f>
        <v>Pishori rice</v>
      </c>
      <c r="D3977" s="27">
        <v>1</v>
      </c>
      <c r="E3977" s="5">
        <f>Table4[[#This Row],[qty]]*(VLOOKUP(Table4[[#This Row],[item_sold]],Table1[],5,FALSE))</f>
        <v>220</v>
      </c>
      <c r="F3977" s="5">
        <f>(VLOOKUP(Table4[[#This Row],[item_sold]],Table1[],4,FALSE))*Table4[[#This Row],[qty]]</f>
        <v>180</v>
      </c>
      <c r="G3977">
        <f t="shared" si="445"/>
        <v>40</v>
      </c>
      <c r="H3977" t="s">
        <v>430</v>
      </c>
      <c r="I3977" t="s">
        <v>451</v>
      </c>
    </row>
    <row r="3978" spans="1:9" x14ac:dyDescent="0.25">
      <c r="A3978" s="15">
        <f t="shared" si="440"/>
        <v>45547</v>
      </c>
      <c r="B3978" s="31">
        <f t="shared" ref="B3978:B3981" si="452">TIME(19,51,0)</f>
        <v>0.82708333333333339</v>
      </c>
      <c r="C3978" t="str">
        <f>'Inventory as of 12th Aug 2024'!A16</f>
        <v>Mt kenya milk 500ml</v>
      </c>
      <c r="D3978" s="27">
        <v>1</v>
      </c>
      <c r="E3978" s="5">
        <f>Table4[[#This Row],[qty]]*(VLOOKUP(Table4[[#This Row],[item_sold]],Table1[],5,FALSE))</f>
        <v>65</v>
      </c>
      <c r="F3978" s="5">
        <f>(VLOOKUP(Table4[[#This Row],[item_sold]],Table1[],4,FALSE))*Table4[[#This Row],[qty]]</f>
        <v>48.333333333333336</v>
      </c>
      <c r="G3978">
        <f t="shared" si="445"/>
        <v>16.666666666666664</v>
      </c>
      <c r="H3978" t="s">
        <v>430</v>
      </c>
      <c r="I3978" t="s">
        <v>451</v>
      </c>
    </row>
    <row r="3979" spans="1:9" x14ac:dyDescent="0.25">
      <c r="A3979" s="15">
        <f t="shared" si="440"/>
        <v>45547</v>
      </c>
      <c r="B3979" s="31">
        <f t="shared" si="452"/>
        <v>0.82708333333333339</v>
      </c>
      <c r="C3979" t="str">
        <f>'Inventory as of 12th Aug 2024'!A68</f>
        <v>Royco cubes</v>
      </c>
      <c r="D3979" s="27">
        <v>10</v>
      </c>
      <c r="E3979" s="5">
        <f>Table4[[#This Row],[qty]]*(VLOOKUP(Table4[[#This Row],[item_sold]],Table1[],5,FALSE))</f>
        <v>50</v>
      </c>
      <c r="F3979" s="5">
        <f>(VLOOKUP(Table4[[#This Row],[item_sold]],Table1[],4,FALSE))*Table4[[#This Row],[qty]]</f>
        <v>30</v>
      </c>
      <c r="G3979">
        <f t="shared" si="445"/>
        <v>20</v>
      </c>
      <c r="H3979" t="s">
        <v>430</v>
      </c>
      <c r="I3979" t="s">
        <v>451</v>
      </c>
    </row>
    <row r="3980" spans="1:9" x14ac:dyDescent="0.25">
      <c r="A3980" s="15">
        <f t="shared" si="440"/>
        <v>45547</v>
      </c>
      <c r="B3980" s="31">
        <f t="shared" si="452"/>
        <v>0.82708333333333339</v>
      </c>
      <c r="C3980" t="str">
        <f>'Inventory as of 12th Aug 2024'!A90</f>
        <v>Onion</v>
      </c>
      <c r="D3980" s="27">
        <v>5</v>
      </c>
      <c r="E3980" s="5">
        <f>Table4[[#This Row],[qty]]*(VLOOKUP(Table4[[#This Row],[item_sold]],Table1[],5,FALSE))</f>
        <v>50</v>
      </c>
      <c r="F3980" s="5">
        <f>(VLOOKUP(Table4[[#This Row],[item_sold]],Table1[],4,FALSE))*Table4[[#This Row],[qty]]</f>
        <v>40</v>
      </c>
      <c r="G3980">
        <f t="shared" si="445"/>
        <v>10</v>
      </c>
      <c r="H3980" t="s">
        <v>430</v>
      </c>
      <c r="I3980" t="s">
        <v>451</v>
      </c>
    </row>
    <row r="3981" spans="1:9" x14ac:dyDescent="0.25">
      <c r="A3981" s="15">
        <f t="shared" si="440"/>
        <v>45547</v>
      </c>
      <c r="B3981" s="31">
        <f t="shared" si="452"/>
        <v>0.82708333333333339</v>
      </c>
      <c r="C3981" t="str">
        <f>'Inventory as of 12th Aug 2024'!A91</f>
        <v>Tomatoes</v>
      </c>
      <c r="D3981" s="27">
        <v>5</v>
      </c>
      <c r="E3981" s="5">
        <f>Table4[[#This Row],[qty]]*(VLOOKUP(Table4[[#This Row],[item_sold]],Table1[],5,FALSE))</f>
        <v>50</v>
      </c>
      <c r="F3981" s="5">
        <f>(VLOOKUP(Table4[[#This Row],[item_sold]],Table1[],4,FALSE))*Table4[[#This Row],[qty]]</f>
        <v>25</v>
      </c>
      <c r="G3981">
        <f t="shared" si="445"/>
        <v>25</v>
      </c>
      <c r="H3981" t="s">
        <v>430</v>
      </c>
      <c r="I3981" t="s">
        <v>451</v>
      </c>
    </row>
    <row r="3982" spans="1:9" x14ac:dyDescent="0.25">
      <c r="A3982" s="15">
        <f t="shared" si="440"/>
        <v>45547</v>
      </c>
      <c r="B3982" s="31">
        <f>TIME(19,52,0)</f>
        <v>0.82777777777777783</v>
      </c>
      <c r="C3982" t="str">
        <f>'Inventory as of 12th Aug 2024'!A60</f>
        <v>kensalt 200g</v>
      </c>
      <c r="D3982" s="27">
        <v>1</v>
      </c>
      <c r="E3982" s="5">
        <f>Table4[[#This Row],[qty]]*(VLOOKUP(Table4[[#This Row],[item_sold]],Table1[],5,FALSE))</f>
        <v>15</v>
      </c>
      <c r="F3982" s="5">
        <f>(VLOOKUP(Table4[[#This Row],[item_sold]],Table1[],4,FALSE))*Table4[[#This Row],[qty]]</f>
        <v>5.5</v>
      </c>
      <c r="G3982">
        <f t="shared" si="445"/>
        <v>9.5</v>
      </c>
      <c r="H3982" t="s">
        <v>247</v>
      </c>
    </row>
    <row r="3983" spans="1:9" x14ac:dyDescent="0.25">
      <c r="A3983" s="15">
        <f t="shared" si="440"/>
        <v>45547</v>
      </c>
      <c r="B3983" s="31">
        <f>TIME(20,31,0)</f>
        <v>0.85486111111111107</v>
      </c>
      <c r="C3983" t="str">
        <f>'Inventory as of 12th Aug 2024'!A217</f>
        <v>Pencil</v>
      </c>
      <c r="D3983" s="27">
        <v>1</v>
      </c>
      <c r="E3983" s="5">
        <f>Table4[[#This Row],[qty]]*(VLOOKUP(Table4[[#This Row],[item_sold]],Table1[],5,FALSE))</f>
        <v>10</v>
      </c>
      <c r="F3983" s="5">
        <f>(VLOOKUP(Table4[[#This Row],[item_sold]],Table1[],4,FALSE))*Table4[[#This Row],[qty]]</f>
        <v>7.5</v>
      </c>
      <c r="G3983">
        <f t="shared" si="445"/>
        <v>2.5</v>
      </c>
      <c r="H3983" t="s">
        <v>361</v>
      </c>
    </row>
    <row r="3984" spans="1:9" x14ac:dyDescent="0.25">
      <c r="A3984" s="15">
        <f t="shared" si="440"/>
        <v>45547</v>
      </c>
      <c r="B3984" s="31">
        <f t="shared" ref="B3984" si="453">TIME(20,31,0)</f>
        <v>0.85486111111111107</v>
      </c>
      <c r="C3984" t="str">
        <f>'Inventory as of 12th Aug 2024'!A58</f>
        <v>Safari</v>
      </c>
      <c r="D3984" s="27">
        <v>2</v>
      </c>
      <c r="E3984" s="5">
        <f>Table4[[#This Row],[qty]]*(VLOOKUP(Table4[[#This Row],[item_sold]],Table1[],5,FALSE))</f>
        <v>30</v>
      </c>
      <c r="F3984" s="5">
        <f>(VLOOKUP(Table4[[#This Row],[item_sold]],Table1[],4,FALSE))*Table4[[#This Row],[qty]]</f>
        <v>17</v>
      </c>
      <c r="G3984">
        <f t="shared" si="445"/>
        <v>13</v>
      </c>
      <c r="H3984" t="s">
        <v>361</v>
      </c>
    </row>
    <row r="3985" spans="1:12" x14ac:dyDescent="0.25">
      <c r="A3985" s="15">
        <f t="shared" si="440"/>
        <v>45547</v>
      </c>
      <c r="B3985" s="31">
        <f>TIME(20,13,0)</f>
        <v>0.84236111111111101</v>
      </c>
      <c r="C3985" t="str">
        <f>'Inventory as of 12th Aug 2024'!A153</f>
        <v>mosquito stick</v>
      </c>
      <c r="D3985" s="27">
        <v>1</v>
      </c>
      <c r="E3985" s="5">
        <f>Table4[[#This Row],[qty]]*(VLOOKUP(Table4[[#This Row],[item_sold]],Table1[],5,FALSE))</f>
        <v>10</v>
      </c>
      <c r="F3985" s="5">
        <f>(VLOOKUP(Table4[[#This Row],[item_sold]],Table1[],4,FALSE))*Table4[[#This Row],[qty]]</f>
        <v>9</v>
      </c>
      <c r="G3985">
        <f t="shared" si="445"/>
        <v>1</v>
      </c>
      <c r="H3985" t="s">
        <v>361</v>
      </c>
    </row>
    <row r="3986" spans="1:12" x14ac:dyDescent="0.25">
      <c r="A3986" s="15">
        <f t="shared" si="440"/>
        <v>45547</v>
      </c>
      <c r="B3986" s="31">
        <f>TIME(20,17,0)</f>
        <v>0.84513888888888899</v>
      </c>
      <c r="C3986" t="str">
        <f>'Inventory as of 12th Aug 2024'!A228</f>
        <v>Sharpener</v>
      </c>
      <c r="D3986" s="27">
        <v>1</v>
      </c>
      <c r="E3986" s="5">
        <f>Table4[[#This Row],[qty]]*(VLOOKUP(Table4[[#This Row],[item_sold]],Table1[],5,FALSE))</f>
        <v>15</v>
      </c>
      <c r="F3986" s="5">
        <f>(VLOOKUP(Table4[[#This Row],[item_sold]],Table1[],4,FALSE))*Table4[[#This Row],[qty]]</f>
        <v>5</v>
      </c>
      <c r="G3986">
        <f t="shared" si="445"/>
        <v>10</v>
      </c>
      <c r="H3986" t="s">
        <v>430</v>
      </c>
      <c r="I3986" t="s">
        <v>456</v>
      </c>
    </row>
    <row r="3987" spans="1:12" x14ac:dyDescent="0.25">
      <c r="A3987" s="15">
        <f t="shared" si="440"/>
        <v>45547</v>
      </c>
      <c r="B3987" s="31">
        <f>TIME(20,30,0)</f>
        <v>0.85416666666666663</v>
      </c>
      <c r="D3987" s="27"/>
      <c r="F3987" s="5"/>
      <c r="G3987"/>
      <c r="J3987" t="s">
        <v>428</v>
      </c>
      <c r="K3987">
        <v>200</v>
      </c>
      <c r="L3987" t="s">
        <v>402</v>
      </c>
    </row>
    <row r="3988" spans="1:12" x14ac:dyDescent="0.25">
      <c r="A3988" s="15">
        <f t="shared" si="440"/>
        <v>45547</v>
      </c>
      <c r="B3988" s="31">
        <f>TIME(20,42,0)</f>
        <v>0.86249999999999993</v>
      </c>
      <c r="C3988" t="str">
        <f>'Inventory as of 12th Aug 2024'!A197</f>
        <v>Canned cookies</v>
      </c>
      <c r="D3988" s="27">
        <v>1</v>
      </c>
      <c r="E3988" s="5">
        <f>Table4[[#This Row],[qty]]*(VLOOKUP(Table4[[#This Row],[item_sold]],Table1[],5,FALSE))</f>
        <v>60</v>
      </c>
      <c r="F3988" s="5">
        <f>(VLOOKUP(Table4[[#This Row],[item_sold]],Table1[],4,FALSE))*Table4[[#This Row],[qty]]</f>
        <v>50</v>
      </c>
      <c r="G3988">
        <f t="shared" ref="G3988:G4015" si="454">E3988-F3988</f>
        <v>10</v>
      </c>
      <c r="H3988" t="s">
        <v>361</v>
      </c>
    </row>
    <row r="3989" spans="1:12" x14ac:dyDescent="0.25">
      <c r="A3989" s="15">
        <f>DATE(2024,9,13)</f>
        <v>45548</v>
      </c>
      <c r="B3989" s="31">
        <f>TIME(7,20,0)</f>
        <v>0.30555555555555552</v>
      </c>
      <c r="C3989" t="str">
        <f>'Inventory as of 12th Aug 2024'!A4</f>
        <v>Safaricom 50 Credit</v>
      </c>
      <c r="D3989" s="27">
        <v>1</v>
      </c>
      <c r="E3989" s="5">
        <f>Table4[[#This Row],[qty]]*(VLOOKUP(Table4[[#This Row],[item_sold]],Table1[],5,FALSE))</f>
        <v>50</v>
      </c>
      <c r="F3989" s="5">
        <f>(VLOOKUP(Table4[[#This Row],[item_sold]],Table1[],4,FALSE))*Table4[[#This Row],[qty]]</f>
        <v>47</v>
      </c>
      <c r="G3989">
        <f t="shared" si="454"/>
        <v>3</v>
      </c>
      <c r="H3989" t="s">
        <v>247</v>
      </c>
    </row>
    <row r="3990" spans="1:12" x14ac:dyDescent="0.25">
      <c r="A3990" s="15">
        <f t="shared" ref="A3990:A4053" si="455">DATE(2024,9,13)</f>
        <v>45548</v>
      </c>
      <c r="B3990" s="31">
        <f t="shared" ref="B3990" si="456">TIME(7,20,0)</f>
        <v>0.30555555555555552</v>
      </c>
      <c r="C3990" t="str">
        <f>'Inventory as of 12th Aug 2024'!A7</f>
        <v>Airtel 50 Credit</v>
      </c>
      <c r="D3990" s="27">
        <v>1</v>
      </c>
      <c r="E3990" s="5">
        <f>Table4[[#This Row],[qty]]*(VLOOKUP(Table4[[#This Row],[item_sold]],Table1[],5,FALSE))</f>
        <v>50</v>
      </c>
      <c r="F3990" s="5">
        <f>(VLOOKUP(Table4[[#This Row],[item_sold]],Table1[],4,FALSE))*Table4[[#This Row],[qty]]</f>
        <v>47</v>
      </c>
      <c r="G3990">
        <f t="shared" si="454"/>
        <v>3</v>
      </c>
      <c r="H3990" t="s">
        <v>247</v>
      </c>
    </row>
    <row r="3991" spans="1:12" x14ac:dyDescent="0.25">
      <c r="A3991" s="15">
        <f t="shared" si="455"/>
        <v>45548</v>
      </c>
      <c r="B3991" s="31">
        <f>TIME(7,45,0)</f>
        <v>0.32291666666666669</v>
      </c>
      <c r="C3991" t="str">
        <f>'Inventory as of 12th Aug 2024'!A16</f>
        <v>Mt kenya milk 500ml</v>
      </c>
      <c r="D3991" s="27">
        <v>1</v>
      </c>
      <c r="E3991" s="5">
        <f>Table4[[#This Row],[qty]]*(VLOOKUP(Table4[[#This Row],[item_sold]],Table1[],5,FALSE))</f>
        <v>65</v>
      </c>
      <c r="F3991" s="5">
        <f>(VLOOKUP(Table4[[#This Row],[item_sold]],Table1[],4,FALSE))*Table4[[#This Row],[qty]]</f>
        <v>48.333333333333336</v>
      </c>
      <c r="G3991">
        <f t="shared" si="454"/>
        <v>16.666666666666664</v>
      </c>
      <c r="H3991" t="s">
        <v>361</v>
      </c>
    </row>
    <row r="3992" spans="1:12" x14ac:dyDescent="0.25">
      <c r="A3992" s="15">
        <f t="shared" si="455"/>
        <v>45548</v>
      </c>
      <c r="B3992" s="31">
        <f>TIME(7,45,0)</f>
        <v>0.32291666666666669</v>
      </c>
      <c r="C3992" t="str">
        <f>'Inventory as of 12th Aug 2024'!A37</f>
        <v>Festive Bread 400g</v>
      </c>
      <c r="D3992" s="27">
        <v>1</v>
      </c>
      <c r="E3992" s="5">
        <f>Table4[[#This Row],[qty]]*(VLOOKUP(Table4[[#This Row],[item_sold]],Table1[],5,FALSE))</f>
        <v>65</v>
      </c>
      <c r="F3992" s="5">
        <f>(VLOOKUP(Table4[[#This Row],[item_sold]],Table1[],4,FALSE))*Table4[[#This Row],[qty]]</f>
        <v>60</v>
      </c>
      <c r="G3992">
        <f t="shared" si="454"/>
        <v>5</v>
      </c>
      <c r="H3992" t="s">
        <v>361</v>
      </c>
    </row>
    <row r="3993" spans="1:12" x14ac:dyDescent="0.25">
      <c r="A3993" s="15">
        <f t="shared" si="455"/>
        <v>45548</v>
      </c>
      <c r="B3993" s="31">
        <f>TIME(7,47,0)</f>
        <v>0.32430555555555557</v>
      </c>
      <c r="C3993" t="str">
        <f>'Inventory as of 12th Aug 2024'!A58</f>
        <v>Safari</v>
      </c>
      <c r="D3993" s="27">
        <v>1</v>
      </c>
      <c r="E3993" s="5">
        <f>Table4[[#This Row],[qty]]*(VLOOKUP(Table4[[#This Row],[item_sold]],Table1[],5,FALSE))</f>
        <v>15</v>
      </c>
      <c r="F3993" s="5">
        <f>(VLOOKUP(Table4[[#This Row],[item_sold]],Table1[],4,FALSE))*Table4[[#This Row],[qty]]</f>
        <v>8.5</v>
      </c>
      <c r="G3993">
        <f t="shared" si="454"/>
        <v>6.5</v>
      </c>
      <c r="H3993" t="s">
        <v>361</v>
      </c>
    </row>
    <row r="3994" spans="1:12" x14ac:dyDescent="0.25">
      <c r="A3994" s="15">
        <f t="shared" si="455"/>
        <v>45548</v>
      </c>
      <c r="B3994" s="31">
        <f>TIME(8,50,0)</f>
        <v>0.36805555555555558</v>
      </c>
      <c r="C3994" t="str">
        <f>'Inventory as of 12th Aug 2024'!A37</f>
        <v>Festive Bread 400g</v>
      </c>
      <c r="D3994" s="27">
        <v>1</v>
      </c>
      <c r="E3994" s="5">
        <f>Table4[[#This Row],[qty]]*(VLOOKUP(Table4[[#This Row],[item_sold]],Table1[],5,FALSE))</f>
        <v>65</v>
      </c>
      <c r="F3994" s="5">
        <f>(VLOOKUP(Table4[[#This Row],[item_sold]],Table1[],4,FALSE))*Table4[[#This Row],[qty]]</f>
        <v>60</v>
      </c>
      <c r="G3994">
        <f t="shared" si="454"/>
        <v>5</v>
      </c>
      <c r="H3994" t="s">
        <v>361</v>
      </c>
    </row>
    <row r="3995" spans="1:12" x14ac:dyDescent="0.25">
      <c r="A3995" s="15">
        <f t="shared" si="455"/>
        <v>45548</v>
      </c>
      <c r="B3995" s="31">
        <f>TIME(10,1,0)</f>
        <v>0.41736111111111113</v>
      </c>
      <c r="C3995" t="str">
        <f>'Inventory as of 12th Aug 2024'!A92</f>
        <v>Banana</v>
      </c>
      <c r="D3995" s="27">
        <v>1</v>
      </c>
      <c r="E3995" s="5">
        <f>Table4[[#This Row],[qty]]*(VLOOKUP(Table4[[#This Row],[item_sold]],Table1[],5,FALSE))</f>
        <v>10</v>
      </c>
      <c r="F3995" s="5">
        <f>(VLOOKUP(Table4[[#This Row],[item_sold]],Table1[],4,FALSE))*Table4[[#This Row],[qty]]</f>
        <v>8.3333333333333339</v>
      </c>
      <c r="G3995">
        <f t="shared" si="454"/>
        <v>1.6666666666666661</v>
      </c>
      <c r="H3995" t="s">
        <v>361</v>
      </c>
    </row>
    <row r="3996" spans="1:12" x14ac:dyDescent="0.25">
      <c r="A3996" s="15">
        <f t="shared" si="455"/>
        <v>45548</v>
      </c>
      <c r="B3996" s="31">
        <f t="shared" ref="B3996" si="457">TIME(10,1,0)</f>
        <v>0.41736111111111113</v>
      </c>
      <c r="C3996" t="str">
        <f>'Inventory as of 12th Aug 2024'!A58</f>
        <v>Safari</v>
      </c>
      <c r="D3996" s="27">
        <v>1</v>
      </c>
      <c r="E3996" s="5">
        <f>Table4[[#This Row],[qty]]*(VLOOKUP(Table4[[#This Row],[item_sold]],Table1[],5,FALSE))</f>
        <v>15</v>
      </c>
      <c r="F3996" s="5">
        <f>(VLOOKUP(Table4[[#This Row],[item_sold]],Table1[],4,FALSE))*Table4[[#This Row],[qty]]</f>
        <v>8.5</v>
      </c>
      <c r="G3996">
        <f t="shared" si="454"/>
        <v>6.5</v>
      </c>
      <c r="H3996" t="s">
        <v>361</v>
      </c>
    </row>
    <row r="3997" spans="1:12" x14ac:dyDescent="0.25">
      <c r="A3997" s="15">
        <f t="shared" si="455"/>
        <v>45548</v>
      </c>
      <c r="B3997" s="31">
        <f>TIME(10,33,0)</f>
        <v>0.43958333333333338</v>
      </c>
      <c r="C3997" t="str">
        <f>'Inventory as of 12th Aug 2024'!A92</f>
        <v>Banana</v>
      </c>
      <c r="D3997" s="27">
        <v>3</v>
      </c>
      <c r="E3997" s="5">
        <f>Table4[[#This Row],[qty]]*(VLOOKUP(Table4[[#This Row],[item_sold]],Table1[],5,FALSE))</f>
        <v>30</v>
      </c>
      <c r="F3997" s="5">
        <f>(VLOOKUP(Table4[[#This Row],[item_sold]],Table1[],4,FALSE))*Table4[[#This Row],[qty]]</f>
        <v>25</v>
      </c>
      <c r="G3997">
        <f t="shared" si="454"/>
        <v>5</v>
      </c>
      <c r="H3997" t="s">
        <v>361</v>
      </c>
    </row>
    <row r="3998" spans="1:12" x14ac:dyDescent="0.25">
      <c r="A3998" s="15">
        <f t="shared" si="455"/>
        <v>45548</v>
      </c>
      <c r="B3998" s="31">
        <f t="shared" ref="B3998:B3999" si="458">TIME(10,33,0)</f>
        <v>0.43958333333333338</v>
      </c>
      <c r="C3998" t="str">
        <f>'Inventory as of 12th Aug 2024'!A58</f>
        <v>Safari</v>
      </c>
      <c r="D3998" s="27">
        <v>1</v>
      </c>
      <c r="E3998" s="5">
        <f>Table4[[#This Row],[qty]]*(VLOOKUP(Table4[[#This Row],[item_sold]],Table1[],5,FALSE))</f>
        <v>15</v>
      </c>
      <c r="F3998" s="5">
        <f>(VLOOKUP(Table4[[#This Row],[item_sold]],Table1[],4,FALSE))*Table4[[#This Row],[qty]]</f>
        <v>8.5</v>
      </c>
      <c r="G3998">
        <f t="shared" si="454"/>
        <v>6.5</v>
      </c>
      <c r="H3998" t="s">
        <v>247</v>
      </c>
    </row>
    <row r="3999" spans="1:12" x14ac:dyDescent="0.25">
      <c r="A3999" s="15">
        <f t="shared" si="455"/>
        <v>45548</v>
      </c>
      <c r="B3999" s="31">
        <f t="shared" si="458"/>
        <v>0.43958333333333338</v>
      </c>
      <c r="C3999" t="str">
        <f>'Inventory as of 12th Aug 2024'!A200</f>
        <v>Ngumu</v>
      </c>
      <c r="D3999" s="27">
        <v>1</v>
      </c>
      <c r="E3999" s="5">
        <f>Table4[[#This Row],[qty]]*(VLOOKUP(Table4[[#This Row],[item_sold]],Table1[],5,FALSE))</f>
        <v>10</v>
      </c>
      <c r="F3999" s="5">
        <f>(VLOOKUP(Table4[[#This Row],[item_sold]],Table1[],4,FALSE))*Table4[[#This Row],[qty]]</f>
        <v>8.3333333333333339</v>
      </c>
      <c r="G3999">
        <f t="shared" si="454"/>
        <v>1.6666666666666661</v>
      </c>
      <c r="H3999" t="s">
        <v>247</v>
      </c>
    </row>
    <row r="4000" spans="1:12" x14ac:dyDescent="0.25">
      <c r="A4000" s="15">
        <f t="shared" si="455"/>
        <v>45548</v>
      </c>
      <c r="B4000" s="31">
        <f>TIME(10,38,0)</f>
        <v>0.44305555555555554</v>
      </c>
      <c r="C4000" t="str">
        <f>'Inventory as of 12th Aug 2024'!A205</f>
        <v xml:space="preserve"> soda 1.25lts</v>
      </c>
      <c r="D4000" s="27">
        <v>1</v>
      </c>
      <c r="E4000" s="5">
        <f>Table4[[#This Row],[qty]]*(VLOOKUP(Table4[[#This Row],[item_sold]],Table1[],5,FALSE))</f>
        <v>130</v>
      </c>
      <c r="F4000" s="5">
        <f>(VLOOKUP(Table4[[#This Row],[item_sold]],Table1[],4,FALSE))*Table4[[#This Row],[qty]]</f>
        <v>112.5</v>
      </c>
      <c r="G4000">
        <f t="shared" si="454"/>
        <v>17.5</v>
      </c>
      <c r="H4000" t="s">
        <v>361</v>
      </c>
    </row>
    <row r="4001" spans="1:9" x14ac:dyDescent="0.25">
      <c r="A4001" s="15">
        <f t="shared" si="455"/>
        <v>45548</v>
      </c>
      <c r="B4001" s="31">
        <f t="shared" ref="B4001" si="459">TIME(10,38,0)</f>
        <v>0.44305555555555554</v>
      </c>
      <c r="C4001" t="str">
        <f>'Inventory as of 12th Aug 2024'!A199</f>
        <v>Kdf</v>
      </c>
      <c r="D4001" s="27">
        <v>2</v>
      </c>
      <c r="E4001" s="5">
        <f>Table4[[#This Row],[qty]]*(VLOOKUP(Table4[[#This Row],[item_sold]],Table1[],5,FALSE))</f>
        <v>20</v>
      </c>
      <c r="F4001" s="5">
        <f>(VLOOKUP(Table4[[#This Row],[item_sold]],Table1[],4,FALSE))*Table4[[#This Row],[qty]]</f>
        <v>16.666666666666668</v>
      </c>
      <c r="G4001">
        <f t="shared" si="454"/>
        <v>3.3333333333333321</v>
      </c>
      <c r="H4001" t="s">
        <v>361</v>
      </c>
    </row>
    <row r="4002" spans="1:9" x14ac:dyDescent="0.25">
      <c r="A4002" s="15">
        <f t="shared" si="455"/>
        <v>45548</v>
      </c>
      <c r="B4002" s="31">
        <f>TIME(10,40,0)</f>
        <v>0.44444444444444442</v>
      </c>
      <c r="C4002" t="str">
        <f>'Inventory as of 12th Aug 2024'!A33</f>
        <v>BB Bread 400g</v>
      </c>
      <c r="D4002" s="27">
        <v>1</v>
      </c>
      <c r="E4002" s="5">
        <f>Table4[[#This Row],[qty]]*(VLOOKUP(Table4[[#This Row],[item_sold]],Table1[],5,FALSE))</f>
        <v>65</v>
      </c>
      <c r="F4002" s="5">
        <f>(VLOOKUP(Table4[[#This Row],[item_sold]],Table1[],4,FALSE))*Table4[[#This Row],[qty]]</f>
        <v>60</v>
      </c>
      <c r="G4002">
        <f t="shared" si="454"/>
        <v>5</v>
      </c>
      <c r="H4002" t="s">
        <v>247</v>
      </c>
    </row>
    <row r="4003" spans="1:9" x14ac:dyDescent="0.25">
      <c r="A4003" s="15">
        <f t="shared" si="455"/>
        <v>45548</v>
      </c>
      <c r="B4003" s="31">
        <f t="shared" ref="B4003:B4008" si="460">TIME(10,40,0)</f>
        <v>0.44444444444444442</v>
      </c>
      <c r="C4003" t="str">
        <f>'Inventory as of 12th Aug 2024'!A240</f>
        <v>Bigboss</v>
      </c>
      <c r="D4003" s="27">
        <v>4</v>
      </c>
      <c r="E4003" s="5">
        <f>Table4[[#This Row],[qty]]*(VLOOKUP(Table4[[#This Row],[item_sold]],Table1[],5,FALSE))</f>
        <v>20</v>
      </c>
      <c r="F4003" s="5">
        <f>(VLOOKUP(Table4[[#This Row],[item_sold]],Table1[],4,FALSE))*Table4[[#This Row],[qty]]</f>
        <v>14</v>
      </c>
      <c r="G4003">
        <f t="shared" si="454"/>
        <v>6</v>
      </c>
      <c r="H4003" t="s">
        <v>247</v>
      </c>
    </row>
    <row r="4004" spans="1:9" x14ac:dyDescent="0.25">
      <c r="A4004" s="15">
        <f t="shared" si="455"/>
        <v>45548</v>
      </c>
      <c r="B4004" s="31">
        <f t="shared" si="460"/>
        <v>0.44444444444444442</v>
      </c>
      <c r="C4004" t="str">
        <f>'Inventory as of 12th Aug 2024'!A92</f>
        <v>Banana</v>
      </c>
      <c r="D4004" s="27">
        <v>2</v>
      </c>
      <c r="E4004" s="5">
        <f>Table4[[#This Row],[qty]]*(VLOOKUP(Table4[[#This Row],[item_sold]],Table1[],5,FALSE))</f>
        <v>20</v>
      </c>
      <c r="F4004" s="5">
        <f>(VLOOKUP(Table4[[#This Row],[item_sold]],Table1[],4,FALSE))*Table4[[#This Row],[qty]]</f>
        <v>16.666666666666668</v>
      </c>
      <c r="G4004">
        <f t="shared" si="454"/>
        <v>3.3333333333333321</v>
      </c>
      <c r="H4004" t="s">
        <v>247</v>
      </c>
    </row>
    <row r="4005" spans="1:9" x14ac:dyDescent="0.25">
      <c r="A4005" s="15">
        <f t="shared" si="455"/>
        <v>45548</v>
      </c>
      <c r="B4005" s="31">
        <f t="shared" si="460"/>
        <v>0.44444444444444442</v>
      </c>
      <c r="C4005" t="str">
        <f>'Inventory as of 12th Aug 2024'!A58</f>
        <v>Safari</v>
      </c>
      <c r="D4005" s="27">
        <v>1</v>
      </c>
      <c r="E4005" s="5">
        <f>Table4[[#This Row],[qty]]*(VLOOKUP(Table4[[#This Row],[item_sold]],Table1[],5,FALSE))</f>
        <v>15</v>
      </c>
      <c r="F4005" s="5">
        <f>(VLOOKUP(Table4[[#This Row],[item_sold]],Table1[],4,FALSE))*Table4[[#This Row],[qty]]</f>
        <v>8.5</v>
      </c>
      <c r="G4005">
        <f t="shared" si="454"/>
        <v>6.5</v>
      </c>
      <c r="H4005" t="s">
        <v>247</v>
      </c>
    </row>
    <row r="4006" spans="1:9" x14ac:dyDescent="0.25">
      <c r="A4006" s="15">
        <f t="shared" si="455"/>
        <v>45548</v>
      </c>
      <c r="B4006" s="31">
        <f t="shared" si="460"/>
        <v>0.44444444444444442</v>
      </c>
      <c r="C4006" t="str">
        <f>'Inventory as of 12th Aug 2024'!A240</f>
        <v>Bigboss</v>
      </c>
      <c r="D4006" s="27">
        <v>1</v>
      </c>
      <c r="E4006" s="5">
        <f>Table4[[#This Row],[qty]]*(VLOOKUP(Table4[[#This Row],[item_sold]],Table1[],5,FALSE))</f>
        <v>5</v>
      </c>
      <c r="F4006" s="5">
        <f>(VLOOKUP(Table4[[#This Row],[item_sold]],Table1[],4,FALSE))*Table4[[#This Row],[qty]]</f>
        <v>3.5</v>
      </c>
      <c r="G4006">
        <f t="shared" si="454"/>
        <v>1.5</v>
      </c>
      <c r="H4006" t="s">
        <v>247</v>
      </c>
    </row>
    <row r="4007" spans="1:9" x14ac:dyDescent="0.25">
      <c r="A4007" s="15">
        <f t="shared" si="455"/>
        <v>45548</v>
      </c>
      <c r="B4007" s="31">
        <f t="shared" si="460"/>
        <v>0.44444444444444442</v>
      </c>
      <c r="C4007" t="str">
        <f>'Inventory as of 12th Aug 2024'!A58</f>
        <v>Safari</v>
      </c>
      <c r="D4007" s="27">
        <v>1</v>
      </c>
      <c r="E4007" s="5">
        <f>Table4[[#This Row],[qty]]*(VLOOKUP(Table4[[#This Row],[item_sold]],Table1[],5,FALSE))</f>
        <v>15</v>
      </c>
      <c r="F4007" s="5">
        <f>(VLOOKUP(Table4[[#This Row],[item_sold]],Table1[],4,FALSE))*Table4[[#This Row],[qty]]</f>
        <v>8.5</v>
      </c>
      <c r="G4007">
        <f t="shared" si="454"/>
        <v>6.5</v>
      </c>
      <c r="H4007" t="s">
        <v>247</v>
      </c>
    </row>
    <row r="4008" spans="1:9" x14ac:dyDescent="0.25">
      <c r="A4008" s="15">
        <f t="shared" si="455"/>
        <v>45548</v>
      </c>
      <c r="B4008" s="31">
        <f t="shared" si="460"/>
        <v>0.44444444444444442</v>
      </c>
      <c r="C4008" t="str">
        <f>'Inventory as of 12th Aug 2024'!A42</f>
        <v>Indomie chicken</v>
      </c>
      <c r="D4008" s="27">
        <v>1</v>
      </c>
      <c r="E4008" s="5">
        <f>Table4[[#This Row],[qty]]*(VLOOKUP(Table4[[#This Row],[item_sold]],Table1[],5,FALSE))</f>
        <v>50</v>
      </c>
      <c r="F4008" s="5">
        <f>(VLOOKUP(Table4[[#This Row],[item_sold]],Table1[],4,FALSE))*Table4[[#This Row],[qty]]</f>
        <v>37.5</v>
      </c>
      <c r="G4008">
        <f t="shared" si="454"/>
        <v>12.5</v>
      </c>
      <c r="H4008" t="s">
        <v>247</v>
      </c>
    </row>
    <row r="4009" spans="1:9" x14ac:dyDescent="0.25">
      <c r="A4009" s="15">
        <f t="shared" si="455"/>
        <v>45548</v>
      </c>
      <c r="B4009" s="31">
        <f>TIME(13,2,0)</f>
        <v>0.54305555555555551</v>
      </c>
      <c r="C4009" t="str">
        <f>'Inventory as of 12th Aug 2024'!A68</f>
        <v>Royco cubes</v>
      </c>
      <c r="D4009" s="27">
        <v>1</v>
      </c>
      <c r="E4009" s="5">
        <f>Table4[[#This Row],[qty]]*(VLOOKUP(Table4[[#This Row],[item_sold]],Table1[],5,FALSE))</f>
        <v>5</v>
      </c>
      <c r="F4009" s="5">
        <f>(VLOOKUP(Table4[[#This Row],[item_sold]],Table1[],4,FALSE))*Table4[[#This Row],[qty]]</f>
        <v>3</v>
      </c>
      <c r="G4009">
        <f t="shared" si="454"/>
        <v>2</v>
      </c>
      <c r="H4009" t="s">
        <v>247</v>
      </c>
    </row>
    <row r="4010" spans="1:9" x14ac:dyDescent="0.25">
      <c r="A4010" s="15">
        <f t="shared" si="455"/>
        <v>45548</v>
      </c>
      <c r="B4010" s="31">
        <f t="shared" ref="B4010:B4012" si="461">TIME(13,2,0)</f>
        <v>0.54305555555555551</v>
      </c>
      <c r="C4010" t="str">
        <f>'Inventory as of 12th Aug 2024'!A47</f>
        <v>Pembe 2kg</v>
      </c>
      <c r="D4010" s="27">
        <v>1</v>
      </c>
      <c r="E4010" s="5">
        <f>Table4[[#This Row],[qty]]*(VLOOKUP(Table4[[#This Row],[item_sold]],Table1[],5,FALSE))</f>
        <v>160</v>
      </c>
      <c r="F4010" s="5">
        <f>(VLOOKUP(Table4[[#This Row],[item_sold]],Table1[],4,FALSE))*Table4[[#This Row],[qty]]</f>
        <v>123.33333333333333</v>
      </c>
      <c r="G4010">
        <f t="shared" si="454"/>
        <v>36.666666666666671</v>
      </c>
      <c r="H4010" t="s">
        <v>247</v>
      </c>
    </row>
    <row r="4011" spans="1:9" x14ac:dyDescent="0.25">
      <c r="A4011" s="15">
        <f t="shared" si="455"/>
        <v>45548</v>
      </c>
      <c r="B4011" s="31">
        <f t="shared" si="461"/>
        <v>0.54305555555555551</v>
      </c>
      <c r="C4011" t="str">
        <f>'Inventory as of 12th Aug 2024'!A238</f>
        <v>Tropical</v>
      </c>
      <c r="D4011" s="27">
        <v>2</v>
      </c>
      <c r="E4011" s="5">
        <f>Table4[[#This Row],[qty]]*(VLOOKUP(Table4[[#This Row],[item_sold]],Table1[],5,FALSE))</f>
        <v>10</v>
      </c>
      <c r="F4011" s="5">
        <f>(VLOOKUP(Table4[[#This Row],[item_sold]],Table1[],4,FALSE))*Table4[[#This Row],[qty]]</f>
        <v>3</v>
      </c>
      <c r="G4011">
        <f t="shared" si="454"/>
        <v>7</v>
      </c>
      <c r="H4011" t="s">
        <v>247</v>
      </c>
    </row>
    <row r="4012" spans="1:9" x14ac:dyDescent="0.25">
      <c r="A4012" s="15">
        <f t="shared" si="455"/>
        <v>45548</v>
      </c>
      <c r="B4012" s="31">
        <f t="shared" si="461"/>
        <v>0.54305555555555551</v>
      </c>
      <c r="C4012" t="str">
        <f>'Inventory as of 12th Aug 2024'!A120</f>
        <v>Maramoja</v>
      </c>
      <c r="D4012" s="27">
        <v>2</v>
      </c>
      <c r="E4012" s="5">
        <f>Table4[[#This Row],[qty]]*(VLOOKUP(Table4[[#This Row],[item_sold]],Table1[],5,FALSE))</f>
        <v>20</v>
      </c>
      <c r="F4012" s="5">
        <f>(VLOOKUP(Table4[[#This Row],[item_sold]],Table1[],4,FALSE))*Table4[[#This Row],[qty]]</f>
        <v>14</v>
      </c>
      <c r="G4012">
        <f t="shared" si="454"/>
        <v>6</v>
      </c>
      <c r="H4012" t="s">
        <v>247</v>
      </c>
    </row>
    <row r="4013" spans="1:9" x14ac:dyDescent="0.25">
      <c r="A4013" s="15">
        <f t="shared" si="455"/>
        <v>45548</v>
      </c>
      <c r="B4013" s="31">
        <f>TIME(13,21,0)</f>
        <v>0.55625000000000002</v>
      </c>
      <c r="C4013" t="str">
        <f>'Inventory as of 12th Aug 2024'!A84</f>
        <v>omo 20g</v>
      </c>
      <c r="D4013" s="27">
        <v>1</v>
      </c>
      <c r="E4013" s="5">
        <f>Table4[[#This Row],[qty]]*(VLOOKUP(Table4[[#This Row],[item_sold]],Table1[],5,FALSE))</f>
        <v>15</v>
      </c>
      <c r="F4013" s="5">
        <f>(VLOOKUP(Table4[[#This Row],[item_sold]],Table1[],4,FALSE))*Table4[[#This Row],[qty]]</f>
        <v>9.1666666666666661</v>
      </c>
      <c r="G4013">
        <f t="shared" si="454"/>
        <v>5.8333333333333339</v>
      </c>
      <c r="H4013" t="s">
        <v>247</v>
      </c>
    </row>
    <row r="4014" spans="1:9" x14ac:dyDescent="0.25">
      <c r="A4014" s="15">
        <f t="shared" si="455"/>
        <v>45548</v>
      </c>
      <c r="B4014" s="31">
        <f t="shared" ref="B4014:B4015" si="462">TIME(13,21,0)</f>
        <v>0.55625000000000002</v>
      </c>
      <c r="C4014" t="str">
        <f>'Inventory as of 12th Aug 2024'!A10</f>
        <v>Mt Kenya milk 200ml</v>
      </c>
      <c r="D4014" s="27">
        <v>1</v>
      </c>
      <c r="E4014" s="5">
        <f>Table4[[#This Row],[qty]]*(VLOOKUP(Table4[[#This Row],[item_sold]],Table1[],5,FALSE))</f>
        <v>35</v>
      </c>
      <c r="F4014" s="5">
        <f>(VLOOKUP(Table4[[#This Row],[item_sold]],Table1[],4,FALSE))*Table4[[#This Row],[qty]]</f>
        <v>24.285714285714285</v>
      </c>
      <c r="G4014">
        <f t="shared" si="454"/>
        <v>10.714285714285715</v>
      </c>
      <c r="H4014" t="s">
        <v>247</v>
      </c>
    </row>
    <row r="4015" spans="1:9" x14ac:dyDescent="0.25">
      <c r="A4015" s="15">
        <f t="shared" si="455"/>
        <v>45548</v>
      </c>
      <c r="B4015" s="31">
        <f t="shared" si="462"/>
        <v>0.55625000000000002</v>
      </c>
      <c r="C4015" t="str">
        <f>'Inventory as of 12th Aug 2024'!A7</f>
        <v>Airtel 50 Credit</v>
      </c>
      <c r="D4015" s="27">
        <v>1</v>
      </c>
      <c r="E4015" s="5">
        <f>Table4[[#This Row],[qty]]*(VLOOKUP(Table4[[#This Row],[item_sold]],Table1[],5,FALSE))</f>
        <v>50</v>
      </c>
      <c r="F4015" s="5">
        <f>(VLOOKUP(Table4[[#This Row],[item_sold]],Table1[],4,FALSE))*Table4[[#This Row],[qty]]</f>
        <v>47</v>
      </c>
      <c r="G4015">
        <f t="shared" si="454"/>
        <v>3</v>
      </c>
      <c r="H4015" t="s">
        <v>247</v>
      </c>
    </row>
    <row r="4016" spans="1:9" x14ac:dyDescent="0.25">
      <c r="A4016" s="15">
        <f t="shared" si="455"/>
        <v>45548</v>
      </c>
      <c r="B4016" s="31">
        <f>TIME(13,22,0)</f>
        <v>0.55694444444444446</v>
      </c>
      <c r="C4016" t="str">
        <f>'Inventory as of 12th Aug 2024'!A211</f>
        <v>predator</v>
      </c>
      <c r="D4016">
        <v>1</v>
      </c>
      <c r="E4016" s="5">
        <f>Table4[[#This Row],[qty]]*(VLOOKUP(Table4[[#This Row],[item_sold]],Table1[],5,FALSE))</f>
        <v>70</v>
      </c>
      <c r="F4016" s="5">
        <f>(VLOOKUP(Table4[[#This Row],[item_sold]],Table1[],4,FALSE))*Table4[[#This Row],[qty]]</f>
        <v>54.166666666666664</v>
      </c>
      <c r="G4016">
        <f t="shared" ref="G4016:G4079" si="463">E4016-F4016</f>
        <v>15.833333333333336</v>
      </c>
      <c r="H4016" t="s">
        <v>430</v>
      </c>
      <c r="I4016" t="s">
        <v>401</v>
      </c>
    </row>
    <row r="4017" spans="1:9" x14ac:dyDescent="0.25">
      <c r="A4017" s="15">
        <f t="shared" si="455"/>
        <v>45548</v>
      </c>
      <c r="B4017" s="31">
        <f>TIME(14,22,0)</f>
        <v>0.59861111111111109</v>
      </c>
      <c r="C4017" t="str">
        <f>'Inventory as of 12th Aug 2024'!A135</f>
        <v>Bella Tissue</v>
      </c>
      <c r="D4017">
        <v>2</v>
      </c>
      <c r="E4017" s="5">
        <f>Table4[[#This Row],[qty]]*(VLOOKUP(Table4[[#This Row],[item_sold]],Table1[],5,FALSE))</f>
        <v>100</v>
      </c>
      <c r="F4017" s="5">
        <f>(VLOOKUP(Table4[[#This Row],[item_sold]],Table1[],4,FALSE))*Table4[[#This Row],[qty]]</f>
        <v>70</v>
      </c>
      <c r="G4017">
        <f t="shared" si="463"/>
        <v>30</v>
      </c>
      <c r="H4017" t="s">
        <v>361</v>
      </c>
    </row>
    <row r="4018" spans="1:9" x14ac:dyDescent="0.25">
      <c r="A4018" s="15">
        <f t="shared" si="455"/>
        <v>45548</v>
      </c>
      <c r="B4018" s="31">
        <f t="shared" ref="B4018:B4019" si="464">TIME(14,22,0)</f>
        <v>0.59861111111111109</v>
      </c>
      <c r="C4018" t="str">
        <f>'Inventory as of 12th Aug 2024'!A212</f>
        <v>soda 300ml glass</v>
      </c>
      <c r="D4018">
        <v>1</v>
      </c>
      <c r="E4018" s="5">
        <f>Table4[[#This Row],[qty]]*(VLOOKUP(Table4[[#This Row],[item_sold]],Table1[],5,FALSE))</f>
        <v>40</v>
      </c>
      <c r="F4018" s="5">
        <f>(VLOOKUP(Table4[[#This Row],[item_sold]],Table1[],4,FALSE))*Table4[[#This Row],[qty]]</f>
        <v>32.5</v>
      </c>
      <c r="G4018">
        <f t="shared" si="463"/>
        <v>7.5</v>
      </c>
      <c r="H4018" t="s">
        <v>247</v>
      </c>
    </row>
    <row r="4019" spans="1:9" x14ac:dyDescent="0.25">
      <c r="A4019" s="15">
        <f t="shared" si="455"/>
        <v>45548</v>
      </c>
      <c r="B4019" s="31">
        <f t="shared" si="464"/>
        <v>0.59861111111111109</v>
      </c>
      <c r="C4019" t="str">
        <f>'Inventory as of 12th Aug 2024'!A200</f>
        <v>Ngumu</v>
      </c>
      <c r="D4019">
        <v>3</v>
      </c>
      <c r="E4019" s="5">
        <f>Table4[[#This Row],[qty]]*(VLOOKUP(Table4[[#This Row],[item_sold]],Table1[],5,FALSE))</f>
        <v>30</v>
      </c>
      <c r="F4019" s="5">
        <f>(VLOOKUP(Table4[[#This Row],[item_sold]],Table1[],4,FALSE))*Table4[[#This Row],[qty]]</f>
        <v>25</v>
      </c>
      <c r="G4019">
        <f t="shared" si="463"/>
        <v>5</v>
      </c>
      <c r="H4019" t="s">
        <v>247</v>
      </c>
    </row>
    <row r="4020" spans="1:9" x14ac:dyDescent="0.25">
      <c r="A4020" s="15">
        <f t="shared" si="455"/>
        <v>45548</v>
      </c>
      <c r="B4020" s="31">
        <f>TIME(15,11,0)</f>
        <v>0.63263888888888886</v>
      </c>
      <c r="C4020" t="str">
        <f>'Inventory as of 12th Aug 2024'!A58</f>
        <v>Safari</v>
      </c>
      <c r="D4020">
        <v>1</v>
      </c>
      <c r="E4020" s="5">
        <f>Table4[[#This Row],[qty]]*(VLOOKUP(Table4[[#This Row],[item_sold]],Table1[],5,FALSE))</f>
        <v>15</v>
      </c>
      <c r="F4020" s="5">
        <f>(VLOOKUP(Table4[[#This Row],[item_sold]],Table1[],4,FALSE))*Table4[[#This Row],[qty]]</f>
        <v>8.5</v>
      </c>
      <c r="G4020">
        <f t="shared" si="463"/>
        <v>6.5</v>
      </c>
      <c r="H4020" t="s">
        <v>361</v>
      </c>
    </row>
    <row r="4021" spans="1:9" x14ac:dyDescent="0.25">
      <c r="A4021" s="15">
        <f t="shared" si="455"/>
        <v>45548</v>
      </c>
      <c r="B4021" s="31">
        <f>TIME(15,41,0)</f>
        <v>0.65347222222222223</v>
      </c>
      <c r="C4021" t="str">
        <f>'Inventory as of 12th Aug 2024'!A36</f>
        <v>Festive 800g</v>
      </c>
      <c r="D4021">
        <v>1</v>
      </c>
      <c r="E4021" s="5">
        <f>Table4[[#This Row],[qty]]*(VLOOKUP(Table4[[#This Row],[item_sold]],Table1[],5,FALSE))</f>
        <v>130</v>
      </c>
      <c r="F4021" s="5">
        <f>(VLOOKUP(Table4[[#This Row],[item_sold]],Table1[],4,FALSE))*Table4[[#This Row],[qty]]</f>
        <v>120</v>
      </c>
      <c r="G4021">
        <f t="shared" si="463"/>
        <v>10</v>
      </c>
      <c r="H4021" t="s">
        <v>247</v>
      </c>
    </row>
    <row r="4022" spans="1:9" x14ac:dyDescent="0.25">
      <c r="A4022" s="15">
        <f t="shared" si="455"/>
        <v>45548</v>
      </c>
      <c r="B4022" s="31">
        <f>TIME(15,41,0)</f>
        <v>0.65347222222222223</v>
      </c>
      <c r="C4022" t="str">
        <f>'Inventory as of 12th Aug 2024'!A139</f>
        <v>Sunny girl pad</v>
      </c>
      <c r="D4022">
        <v>1</v>
      </c>
      <c r="E4022" s="5">
        <f>Table4[[#This Row],[qty]]*(VLOOKUP(Table4[[#This Row],[item_sold]],Table1[],5,FALSE))</f>
        <v>70</v>
      </c>
      <c r="F4022" s="5">
        <f>(VLOOKUP(Table4[[#This Row],[item_sold]],Table1[],4,FALSE))*Table4[[#This Row],[qty]]</f>
        <v>56.666666666666664</v>
      </c>
      <c r="G4022">
        <f t="shared" si="463"/>
        <v>13.333333333333336</v>
      </c>
      <c r="H4022" t="s">
        <v>361</v>
      </c>
    </row>
    <row r="4023" spans="1:9" x14ac:dyDescent="0.25">
      <c r="A4023" s="15">
        <f t="shared" si="455"/>
        <v>45548</v>
      </c>
      <c r="B4023" s="31">
        <f>TIME(15,43,0)</f>
        <v>0.65486111111111112</v>
      </c>
      <c r="C4023" t="str">
        <f>'Inventory as of 12th Aug 2024'!A190</f>
        <v>Goodday Cookies</v>
      </c>
      <c r="D4023">
        <v>3</v>
      </c>
      <c r="E4023" s="5">
        <f>Table4[[#This Row],[qty]]*(VLOOKUP(Table4[[#This Row],[item_sold]],Table1[],5,FALSE))</f>
        <v>45</v>
      </c>
      <c r="F4023" s="5">
        <f>(VLOOKUP(Table4[[#This Row],[item_sold]],Table1[],4,FALSE))*Table4[[#This Row],[qty]]</f>
        <v>28</v>
      </c>
      <c r="G4023">
        <f t="shared" si="463"/>
        <v>17</v>
      </c>
      <c r="H4023" t="s">
        <v>247</v>
      </c>
    </row>
    <row r="4024" spans="1:9" x14ac:dyDescent="0.25">
      <c r="A4024" s="15">
        <f t="shared" si="455"/>
        <v>45548</v>
      </c>
      <c r="B4024" s="31">
        <f>TIME(15,43,0)</f>
        <v>0.65486111111111112</v>
      </c>
      <c r="C4024" t="str">
        <f>'Inventory as of 12th Aug 2024'!A191</f>
        <v>Nuvita Bisquit</v>
      </c>
      <c r="D4024">
        <v>1</v>
      </c>
      <c r="E4024" s="5">
        <f>Table4[[#This Row],[qty]]*(VLOOKUP(Table4[[#This Row],[item_sold]],Table1[],5,FALSE))</f>
        <v>5</v>
      </c>
      <c r="F4024" s="5">
        <f>(VLOOKUP(Table4[[#This Row],[item_sold]],Table1[],4,FALSE))*Table4[[#This Row],[qty]]</f>
        <v>4.166666666666667</v>
      </c>
      <c r="G4024">
        <f t="shared" si="463"/>
        <v>0.83333333333333304</v>
      </c>
      <c r="H4024" t="s">
        <v>247</v>
      </c>
    </row>
    <row r="4025" spans="1:9" x14ac:dyDescent="0.25">
      <c r="A4025" s="15">
        <f t="shared" si="455"/>
        <v>45548</v>
      </c>
      <c r="B4025" s="31">
        <f>TIME(15,54,0)</f>
        <v>0.66249999999999998</v>
      </c>
      <c r="C4025" t="str">
        <f>'Inventory as of 12th Aug 2024'!A6</f>
        <v>Airtel 10 Credit</v>
      </c>
      <c r="D4025">
        <v>1</v>
      </c>
      <c r="E4025" s="5">
        <f>Table4[[#This Row],[qty]]*(VLOOKUP(Table4[[#This Row],[item_sold]],Table1[],5,FALSE))</f>
        <v>10</v>
      </c>
      <c r="F4025" s="5">
        <f>(VLOOKUP(Table4[[#This Row],[item_sold]],Table1[],4,FALSE))*Table4[[#This Row],[qty]]</f>
        <v>9</v>
      </c>
      <c r="G4025">
        <f t="shared" si="463"/>
        <v>1</v>
      </c>
      <c r="H4025" t="s">
        <v>247</v>
      </c>
    </row>
    <row r="4026" spans="1:9" x14ac:dyDescent="0.25">
      <c r="A4026" s="15">
        <f t="shared" si="455"/>
        <v>45548</v>
      </c>
      <c r="B4026" s="31">
        <f>TIME(16,29,0)</f>
        <v>0.68680555555555556</v>
      </c>
      <c r="C4026" t="str">
        <f>'Inventory as of 12th Aug 2024'!A37</f>
        <v>Festive Bread 400g</v>
      </c>
      <c r="D4026">
        <v>1</v>
      </c>
      <c r="E4026" s="5">
        <f>Table4[[#This Row],[qty]]*(VLOOKUP(Table4[[#This Row],[item_sold]],Table1[],5,FALSE))</f>
        <v>65</v>
      </c>
      <c r="F4026" s="5">
        <f>(VLOOKUP(Table4[[#This Row],[item_sold]],Table1[],4,FALSE))*Table4[[#This Row],[qty]]</f>
        <v>60</v>
      </c>
      <c r="G4026">
        <f t="shared" si="463"/>
        <v>5</v>
      </c>
      <c r="H4026" t="s">
        <v>361</v>
      </c>
    </row>
    <row r="4027" spans="1:9" x14ac:dyDescent="0.25">
      <c r="A4027" s="15">
        <f t="shared" si="455"/>
        <v>45548</v>
      </c>
      <c r="B4027" s="31">
        <f t="shared" ref="B4027:B4030" si="465">TIME(16,29,0)</f>
        <v>0.68680555555555556</v>
      </c>
      <c r="C4027" t="str">
        <f>'Inventory as of 12th Aug 2024'!A50</f>
        <v>Pishori rice</v>
      </c>
      <c r="D4027">
        <v>1</v>
      </c>
      <c r="E4027" s="5">
        <f>Table4[[#This Row],[qty]]*(VLOOKUP(Table4[[#This Row],[item_sold]],Table1[],5,FALSE))</f>
        <v>220</v>
      </c>
      <c r="F4027" s="5">
        <f>(VLOOKUP(Table4[[#This Row],[item_sold]],Table1[],4,FALSE))*Table4[[#This Row],[qty]]</f>
        <v>180</v>
      </c>
      <c r="G4027">
        <f t="shared" si="463"/>
        <v>40</v>
      </c>
      <c r="H4027" t="s">
        <v>361</v>
      </c>
    </row>
    <row r="4028" spans="1:9" x14ac:dyDescent="0.25">
      <c r="A4028" s="15">
        <f t="shared" si="455"/>
        <v>45548</v>
      </c>
      <c r="B4028" s="31">
        <f t="shared" si="465"/>
        <v>0.68680555555555556</v>
      </c>
      <c r="C4028" t="str">
        <f>'Inventory as of 12th Aug 2024'!A8</f>
        <v>eggs</v>
      </c>
      <c r="D4028">
        <v>2</v>
      </c>
      <c r="E4028" s="5">
        <f>Table4[[#This Row],[qty]]*(VLOOKUP(Table4[[#This Row],[item_sold]],Table1[],5,FALSE))</f>
        <v>40</v>
      </c>
      <c r="F4028" s="5">
        <f>(VLOOKUP(Table4[[#This Row],[item_sold]],Table1[],4,FALSE))*Table4[[#This Row],[qty]]</f>
        <v>28.666666666666668</v>
      </c>
      <c r="G4028">
        <f t="shared" si="463"/>
        <v>11.333333333333332</v>
      </c>
      <c r="H4028" t="s">
        <v>361</v>
      </c>
    </row>
    <row r="4029" spans="1:9" x14ac:dyDescent="0.25">
      <c r="A4029" s="15">
        <f t="shared" si="455"/>
        <v>45548</v>
      </c>
      <c r="B4029" s="31">
        <f t="shared" si="465"/>
        <v>0.68680555555555556</v>
      </c>
      <c r="C4029" t="str">
        <f>'Inventory as of 12th Aug 2024'!A199</f>
        <v>Kdf</v>
      </c>
      <c r="D4029">
        <v>2</v>
      </c>
      <c r="E4029" s="5">
        <f>Table4[[#This Row],[qty]]*(VLOOKUP(Table4[[#This Row],[item_sold]],Table1[],5,FALSE))</f>
        <v>20</v>
      </c>
      <c r="F4029" s="5">
        <f>(VLOOKUP(Table4[[#This Row],[item_sold]],Table1[],4,FALSE))*Table4[[#This Row],[qty]]</f>
        <v>16.666666666666668</v>
      </c>
      <c r="G4029">
        <f t="shared" si="463"/>
        <v>3.3333333333333321</v>
      </c>
      <c r="H4029" t="s">
        <v>361</v>
      </c>
    </row>
    <row r="4030" spans="1:9" x14ac:dyDescent="0.25">
      <c r="A4030" s="15">
        <f t="shared" si="455"/>
        <v>45548</v>
      </c>
      <c r="B4030" s="31">
        <f t="shared" si="465"/>
        <v>0.68680555555555556</v>
      </c>
      <c r="C4030" t="str">
        <f>'Inventory as of 12th Aug 2024'!A35</f>
        <v>Festive 600g</v>
      </c>
      <c r="D4030">
        <v>1</v>
      </c>
      <c r="E4030" s="5">
        <f>Table4[[#This Row],[qty]]*(VLOOKUP(Table4[[#This Row],[item_sold]],Table1[],5,FALSE))</f>
        <v>100</v>
      </c>
      <c r="F4030" s="5">
        <f>(VLOOKUP(Table4[[#This Row],[item_sold]],Table1[],4,FALSE))*Table4[[#This Row],[qty]]</f>
        <v>90</v>
      </c>
      <c r="G4030">
        <f t="shared" si="463"/>
        <v>10</v>
      </c>
      <c r="H4030" t="s">
        <v>361</v>
      </c>
    </row>
    <row r="4031" spans="1:9" x14ac:dyDescent="0.25">
      <c r="A4031" s="15">
        <f t="shared" si="455"/>
        <v>45548</v>
      </c>
      <c r="B4031" s="31">
        <f>TIME(16,30,0)</f>
        <v>0.6875</v>
      </c>
      <c r="C4031" t="str">
        <f>'Inventory as of 12th Aug 2024'!A8</f>
        <v>eggs</v>
      </c>
      <c r="D4031">
        <v>2</v>
      </c>
      <c r="E4031" s="5">
        <f>Table4[[#This Row],[qty]]*(VLOOKUP(Table4[[#This Row],[item_sold]],Table1[],5,FALSE))</f>
        <v>40</v>
      </c>
      <c r="F4031" s="5">
        <f>(VLOOKUP(Table4[[#This Row],[item_sold]],Table1[],4,FALSE))*Table4[[#This Row],[qty]]</f>
        <v>28.666666666666668</v>
      </c>
      <c r="G4031">
        <f t="shared" si="463"/>
        <v>11.333333333333332</v>
      </c>
      <c r="H4031" t="s">
        <v>430</v>
      </c>
      <c r="I4031" t="s">
        <v>401</v>
      </c>
    </row>
    <row r="4032" spans="1:9" x14ac:dyDescent="0.25">
      <c r="A4032" s="15">
        <f t="shared" si="455"/>
        <v>45548</v>
      </c>
      <c r="B4032" s="31">
        <f t="shared" ref="B4032" si="466">TIME(16,30,0)</f>
        <v>0.6875</v>
      </c>
      <c r="C4032" t="str">
        <f>'Inventory as of 12th Aug 2024'!A91</f>
        <v>Tomatoes</v>
      </c>
      <c r="D4032">
        <v>1</v>
      </c>
      <c r="E4032" s="5">
        <f>Table4[[#This Row],[qty]]*(VLOOKUP(Table4[[#This Row],[item_sold]],Table1[],5,FALSE))</f>
        <v>10</v>
      </c>
      <c r="F4032" s="5">
        <f>(VLOOKUP(Table4[[#This Row],[item_sold]],Table1[],4,FALSE))*Table4[[#This Row],[qty]]</f>
        <v>5</v>
      </c>
      <c r="G4032">
        <f t="shared" si="463"/>
        <v>5</v>
      </c>
      <c r="H4032" t="s">
        <v>430</v>
      </c>
    </row>
    <row r="4033" spans="1:12" x14ac:dyDescent="0.25">
      <c r="A4033" s="15">
        <f t="shared" si="455"/>
        <v>45548</v>
      </c>
      <c r="B4033" s="31">
        <f>TIME(16,31,0)</f>
        <v>0.68819444444444444</v>
      </c>
      <c r="C4033" t="str">
        <f>'Inventory as of 12th Aug 2024'!A42</f>
        <v>Indomie chicken</v>
      </c>
      <c r="D4033">
        <v>1</v>
      </c>
      <c r="E4033" s="5">
        <f>Table4[[#This Row],[qty]]*(VLOOKUP(Table4[[#This Row],[item_sold]],Table1[],5,FALSE))</f>
        <v>50</v>
      </c>
      <c r="F4033" s="5">
        <f>(VLOOKUP(Table4[[#This Row],[item_sold]],Table1[],4,FALSE))*Table4[[#This Row],[qty]]</f>
        <v>37.5</v>
      </c>
      <c r="G4033">
        <f t="shared" si="463"/>
        <v>12.5</v>
      </c>
      <c r="H4033" t="s">
        <v>247</v>
      </c>
    </row>
    <row r="4034" spans="1:12" x14ac:dyDescent="0.25">
      <c r="A4034" s="15">
        <f t="shared" si="455"/>
        <v>45548</v>
      </c>
      <c r="B4034" s="31">
        <f t="shared" ref="B4034:B4035" si="467">TIME(16,31,0)</f>
        <v>0.68819444444444444</v>
      </c>
      <c r="C4034" t="str">
        <f>'Inventory as of 12th Aug 2024'!A242</f>
        <v>Icepop</v>
      </c>
      <c r="D4034">
        <v>1</v>
      </c>
      <c r="E4034" s="5">
        <f>Table4[[#This Row],[qty]]*(VLOOKUP(Table4[[#This Row],[item_sold]],Table1[],5,FALSE))</f>
        <v>15</v>
      </c>
      <c r="F4034" s="5">
        <f>(VLOOKUP(Table4[[#This Row],[item_sold]],Table1[],4,FALSE))*Table4[[#This Row],[qty]]</f>
        <v>7.5</v>
      </c>
      <c r="G4034">
        <f t="shared" si="463"/>
        <v>7.5</v>
      </c>
      <c r="H4034" t="s">
        <v>247</v>
      </c>
    </row>
    <row r="4035" spans="1:12" x14ac:dyDescent="0.25">
      <c r="A4035" s="15">
        <f t="shared" si="455"/>
        <v>45548</v>
      </c>
      <c r="B4035" s="31">
        <f t="shared" si="467"/>
        <v>0.68819444444444444</v>
      </c>
      <c r="C4035" t="str">
        <f>'Inventory as of 12th Aug 2024'!A126</f>
        <v>action</v>
      </c>
      <c r="D4035">
        <v>3</v>
      </c>
      <c r="E4035" s="5">
        <f>Table4[[#This Row],[qty]]*(VLOOKUP(Table4[[#This Row],[item_sold]],Table1[],5,FALSE))</f>
        <v>30</v>
      </c>
      <c r="F4035" s="5">
        <f>(VLOOKUP(Table4[[#This Row],[item_sold]],Table1[],4,FALSE))*Table4[[#This Row],[qty]]</f>
        <v>18</v>
      </c>
      <c r="G4035">
        <f t="shared" si="463"/>
        <v>12</v>
      </c>
      <c r="H4035" t="s">
        <v>361</v>
      </c>
      <c r="J4035" t="s">
        <v>419</v>
      </c>
      <c r="K4035">
        <v>35</v>
      </c>
      <c r="L4035" t="s">
        <v>361</v>
      </c>
    </row>
    <row r="4036" spans="1:12" x14ac:dyDescent="0.25">
      <c r="A4036" s="15">
        <f t="shared" si="455"/>
        <v>45548</v>
      </c>
      <c r="B4036" s="31">
        <f>TIME(16,25,0)</f>
        <v>0.68402777777777779</v>
      </c>
      <c r="F4036" s="5"/>
      <c r="G4036"/>
      <c r="J4036" t="s">
        <v>457</v>
      </c>
      <c r="K4036">
        <v>1200</v>
      </c>
      <c r="L4036" t="s">
        <v>361</v>
      </c>
    </row>
    <row r="4037" spans="1:12" x14ac:dyDescent="0.25">
      <c r="A4037" s="15">
        <f t="shared" si="455"/>
        <v>45548</v>
      </c>
      <c r="B4037" s="31">
        <f>TIME(9,14,0)</f>
        <v>0.38472222222222219</v>
      </c>
      <c r="F4037" s="5"/>
      <c r="G4037"/>
      <c r="J4037" t="s">
        <v>451</v>
      </c>
      <c r="K4037">
        <v>2000</v>
      </c>
      <c r="L4037" t="s">
        <v>361</v>
      </c>
    </row>
    <row r="4038" spans="1:12" x14ac:dyDescent="0.25">
      <c r="A4038" s="15">
        <f t="shared" si="455"/>
        <v>45548</v>
      </c>
      <c r="B4038" s="31">
        <f>TIME(17,3,0)</f>
        <v>0.7104166666666667</v>
      </c>
      <c r="C4038" t="str">
        <f>'Inventory as of 12th Aug 2024'!A244</f>
        <v>5ltrs water</v>
      </c>
      <c r="D4038">
        <v>1</v>
      </c>
      <c r="E4038" s="5">
        <f>Table4[[#This Row],[qty]]*(VLOOKUP(Table4[[#This Row],[item_sold]],Table1[],5,FALSE))</f>
        <v>120</v>
      </c>
      <c r="F4038" s="5">
        <f>(VLOOKUP(Table4[[#This Row],[item_sold]],Table1[],4,FALSE))*Table4[[#This Row],[qty]]</f>
        <v>75</v>
      </c>
      <c r="G4038">
        <f t="shared" si="463"/>
        <v>45</v>
      </c>
      <c r="H4038" t="s">
        <v>361</v>
      </c>
    </row>
    <row r="4039" spans="1:12" x14ac:dyDescent="0.25">
      <c r="A4039" s="15">
        <f t="shared" si="455"/>
        <v>45548</v>
      </c>
      <c r="B4039" s="31">
        <f>TIME(17,38,0)</f>
        <v>0.73472222222222217</v>
      </c>
      <c r="C4039" t="str">
        <f>'Inventory as of 12th Aug 2024'!A5</f>
        <v>Airtel 20 Credit</v>
      </c>
      <c r="D4039">
        <v>1</v>
      </c>
      <c r="E4039" s="5">
        <f>Table4[[#This Row],[qty]]*(VLOOKUP(Table4[[#This Row],[item_sold]],Table1[],5,FALSE))</f>
        <v>20</v>
      </c>
      <c r="F4039" s="5">
        <f>(VLOOKUP(Table4[[#This Row],[item_sold]],Table1[],4,FALSE))*Table4[[#This Row],[qty]]</f>
        <v>18</v>
      </c>
      <c r="G4039">
        <f t="shared" si="463"/>
        <v>2</v>
      </c>
      <c r="H4039" t="s">
        <v>361</v>
      </c>
    </row>
    <row r="4040" spans="1:12" x14ac:dyDescent="0.25">
      <c r="A4040" s="15">
        <f t="shared" si="455"/>
        <v>45548</v>
      </c>
      <c r="B4040" s="31">
        <f t="shared" ref="B4040:B4041" si="468">TIME(17,38,0)</f>
        <v>0.73472222222222217</v>
      </c>
      <c r="C4040" t="str">
        <f>'Inventory as of 12th Aug 2024'!A58</f>
        <v>Safari</v>
      </c>
      <c r="D4040">
        <v>1</v>
      </c>
      <c r="E4040" s="5">
        <f>Table4[[#This Row],[qty]]*(VLOOKUP(Table4[[#This Row],[item_sold]],Table1[],5,FALSE))</f>
        <v>15</v>
      </c>
      <c r="F4040" s="5">
        <f>(VLOOKUP(Table4[[#This Row],[item_sold]],Table1[],4,FALSE))*Table4[[#This Row],[qty]]</f>
        <v>8.5</v>
      </c>
      <c r="G4040">
        <f t="shared" si="463"/>
        <v>6.5</v>
      </c>
      <c r="H4040" t="s">
        <v>361</v>
      </c>
    </row>
    <row r="4041" spans="1:12" x14ac:dyDescent="0.25">
      <c r="A4041" s="15">
        <f t="shared" si="455"/>
        <v>45548</v>
      </c>
      <c r="B4041" s="31">
        <f t="shared" si="468"/>
        <v>0.73472222222222217</v>
      </c>
      <c r="C4041" t="str">
        <f>'Inventory as of 12th Aug 2024'!A149</f>
        <v>Arimis small</v>
      </c>
      <c r="D4041">
        <v>1</v>
      </c>
      <c r="E4041" s="5">
        <f>Table4[[#This Row],[qty]]*(VLOOKUP(Table4[[#This Row],[item_sold]],Table1[],5,FALSE))</f>
        <v>35</v>
      </c>
      <c r="F4041" s="5">
        <f>(VLOOKUP(Table4[[#This Row],[item_sold]],Table1[],4,FALSE))*Table4[[#This Row],[qty]]</f>
        <v>23.333333333333332</v>
      </c>
      <c r="G4041">
        <f t="shared" si="463"/>
        <v>11.666666666666668</v>
      </c>
      <c r="H4041" t="s">
        <v>361</v>
      </c>
    </row>
    <row r="4042" spans="1:12" x14ac:dyDescent="0.25">
      <c r="A4042" s="15">
        <f t="shared" si="455"/>
        <v>45548</v>
      </c>
      <c r="B4042" s="31">
        <f>TIME(17,36,0)</f>
        <v>0.73333333333333339</v>
      </c>
      <c r="C4042" t="str">
        <f>'Inventory as of 12th Aug 2024'!A203</f>
        <v>Tropical heat crisps 50g</v>
      </c>
      <c r="D4042">
        <v>1</v>
      </c>
      <c r="E4042" s="5">
        <f>Table4[[#This Row],[qty]]*(VLOOKUP(Table4[[#This Row],[item_sold]],Table1[],5,FALSE))</f>
        <v>70</v>
      </c>
      <c r="F4042" s="5">
        <f>(VLOOKUP(Table4[[#This Row],[item_sold]],Table1[],4,FALSE))*Table4[[#This Row],[qty]]</f>
        <v>50</v>
      </c>
      <c r="G4042">
        <f t="shared" si="463"/>
        <v>20</v>
      </c>
      <c r="H4042" t="s">
        <v>247</v>
      </c>
    </row>
    <row r="4043" spans="1:12" x14ac:dyDescent="0.25">
      <c r="A4043" s="15">
        <f t="shared" si="455"/>
        <v>45548</v>
      </c>
      <c r="B4043" s="31">
        <f>TIME(17,36,0)</f>
        <v>0.73333333333333339</v>
      </c>
      <c r="C4043" t="str">
        <f>'Inventory as of 12th Aug 2024'!A207</f>
        <v>soda 350ml plastic</v>
      </c>
      <c r="D4043">
        <v>1</v>
      </c>
      <c r="E4043" s="5">
        <f>Table4[[#This Row],[qty]]*(VLOOKUP(Table4[[#This Row],[item_sold]],Table1[],5,FALSE))</f>
        <v>50</v>
      </c>
      <c r="F4043" s="5">
        <f>(VLOOKUP(Table4[[#This Row],[item_sold]],Table1[],4,FALSE))*Table4[[#This Row],[qty]]</f>
        <v>41.666666666666664</v>
      </c>
      <c r="G4043">
        <f t="shared" si="463"/>
        <v>8.3333333333333357</v>
      </c>
      <c r="H4043" t="s">
        <v>247</v>
      </c>
    </row>
    <row r="4044" spans="1:12" x14ac:dyDescent="0.25">
      <c r="A4044" s="15">
        <f t="shared" si="455"/>
        <v>45548</v>
      </c>
      <c r="B4044" s="31">
        <f>TIME(17,47,0)</f>
        <v>0.74097222222222225</v>
      </c>
      <c r="C4044" t="str">
        <f>'Inventory as of 12th Aug 2024'!A242</f>
        <v>Icepop</v>
      </c>
      <c r="D4044">
        <v>1</v>
      </c>
      <c r="E4044" s="5">
        <f>Table4[[#This Row],[qty]]*(VLOOKUP(Table4[[#This Row],[item_sold]],Table1[],5,FALSE))</f>
        <v>15</v>
      </c>
      <c r="F4044" s="5">
        <f>(VLOOKUP(Table4[[#This Row],[item_sold]],Table1[],4,FALSE))*Table4[[#This Row],[qty]]</f>
        <v>7.5</v>
      </c>
      <c r="G4044">
        <f t="shared" si="463"/>
        <v>7.5</v>
      </c>
      <c r="H4044" t="s">
        <v>361</v>
      </c>
    </row>
    <row r="4045" spans="1:12" x14ac:dyDescent="0.25">
      <c r="A4045" s="15">
        <f t="shared" si="455"/>
        <v>45548</v>
      </c>
      <c r="B4045" s="31">
        <f>TIME(18,2,0)</f>
        <v>0.75138888888888899</v>
      </c>
      <c r="C4045" t="str">
        <f>'Inventory as of 12th Aug 2024'!A16</f>
        <v>Mt kenya milk 500ml</v>
      </c>
      <c r="D4045">
        <v>2</v>
      </c>
      <c r="E4045" s="5">
        <f>Table4[[#This Row],[qty]]*(VLOOKUP(Table4[[#This Row],[item_sold]],Table1[],5,FALSE))</f>
        <v>130</v>
      </c>
      <c r="F4045" s="5">
        <f>(VLOOKUP(Table4[[#This Row],[item_sold]],Table1[],4,FALSE))*Table4[[#This Row],[qty]]</f>
        <v>96.666666666666671</v>
      </c>
      <c r="G4045">
        <f t="shared" si="463"/>
        <v>33.333333333333329</v>
      </c>
      <c r="H4045" t="s">
        <v>247</v>
      </c>
    </row>
    <row r="4046" spans="1:12" x14ac:dyDescent="0.25">
      <c r="A4046" s="15">
        <f t="shared" si="455"/>
        <v>45548</v>
      </c>
      <c r="B4046" s="31">
        <f>TIME(18,4,0)</f>
        <v>0.75277777777777777</v>
      </c>
      <c r="C4046" t="str">
        <f>'Inventory as of 12th Aug 2024'!A200</f>
        <v>Ngumu</v>
      </c>
      <c r="D4046">
        <v>2</v>
      </c>
      <c r="E4046" s="5">
        <f>Table4[[#This Row],[qty]]*(VLOOKUP(Table4[[#This Row],[item_sold]],Table1[],5,FALSE))</f>
        <v>20</v>
      </c>
      <c r="F4046" s="5">
        <f>(VLOOKUP(Table4[[#This Row],[item_sold]],Table1[],4,FALSE))*Table4[[#This Row],[qty]]</f>
        <v>16.666666666666668</v>
      </c>
      <c r="G4046">
        <f t="shared" si="463"/>
        <v>3.3333333333333321</v>
      </c>
      <c r="H4046" t="s">
        <v>247</v>
      </c>
    </row>
    <row r="4047" spans="1:12" x14ac:dyDescent="0.25">
      <c r="A4047" s="15">
        <f t="shared" si="455"/>
        <v>45548</v>
      </c>
      <c r="B4047" s="31">
        <f t="shared" ref="B4047:B4049" si="469">TIME(18,4,0)</f>
        <v>0.75277777777777777</v>
      </c>
      <c r="C4047" t="str">
        <f>'Inventory as of 12th Aug 2024'!A17</f>
        <v>Brookside milk 500ml</v>
      </c>
      <c r="D4047">
        <v>3</v>
      </c>
      <c r="E4047" s="5">
        <f>Table4[[#This Row],[qty]]*(VLOOKUP(Table4[[#This Row],[item_sold]],Table1[],5,FALSE))</f>
        <v>210</v>
      </c>
      <c r="F4047" s="5">
        <f>(VLOOKUP(Table4[[#This Row],[item_sold]],Table1[],4,FALSE))*Table4[[#This Row],[qty]]</f>
        <v>177</v>
      </c>
      <c r="G4047">
        <f t="shared" si="463"/>
        <v>33</v>
      </c>
      <c r="H4047" t="s">
        <v>247</v>
      </c>
    </row>
    <row r="4048" spans="1:12" x14ac:dyDescent="0.25">
      <c r="A4048" s="15">
        <f t="shared" si="455"/>
        <v>45548</v>
      </c>
      <c r="B4048" s="31">
        <f t="shared" si="469"/>
        <v>0.75277777777777777</v>
      </c>
      <c r="C4048" t="str">
        <f>'Inventory as of 12th Aug 2024'!A238</f>
        <v>Tropical</v>
      </c>
      <c r="D4048">
        <v>6</v>
      </c>
      <c r="E4048" s="5">
        <f>Table4[[#This Row],[qty]]*(VLOOKUP(Table4[[#This Row],[item_sold]],Table1[],5,FALSE))</f>
        <v>30</v>
      </c>
      <c r="F4048" s="5">
        <f>(VLOOKUP(Table4[[#This Row],[item_sold]],Table1[],4,FALSE))*Table4[[#This Row],[qty]]</f>
        <v>9</v>
      </c>
      <c r="G4048">
        <f t="shared" si="463"/>
        <v>21</v>
      </c>
      <c r="H4048" t="s">
        <v>247</v>
      </c>
    </row>
    <row r="4049" spans="1:12" x14ac:dyDescent="0.25">
      <c r="A4049" s="15">
        <f t="shared" si="455"/>
        <v>45548</v>
      </c>
      <c r="B4049" s="31">
        <f t="shared" si="469"/>
        <v>0.75277777777777777</v>
      </c>
      <c r="C4049" t="str">
        <f>'Inventory as of 12th Aug 2024'!A233</f>
        <v>Lollipop</v>
      </c>
      <c r="D4049">
        <v>1</v>
      </c>
      <c r="E4049" s="5">
        <f>Table4[[#This Row],[qty]]*(VLOOKUP(Table4[[#This Row],[item_sold]],Table1[],5,FALSE))</f>
        <v>5</v>
      </c>
      <c r="F4049" s="5">
        <f>(VLOOKUP(Table4[[#This Row],[item_sold]],Table1[],4,FALSE))*Table4[[#This Row],[qty]]</f>
        <v>2.4</v>
      </c>
      <c r="G4049">
        <f t="shared" si="463"/>
        <v>2.6</v>
      </c>
      <c r="H4049" t="s">
        <v>247</v>
      </c>
    </row>
    <row r="4050" spans="1:12" x14ac:dyDescent="0.25">
      <c r="A4050" s="15">
        <f t="shared" si="455"/>
        <v>45548</v>
      </c>
      <c r="B4050" s="31">
        <f>TIME(19,3,0)</f>
        <v>0.79375000000000007</v>
      </c>
      <c r="C4050" t="str">
        <f>'Inventory as of 12th Aug 2024'!A82</f>
        <v>ariel 10g</v>
      </c>
      <c r="D4050">
        <v>1</v>
      </c>
      <c r="E4050" s="5">
        <f>Table4[[#This Row],[qty]]*(VLOOKUP(Table4[[#This Row],[item_sold]],Table1[],5,FALSE))</f>
        <v>15</v>
      </c>
      <c r="F4050" s="5">
        <f>(VLOOKUP(Table4[[#This Row],[item_sold]],Table1[],4,FALSE))*Table4[[#This Row],[qty]]</f>
        <v>9.1666666666666661</v>
      </c>
      <c r="G4050">
        <f t="shared" si="463"/>
        <v>5.8333333333333339</v>
      </c>
      <c r="H4050" t="s">
        <v>361</v>
      </c>
    </row>
    <row r="4051" spans="1:12" x14ac:dyDescent="0.25">
      <c r="A4051" s="15">
        <f t="shared" si="455"/>
        <v>45548</v>
      </c>
      <c r="B4051" s="31">
        <f t="shared" ref="B4051" si="470">TIME(19,3,0)</f>
        <v>0.79375000000000007</v>
      </c>
      <c r="C4051" t="str">
        <f>'Inventory as of 12th Aug 2024'!A238</f>
        <v>Tropical</v>
      </c>
      <c r="D4051">
        <v>1</v>
      </c>
      <c r="E4051" s="5">
        <f>Table4[[#This Row],[qty]]*(VLOOKUP(Table4[[#This Row],[item_sold]],Table1[],5,FALSE))</f>
        <v>5</v>
      </c>
      <c r="F4051" s="5">
        <f>(VLOOKUP(Table4[[#This Row],[item_sold]],Table1[],4,FALSE))*Table4[[#This Row],[qty]]</f>
        <v>1.5</v>
      </c>
      <c r="G4051">
        <f t="shared" si="463"/>
        <v>3.5</v>
      </c>
      <c r="H4051" t="s">
        <v>361</v>
      </c>
    </row>
    <row r="4052" spans="1:12" x14ac:dyDescent="0.25">
      <c r="A4052" s="15">
        <f t="shared" si="455"/>
        <v>45548</v>
      </c>
      <c r="B4052" s="31">
        <f>TIME(19,4,0)</f>
        <v>0.7944444444444444</v>
      </c>
      <c r="C4052" t="str">
        <f>'Inventory as of 12th Aug 2024'!A58</f>
        <v>Safari</v>
      </c>
      <c r="D4052">
        <v>2</v>
      </c>
      <c r="E4052" s="5">
        <f>Table4[[#This Row],[qty]]*(VLOOKUP(Table4[[#This Row],[item_sold]],Table1[],5,FALSE))</f>
        <v>30</v>
      </c>
      <c r="F4052" s="5">
        <f>(VLOOKUP(Table4[[#This Row],[item_sold]],Table1[],4,FALSE))*Table4[[#This Row],[qty]]</f>
        <v>17</v>
      </c>
      <c r="G4052">
        <f t="shared" si="463"/>
        <v>13</v>
      </c>
      <c r="H4052" t="s">
        <v>247</v>
      </c>
    </row>
    <row r="4053" spans="1:12" x14ac:dyDescent="0.25">
      <c r="A4053" s="15">
        <f t="shared" si="455"/>
        <v>45548</v>
      </c>
      <c r="B4053" s="31">
        <f t="shared" ref="B4053" si="471">TIME(19,4,0)</f>
        <v>0.7944444444444444</v>
      </c>
      <c r="C4053" t="str">
        <f>'Inventory as of 12th Aug 2024'!A193</f>
        <v>Ginger Bisquit</v>
      </c>
      <c r="D4053">
        <v>2</v>
      </c>
      <c r="E4053" s="5">
        <f>Table4[[#This Row],[qty]]*(VLOOKUP(Table4[[#This Row],[item_sold]],Table1[],5,FALSE))</f>
        <v>10</v>
      </c>
      <c r="F4053" s="5">
        <f>(VLOOKUP(Table4[[#This Row],[item_sold]],Table1[],4,FALSE))*Table4[[#This Row],[qty]]</f>
        <v>8.6666666666666661</v>
      </c>
      <c r="G4053">
        <f t="shared" si="463"/>
        <v>1.3333333333333339</v>
      </c>
      <c r="H4053" t="s">
        <v>247</v>
      </c>
    </row>
    <row r="4054" spans="1:12" x14ac:dyDescent="0.25">
      <c r="A4054" s="15">
        <f t="shared" ref="A4054:A4065" si="472">DATE(2024,9,13)</f>
        <v>45548</v>
      </c>
      <c r="B4054" s="31">
        <f>TIME(19,8,0)</f>
        <v>0.79722222222222217</v>
      </c>
      <c r="C4054" t="str">
        <f>'Inventory as of 12th Aug 2024'!A58</f>
        <v>Safari</v>
      </c>
      <c r="D4054">
        <v>2</v>
      </c>
      <c r="E4054" s="5">
        <f>Table4[[#This Row],[qty]]*(VLOOKUP(Table4[[#This Row],[item_sold]],Table1[],5,FALSE))</f>
        <v>30</v>
      </c>
      <c r="F4054" s="5">
        <f>(VLOOKUP(Table4[[#This Row],[item_sold]],Table1[],4,FALSE))*Table4[[#This Row],[qty]]</f>
        <v>17</v>
      </c>
      <c r="G4054">
        <f t="shared" si="463"/>
        <v>13</v>
      </c>
      <c r="H4054" t="s">
        <v>361</v>
      </c>
    </row>
    <row r="4055" spans="1:12" x14ac:dyDescent="0.25">
      <c r="A4055" s="15">
        <f t="shared" si="472"/>
        <v>45548</v>
      </c>
      <c r="B4055" s="31">
        <f t="shared" ref="B4055:B4056" si="473">TIME(19,8,0)</f>
        <v>0.79722222222222217</v>
      </c>
      <c r="C4055" t="str">
        <f>'Inventory as of 12th Aug 2024'!A8</f>
        <v>eggs</v>
      </c>
      <c r="D4055">
        <v>10</v>
      </c>
      <c r="E4055" s="5">
        <f>Table4[[#This Row],[qty]]*(VLOOKUP(Table4[[#This Row],[item_sold]],Table1[],5,FALSE))</f>
        <v>200</v>
      </c>
      <c r="F4055" s="5">
        <f>(VLOOKUP(Table4[[#This Row],[item_sold]],Table1[],4,FALSE))*Table4[[#This Row],[qty]]</f>
        <v>143.33333333333334</v>
      </c>
      <c r="G4055">
        <f t="shared" si="463"/>
        <v>56.666666666666657</v>
      </c>
      <c r="H4055" t="s">
        <v>361</v>
      </c>
    </row>
    <row r="4056" spans="1:12" x14ac:dyDescent="0.25">
      <c r="A4056" s="15">
        <f t="shared" si="472"/>
        <v>45548</v>
      </c>
      <c r="B4056" s="31">
        <f t="shared" si="473"/>
        <v>0.79722222222222217</v>
      </c>
      <c r="C4056" t="str">
        <f>'Inventory as of 12th Aug 2024'!A10</f>
        <v>Mt Kenya milk 200ml</v>
      </c>
      <c r="D4056">
        <v>1</v>
      </c>
      <c r="E4056" s="5">
        <f>Table4[[#This Row],[qty]]*(VLOOKUP(Table4[[#This Row],[item_sold]],Table1[],5,FALSE))</f>
        <v>35</v>
      </c>
      <c r="F4056" s="5">
        <f>(VLOOKUP(Table4[[#This Row],[item_sold]],Table1[],4,FALSE))*Table4[[#This Row],[qty]]</f>
        <v>24.285714285714285</v>
      </c>
      <c r="G4056">
        <f t="shared" si="463"/>
        <v>10.714285714285715</v>
      </c>
      <c r="H4056" t="s">
        <v>430</v>
      </c>
      <c r="I4056" t="s">
        <v>394</v>
      </c>
    </row>
    <row r="4057" spans="1:12" x14ac:dyDescent="0.25">
      <c r="A4057" s="15">
        <f t="shared" si="472"/>
        <v>45548</v>
      </c>
      <c r="B4057" s="31">
        <f>TIME(19,37,0)</f>
        <v>0.81736111111111109</v>
      </c>
      <c r="C4057" t="str">
        <f>'Inventory as of 12th Aug 2024'!A135</f>
        <v>Bella Tissue</v>
      </c>
      <c r="D4057">
        <v>1</v>
      </c>
      <c r="E4057" s="5">
        <f>Table4[[#This Row],[qty]]*(VLOOKUP(Table4[[#This Row],[item_sold]],Table1[],5,FALSE))</f>
        <v>50</v>
      </c>
      <c r="F4057" s="5">
        <f>(VLOOKUP(Table4[[#This Row],[item_sold]],Table1[],4,FALSE))*Table4[[#This Row],[qty]]</f>
        <v>35</v>
      </c>
      <c r="G4057">
        <f t="shared" si="463"/>
        <v>15</v>
      </c>
      <c r="H4057" t="s">
        <v>361</v>
      </c>
    </row>
    <row r="4058" spans="1:12" x14ac:dyDescent="0.25">
      <c r="A4058" s="15">
        <f t="shared" si="472"/>
        <v>45548</v>
      </c>
      <c r="B4058" s="31">
        <f t="shared" ref="B4058:B4061" si="474">TIME(19,37,0)</f>
        <v>0.81736111111111109</v>
      </c>
      <c r="C4058" t="str">
        <f>'Inventory as of 12th Aug 2024'!A61</f>
        <v>kensalt 500g</v>
      </c>
      <c r="D4058">
        <v>1</v>
      </c>
      <c r="E4058" s="5">
        <f>Table4[[#This Row],[qty]]*(VLOOKUP(Table4[[#This Row],[item_sold]],Table1[],5,FALSE))</f>
        <v>25</v>
      </c>
      <c r="F4058" s="5">
        <f>(VLOOKUP(Table4[[#This Row],[item_sold]],Table1[],4,FALSE))*Table4[[#This Row],[qty]]</f>
        <v>14</v>
      </c>
      <c r="G4058">
        <f t="shared" si="463"/>
        <v>11</v>
      </c>
      <c r="H4058" t="s">
        <v>361</v>
      </c>
    </row>
    <row r="4059" spans="1:12" x14ac:dyDescent="0.25">
      <c r="A4059" s="15">
        <f t="shared" si="472"/>
        <v>45548</v>
      </c>
      <c r="B4059" s="31">
        <f t="shared" si="474"/>
        <v>0.81736111111111109</v>
      </c>
      <c r="C4059" t="str">
        <f>'Inventory as of 12th Aug 2024'!A192</f>
        <v>Lemon Bisquit</v>
      </c>
      <c r="D4059">
        <v>1</v>
      </c>
      <c r="E4059" s="5">
        <f>Table4[[#This Row],[qty]]*(VLOOKUP(Table4[[#This Row],[item_sold]],Table1[],5,FALSE))</f>
        <v>5</v>
      </c>
      <c r="F4059" s="5">
        <f>(VLOOKUP(Table4[[#This Row],[item_sold]],Table1[],4,FALSE))*Table4[[#This Row],[qty]]</f>
        <v>4.333333333333333</v>
      </c>
      <c r="G4059">
        <f t="shared" si="463"/>
        <v>0.66666666666666696</v>
      </c>
      <c r="H4059" t="s">
        <v>361</v>
      </c>
    </row>
    <row r="4060" spans="1:12" x14ac:dyDescent="0.25">
      <c r="A4060" s="15">
        <f t="shared" si="472"/>
        <v>45548</v>
      </c>
      <c r="B4060" s="31">
        <f t="shared" si="474"/>
        <v>0.81736111111111109</v>
      </c>
      <c r="C4060" t="str">
        <f>'Inventory as of 12th Aug 2024'!A92</f>
        <v>Banana</v>
      </c>
      <c r="D4060">
        <v>2</v>
      </c>
      <c r="E4060" s="5">
        <f>Table4[[#This Row],[qty]]*(VLOOKUP(Table4[[#This Row],[item_sold]],Table1[],5,FALSE))</f>
        <v>20</v>
      </c>
      <c r="F4060" s="5">
        <f>(VLOOKUP(Table4[[#This Row],[item_sold]],Table1[],4,FALSE))*Table4[[#This Row],[qty]]</f>
        <v>16.666666666666668</v>
      </c>
      <c r="G4060">
        <f t="shared" si="463"/>
        <v>3.3333333333333321</v>
      </c>
      <c r="H4060" t="s">
        <v>361</v>
      </c>
    </row>
    <row r="4061" spans="1:12" x14ac:dyDescent="0.25">
      <c r="A4061" s="15">
        <f t="shared" si="472"/>
        <v>45548</v>
      </c>
      <c r="B4061" s="31">
        <f t="shared" si="474"/>
        <v>0.81736111111111109</v>
      </c>
      <c r="C4061" t="str">
        <f>'Inventory as of 12th Aug 2024'!A17</f>
        <v>Brookside milk 500ml</v>
      </c>
      <c r="D4061">
        <v>1</v>
      </c>
      <c r="E4061" s="5">
        <f>Table4[[#This Row],[qty]]*(VLOOKUP(Table4[[#This Row],[item_sold]],Table1[],5,FALSE))</f>
        <v>70</v>
      </c>
      <c r="F4061" s="5">
        <f>(VLOOKUP(Table4[[#This Row],[item_sold]],Table1[],4,FALSE))*Table4[[#This Row],[qty]]</f>
        <v>59</v>
      </c>
      <c r="G4061">
        <f t="shared" si="463"/>
        <v>11</v>
      </c>
      <c r="H4061" t="s">
        <v>361</v>
      </c>
      <c r="J4061" t="s">
        <v>406</v>
      </c>
      <c r="K4061">
        <v>1450</v>
      </c>
      <c r="L4061" t="s">
        <v>361</v>
      </c>
    </row>
    <row r="4062" spans="1:12" x14ac:dyDescent="0.25">
      <c r="A4062" s="15">
        <f t="shared" si="472"/>
        <v>45548</v>
      </c>
      <c r="B4062" s="31">
        <f>TIME(20,25,0)</f>
        <v>0.85069444444444453</v>
      </c>
      <c r="C4062" t="str">
        <f>'Inventory as of 12th Aug 2024'!A86</f>
        <v>Downy sunrise fresh</v>
      </c>
      <c r="D4062">
        <v>1</v>
      </c>
      <c r="E4062" s="5">
        <f>Table4[[#This Row],[qty]]*(VLOOKUP(Table4[[#This Row],[item_sold]],Table1[],5,FALSE))</f>
        <v>20</v>
      </c>
      <c r="F4062" s="5">
        <f>(VLOOKUP(Table4[[#This Row],[item_sold]],Table1[],4,FALSE))*Table4[[#This Row],[qty]]</f>
        <v>17.333333333333332</v>
      </c>
      <c r="G4062">
        <f t="shared" si="463"/>
        <v>2.6666666666666679</v>
      </c>
      <c r="H4062" t="s">
        <v>361</v>
      </c>
      <c r="J4062" t="s">
        <v>385</v>
      </c>
      <c r="K4062">
        <v>500</v>
      </c>
      <c r="L4062" t="s">
        <v>361</v>
      </c>
    </row>
    <row r="4063" spans="1:12" x14ac:dyDescent="0.25">
      <c r="A4063" s="15">
        <f t="shared" si="472"/>
        <v>45548</v>
      </c>
      <c r="B4063" s="31">
        <f t="shared" ref="B4063:B4065" si="475">TIME(20,25,0)</f>
        <v>0.85069444444444453</v>
      </c>
      <c r="C4063" t="str">
        <f>'Inventory as of 12th Aug 2024'!A83</f>
        <v>omo 75g</v>
      </c>
      <c r="D4063">
        <v>1</v>
      </c>
      <c r="E4063" s="5">
        <f>Table4[[#This Row],[qty]]*(VLOOKUP(Table4[[#This Row],[item_sold]],Table1[],5,FALSE))</f>
        <v>35</v>
      </c>
      <c r="F4063" s="5">
        <f>(VLOOKUP(Table4[[#This Row],[item_sold]],Table1[],4,FALSE))*Table4[[#This Row],[qty]]</f>
        <v>27.5</v>
      </c>
      <c r="G4063">
        <f t="shared" si="463"/>
        <v>7.5</v>
      </c>
      <c r="H4063" t="s">
        <v>361</v>
      </c>
    </row>
    <row r="4064" spans="1:12" x14ac:dyDescent="0.25">
      <c r="A4064" s="15">
        <f t="shared" si="472"/>
        <v>45548</v>
      </c>
      <c r="B4064" s="31">
        <f t="shared" si="475"/>
        <v>0.85069444444444453</v>
      </c>
      <c r="C4064" t="str">
        <f>'Inventory as of 12th Aug 2024'!A205</f>
        <v xml:space="preserve"> soda 1.25lts</v>
      </c>
      <c r="D4064">
        <v>1</v>
      </c>
      <c r="E4064" s="5">
        <f>Table4[[#This Row],[qty]]*(VLOOKUP(Table4[[#This Row],[item_sold]],Table1[],5,FALSE))</f>
        <v>130</v>
      </c>
      <c r="F4064" s="5">
        <f>(VLOOKUP(Table4[[#This Row],[item_sold]],Table1[],4,FALSE))*Table4[[#This Row],[qty]]</f>
        <v>112.5</v>
      </c>
      <c r="G4064">
        <f t="shared" si="463"/>
        <v>17.5</v>
      </c>
      <c r="H4064" t="s">
        <v>361</v>
      </c>
    </row>
    <row r="4065" spans="1:12" x14ac:dyDescent="0.25">
      <c r="A4065" s="15">
        <f t="shared" si="472"/>
        <v>45548</v>
      </c>
      <c r="B4065" s="31">
        <f t="shared" si="475"/>
        <v>0.85069444444444453</v>
      </c>
      <c r="C4065" t="str">
        <f>'Inventory as of 12th Aug 2024'!A172</f>
        <v>Carrier bag small</v>
      </c>
      <c r="D4065">
        <v>1</v>
      </c>
      <c r="E4065" s="5">
        <f>Table4[[#This Row],[qty]]*(VLOOKUP(Table4[[#This Row],[item_sold]],Table1[],5,FALSE))</f>
        <v>10</v>
      </c>
      <c r="F4065" s="5">
        <f>(VLOOKUP(Table4[[#This Row],[item_sold]],Table1[],4,FALSE))*Table4[[#This Row],[qty]]</f>
        <v>3</v>
      </c>
      <c r="G4065">
        <f t="shared" si="463"/>
        <v>7</v>
      </c>
      <c r="H4065" t="s">
        <v>361</v>
      </c>
    </row>
    <row r="4066" spans="1:12" x14ac:dyDescent="0.25">
      <c r="A4066" s="1">
        <f>DATE(2024,9,14)</f>
        <v>45549</v>
      </c>
      <c r="B4066" s="31">
        <f>TIME(7,39,0)</f>
        <v>0.31875000000000003</v>
      </c>
      <c r="C4066" t="str">
        <f>'Inventory as of 12th Aug 2024'!A35</f>
        <v>Festive 600g</v>
      </c>
      <c r="D4066">
        <v>1</v>
      </c>
      <c r="E4066" s="5">
        <f>Table4[[#This Row],[qty]]*(VLOOKUP(Table4[[#This Row],[item_sold]],Table1[],5,FALSE))</f>
        <v>100</v>
      </c>
      <c r="F4066" s="5">
        <f>(VLOOKUP(Table4[[#This Row],[item_sold]],Table1[],4,FALSE))*Table4[[#This Row],[qty]]</f>
        <v>90</v>
      </c>
      <c r="G4066">
        <f t="shared" si="463"/>
        <v>10</v>
      </c>
      <c r="H4066" t="s">
        <v>247</v>
      </c>
    </row>
    <row r="4067" spans="1:12" x14ac:dyDescent="0.25">
      <c r="A4067" s="1">
        <f t="shared" ref="A4067:A4118" si="476">DATE(2024,9,14)</f>
        <v>45549</v>
      </c>
      <c r="B4067" s="31">
        <f t="shared" ref="B4067" si="477">TIME(7,39,0)</f>
        <v>0.31875000000000003</v>
      </c>
      <c r="C4067" t="str">
        <f>'Inventory as of 12th Aug 2024'!A58</f>
        <v>Safari</v>
      </c>
      <c r="D4067">
        <v>1</v>
      </c>
      <c r="E4067" s="5">
        <f>Table4[[#This Row],[qty]]*(VLOOKUP(Table4[[#This Row],[item_sold]],Table1[],5,FALSE))</f>
        <v>15</v>
      </c>
      <c r="F4067" s="5">
        <f>(VLOOKUP(Table4[[#This Row],[item_sold]],Table1[],4,FALSE))*Table4[[#This Row],[qty]]</f>
        <v>8.5</v>
      </c>
      <c r="G4067">
        <f t="shared" si="463"/>
        <v>6.5</v>
      </c>
      <c r="H4067" t="s">
        <v>361</v>
      </c>
    </row>
    <row r="4068" spans="1:12" x14ac:dyDescent="0.25">
      <c r="A4068" s="1">
        <f t="shared" si="476"/>
        <v>45549</v>
      </c>
      <c r="B4068" s="31">
        <f>TIME(7,40,0)</f>
        <v>0.31944444444444448</v>
      </c>
      <c r="C4068" t="str">
        <f>'Inventory as of 12th Aug 2024'!A149</f>
        <v>Arimis small</v>
      </c>
      <c r="D4068">
        <v>1</v>
      </c>
      <c r="E4068" s="5">
        <f>Table4[[#This Row],[qty]]*(VLOOKUP(Table4[[#This Row],[item_sold]],Table1[],5,FALSE))</f>
        <v>35</v>
      </c>
      <c r="F4068" s="5">
        <f>(VLOOKUP(Table4[[#This Row],[item_sold]],Table1[],4,FALSE))*Table4[[#This Row],[qty]]</f>
        <v>23.333333333333332</v>
      </c>
      <c r="G4068">
        <f t="shared" si="463"/>
        <v>11.666666666666668</v>
      </c>
      <c r="H4068" t="s">
        <v>430</v>
      </c>
      <c r="I4068" t="s">
        <v>385</v>
      </c>
    </row>
    <row r="4069" spans="1:12" x14ac:dyDescent="0.25">
      <c r="A4069" s="1">
        <f t="shared" si="476"/>
        <v>45549</v>
      </c>
      <c r="B4069" s="31">
        <f t="shared" ref="B4069" si="478">TIME(7,40,0)</f>
        <v>0.31944444444444448</v>
      </c>
      <c r="C4069" t="str">
        <f>'Inventory as of 12th Aug 2024'!A9</f>
        <v>Kinangop Fresh Milk 500ml</v>
      </c>
      <c r="D4069">
        <v>1</v>
      </c>
      <c r="E4069" s="5">
        <f>Table4[[#This Row],[qty]]*(VLOOKUP(Table4[[#This Row],[item_sold]],Table1[],5,FALSE))</f>
        <v>60</v>
      </c>
      <c r="F4069" s="5">
        <f>(VLOOKUP(Table4[[#This Row],[item_sold]],Table1[],4,FALSE))*Table4[[#This Row],[qty]]</f>
        <v>55</v>
      </c>
      <c r="G4069">
        <f t="shared" si="463"/>
        <v>5</v>
      </c>
      <c r="H4069" t="s">
        <v>430</v>
      </c>
    </row>
    <row r="4070" spans="1:12" x14ac:dyDescent="0.25">
      <c r="A4070" s="1">
        <f t="shared" si="476"/>
        <v>45549</v>
      </c>
      <c r="B4070" s="31">
        <f>TIME(8,52,0)</f>
        <v>0.36944444444444446</v>
      </c>
      <c r="C4070" t="str">
        <f>'Inventory as of 12th Aug 2024'!A33</f>
        <v>BB Bread 400g</v>
      </c>
      <c r="D4070">
        <v>1</v>
      </c>
      <c r="E4070" s="5">
        <f>Table4[[#This Row],[qty]]*(VLOOKUP(Table4[[#This Row],[item_sold]],Table1[],5,FALSE))</f>
        <v>65</v>
      </c>
      <c r="F4070" s="5">
        <f>(VLOOKUP(Table4[[#This Row],[item_sold]],Table1[],4,FALSE))*Table4[[#This Row],[qty]]</f>
        <v>60</v>
      </c>
      <c r="G4070">
        <f t="shared" si="463"/>
        <v>5</v>
      </c>
      <c r="H4070" t="s">
        <v>361</v>
      </c>
    </row>
    <row r="4071" spans="1:12" x14ac:dyDescent="0.25">
      <c r="A4071" s="1">
        <f t="shared" si="476"/>
        <v>45549</v>
      </c>
      <c r="B4071" s="31">
        <f>TIME(8,54,0)</f>
        <v>0.37083333333333335</v>
      </c>
      <c r="C4071" t="str">
        <f>'Inventory as of 12th Aug 2024'!A44</f>
        <v>Ajab 2kg</v>
      </c>
      <c r="D4071">
        <v>2</v>
      </c>
      <c r="E4071" s="5">
        <f>Table4[[#This Row],[qty]]*(VLOOKUP(Table4[[#This Row],[item_sold]],Table1[],5,FALSE))</f>
        <v>440</v>
      </c>
      <c r="F4071" s="5">
        <f>(VLOOKUP(Table4[[#This Row],[item_sold]],Table1[],4,FALSE))*Table4[[#This Row],[qty]]</f>
        <v>350</v>
      </c>
      <c r="G4071">
        <f t="shared" si="463"/>
        <v>90</v>
      </c>
      <c r="H4071" t="s">
        <v>361</v>
      </c>
    </row>
    <row r="4072" spans="1:12" x14ac:dyDescent="0.25">
      <c r="A4072" s="1">
        <f t="shared" si="476"/>
        <v>45549</v>
      </c>
      <c r="B4072" s="31">
        <f>TIME(9,27,0)</f>
        <v>0.39374999999999999</v>
      </c>
      <c r="C4072" t="str">
        <f>'Inventory as of 12th Aug 2024'!A37</f>
        <v>Festive Bread 400g</v>
      </c>
      <c r="D4072">
        <v>1</v>
      </c>
      <c r="E4072" s="5">
        <f>Table4[[#This Row],[qty]]*(VLOOKUP(Table4[[#This Row],[item_sold]],Table1[],5,FALSE))</f>
        <v>65</v>
      </c>
      <c r="F4072" s="5">
        <f>(VLOOKUP(Table4[[#This Row],[item_sold]],Table1[],4,FALSE))*Table4[[#This Row],[qty]]</f>
        <v>60</v>
      </c>
      <c r="G4072">
        <f t="shared" si="463"/>
        <v>5</v>
      </c>
      <c r="H4072" t="s">
        <v>247</v>
      </c>
    </row>
    <row r="4073" spans="1:12" x14ac:dyDescent="0.25">
      <c r="A4073" s="1">
        <f t="shared" si="476"/>
        <v>45549</v>
      </c>
      <c r="B4073" s="31">
        <f t="shared" ref="B4073" si="479">TIME(9,27,0)</f>
        <v>0.39374999999999999</v>
      </c>
      <c r="C4073" t="str">
        <f>'Inventory as of 12th Aug 2024'!A240</f>
        <v>Bigboss</v>
      </c>
      <c r="D4073">
        <v>1</v>
      </c>
      <c r="E4073" s="5">
        <f>Table4[[#This Row],[qty]]*(VLOOKUP(Table4[[#This Row],[item_sold]],Table1[],5,FALSE))</f>
        <v>5</v>
      </c>
      <c r="F4073" s="5">
        <f>(VLOOKUP(Table4[[#This Row],[item_sold]],Table1[],4,FALSE))*Table4[[#This Row],[qty]]</f>
        <v>3.5</v>
      </c>
      <c r="G4073">
        <f t="shared" si="463"/>
        <v>1.5</v>
      </c>
      <c r="H4073" t="s">
        <v>247</v>
      </c>
    </row>
    <row r="4074" spans="1:12" x14ac:dyDescent="0.25">
      <c r="A4074" s="1">
        <f t="shared" si="476"/>
        <v>45549</v>
      </c>
      <c r="B4074" s="31">
        <f>TIME(9,59,0)</f>
        <v>0.41597222222222219</v>
      </c>
      <c r="C4074" t="str">
        <f>'Inventory as of 12th Aug 2024'!A33</f>
        <v>BB Bread 400g</v>
      </c>
      <c r="D4074">
        <v>1</v>
      </c>
      <c r="E4074" s="5">
        <f>Table4[[#This Row],[qty]]*(VLOOKUP(Table4[[#This Row],[item_sold]],Table1[],5,FALSE))</f>
        <v>65</v>
      </c>
      <c r="F4074" s="5">
        <f>(VLOOKUP(Table4[[#This Row],[item_sold]],Table1[],4,FALSE))*Table4[[#This Row],[qty]]</f>
        <v>60</v>
      </c>
      <c r="G4074">
        <f t="shared" si="463"/>
        <v>5</v>
      </c>
      <c r="H4074" t="s">
        <v>430</v>
      </c>
      <c r="I4074" t="s">
        <v>394</v>
      </c>
    </row>
    <row r="4075" spans="1:12" x14ac:dyDescent="0.25">
      <c r="A4075" s="1">
        <f t="shared" si="476"/>
        <v>45549</v>
      </c>
      <c r="B4075" s="31">
        <f t="shared" ref="B4075" si="480">TIME(9,59,0)</f>
        <v>0.41597222222222219</v>
      </c>
      <c r="C4075" t="str">
        <f>'Inventory as of 12th Aug 2024'!A199</f>
        <v>Kdf</v>
      </c>
      <c r="D4075">
        <v>1</v>
      </c>
      <c r="E4075" s="5">
        <f>Table4[[#This Row],[qty]]*(VLOOKUP(Table4[[#This Row],[item_sold]],Table1[],5,FALSE))</f>
        <v>10</v>
      </c>
      <c r="F4075" s="5">
        <f>(VLOOKUP(Table4[[#This Row],[item_sold]],Table1[],4,FALSE))*Table4[[#This Row],[qty]]</f>
        <v>8.3333333333333339</v>
      </c>
      <c r="G4075">
        <f t="shared" si="463"/>
        <v>1.6666666666666661</v>
      </c>
      <c r="H4075" t="s">
        <v>361</v>
      </c>
    </row>
    <row r="4076" spans="1:12" x14ac:dyDescent="0.25">
      <c r="A4076" s="1">
        <f t="shared" si="476"/>
        <v>45549</v>
      </c>
      <c r="B4076" s="31">
        <f>TIME(10,20,0)</f>
        <v>0.43055555555555558</v>
      </c>
      <c r="C4076" t="str">
        <f>'Inventory as of 12th Aug 2024'!A115</f>
        <v>Rope</v>
      </c>
      <c r="D4076">
        <v>1</v>
      </c>
      <c r="E4076" s="5">
        <f>Table4[[#This Row],[qty]]*(VLOOKUP(Table4[[#This Row],[item_sold]],Table1[],5,FALSE))</f>
        <v>50</v>
      </c>
      <c r="F4076" s="5">
        <f>(VLOOKUP(Table4[[#This Row],[item_sold]],Table1[],4,FALSE))*Table4[[#This Row],[qty]]</f>
        <v>37.5</v>
      </c>
      <c r="G4076">
        <f t="shared" si="463"/>
        <v>12.5</v>
      </c>
      <c r="H4076" t="s">
        <v>430</v>
      </c>
      <c r="I4076" t="s">
        <v>385</v>
      </c>
    </row>
    <row r="4077" spans="1:12" x14ac:dyDescent="0.25">
      <c r="A4077" s="1">
        <f t="shared" si="476"/>
        <v>45549</v>
      </c>
      <c r="B4077" s="31">
        <f>TIME(10,21,0)</f>
        <v>0.43124999999999997</v>
      </c>
      <c r="C4077" t="str">
        <f>'Inventory as of 12th Aug 2024'!A36</f>
        <v>Festive 800g</v>
      </c>
      <c r="D4077">
        <v>1</v>
      </c>
      <c r="E4077" s="5">
        <f>Table4[[#This Row],[qty]]*(VLOOKUP(Table4[[#This Row],[item_sold]],Table1[],5,FALSE))</f>
        <v>130</v>
      </c>
      <c r="F4077" s="5">
        <f>(VLOOKUP(Table4[[#This Row],[item_sold]],Table1[],4,FALSE))*Table4[[#This Row],[qty]]</f>
        <v>120</v>
      </c>
      <c r="G4077">
        <f t="shared" si="463"/>
        <v>10</v>
      </c>
      <c r="H4077" t="s">
        <v>361</v>
      </c>
    </row>
    <row r="4078" spans="1:12" x14ac:dyDescent="0.25">
      <c r="A4078" s="1">
        <f t="shared" si="476"/>
        <v>45549</v>
      </c>
      <c r="B4078" s="31">
        <f>TIME(10,39,0)</f>
        <v>0.44375000000000003</v>
      </c>
      <c r="C4078" t="str">
        <f>'Inventory as of 12th Aug 2024'!A213</f>
        <v>soda 500ml glass</v>
      </c>
      <c r="D4078">
        <v>1</v>
      </c>
      <c r="E4078" s="5">
        <f>Table4[[#This Row],[qty]]*(VLOOKUP(Table4[[#This Row],[item_sold]],Table1[],5,FALSE))</f>
        <v>55</v>
      </c>
      <c r="F4078" s="5">
        <f>(VLOOKUP(Table4[[#This Row],[item_sold]],Table1[],4,FALSE))*Table4[[#This Row],[qty]]</f>
        <v>50</v>
      </c>
      <c r="G4078">
        <f t="shared" si="463"/>
        <v>5</v>
      </c>
      <c r="H4078" t="s">
        <v>247</v>
      </c>
      <c r="J4078" t="s">
        <v>385</v>
      </c>
      <c r="K4078">
        <v>50</v>
      </c>
      <c r="L4078" t="s">
        <v>361</v>
      </c>
    </row>
    <row r="4079" spans="1:12" x14ac:dyDescent="0.25">
      <c r="A4079" s="1">
        <f t="shared" si="476"/>
        <v>45549</v>
      </c>
      <c r="B4079" s="31">
        <f>TIME(10,59,0)</f>
        <v>0.45763888888888887</v>
      </c>
      <c r="C4079" t="str">
        <f>'Inventory as of 12th Aug 2024'!A17</f>
        <v>Brookside milk 500ml</v>
      </c>
      <c r="D4079">
        <v>1</v>
      </c>
      <c r="E4079" s="5">
        <f>Table4[[#This Row],[qty]]*(VLOOKUP(Table4[[#This Row],[item_sold]],Table1[],5,FALSE))</f>
        <v>70</v>
      </c>
      <c r="F4079" s="5">
        <f>(VLOOKUP(Table4[[#This Row],[item_sold]],Table1[],4,FALSE))*Table4[[#This Row],[qty]]</f>
        <v>59</v>
      </c>
      <c r="G4079">
        <f t="shared" si="463"/>
        <v>11</v>
      </c>
      <c r="H4079" t="s">
        <v>361</v>
      </c>
    </row>
    <row r="4080" spans="1:12" x14ac:dyDescent="0.25">
      <c r="A4080" s="1">
        <f t="shared" si="476"/>
        <v>45549</v>
      </c>
      <c r="B4080" s="31">
        <f>TIME(12,30,0)</f>
        <v>0.52083333333333337</v>
      </c>
      <c r="C4080" t="str">
        <f>'Inventory as of 12th Aug 2024'!A261</f>
        <v>Black Tape</v>
      </c>
      <c r="D4080">
        <v>1</v>
      </c>
      <c r="E4080" s="5">
        <f>Table4[[#This Row],[qty]]*(VLOOKUP(Table4[[#This Row],[item_sold]],Table1[],5,FALSE))</f>
        <v>50</v>
      </c>
      <c r="F4080" s="5">
        <f>(VLOOKUP(Table4[[#This Row],[item_sold]],Table1[],4,FALSE))*Table4[[#This Row],[qty]]</f>
        <v>28</v>
      </c>
      <c r="G4080">
        <f t="shared" ref="G4080" si="481">E4080-F4080</f>
        <v>22</v>
      </c>
      <c r="H4080" t="s">
        <v>247</v>
      </c>
    </row>
    <row r="4081" spans="1:12" x14ac:dyDescent="0.25">
      <c r="A4081" s="1">
        <f t="shared" si="476"/>
        <v>45549</v>
      </c>
      <c r="B4081" s="31">
        <f t="shared" ref="B4081:B4082" si="482">TIME(12,30,0)</f>
        <v>0.52083333333333337</v>
      </c>
      <c r="C4081" t="str">
        <f>'Inventory as of 12th Aug 2024'!A58</f>
        <v>Safari</v>
      </c>
      <c r="D4081">
        <v>2</v>
      </c>
      <c r="E4081" s="5">
        <f>Table4[[#This Row],[qty]]*(VLOOKUP(Table4[[#This Row],[item_sold]],Table1[],5,FALSE))</f>
        <v>30</v>
      </c>
      <c r="F4081" s="5">
        <f>(VLOOKUP(Table4[[#This Row],[item_sold]],Table1[],4,FALSE))*Table4[[#This Row],[qty]]</f>
        <v>17</v>
      </c>
      <c r="G4081">
        <f t="shared" ref="G4081:G4143" si="483">E4081-F4081</f>
        <v>13</v>
      </c>
      <c r="H4081" t="s">
        <v>361</v>
      </c>
    </row>
    <row r="4082" spans="1:12" x14ac:dyDescent="0.25">
      <c r="A4082" s="1">
        <f t="shared" si="476"/>
        <v>45549</v>
      </c>
      <c r="B4082" s="31">
        <f t="shared" si="482"/>
        <v>0.52083333333333337</v>
      </c>
      <c r="C4082" t="str">
        <f>'Inventory as of 12th Aug 2024'!A82</f>
        <v>ariel 10g</v>
      </c>
      <c r="D4082">
        <v>1</v>
      </c>
      <c r="E4082" s="5">
        <f>Table4[[#This Row],[qty]]*(VLOOKUP(Table4[[#This Row],[item_sold]],Table1[],5,FALSE))</f>
        <v>15</v>
      </c>
      <c r="F4082" s="5">
        <f>(VLOOKUP(Table4[[#This Row],[item_sold]],Table1[],4,FALSE))*Table4[[#This Row],[qty]]</f>
        <v>9.1666666666666661</v>
      </c>
      <c r="G4082">
        <f t="shared" si="483"/>
        <v>5.8333333333333339</v>
      </c>
      <c r="H4082" t="s">
        <v>361</v>
      </c>
    </row>
    <row r="4083" spans="1:12" x14ac:dyDescent="0.25">
      <c r="A4083" s="1">
        <f t="shared" si="476"/>
        <v>45549</v>
      </c>
      <c r="B4083" s="31">
        <f>TIME(12,34,0)</f>
        <v>0.52361111111111114</v>
      </c>
      <c r="C4083" t="str">
        <f>'Inventory as of 12th Aug 2024'!A207</f>
        <v>soda 350ml plastic</v>
      </c>
      <c r="D4083">
        <v>1</v>
      </c>
      <c r="E4083" s="5">
        <f>Table4[[#This Row],[qty]]*(VLOOKUP(Table4[[#This Row],[item_sold]],Table1[],5,FALSE))</f>
        <v>50</v>
      </c>
      <c r="F4083" s="5">
        <f>(VLOOKUP(Table4[[#This Row],[item_sold]],Table1[],4,FALSE))*Table4[[#This Row],[qty]]</f>
        <v>41.666666666666664</v>
      </c>
      <c r="G4083">
        <f t="shared" si="483"/>
        <v>8.3333333333333357</v>
      </c>
      <c r="H4083" t="s">
        <v>430</v>
      </c>
      <c r="I4083" t="s">
        <v>401</v>
      </c>
    </row>
    <row r="4084" spans="1:12" x14ac:dyDescent="0.25">
      <c r="A4084" s="1">
        <f t="shared" si="476"/>
        <v>45549</v>
      </c>
      <c r="B4084" s="31">
        <f>TIME(12,34,0)</f>
        <v>0.52361111111111114</v>
      </c>
      <c r="C4084" t="str">
        <f>'Inventory as of 12th Aug 2024'!A199</f>
        <v>Kdf</v>
      </c>
      <c r="D4084">
        <v>2</v>
      </c>
      <c r="E4084" s="5">
        <f>Table4[[#This Row],[qty]]*(VLOOKUP(Table4[[#This Row],[item_sold]],Table1[],5,FALSE))</f>
        <v>20</v>
      </c>
      <c r="F4084" s="5">
        <f>(VLOOKUP(Table4[[#This Row],[item_sold]],Table1[],4,FALSE))*Table4[[#This Row],[qty]]</f>
        <v>16.666666666666668</v>
      </c>
      <c r="G4084">
        <f t="shared" si="483"/>
        <v>3.3333333333333321</v>
      </c>
      <c r="H4084" t="s">
        <v>430</v>
      </c>
      <c r="I4084" t="s">
        <v>401</v>
      </c>
    </row>
    <row r="4085" spans="1:12" x14ac:dyDescent="0.25">
      <c r="A4085" s="1">
        <f t="shared" si="476"/>
        <v>45549</v>
      </c>
      <c r="B4085" s="31">
        <f>TIME(12,38,0)</f>
        <v>0.52638888888888891</v>
      </c>
      <c r="C4085" t="str">
        <f>'Inventory as of 12th Aug 2024'!A42</f>
        <v>Indomie chicken</v>
      </c>
      <c r="D4085">
        <v>3</v>
      </c>
      <c r="E4085" s="5">
        <f>Table4[[#This Row],[qty]]*(VLOOKUP(Table4[[#This Row],[item_sold]],Table1[],5,FALSE))</f>
        <v>150</v>
      </c>
      <c r="F4085" s="5">
        <f>(VLOOKUP(Table4[[#This Row],[item_sold]],Table1[],4,FALSE))*Table4[[#This Row],[qty]]</f>
        <v>112.5</v>
      </c>
      <c r="G4085">
        <f t="shared" si="483"/>
        <v>37.5</v>
      </c>
      <c r="H4085" t="s">
        <v>361</v>
      </c>
    </row>
    <row r="4086" spans="1:12" x14ac:dyDescent="0.25">
      <c r="A4086" s="1">
        <f t="shared" si="476"/>
        <v>45549</v>
      </c>
      <c r="B4086" s="31">
        <f>TIME(13,21,0)</f>
        <v>0.55625000000000002</v>
      </c>
      <c r="C4086" t="str">
        <f>'Inventory as of 12th Aug 2024'!A107</f>
        <v>Match Box</v>
      </c>
      <c r="D4086">
        <v>2</v>
      </c>
      <c r="E4086" s="5">
        <f>Table4[[#This Row],[qty]]*(VLOOKUP(Table4[[#This Row],[item_sold]],Table1[],5,FALSE))</f>
        <v>10</v>
      </c>
      <c r="F4086" s="5">
        <f>(VLOOKUP(Table4[[#This Row],[item_sold]],Table1[],4,FALSE))*Table4[[#This Row],[qty]]</f>
        <v>4.7222222222222223</v>
      </c>
      <c r="G4086">
        <f t="shared" si="483"/>
        <v>5.2777777777777777</v>
      </c>
      <c r="H4086" t="s">
        <v>361</v>
      </c>
    </row>
    <row r="4087" spans="1:12" x14ac:dyDescent="0.25">
      <c r="A4087" s="1">
        <f t="shared" si="476"/>
        <v>45549</v>
      </c>
      <c r="B4087" s="31">
        <f t="shared" ref="B4087" si="484">TIME(13,21,0)</f>
        <v>0.55625000000000002</v>
      </c>
      <c r="C4087" t="str">
        <f>'Inventory as of 12th Aug 2024'!A46</f>
        <v>Tukuza 1kg</v>
      </c>
      <c r="D4087">
        <v>1</v>
      </c>
      <c r="E4087" s="5">
        <f>Table4[[#This Row],[qty]]*(VLOOKUP(Table4[[#This Row],[item_sold]],Table1[],5,FALSE))</f>
        <v>90</v>
      </c>
      <c r="F4087" s="5">
        <f>(VLOOKUP(Table4[[#This Row],[item_sold]],Table1[],4,FALSE))*Table4[[#This Row],[qty]]</f>
        <v>61.25</v>
      </c>
      <c r="G4087">
        <f t="shared" si="483"/>
        <v>28.75</v>
      </c>
      <c r="H4087" t="s">
        <v>361</v>
      </c>
      <c r="J4087" t="s">
        <v>394</v>
      </c>
      <c r="K4087">
        <v>280</v>
      </c>
      <c r="L4087" t="s">
        <v>361</v>
      </c>
    </row>
    <row r="4088" spans="1:12" x14ac:dyDescent="0.25">
      <c r="A4088" s="1">
        <f t="shared" si="476"/>
        <v>45549</v>
      </c>
      <c r="B4088" s="31">
        <f>TIME(14,16,0)</f>
        <v>0.59444444444444444</v>
      </c>
      <c r="C4088" t="str">
        <f>'Inventory as of 12th Aug 2024'!A42</f>
        <v>Indomie chicken</v>
      </c>
      <c r="D4088">
        <v>4</v>
      </c>
      <c r="E4088" s="5">
        <f>Table4[[#This Row],[qty]]*(VLOOKUP(Table4[[#This Row],[item_sold]],Table1[],5,FALSE))</f>
        <v>200</v>
      </c>
      <c r="F4088" s="5">
        <f>(VLOOKUP(Table4[[#This Row],[item_sold]],Table1[],4,FALSE))*Table4[[#This Row],[qty]]</f>
        <v>150</v>
      </c>
      <c r="G4088">
        <f t="shared" si="483"/>
        <v>50</v>
      </c>
      <c r="H4088" t="s">
        <v>430</v>
      </c>
      <c r="I4088" t="s">
        <v>394</v>
      </c>
    </row>
    <row r="4089" spans="1:12" x14ac:dyDescent="0.25">
      <c r="A4089" s="1">
        <f t="shared" si="476"/>
        <v>45549</v>
      </c>
      <c r="B4089" s="31">
        <f>TIME(14,16,0)</f>
        <v>0.59444444444444444</v>
      </c>
      <c r="C4089" t="str">
        <f>'Inventory as of 12th Aug 2024'!A8</f>
        <v>eggs</v>
      </c>
      <c r="D4089">
        <v>4</v>
      </c>
      <c r="E4089" s="5">
        <f>Table4[[#This Row],[qty]]*(VLOOKUP(Table4[[#This Row],[item_sold]],Table1[],5,FALSE))</f>
        <v>80</v>
      </c>
      <c r="F4089" s="5">
        <f>(VLOOKUP(Table4[[#This Row],[item_sold]],Table1[],4,FALSE))*Table4[[#This Row],[qty]]</f>
        <v>57.333333333333336</v>
      </c>
      <c r="G4089">
        <f t="shared" si="483"/>
        <v>22.666666666666664</v>
      </c>
      <c r="H4089" t="s">
        <v>430</v>
      </c>
      <c r="I4089" t="s">
        <v>394</v>
      </c>
    </row>
    <row r="4090" spans="1:12" x14ac:dyDescent="0.25">
      <c r="A4090" s="1">
        <f t="shared" si="476"/>
        <v>45549</v>
      </c>
      <c r="B4090" s="31">
        <f>TIME(14,51,0)</f>
        <v>0.61875000000000002</v>
      </c>
      <c r="C4090" t="str">
        <f>'Inventory as of 12th Aug 2024'!A204</f>
        <v>soda 2lts</v>
      </c>
      <c r="D4090">
        <v>1</v>
      </c>
      <c r="E4090" s="5">
        <f>Table4[[#This Row],[qty]]*(VLOOKUP(Table4[[#This Row],[item_sold]],Table1[],5,FALSE))</f>
        <v>200</v>
      </c>
      <c r="F4090" s="5">
        <f>(VLOOKUP(Table4[[#This Row],[item_sold]],Table1[],4,FALSE))*Table4[[#This Row],[qty]]</f>
        <v>176.66666666666666</v>
      </c>
      <c r="G4090">
        <f t="shared" si="483"/>
        <v>23.333333333333343</v>
      </c>
      <c r="H4090" t="s">
        <v>361</v>
      </c>
    </row>
    <row r="4091" spans="1:12" x14ac:dyDescent="0.25">
      <c r="A4091" s="1">
        <f t="shared" si="476"/>
        <v>45549</v>
      </c>
      <c r="B4091" s="31">
        <f>TIME(15,10,0)</f>
        <v>0.63194444444444442</v>
      </c>
      <c r="C4091" t="str">
        <f>'Inventory as of 12th Aug 2024'!A92</f>
        <v>Banana</v>
      </c>
      <c r="D4091">
        <v>4</v>
      </c>
      <c r="E4091" s="5">
        <f>Table4[[#This Row],[qty]]*(VLOOKUP(Table4[[#This Row],[item_sold]],Table1[],5,FALSE))</f>
        <v>40</v>
      </c>
      <c r="F4091" s="5">
        <f>(VLOOKUP(Table4[[#This Row],[item_sold]],Table1[],4,FALSE))*Table4[[#This Row],[qty]]</f>
        <v>33.333333333333336</v>
      </c>
      <c r="G4091">
        <f t="shared" si="483"/>
        <v>6.6666666666666643</v>
      </c>
      <c r="H4091" t="s">
        <v>247</v>
      </c>
    </row>
    <row r="4092" spans="1:12" x14ac:dyDescent="0.25">
      <c r="A4092" s="1">
        <f t="shared" si="476"/>
        <v>45549</v>
      </c>
      <c r="B4092" s="31">
        <f>TIME(15,15,0)</f>
        <v>0.63541666666666663</v>
      </c>
      <c r="C4092" t="str">
        <f>'Inventory as of 12th Aug 2024'!A92</f>
        <v>Banana</v>
      </c>
      <c r="D4092">
        <v>2</v>
      </c>
      <c r="E4092" s="5">
        <f>Table4[[#This Row],[qty]]*(VLOOKUP(Table4[[#This Row],[item_sold]],Table1[],5,FALSE))</f>
        <v>20</v>
      </c>
      <c r="F4092" s="5">
        <f>(VLOOKUP(Table4[[#This Row],[item_sold]],Table1[],4,FALSE))*Table4[[#This Row],[qty]]</f>
        <v>16.666666666666668</v>
      </c>
      <c r="G4092">
        <f t="shared" si="483"/>
        <v>3.3333333333333321</v>
      </c>
      <c r="H4092" t="s">
        <v>430</v>
      </c>
      <c r="I4092" t="s">
        <v>458</v>
      </c>
    </row>
    <row r="4093" spans="1:12" x14ac:dyDescent="0.25">
      <c r="A4093" s="1">
        <f t="shared" si="476"/>
        <v>45549</v>
      </c>
      <c r="B4093" s="31">
        <f>TIME(16,8,0)</f>
        <v>0.67222222222222217</v>
      </c>
      <c r="C4093" t="str">
        <f>'Inventory as of 12th Aug 2024'!A58</f>
        <v>Safari</v>
      </c>
      <c r="D4093">
        <v>1</v>
      </c>
      <c r="E4093" s="5">
        <f>Table4[[#This Row],[qty]]*(VLOOKUP(Table4[[#This Row],[item_sold]],Table1[],5,FALSE))</f>
        <v>15</v>
      </c>
      <c r="F4093" s="5">
        <f>(VLOOKUP(Table4[[#This Row],[item_sold]],Table1[],4,FALSE))*Table4[[#This Row],[qty]]</f>
        <v>8.5</v>
      </c>
      <c r="G4093">
        <f t="shared" si="483"/>
        <v>6.5</v>
      </c>
      <c r="H4093" t="s">
        <v>361</v>
      </c>
    </row>
    <row r="4094" spans="1:12" x14ac:dyDescent="0.25">
      <c r="A4094" s="1">
        <f t="shared" si="476"/>
        <v>45549</v>
      </c>
      <c r="B4094" s="31">
        <f>TIME(16,27,0)</f>
        <v>0.68541666666666667</v>
      </c>
      <c r="C4094" t="str">
        <f>'Inventory as of 12th Aug 2024'!A262</f>
        <v>Pilau Masala</v>
      </c>
      <c r="D4094">
        <v>1</v>
      </c>
      <c r="E4094" s="5">
        <f>Table4[[#This Row],[qty]]*(VLOOKUP(Table4[[#This Row],[item_sold]],Table1[],5,FALSE))</f>
        <v>35</v>
      </c>
      <c r="F4094" s="5">
        <f>(VLOOKUP(Table4[[#This Row],[item_sold]],Table1[],4,FALSE))*Table4[[#This Row],[qty]]</f>
        <v>23.333333333333332</v>
      </c>
      <c r="G4094">
        <f t="shared" ref="G4094" si="485">E4094-F4094</f>
        <v>11.666666666666668</v>
      </c>
      <c r="H4094" t="s">
        <v>361</v>
      </c>
    </row>
    <row r="4095" spans="1:12" x14ac:dyDescent="0.25">
      <c r="A4095" s="1">
        <f t="shared" si="476"/>
        <v>45549</v>
      </c>
      <c r="B4095" s="31">
        <f>TIME(16,28,0)</f>
        <v>0.68611111111111101</v>
      </c>
      <c r="C4095" t="str">
        <f>'Inventory as of 12th Aug 2024'!A10</f>
        <v>Mt Kenya milk 200ml</v>
      </c>
      <c r="D4095">
        <v>1</v>
      </c>
      <c r="E4095" s="5">
        <f>Table4[[#This Row],[qty]]*(VLOOKUP(Table4[[#This Row],[item_sold]],Table1[],5,FALSE))</f>
        <v>35</v>
      </c>
      <c r="F4095" s="5">
        <f>(VLOOKUP(Table4[[#This Row],[item_sold]],Table1[],4,FALSE))*Table4[[#This Row],[qty]]</f>
        <v>24.285714285714285</v>
      </c>
      <c r="G4095">
        <f t="shared" si="483"/>
        <v>10.714285714285715</v>
      </c>
      <c r="H4095" t="s">
        <v>247</v>
      </c>
    </row>
    <row r="4096" spans="1:12" x14ac:dyDescent="0.25">
      <c r="A4096" s="1">
        <f t="shared" si="476"/>
        <v>45549</v>
      </c>
      <c r="B4096" s="31">
        <f t="shared" ref="B4096:B4097" si="486">TIME(16,28,0)</f>
        <v>0.68611111111111101</v>
      </c>
      <c r="C4096" t="str">
        <f>'Inventory as of 12th Aug 2024'!A200</f>
        <v>Ngumu</v>
      </c>
      <c r="D4096">
        <v>2</v>
      </c>
      <c r="E4096" s="5">
        <f>Table4[[#This Row],[qty]]*(VLOOKUP(Table4[[#This Row],[item_sold]],Table1[],5,FALSE))</f>
        <v>20</v>
      </c>
      <c r="F4096" s="5">
        <f>(VLOOKUP(Table4[[#This Row],[item_sold]],Table1[],4,FALSE))*Table4[[#This Row],[qty]]</f>
        <v>16.666666666666668</v>
      </c>
      <c r="G4096">
        <f t="shared" si="483"/>
        <v>3.3333333333333321</v>
      </c>
      <c r="H4096" t="s">
        <v>247</v>
      </c>
    </row>
    <row r="4097" spans="1:9" x14ac:dyDescent="0.25">
      <c r="A4097" s="1">
        <f t="shared" si="476"/>
        <v>45549</v>
      </c>
      <c r="B4097" s="31">
        <f t="shared" si="486"/>
        <v>0.68611111111111101</v>
      </c>
      <c r="C4097" t="str">
        <f>'Inventory as of 12th Aug 2024'!A193</f>
        <v>Ginger Bisquit</v>
      </c>
      <c r="D4097">
        <v>1</v>
      </c>
      <c r="E4097" s="5">
        <f>Table4[[#This Row],[qty]]*(VLOOKUP(Table4[[#This Row],[item_sold]],Table1[],5,FALSE))</f>
        <v>5</v>
      </c>
      <c r="F4097" s="5">
        <f>(VLOOKUP(Table4[[#This Row],[item_sold]],Table1[],4,FALSE))*Table4[[#This Row],[qty]]</f>
        <v>4.333333333333333</v>
      </c>
      <c r="G4097">
        <f t="shared" si="483"/>
        <v>0.66666666666666696</v>
      </c>
      <c r="H4097" t="s">
        <v>247</v>
      </c>
    </row>
    <row r="4098" spans="1:9" x14ac:dyDescent="0.25">
      <c r="A4098" s="1">
        <f t="shared" si="476"/>
        <v>45549</v>
      </c>
      <c r="B4098" s="31">
        <f>TIME(18,29,0)</f>
        <v>0.77013888888888893</v>
      </c>
      <c r="C4098" t="str">
        <f>'Inventory as of 12th Aug 2024'!A9</f>
        <v>Kinangop Fresh Milk 500ml</v>
      </c>
      <c r="D4098">
        <v>1</v>
      </c>
      <c r="E4098" s="5">
        <f>Table4[[#This Row],[qty]]*(VLOOKUP(Table4[[#This Row],[item_sold]],Table1[],5,FALSE))</f>
        <v>60</v>
      </c>
      <c r="F4098" s="5">
        <f>(VLOOKUP(Table4[[#This Row],[item_sold]],Table1[],4,FALSE))*Table4[[#This Row],[qty]]</f>
        <v>55</v>
      </c>
      <c r="G4098">
        <f t="shared" si="483"/>
        <v>5</v>
      </c>
      <c r="H4098" t="s">
        <v>247</v>
      </c>
    </row>
    <row r="4099" spans="1:9" x14ac:dyDescent="0.25">
      <c r="A4099" s="1">
        <f t="shared" si="476"/>
        <v>45549</v>
      </c>
      <c r="B4099" s="31">
        <f>TIME(19,6,0)</f>
        <v>0.79583333333333339</v>
      </c>
      <c r="C4099" t="str">
        <f>'Inventory as of 12th Aug 2024'!A58</f>
        <v>Safari</v>
      </c>
      <c r="D4099">
        <v>2</v>
      </c>
      <c r="E4099" s="5">
        <f>Table4[[#This Row],[qty]]*(VLOOKUP(Table4[[#This Row],[item_sold]],Table1[],5,FALSE))</f>
        <v>30</v>
      </c>
      <c r="F4099" s="5">
        <f>(VLOOKUP(Table4[[#This Row],[item_sold]],Table1[],4,FALSE))*Table4[[#This Row],[qty]]</f>
        <v>17</v>
      </c>
      <c r="G4099">
        <f t="shared" si="483"/>
        <v>13</v>
      </c>
      <c r="H4099" t="s">
        <v>361</v>
      </c>
    </row>
    <row r="4100" spans="1:9" x14ac:dyDescent="0.25">
      <c r="A4100" s="1">
        <f t="shared" si="476"/>
        <v>45549</v>
      </c>
      <c r="B4100" s="31">
        <f t="shared" ref="B4100:B4101" si="487">TIME(19,6,0)</f>
        <v>0.79583333333333339</v>
      </c>
      <c r="C4100" t="str">
        <f>'Inventory as of 12th Aug 2024'!A5</f>
        <v>Airtel 20 Credit</v>
      </c>
      <c r="D4100">
        <v>1</v>
      </c>
      <c r="E4100" s="5">
        <f>Table4[[#This Row],[qty]]*(VLOOKUP(Table4[[#This Row],[item_sold]],Table1[],5,FALSE))</f>
        <v>20</v>
      </c>
      <c r="F4100" s="5">
        <f>(VLOOKUP(Table4[[#This Row],[item_sold]],Table1[],4,FALSE))*Table4[[#This Row],[qty]]</f>
        <v>18</v>
      </c>
      <c r="G4100">
        <f t="shared" si="483"/>
        <v>2</v>
      </c>
      <c r="H4100" t="s">
        <v>361</v>
      </c>
    </row>
    <row r="4101" spans="1:9" x14ac:dyDescent="0.25">
      <c r="A4101" s="1">
        <f t="shared" si="476"/>
        <v>45549</v>
      </c>
      <c r="B4101" s="31">
        <f t="shared" si="487"/>
        <v>0.79583333333333339</v>
      </c>
      <c r="C4101" t="str">
        <f>'Inventory as of 12th Aug 2024'!A8</f>
        <v>eggs</v>
      </c>
      <c r="D4101">
        <v>6</v>
      </c>
      <c r="E4101" s="5">
        <f>Table4[[#This Row],[qty]]*(VLOOKUP(Table4[[#This Row],[item_sold]],Table1[],5,FALSE))</f>
        <v>120</v>
      </c>
      <c r="F4101" s="5">
        <f>(VLOOKUP(Table4[[#This Row],[item_sold]],Table1[],4,FALSE))*Table4[[#This Row],[qty]]</f>
        <v>86</v>
      </c>
      <c r="G4101">
        <f t="shared" si="483"/>
        <v>34</v>
      </c>
      <c r="H4101" t="s">
        <v>361</v>
      </c>
    </row>
    <row r="4102" spans="1:9" x14ac:dyDescent="0.25">
      <c r="A4102" s="1">
        <f t="shared" si="476"/>
        <v>45549</v>
      </c>
      <c r="B4102" s="31">
        <f>TIME(19,31,0)</f>
        <v>0.81319444444444444</v>
      </c>
      <c r="C4102" t="str">
        <f>'Inventory as of 12th Aug 2024'!A211</f>
        <v>predator</v>
      </c>
      <c r="D4102">
        <v>1</v>
      </c>
      <c r="E4102" s="5">
        <f>Table4[[#This Row],[qty]]*(VLOOKUP(Table4[[#This Row],[item_sold]],Table1[],5,FALSE))</f>
        <v>70</v>
      </c>
      <c r="F4102" s="5">
        <f>(VLOOKUP(Table4[[#This Row],[item_sold]],Table1[],4,FALSE))*Table4[[#This Row],[qty]]</f>
        <v>54.166666666666664</v>
      </c>
      <c r="G4102">
        <f t="shared" si="483"/>
        <v>15.833333333333336</v>
      </c>
      <c r="H4102" t="s">
        <v>361</v>
      </c>
    </row>
    <row r="4103" spans="1:9" x14ac:dyDescent="0.25">
      <c r="A4103" s="1">
        <f t="shared" si="476"/>
        <v>45549</v>
      </c>
      <c r="B4103" s="31">
        <f t="shared" ref="B4103:B4105" si="488">TIME(19,31,0)</f>
        <v>0.81319444444444444</v>
      </c>
      <c r="C4103" t="str">
        <f>'Inventory as of 12th Aug 2024'!A151</f>
        <v>Arimis big</v>
      </c>
      <c r="D4103">
        <v>1</v>
      </c>
      <c r="E4103" s="5">
        <f>Table4[[#This Row],[qty]]*(VLOOKUP(Table4[[#This Row],[item_sold]],Table1[],5,FALSE))</f>
        <v>60</v>
      </c>
      <c r="F4103" s="5">
        <f>(VLOOKUP(Table4[[#This Row],[item_sold]],Table1[],4,FALSE))*Table4[[#This Row],[qty]]</f>
        <v>45.833333333333336</v>
      </c>
      <c r="G4103">
        <f t="shared" si="483"/>
        <v>14.166666666666664</v>
      </c>
      <c r="H4103" t="s">
        <v>361</v>
      </c>
    </row>
    <row r="4104" spans="1:9" x14ac:dyDescent="0.25">
      <c r="A4104" s="1">
        <f t="shared" si="476"/>
        <v>45549</v>
      </c>
      <c r="B4104" s="31">
        <f t="shared" si="488"/>
        <v>0.81319444444444444</v>
      </c>
      <c r="C4104" t="str">
        <f>'Inventory as of 12th Aug 2024'!A75</f>
        <v>Cooking Oil Measured</v>
      </c>
      <c r="D4104">
        <v>0.25</v>
      </c>
      <c r="E4104" s="5">
        <f>Table4[[#This Row],[qty]]*(VLOOKUP(Table4[[#This Row],[item_sold]],Table1[],5,FALSE))</f>
        <v>70</v>
      </c>
      <c r="F4104" s="5">
        <f>(VLOOKUP(Table4[[#This Row],[item_sold]],Table1[],4,FALSE))*Table4[[#This Row],[qty]]</f>
        <v>50</v>
      </c>
      <c r="G4104">
        <f t="shared" si="483"/>
        <v>20</v>
      </c>
      <c r="H4104" t="s">
        <v>361</v>
      </c>
    </row>
    <row r="4105" spans="1:9" x14ac:dyDescent="0.25">
      <c r="A4105" s="1">
        <f t="shared" si="476"/>
        <v>45549</v>
      </c>
      <c r="B4105" s="31">
        <f t="shared" si="488"/>
        <v>0.81319444444444444</v>
      </c>
      <c r="C4105" t="str">
        <f>'Inventory as of 12th Aug 2024'!A193</f>
        <v>Ginger Bisquit</v>
      </c>
      <c r="D4105">
        <v>2</v>
      </c>
      <c r="E4105" s="5">
        <f>Table4[[#This Row],[qty]]*(VLOOKUP(Table4[[#This Row],[item_sold]],Table1[],5,FALSE))</f>
        <v>10</v>
      </c>
      <c r="F4105" s="5">
        <f>(VLOOKUP(Table4[[#This Row],[item_sold]],Table1[],4,FALSE))*Table4[[#This Row],[qty]]</f>
        <v>8.6666666666666661</v>
      </c>
      <c r="G4105">
        <f t="shared" si="483"/>
        <v>1.3333333333333339</v>
      </c>
      <c r="H4105" t="s">
        <v>247</v>
      </c>
    </row>
    <row r="4106" spans="1:9" x14ac:dyDescent="0.25">
      <c r="A4106" s="1">
        <f t="shared" si="476"/>
        <v>45549</v>
      </c>
      <c r="B4106" s="31">
        <f>TIME(19,32,0)</f>
        <v>0.81388888888888899</v>
      </c>
      <c r="C4106" t="str">
        <f>'Inventory as of 12th Aug 2024'!A91</f>
        <v>Tomatoes</v>
      </c>
      <c r="D4106">
        <v>3</v>
      </c>
      <c r="E4106" s="5">
        <f>Table4[[#This Row],[qty]]*(VLOOKUP(Table4[[#This Row],[item_sold]],Table1[],5,FALSE))</f>
        <v>30</v>
      </c>
      <c r="F4106" s="5">
        <f>(VLOOKUP(Table4[[#This Row],[item_sold]],Table1[],4,FALSE))*Table4[[#This Row],[qty]]</f>
        <v>15</v>
      </c>
      <c r="G4106">
        <f t="shared" si="483"/>
        <v>15</v>
      </c>
      <c r="H4106" t="s">
        <v>430</v>
      </c>
      <c r="I4106" t="s">
        <v>456</v>
      </c>
    </row>
    <row r="4107" spans="1:9" x14ac:dyDescent="0.25">
      <c r="A4107" s="1">
        <f t="shared" si="476"/>
        <v>45549</v>
      </c>
      <c r="B4107" s="31">
        <f>TIME(19,47,0)</f>
        <v>0.82430555555555562</v>
      </c>
      <c r="C4107" t="str">
        <f>'Inventory as of 12th Aug 2024'!A9</f>
        <v>Kinangop Fresh Milk 500ml</v>
      </c>
      <c r="D4107">
        <v>2</v>
      </c>
      <c r="E4107" s="5">
        <f>Table4[[#This Row],[qty]]*(VLOOKUP(Table4[[#This Row],[item_sold]],Table1[],5,FALSE))</f>
        <v>120</v>
      </c>
      <c r="F4107" s="5">
        <f>(VLOOKUP(Table4[[#This Row],[item_sold]],Table1[],4,FALSE))*Table4[[#This Row],[qty]]</f>
        <v>110</v>
      </c>
      <c r="G4107">
        <f t="shared" si="483"/>
        <v>10</v>
      </c>
      <c r="H4107" t="s">
        <v>247</v>
      </c>
    </row>
    <row r="4108" spans="1:9" x14ac:dyDescent="0.25">
      <c r="A4108" s="1">
        <f t="shared" si="476"/>
        <v>45549</v>
      </c>
      <c r="B4108" s="31">
        <f>TIME(19,53,0)</f>
        <v>0.82847222222222217</v>
      </c>
      <c r="C4108" t="str">
        <f>'Inventory as of 12th Aug 2024'!A58</f>
        <v>Safari</v>
      </c>
      <c r="D4108">
        <v>2</v>
      </c>
      <c r="E4108" s="5">
        <f>Table4[[#This Row],[qty]]*(VLOOKUP(Table4[[#This Row],[item_sold]],Table1[],5,FALSE))</f>
        <v>30</v>
      </c>
      <c r="F4108" s="5">
        <f>(VLOOKUP(Table4[[#This Row],[item_sold]],Table1[],4,FALSE))*Table4[[#This Row],[qty]]</f>
        <v>17</v>
      </c>
      <c r="G4108">
        <f t="shared" si="483"/>
        <v>13</v>
      </c>
      <c r="H4108" t="s">
        <v>361</v>
      </c>
    </row>
    <row r="4109" spans="1:9" x14ac:dyDescent="0.25">
      <c r="A4109" s="1">
        <f t="shared" si="476"/>
        <v>45549</v>
      </c>
      <c r="B4109" s="31">
        <f>TIME(20,24,0)</f>
        <v>0.85</v>
      </c>
      <c r="C4109" t="str">
        <f>'Inventory as of 12th Aug 2024'!A10</f>
        <v>Mt Kenya milk 200ml</v>
      </c>
      <c r="D4109">
        <v>1</v>
      </c>
      <c r="E4109" s="5">
        <f>Table4[[#This Row],[qty]]*(VLOOKUP(Table4[[#This Row],[item_sold]],Table1[],5,FALSE))</f>
        <v>35</v>
      </c>
      <c r="F4109" s="5">
        <f>(VLOOKUP(Table4[[#This Row],[item_sold]],Table1[],4,FALSE))*Table4[[#This Row],[qty]]</f>
        <v>24.285714285714285</v>
      </c>
      <c r="G4109">
        <f t="shared" si="483"/>
        <v>10.714285714285715</v>
      </c>
      <c r="H4109" t="s">
        <v>247</v>
      </c>
    </row>
    <row r="4110" spans="1:9" x14ac:dyDescent="0.25">
      <c r="A4110" s="1">
        <f t="shared" si="476"/>
        <v>45549</v>
      </c>
      <c r="B4110" s="31">
        <f t="shared" ref="B4110" si="489">TIME(20,24,0)</f>
        <v>0.85</v>
      </c>
      <c r="C4110" t="str">
        <f>'Inventory as of 12th Aug 2024'!A28</f>
        <v>Fahari Tea 15g</v>
      </c>
      <c r="D4110">
        <v>1</v>
      </c>
      <c r="E4110" s="5">
        <f>Table4[[#This Row],[qty]]*(VLOOKUP(Table4[[#This Row],[item_sold]],Table1[],5,FALSE))</f>
        <v>15</v>
      </c>
      <c r="F4110" s="5">
        <f>(VLOOKUP(Table4[[#This Row],[item_sold]],Table1[],4,FALSE))*Table4[[#This Row],[qty]]</f>
        <v>9.1666666666666661</v>
      </c>
      <c r="G4110">
        <f t="shared" si="483"/>
        <v>5.8333333333333339</v>
      </c>
      <c r="H4110" t="s">
        <v>247</v>
      </c>
    </row>
    <row r="4111" spans="1:9" x14ac:dyDescent="0.25">
      <c r="A4111" s="1">
        <f t="shared" si="476"/>
        <v>45549</v>
      </c>
      <c r="B4111" s="31">
        <f>TIME(20,30,0)</f>
        <v>0.85416666666666663</v>
      </c>
      <c r="C4111" t="str">
        <f>'Inventory as of 12th Aug 2024'!A178</f>
        <v>Ringoz Paprika</v>
      </c>
      <c r="D4111">
        <v>3</v>
      </c>
      <c r="E4111" s="5">
        <f>Table4[[#This Row],[qty]]*(VLOOKUP(Table4[[#This Row],[item_sold]],Table1[],5,FALSE))</f>
        <v>45</v>
      </c>
      <c r="F4111" s="5">
        <f>(VLOOKUP(Table4[[#This Row],[item_sold]],Table1[],4,FALSE))*Table4[[#This Row],[qty]]</f>
        <v>26.400000000000002</v>
      </c>
      <c r="G4111">
        <f t="shared" si="483"/>
        <v>18.599999999999998</v>
      </c>
      <c r="H4111" t="s">
        <v>247</v>
      </c>
    </row>
    <row r="4112" spans="1:9" x14ac:dyDescent="0.25">
      <c r="A4112" s="1">
        <f t="shared" si="476"/>
        <v>45549</v>
      </c>
      <c r="B4112" s="31">
        <f t="shared" ref="B4112:B4114" si="490">TIME(20,30,0)</f>
        <v>0.85416666666666663</v>
      </c>
      <c r="C4112" t="str">
        <f>'Inventory as of 12th Aug 2024'!A234</f>
        <v>Bigdaddy</v>
      </c>
      <c r="D4112">
        <v>1</v>
      </c>
      <c r="E4112" s="5">
        <f>Table4[[#This Row],[qty]]*(VLOOKUP(Table4[[#This Row],[item_sold]],Table1[],5,FALSE))</f>
        <v>10</v>
      </c>
      <c r="F4112" s="5">
        <f>(VLOOKUP(Table4[[#This Row],[item_sold]],Table1[],4,FALSE))*Table4[[#This Row],[qty]]</f>
        <v>6</v>
      </c>
      <c r="G4112">
        <f t="shared" si="483"/>
        <v>4</v>
      </c>
      <c r="H4112" t="s">
        <v>247</v>
      </c>
    </row>
    <row r="4113" spans="1:12" x14ac:dyDescent="0.25">
      <c r="A4113" s="1">
        <f t="shared" si="476"/>
        <v>45549</v>
      </c>
      <c r="B4113" s="31">
        <f t="shared" si="490"/>
        <v>0.85416666666666663</v>
      </c>
      <c r="C4113" t="str">
        <f>'Inventory as of 12th Aug 2024'!A172</f>
        <v>Carrier bag small</v>
      </c>
      <c r="D4113">
        <v>1</v>
      </c>
      <c r="E4113" s="5">
        <f>Table4[[#This Row],[qty]]*(VLOOKUP(Table4[[#This Row],[item_sold]],Table1[],5,FALSE))</f>
        <v>10</v>
      </c>
      <c r="F4113" s="5">
        <f>(VLOOKUP(Table4[[#This Row],[item_sold]],Table1[],4,FALSE))*Table4[[#This Row],[qty]]</f>
        <v>3</v>
      </c>
      <c r="G4113">
        <f t="shared" si="483"/>
        <v>7</v>
      </c>
      <c r="H4113" t="s">
        <v>247</v>
      </c>
    </row>
    <row r="4114" spans="1:12" x14ac:dyDescent="0.25">
      <c r="A4114" s="1">
        <f t="shared" si="476"/>
        <v>45549</v>
      </c>
      <c r="B4114" s="31">
        <f t="shared" si="490"/>
        <v>0.85416666666666663</v>
      </c>
      <c r="C4114" t="str">
        <f>'Inventory as of 12th Aug 2024'!A149</f>
        <v>Arimis small</v>
      </c>
      <c r="D4114">
        <v>1</v>
      </c>
      <c r="E4114" s="5">
        <f>Table4[[#This Row],[qty]]*(VLOOKUP(Table4[[#This Row],[item_sold]],Table1[],5,FALSE))</f>
        <v>35</v>
      </c>
      <c r="F4114" s="5">
        <f>(VLOOKUP(Table4[[#This Row],[item_sold]],Table1[],4,FALSE))*Table4[[#This Row],[qty]]</f>
        <v>23.333333333333332</v>
      </c>
      <c r="G4114">
        <f t="shared" si="483"/>
        <v>11.666666666666668</v>
      </c>
      <c r="H4114" t="s">
        <v>247</v>
      </c>
    </row>
    <row r="4115" spans="1:12" x14ac:dyDescent="0.25">
      <c r="A4115" s="1">
        <f t="shared" si="476"/>
        <v>45549</v>
      </c>
      <c r="B4115" s="31">
        <f>TIME(20,36,0)</f>
        <v>0.85833333333333339</v>
      </c>
      <c r="C4115" t="str">
        <f>'Inventory as of 12th Aug 2024'!A153</f>
        <v>mosquito stick</v>
      </c>
      <c r="D4115">
        <v>1</v>
      </c>
      <c r="E4115" s="5">
        <f>Table4[[#This Row],[qty]]*(VLOOKUP(Table4[[#This Row],[item_sold]],Table1[],5,FALSE))</f>
        <v>10</v>
      </c>
      <c r="F4115" s="5">
        <f>(VLOOKUP(Table4[[#This Row],[item_sold]],Table1[],4,FALSE))*Table4[[#This Row],[qty]]</f>
        <v>9</v>
      </c>
      <c r="G4115">
        <f t="shared" si="483"/>
        <v>1</v>
      </c>
      <c r="H4115" t="s">
        <v>247</v>
      </c>
    </row>
    <row r="4116" spans="1:12" x14ac:dyDescent="0.25">
      <c r="A4116" s="1">
        <f t="shared" si="476"/>
        <v>45549</v>
      </c>
      <c r="B4116" s="31">
        <f t="shared" ref="B4116:B4117" si="491">TIME(20,36,0)</f>
        <v>0.85833333333333339</v>
      </c>
      <c r="C4116" t="str">
        <f>'Inventory as of 12th Aug 2024'!A58</f>
        <v>Safari</v>
      </c>
      <c r="D4116">
        <v>2</v>
      </c>
      <c r="E4116" s="5">
        <f>Table4[[#This Row],[qty]]*(VLOOKUP(Table4[[#This Row],[item_sold]],Table1[],5,FALSE))</f>
        <v>30</v>
      </c>
      <c r="F4116" s="5">
        <f>(VLOOKUP(Table4[[#This Row],[item_sold]],Table1[],4,FALSE))*Table4[[#This Row],[qty]]</f>
        <v>17</v>
      </c>
      <c r="G4116">
        <f t="shared" si="483"/>
        <v>13</v>
      </c>
      <c r="H4116" t="s">
        <v>361</v>
      </c>
    </row>
    <row r="4117" spans="1:12" x14ac:dyDescent="0.25">
      <c r="A4117" s="1">
        <f t="shared" si="476"/>
        <v>45549</v>
      </c>
      <c r="B4117" s="31">
        <f t="shared" si="491"/>
        <v>0.85833333333333339</v>
      </c>
      <c r="C4117" t="str">
        <f>'Inventory as of 12th Aug 2024'!A221</f>
        <v>Rasor Blade</v>
      </c>
      <c r="D4117">
        <v>1</v>
      </c>
      <c r="E4117" s="5">
        <f>Table4[[#This Row],[qty]]*(VLOOKUP(Table4[[#This Row],[item_sold]],Table1[],5,FALSE))</f>
        <v>5</v>
      </c>
      <c r="F4117" s="5">
        <f>(VLOOKUP(Table4[[#This Row],[item_sold]],Table1[],4,FALSE))*Table4[[#This Row],[qty]]</f>
        <v>2</v>
      </c>
      <c r="G4117">
        <f t="shared" si="483"/>
        <v>3</v>
      </c>
      <c r="H4117" t="s">
        <v>361</v>
      </c>
    </row>
    <row r="4118" spans="1:12" x14ac:dyDescent="0.25">
      <c r="A4118" s="1">
        <f t="shared" si="476"/>
        <v>45549</v>
      </c>
      <c r="B4118" s="31">
        <f>TIME(20,0,0)</f>
        <v>0.83333333333333337</v>
      </c>
      <c r="C4118" t="str">
        <f>'Inventory as of 12th Aug 2024'!A50</f>
        <v>Pishori rice</v>
      </c>
      <c r="D4118">
        <v>1</v>
      </c>
      <c r="E4118" s="5">
        <f>Table4[[#This Row],[qty]]*(VLOOKUP(Table4[[#This Row],[item_sold]],Table1[],5,FALSE))</f>
        <v>220</v>
      </c>
      <c r="F4118" s="5">
        <f>(VLOOKUP(Table4[[#This Row],[item_sold]],Table1[],4,FALSE))*Table4[[#This Row],[qty]]</f>
        <v>180</v>
      </c>
      <c r="G4118">
        <f t="shared" si="483"/>
        <v>40</v>
      </c>
      <c r="H4118" t="s">
        <v>430</v>
      </c>
      <c r="I4118" t="s">
        <v>390</v>
      </c>
    </row>
    <row r="4119" spans="1:12" x14ac:dyDescent="0.25">
      <c r="A4119" s="1">
        <f>DATE(2024,9,15)</f>
        <v>45550</v>
      </c>
      <c r="B4119" s="31">
        <f>TIME(7,30,0)</f>
        <v>0.3125</v>
      </c>
      <c r="C4119" t="str">
        <f>'Inventory as of 12th Aug 2024'!A234</f>
        <v>Bigdaddy</v>
      </c>
      <c r="D4119">
        <v>1</v>
      </c>
      <c r="E4119" s="5">
        <f>Table4[[#This Row],[qty]]*(VLOOKUP(Table4[[#This Row],[item_sold]],Table1[],5,FALSE))</f>
        <v>10</v>
      </c>
      <c r="F4119" s="5">
        <f>(VLOOKUP(Table4[[#This Row],[item_sold]],Table1[],4,FALSE))*Table4[[#This Row],[qty]]</f>
        <v>6</v>
      </c>
      <c r="G4119">
        <f t="shared" si="483"/>
        <v>4</v>
      </c>
      <c r="H4119" t="s">
        <v>247</v>
      </c>
    </row>
    <row r="4120" spans="1:12" x14ac:dyDescent="0.25">
      <c r="A4120" s="1">
        <f t="shared" ref="A4120:A4183" si="492">DATE(2024,9,15)</f>
        <v>45550</v>
      </c>
      <c r="B4120" s="31">
        <f>TIME(7,45,0)</f>
        <v>0.32291666666666669</v>
      </c>
      <c r="C4120" t="str">
        <f>'Inventory as of 12th Aug 2024'!A66</f>
        <v>Blueband 250g</v>
      </c>
      <c r="D4120">
        <v>1</v>
      </c>
      <c r="E4120" s="5">
        <f>Table4[[#This Row],[qty]]*(VLOOKUP(Table4[[#This Row],[item_sold]],Table1[],5,FALSE))</f>
        <v>190</v>
      </c>
      <c r="F4120" s="5">
        <f>(VLOOKUP(Table4[[#This Row],[item_sold]],Table1[],4,FALSE))*Table4[[#This Row],[qty]]</f>
        <v>140</v>
      </c>
      <c r="G4120">
        <f t="shared" si="483"/>
        <v>50</v>
      </c>
      <c r="H4120" t="s">
        <v>430</v>
      </c>
      <c r="I4120" t="s">
        <v>387</v>
      </c>
    </row>
    <row r="4121" spans="1:12" x14ac:dyDescent="0.25">
      <c r="A4121" s="1">
        <f t="shared" si="492"/>
        <v>45550</v>
      </c>
      <c r="B4121" s="31">
        <f t="shared" ref="B4121" si="493">TIME(7,45,0)</f>
        <v>0.32291666666666669</v>
      </c>
      <c r="C4121" t="str">
        <f>'Inventory as of 12th Aug 2024'!A135</f>
        <v>Bella Tissue</v>
      </c>
      <c r="D4121">
        <v>1</v>
      </c>
      <c r="E4121" s="5">
        <f>Table4[[#This Row],[qty]]*(VLOOKUP(Table4[[#This Row],[item_sold]],Table1[],5,FALSE))</f>
        <v>50</v>
      </c>
      <c r="F4121" s="5">
        <f>(VLOOKUP(Table4[[#This Row],[item_sold]],Table1[],4,FALSE))*Table4[[#This Row],[qty]]</f>
        <v>35</v>
      </c>
      <c r="G4121">
        <f t="shared" si="483"/>
        <v>15</v>
      </c>
      <c r="H4121" t="s">
        <v>430</v>
      </c>
    </row>
    <row r="4122" spans="1:12" x14ac:dyDescent="0.25">
      <c r="A4122" s="1">
        <f t="shared" si="492"/>
        <v>45550</v>
      </c>
      <c r="B4122" s="31">
        <f>TIME(7,51,0)</f>
        <v>0.32708333333333334</v>
      </c>
      <c r="C4122" t="str">
        <f>'Inventory as of 12th Aug 2024'!A138</f>
        <v>Softcare pads</v>
      </c>
      <c r="D4122">
        <v>1</v>
      </c>
      <c r="E4122" s="5">
        <f>Table4[[#This Row],[qty]]*(VLOOKUP(Table4[[#This Row],[item_sold]],Table1[],5,FALSE))</f>
        <v>85</v>
      </c>
      <c r="F4122" s="5">
        <f>(VLOOKUP(Table4[[#This Row],[item_sold]],Table1[],4,FALSE))*Table4[[#This Row],[qty]]</f>
        <v>66</v>
      </c>
      <c r="G4122">
        <f t="shared" si="483"/>
        <v>19</v>
      </c>
      <c r="H4122" t="s">
        <v>430</v>
      </c>
      <c r="I4122" t="s">
        <v>427</v>
      </c>
      <c r="J4122" t="s">
        <v>427</v>
      </c>
      <c r="K4122">
        <v>340</v>
      </c>
      <c r="L4122" t="s">
        <v>361</v>
      </c>
    </row>
    <row r="4123" spans="1:12" x14ac:dyDescent="0.25">
      <c r="A4123" s="1">
        <f t="shared" si="492"/>
        <v>45550</v>
      </c>
      <c r="B4123" s="31">
        <f>TIME(8,8,0)</f>
        <v>0.33888888888888885</v>
      </c>
      <c r="C4123" t="str">
        <f>'Inventory as of 12th Aug 2024'!A58</f>
        <v>Safari</v>
      </c>
      <c r="D4123">
        <v>2</v>
      </c>
      <c r="E4123" s="5">
        <f>Table4[[#This Row],[qty]]*(VLOOKUP(Table4[[#This Row],[item_sold]],Table1[],5,FALSE))</f>
        <v>30</v>
      </c>
      <c r="F4123" s="5">
        <f>(VLOOKUP(Table4[[#This Row],[item_sold]],Table1[],4,FALSE))*Table4[[#This Row],[qty]]</f>
        <v>17</v>
      </c>
      <c r="G4123">
        <f t="shared" si="483"/>
        <v>13</v>
      </c>
      <c r="H4123" t="s">
        <v>361</v>
      </c>
    </row>
    <row r="4124" spans="1:12" x14ac:dyDescent="0.25">
      <c r="A4124" s="1">
        <f t="shared" si="492"/>
        <v>45550</v>
      </c>
      <c r="B4124" s="31">
        <f>TIME(8,56,0)</f>
        <v>0.37222222222222223</v>
      </c>
      <c r="C4124" t="str">
        <f>'Inventory as of 12th Aug 2024'!A92</f>
        <v>Banana</v>
      </c>
      <c r="D4124">
        <v>4</v>
      </c>
      <c r="E4124" s="5">
        <f>Table4[[#This Row],[qty]]*(VLOOKUP(Table4[[#This Row],[item_sold]],Table1[],5,FALSE))</f>
        <v>40</v>
      </c>
      <c r="F4124" s="5">
        <f>(VLOOKUP(Table4[[#This Row],[item_sold]],Table1[],4,FALSE))*Table4[[#This Row],[qty]]</f>
        <v>33.333333333333336</v>
      </c>
      <c r="G4124">
        <f t="shared" si="483"/>
        <v>6.6666666666666643</v>
      </c>
      <c r="H4124" t="s">
        <v>430</v>
      </c>
      <c r="I4124" t="s">
        <v>456</v>
      </c>
    </row>
    <row r="4125" spans="1:12" x14ac:dyDescent="0.25">
      <c r="A4125" s="1">
        <f t="shared" si="492"/>
        <v>45550</v>
      </c>
      <c r="B4125" s="31">
        <f t="shared" ref="B4125" si="494">TIME(8,56,0)</f>
        <v>0.37222222222222223</v>
      </c>
      <c r="C4125" t="str">
        <f>'Inventory as of 12th Aug 2024'!A33</f>
        <v>BB Bread 400g</v>
      </c>
      <c r="D4125">
        <v>1</v>
      </c>
      <c r="E4125" s="5">
        <f>Table4[[#This Row],[qty]]*(VLOOKUP(Table4[[#This Row],[item_sold]],Table1[],5,FALSE))</f>
        <v>65</v>
      </c>
      <c r="F4125" s="5">
        <f>(VLOOKUP(Table4[[#This Row],[item_sold]],Table1[],4,FALSE))*Table4[[#This Row],[qty]]</f>
        <v>60</v>
      </c>
      <c r="G4125">
        <f t="shared" si="483"/>
        <v>5</v>
      </c>
      <c r="H4125" t="s">
        <v>430</v>
      </c>
    </row>
    <row r="4126" spans="1:12" x14ac:dyDescent="0.25">
      <c r="A4126" s="1">
        <f t="shared" si="492"/>
        <v>45550</v>
      </c>
      <c r="B4126" s="31">
        <f>TIME(8,57,0)</f>
        <v>0.37291666666666662</v>
      </c>
      <c r="C4126" t="str">
        <f>'Inventory as of 12th Aug 2024'!A33</f>
        <v>BB Bread 400g</v>
      </c>
      <c r="D4126">
        <v>2</v>
      </c>
      <c r="E4126" s="5">
        <f>Table4[[#This Row],[qty]]*(VLOOKUP(Table4[[#This Row],[item_sold]],Table1[],5,FALSE))</f>
        <v>130</v>
      </c>
      <c r="F4126" s="5">
        <f>(VLOOKUP(Table4[[#This Row],[item_sold]],Table1[],4,FALSE))*Table4[[#This Row],[qty]]</f>
        <v>120</v>
      </c>
      <c r="G4126">
        <f t="shared" si="483"/>
        <v>10</v>
      </c>
      <c r="H4126" t="s">
        <v>361</v>
      </c>
    </row>
    <row r="4127" spans="1:12" x14ac:dyDescent="0.25">
      <c r="A4127" s="1">
        <f t="shared" si="492"/>
        <v>45550</v>
      </c>
      <c r="B4127" s="31">
        <f>TIME(9,51,0)</f>
        <v>0.41041666666666665</v>
      </c>
      <c r="C4127" t="str">
        <f>'Inventory as of 12th Aug 2024'!A58</f>
        <v>Safari</v>
      </c>
      <c r="D4127">
        <v>2</v>
      </c>
      <c r="E4127" s="5">
        <f>Table4[[#This Row],[qty]]*(VLOOKUP(Table4[[#This Row],[item_sold]],Table1[],5,FALSE))</f>
        <v>30</v>
      </c>
      <c r="F4127" s="5">
        <f>(VLOOKUP(Table4[[#This Row],[item_sold]],Table1[],4,FALSE))*Table4[[#This Row],[qty]]</f>
        <v>17</v>
      </c>
      <c r="G4127">
        <f t="shared" si="483"/>
        <v>13</v>
      </c>
      <c r="H4127" t="s">
        <v>361</v>
      </c>
    </row>
    <row r="4128" spans="1:12" x14ac:dyDescent="0.25">
      <c r="A4128" s="1">
        <f t="shared" si="492"/>
        <v>45550</v>
      </c>
      <c r="B4128" s="31">
        <f>TIME(10,47,0)</f>
        <v>0.44930555555555557</v>
      </c>
      <c r="C4128" t="str">
        <f>'Inventory as of 12th Aug 2024'!A234</f>
        <v>Bigdaddy</v>
      </c>
      <c r="D4128">
        <v>1</v>
      </c>
      <c r="E4128" s="5">
        <f>Table4[[#This Row],[qty]]*(VLOOKUP(Table4[[#This Row],[item_sold]],Table1[],5,FALSE))</f>
        <v>10</v>
      </c>
      <c r="F4128" s="5">
        <f>(VLOOKUP(Table4[[#This Row],[item_sold]],Table1[],4,FALSE))*Table4[[#This Row],[qty]]</f>
        <v>6</v>
      </c>
      <c r="G4128">
        <f t="shared" si="483"/>
        <v>4</v>
      </c>
      <c r="H4128" t="s">
        <v>247</v>
      </c>
    </row>
    <row r="4129" spans="1:9" x14ac:dyDescent="0.25">
      <c r="A4129" s="1">
        <f t="shared" si="492"/>
        <v>45550</v>
      </c>
      <c r="B4129" s="31">
        <f>TIME(11,27,0)</f>
        <v>0.4770833333333333</v>
      </c>
      <c r="C4129" t="str">
        <f>'Inventory as of 12th Aug 2024'!A73</f>
        <v>Royco Chicken mchuzi mix</v>
      </c>
      <c r="D4129">
        <v>5</v>
      </c>
      <c r="E4129" s="5">
        <f>Table4[[#This Row],[qty]]*(VLOOKUP(Table4[[#This Row],[item_sold]],Table1[],5,FALSE))</f>
        <v>50</v>
      </c>
      <c r="F4129" s="5">
        <f>(VLOOKUP(Table4[[#This Row],[item_sold]],Table1[],4,FALSE))*Table4[[#This Row],[qty]]</f>
        <v>45</v>
      </c>
      <c r="G4129">
        <f t="shared" si="483"/>
        <v>5</v>
      </c>
      <c r="H4129" t="s">
        <v>247</v>
      </c>
    </row>
    <row r="4130" spans="1:9" x14ac:dyDescent="0.25">
      <c r="A4130" s="1">
        <f t="shared" si="492"/>
        <v>45550</v>
      </c>
      <c r="B4130" s="31">
        <f>TIME(13,32,0)</f>
        <v>0.56388888888888888</v>
      </c>
      <c r="C4130" t="str">
        <f>'Inventory as of 12th Aug 2024'!A8</f>
        <v>eggs</v>
      </c>
      <c r="D4130">
        <v>30</v>
      </c>
      <c r="E4130" s="5">
        <f>Table4[[#This Row],[qty]]*(VLOOKUP(Table4[[#This Row],[item_sold]],Table1[],5,FALSE))</f>
        <v>600</v>
      </c>
      <c r="F4130" s="5">
        <f>(VLOOKUP(Table4[[#This Row],[item_sold]],Table1[],4,FALSE))*Table4[[#This Row],[qty]]</f>
        <v>430</v>
      </c>
      <c r="G4130">
        <f t="shared" si="483"/>
        <v>170</v>
      </c>
      <c r="H4130" t="s">
        <v>361</v>
      </c>
    </row>
    <row r="4131" spans="1:9" x14ac:dyDescent="0.25">
      <c r="A4131" s="1">
        <f t="shared" si="492"/>
        <v>45550</v>
      </c>
      <c r="B4131" s="31">
        <f t="shared" ref="B4131:B4132" si="495">TIME(13,32,0)</f>
        <v>0.56388888888888888</v>
      </c>
      <c r="C4131" t="str">
        <f>'Inventory as of 12th Aug 2024'!A88</f>
        <v>Sunlight 400g</v>
      </c>
      <c r="D4131">
        <v>1</v>
      </c>
      <c r="E4131" s="5">
        <f>Table4[[#This Row],[qty]]*(VLOOKUP(Table4[[#This Row],[item_sold]],Table1[],5,FALSE))</f>
        <v>200</v>
      </c>
      <c r="F4131" s="5">
        <f>(VLOOKUP(Table4[[#This Row],[item_sold]],Table1[],4,FALSE))*Table4[[#This Row],[qty]]</f>
        <v>145</v>
      </c>
      <c r="G4131">
        <f t="shared" si="483"/>
        <v>55</v>
      </c>
      <c r="H4131" t="s">
        <v>361</v>
      </c>
    </row>
    <row r="4132" spans="1:9" x14ac:dyDescent="0.25">
      <c r="A4132" s="1">
        <f t="shared" si="492"/>
        <v>45550</v>
      </c>
      <c r="B4132" s="31">
        <f t="shared" si="495"/>
        <v>0.56388888888888888</v>
      </c>
      <c r="C4132" t="str">
        <f>'Inventory as of 12th Aug 2024'!A134</f>
        <v>Hanaan Tissue</v>
      </c>
      <c r="D4132">
        <v>2</v>
      </c>
      <c r="E4132" s="5">
        <f>Table4[[#This Row],[qty]]*(VLOOKUP(Table4[[#This Row],[item_sold]],Table1[],5,FALSE))</f>
        <v>110</v>
      </c>
      <c r="F4132" s="5">
        <f>(VLOOKUP(Table4[[#This Row],[item_sold]],Table1[],4,FALSE))*Table4[[#This Row],[qty]]</f>
        <v>86</v>
      </c>
      <c r="G4132">
        <f t="shared" si="483"/>
        <v>24</v>
      </c>
      <c r="H4132" t="s">
        <v>361</v>
      </c>
    </row>
    <row r="4133" spans="1:9" x14ac:dyDescent="0.25">
      <c r="A4133" s="1">
        <f t="shared" si="492"/>
        <v>45550</v>
      </c>
      <c r="B4133" s="31">
        <f>TIME(13,34,0)</f>
        <v>0.56527777777777777</v>
      </c>
      <c r="C4133" t="str">
        <f>'Inventory as of 12th Aug 2024'!A91</f>
        <v>Tomatoes</v>
      </c>
      <c r="D4133">
        <v>5</v>
      </c>
      <c r="E4133" s="5">
        <f>Table4[[#This Row],[qty]]*(VLOOKUP(Table4[[#This Row],[item_sold]],Table1[],5,FALSE))</f>
        <v>50</v>
      </c>
      <c r="F4133" s="5">
        <f>(VLOOKUP(Table4[[#This Row],[item_sold]],Table1[],4,FALSE))*Table4[[#This Row],[qty]]</f>
        <v>25</v>
      </c>
      <c r="G4133">
        <f t="shared" si="483"/>
        <v>25</v>
      </c>
      <c r="H4133" t="s">
        <v>361</v>
      </c>
    </row>
    <row r="4134" spans="1:9" x14ac:dyDescent="0.25">
      <c r="A4134" s="1">
        <f t="shared" si="492"/>
        <v>45550</v>
      </c>
      <c r="B4134" s="31">
        <f t="shared" ref="B4134" si="496">TIME(13,34,0)</f>
        <v>0.56527777777777777</v>
      </c>
      <c r="C4134" t="str">
        <f>'Inventory as of 12th Aug 2024'!A90</f>
        <v>Onion</v>
      </c>
      <c r="D4134">
        <v>5</v>
      </c>
      <c r="E4134" s="5">
        <f>Table4[[#This Row],[qty]]*(VLOOKUP(Table4[[#This Row],[item_sold]],Table1[],5,FALSE))</f>
        <v>50</v>
      </c>
      <c r="F4134" s="5">
        <f>(VLOOKUP(Table4[[#This Row],[item_sold]],Table1[],4,FALSE))*Table4[[#This Row],[qty]]</f>
        <v>40</v>
      </c>
      <c r="G4134">
        <f t="shared" si="483"/>
        <v>10</v>
      </c>
      <c r="H4134" t="s">
        <v>361</v>
      </c>
    </row>
    <row r="4135" spans="1:9" x14ac:dyDescent="0.25">
      <c r="A4135" s="1">
        <f t="shared" si="492"/>
        <v>45550</v>
      </c>
      <c r="B4135" s="31">
        <f>TIME(13,40,0)</f>
        <v>0.56944444444444442</v>
      </c>
      <c r="C4135" t="str">
        <f>'Inventory as of 12th Aug 2024'!A74</f>
        <v>Freshfry</v>
      </c>
      <c r="D4135">
        <v>1</v>
      </c>
      <c r="E4135" s="5">
        <f>Table4[[#This Row],[qty]]*(VLOOKUP(Table4[[#This Row],[item_sold]],Table1[],5,FALSE))</f>
        <v>350</v>
      </c>
      <c r="F4135" s="5">
        <f>(VLOOKUP(Table4[[#This Row],[item_sold]],Table1[],4,FALSE))*Table4[[#This Row],[qty]]</f>
        <v>290</v>
      </c>
      <c r="G4135">
        <f t="shared" si="483"/>
        <v>60</v>
      </c>
      <c r="H4135" t="s">
        <v>430</v>
      </c>
      <c r="I4135" t="s">
        <v>386</v>
      </c>
    </row>
    <row r="4136" spans="1:9" x14ac:dyDescent="0.25">
      <c r="A4136" s="1">
        <f t="shared" si="492"/>
        <v>45550</v>
      </c>
      <c r="B4136" s="31">
        <f>TIME(13,43,0)</f>
        <v>0.57152777777777775</v>
      </c>
      <c r="C4136" t="str">
        <f>'Inventory as of 12th Aug 2024'!A244</f>
        <v>5ltrs water</v>
      </c>
      <c r="D4136">
        <v>1</v>
      </c>
      <c r="E4136" s="5">
        <f>Table4[[#This Row],[qty]]*(VLOOKUP(Table4[[#This Row],[item_sold]],Table1[],5,FALSE))</f>
        <v>120</v>
      </c>
      <c r="F4136" s="5">
        <f>(VLOOKUP(Table4[[#This Row],[item_sold]],Table1[],4,FALSE))*Table4[[#This Row],[qty]]</f>
        <v>75</v>
      </c>
      <c r="G4136">
        <f t="shared" si="483"/>
        <v>45</v>
      </c>
      <c r="H4136" t="s">
        <v>430</v>
      </c>
    </row>
    <row r="4137" spans="1:9" x14ac:dyDescent="0.25">
      <c r="A4137" s="1">
        <f t="shared" si="492"/>
        <v>45550</v>
      </c>
      <c r="B4137" s="31">
        <f>TIME(13,48,0)</f>
        <v>0.57500000000000007</v>
      </c>
      <c r="C4137" t="str">
        <f>'Inventory as of 12th Aug 2024'!A91</f>
        <v>Tomatoes</v>
      </c>
      <c r="D4137">
        <v>1</v>
      </c>
      <c r="E4137" s="5">
        <f>Table4[[#This Row],[qty]]*(VLOOKUP(Table4[[#This Row],[item_sold]],Table1[],5,FALSE))</f>
        <v>10</v>
      </c>
      <c r="F4137" s="5">
        <f>(VLOOKUP(Table4[[#This Row],[item_sold]],Table1[],4,FALSE))*Table4[[#This Row],[qty]]</f>
        <v>5</v>
      </c>
      <c r="G4137">
        <f t="shared" si="483"/>
        <v>5</v>
      </c>
      <c r="H4137" t="s">
        <v>430</v>
      </c>
      <c r="I4137" t="s">
        <v>459</v>
      </c>
    </row>
    <row r="4138" spans="1:9" x14ac:dyDescent="0.25">
      <c r="A4138" s="1">
        <f t="shared" si="492"/>
        <v>45550</v>
      </c>
      <c r="B4138" s="31">
        <f>TIME(13,48,0)</f>
        <v>0.57500000000000007</v>
      </c>
      <c r="C4138" t="str">
        <f>'Inventory as of 12th Aug 2024'!A68</f>
        <v>Royco cubes</v>
      </c>
      <c r="D4138">
        <v>2</v>
      </c>
      <c r="E4138" s="5">
        <f>Table4[[#This Row],[qty]]*(VLOOKUP(Table4[[#This Row],[item_sold]],Table1[],5,FALSE))</f>
        <v>10</v>
      </c>
      <c r="F4138" s="5">
        <f>(VLOOKUP(Table4[[#This Row],[item_sold]],Table1[],4,FALSE))*Table4[[#This Row],[qty]]</f>
        <v>6</v>
      </c>
      <c r="G4138">
        <f t="shared" si="483"/>
        <v>4</v>
      </c>
      <c r="H4138" t="s">
        <v>361</v>
      </c>
    </row>
    <row r="4139" spans="1:9" x14ac:dyDescent="0.25">
      <c r="A4139" s="1">
        <f t="shared" si="492"/>
        <v>45550</v>
      </c>
      <c r="B4139" s="31">
        <f t="shared" ref="B4139:B4141" si="497">TIME(13,48,0)</f>
        <v>0.57500000000000007</v>
      </c>
      <c r="C4139" t="str">
        <f>'Inventory as of 12th Aug 2024'!A8</f>
        <v>eggs</v>
      </c>
      <c r="D4139">
        <v>8</v>
      </c>
      <c r="E4139" s="5">
        <f>Table4[[#This Row],[qty]]*(VLOOKUP(Table4[[#This Row],[item_sold]],Table1[],5,FALSE))</f>
        <v>160</v>
      </c>
      <c r="F4139" s="5">
        <f>(VLOOKUP(Table4[[#This Row],[item_sold]],Table1[],4,FALSE))*Table4[[#This Row],[qty]]</f>
        <v>114.66666666666667</v>
      </c>
      <c r="G4139">
        <f t="shared" si="483"/>
        <v>45.333333333333329</v>
      </c>
      <c r="H4139" t="s">
        <v>361</v>
      </c>
    </row>
    <row r="4140" spans="1:9" x14ac:dyDescent="0.25">
      <c r="A4140" s="1">
        <f t="shared" si="492"/>
        <v>45550</v>
      </c>
      <c r="B4140" s="31">
        <f t="shared" si="497"/>
        <v>0.57500000000000007</v>
      </c>
      <c r="C4140" t="str">
        <f>'Inventory as of 12th Aug 2024'!A139</f>
        <v>Sunny girl pad</v>
      </c>
      <c r="D4140">
        <v>1</v>
      </c>
      <c r="E4140" s="5">
        <f>Table4[[#This Row],[qty]]*(VLOOKUP(Table4[[#This Row],[item_sold]],Table1[],5,FALSE))</f>
        <v>70</v>
      </c>
      <c r="F4140" s="5">
        <f>(VLOOKUP(Table4[[#This Row],[item_sold]],Table1[],4,FALSE))*Table4[[#This Row],[qty]]</f>
        <v>56.666666666666664</v>
      </c>
      <c r="G4140">
        <f t="shared" si="483"/>
        <v>13.333333333333336</v>
      </c>
      <c r="H4140" t="s">
        <v>361</v>
      </c>
    </row>
    <row r="4141" spans="1:9" x14ac:dyDescent="0.25">
      <c r="A4141" s="1">
        <f t="shared" si="492"/>
        <v>45550</v>
      </c>
      <c r="B4141" s="31">
        <f t="shared" si="497"/>
        <v>0.57500000000000007</v>
      </c>
      <c r="C4141" t="str">
        <f>'Inventory as of 12th Aug 2024'!A192</f>
        <v>Lemon Bisquit</v>
      </c>
      <c r="D4141">
        <v>1</v>
      </c>
      <c r="E4141" s="5">
        <f>Table4[[#This Row],[qty]]*(VLOOKUP(Table4[[#This Row],[item_sold]],Table1[],5,FALSE))</f>
        <v>5</v>
      </c>
      <c r="F4141" s="5">
        <f>(VLOOKUP(Table4[[#This Row],[item_sold]],Table1[],4,FALSE))*Table4[[#This Row],[qty]]</f>
        <v>4.333333333333333</v>
      </c>
      <c r="G4141">
        <f t="shared" si="483"/>
        <v>0.66666666666666696</v>
      </c>
      <c r="H4141" t="s">
        <v>361</v>
      </c>
    </row>
    <row r="4142" spans="1:9" x14ac:dyDescent="0.25">
      <c r="A4142" s="1">
        <f t="shared" si="492"/>
        <v>45550</v>
      </c>
      <c r="B4142" s="31">
        <f>TIME(14,7,0)</f>
        <v>0.58819444444444446</v>
      </c>
      <c r="C4142" t="str">
        <f>'Inventory as of 12th Aug 2024'!A91</f>
        <v>Tomatoes</v>
      </c>
      <c r="D4142">
        <v>8</v>
      </c>
      <c r="E4142" s="5">
        <f>Table4[[#This Row],[qty]]*(VLOOKUP(Table4[[#This Row],[item_sold]],Table1[],5,FALSE))</f>
        <v>80</v>
      </c>
      <c r="F4142" s="5">
        <f>(VLOOKUP(Table4[[#This Row],[item_sold]],Table1[],4,FALSE))*Table4[[#This Row],[qty]]</f>
        <v>40</v>
      </c>
      <c r="G4142">
        <f t="shared" si="483"/>
        <v>40</v>
      </c>
      <c r="H4142" t="s">
        <v>430</v>
      </c>
      <c r="I4142" t="s">
        <v>386</v>
      </c>
    </row>
    <row r="4143" spans="1:9" x14ac:dyDescent="0.25">
      <c r="A4143" s="1">
        <f t="shared" si="492"/>
        <v>45550</v>
      </c>
      <c r="B4143" s="31">
        <f t="shared" ref="B4143" si="498">TIME(14,7,0)</f>
        <v>0.58819444444444446</v>
      </c>
      <c r="C4143" t="str">
        <f>'Inventory as of 12th Aug 2024'!A193</f>
        <v>Ginger Bisquit</v>
      </c>
      <c r="D4143">
        <v>3</v>
      </c>
      <c r="E4143" s="5">
        <f>Table4[[#This Row],[qty]]*(VLOOKUP(Table4[[#This Row],[item_sold]],Table1[],5,FALSE))</f>
        <v>15</v>
      </c>
      <c r="F4143" s="5">
        <f>(VLOOKUP(Table4[[#This Row],[item_sold]],Table1[],4,FALSE))*Table4[[#This Row],[qty]]</f>
        <v>13</v>
      </c>
      <c r="G4143">
        <f t="shared" si="483"/>
        <v>2</v>
      </c>
      <c r="H4143" t="s">
        <v>430</v>
      </c>
    </row>
    <row r="4144" spans="1:9" x14ac:dyDescent="0.25">
      <c r="A4144" s="1">
        <f t="shared" si="492"/>
        <v>45550</v>
      </c>
      <c r="B4144" s="31">
        <f>TIME(14,17,0)</f>
        <v>0.59513888888888888</v>
      </c>
      <c r="C4144" t="str">
        <f>'Inventory as of 12th Aug 2024'!A245</f>
        <v>1.5ltrs water</v>
      </c>
      <c r="D4144">
        <v>2</v>
      </c>
      <c r="E4144" s="5">
        <f>Table4[[#This Row],[qty]]*(VLOOKUP(Table4[[#This Row],[item_sold]],Table1[],5,FALSE))</f>
        <v>140</v>
      </c>
      <c r="F4144" s="5">
        <f>(VLOOKUP(Table4[[#This Row],[item_sold]],Table1[],4,FALSE))*Table4[[#This Row],[qty]]</f>
        <v>50</v>
      </c>
      <c r="G4144">
        <f t="shared" ref="G4144:G4201" si="499">E4144-F4144</f>
        <v>90</v>
      </c>
      <c r="H4144" t="s">
        <v>247</v>
      </c>
    </row>
    <row r="4145" spans="1:9" x14ac:dyDescent="0.25">
      <c r="A4145" s="1">
        <f t="shared" si="492"/>
        <v>45550</v>
      </c>
      <c r="B4145" s="31">
        <f t="shared" ref="B4145:B4146" si="500">TIME(14,17,0)</f>
        <v>0.59513888888888888</v>
      </c>
      <c r="C4145" t="str">
        <f>'Inventory as of 12th Aug 2024'!A65</f>
        <v>Tomato sauce</v>
      </c>
      <c r="D4145">
        <v>1</v>
      </c>
      <c r="E4145" s="5">
        <f>Table4[[#This Row],[qty]]*(VLOOKUP(Table4[[#This Row],[item_sold]],Table1[],5,FALSE))</f>
        <v>70</v>
      </c>
      <c r="F4145" s="5">
        <f>(VLOOKUP(Table4[[#This Row],[item_sold]],Table1[],4,FALSE))*Table4[[#This Row],[qty]]</f>
        <v>50</v>
      </c>
      <c r="G4145">
        <f t="shared" si="499"/>
        <v>20</v>
      </c>
      <c r="H4145" t="s">
        <v>247</v>
      </c>
    </row>
    <row r="4146" spans="1:9" x14ac:dyDescent="0.25">
      <c r="A4146" s="1">
        <f t="shared" si="492"/>
        <v>45550</v>
      </c>
      <c r="B4146" s="31">
        <f t="shared" si="500"/>
        <v>0.59513888888888888</v>
      </c>
      <c r="C4146" t="str">
        <f>'Inventory as of 12th Aug 2024'!A242</f>
        <v>Icepop</v>
      </c>
      <c r="D4146">
        <v>1</v>
      </c>
      <c r="E4146" s="5">
        <f>Table4[[#This Row],[qty]]*(VLOOKUP(Table4[[#This Row],[item_sold]],Table1[],5,FALSE))</f>
        <v>15</v>
      </c>
      <c r="F4146" s="5">
        <f>(VLOOKUP(Table4[[#This Row],[item_sold]],Table1[],4,FALSE))*Table4[[#This Row],[qty]]</f>
        <v>7.5</v>
      </c>
      <c r="G4146">
        <f t="shared" si="499"/>
        <v>7.5</v>
      </c>
      <c r="H4146" t="s">
        <v>247</v>
      </c>
    </row>
    <row r="4147" spans="1:9" x14ac:dyDescent="0.25">
      <c r="A4147" s="1">
        <f t="shared" si="492"/>
        <v>45550</v>
      </c>
      <c r="B4147" s="31">
        <f>TIME(14,55,0)</f>
        <v>0.62152777777777779</v>
      </c>
      <c r="C4147" t="str">
        <f>'Inventory as of 12th Aug 2024'!A90</f>
        <v>Onion</v>
      </c>
      <c r="D4147">
        <v>8</v>
      </c>
      <c r="E4147" s="5">
        <f>Table4[[#This Row],[qty]]*(VLOOKUP(Table4[[#This Row],[item_sold]],Table1[],5,FALSE))</f>
        <v>80</v>
      </c>
      <c r="F4147" s="5">
        <f>(VLOOKUP(Table4[[#This Row],[item_sold]],Table1[],4,FALSE))*Table4[[#This Row],[qty]]</f>
        <v>64</v>
      </c>
      <c r="G4147">
        <f t="shared" si="499"/>
        <v>16</v>
      </c>
      <c r="H4147" t="s">
        <v>430</v>
      </c>
      <c r="I4147" t="s">
        <v>386</v>
      </c>
    </row>
    <row r="4148" spans="1:9" x14ac:dyDescent="0.25">
      <c r="A4148" s="1">
        <f t="shared" si="492"/>
        <v>45550</v>
      </c>
      <c r="B4148" s="31">
        <f t="shared" ref="B4148" si="501">TIME(14,55,0)</f>
        <v>0.62152777777777779</v>
      </c>
      <c r="C4148" t="str">
        <f>'Inventory as of 12th Aug 2024'!A121</f>
        <v>Panadol Extra</v>
      </c>
      <c r="D4148">
        <v>1</v>
      </c>
      <c r="E4148" s="5">
        <f>Table4[[#This Row],[qty]]*(VLOOKUP(Table4[[#This Row],[item_sold]],Table1[],5,FALSE))</f>
        <v>20</v>
      </c>
      <c r="F4148" s="5">
        <f>(VLOOKUP(Table4[[#This Row],[item_sold]],Table1[],4,FALSE))*Table4[[#This Row],[qty]]</f>
        <v>13</v>
      </c>
      <c r="G4148">
        <f t="shared" si="499"/>
        <v>7</v>
      </c>
      <c r="H4148" t="s">
        <v>430</v>
      </c>
    </row>
    <row r="4149" spans="1:9" x14ac:dyDescent="0.25">
      <c r="A4149" s="1">
        <f t="shared" si="492"/>
        <v>45550</v>
      </c>
      <c r="B4149" s="31">
        <f>TIME(15,15,0)</f>
        <v>0.63541666666666663</v>
      </c>
      <c r="C4149" t="str">
        <f>'Inventory as of 12th Aug 2024'!A240</f>
        <v>Bigboss</v>
      </c>
      <c r="D4149">
        <v>3</v>
      </c>
      <c r="E4149" s="5">
        <f>Table4[[#This Row],[qty]]*(VLOOKUP(Table4[[#This Row],[item_sold]],Table1[],5,FALSE))</f>
        <v>15</v>
      </c>
      <c r="F4149" s="5">
        <f>(VLOOKUP(Table4[[#This Row],[item_sold]],Table1[],4,FALSE))*Table4[[#This Row],[qty]]</f>
        <v>10.5</v>
      </c>
      <c r="G4149">
        <f t="shared" si="499"/>
        <v>4.5</v>
      </c>
      <c r="H4149" t="s">
        <v>430</v>
      </c>
      <c r="I4149" t="s">
        <v>460</v>
      </c>
    </row>
    <row r="4150" spans="1:9" x14ac:dyDescent="0.25">
      <c r="A4150" s="1">
        <f t="shared" si="492"/>
        <v>45550</v>
      </c>
      <c r="B4150" s="31">
        <f t="shared" ref="B4150" si="502">TIME(15,15,0)</f>
        <v>0.63541666666666663</v>
      </c>
      <c r="C4150" t="str">
        <f>'Inventory as of 12th Aug 2024'!A233</f>
        <v>Lollipop</v>
      </c>
      <c r="D4150">
        <v>1</v>
      </c>
      <c r="E4150" s="5">
        <f>Table4[[#This Row],[qty]]*(VLOOKUP(Table4[[#This Row],[item_sold]],Table1[],5,FALSE))</f>
        <v>5</v>
      </c>
      <c r="F4150" s="5">
        <f>(VLOOKUP(Table4[[#This Row],[item_sold]],Table1[],4,FALSE))*Table4[[#This Row],[qty]]</f>
        <v>2.4</v>
      </c>
      <c r="G4150">
        <f t="shared" si="499"/>
        <v>2.6</v>
      </c>
      <c r="H4150" t="s">
        <v>430</v>
      </c>
    </row>
    <row r="4151" spans="1:9" x14ac:dyDescent="0.25">
      <c r="A4151" s="1">
        <f t="shared" si="492"/>
        <v>45550</v>
      </c>
      <c r="B4151" s="31">
        <f>TIME(15,42,0)</f>
        <v>0.65416666666666667</v>
      </c>
      <c r="C4151" t="str">
        <f>'Inventory as of 12th Aug 2024'!A58</f>
        <v>Safari</v>
      </c>
      <c r="D4151">
        <v>1</v>
      </c>
      <c r="E4151" s="5">
        <f>Table4[[#This Row],[qty]]*(VLOOKUP(Table4[[#This Row],[item_sold]],Table1[],5,FALSE))</f>
        <v>15</v>
      </c>
      <c r="F4151" s="5">
        <f>(VLOOKUP(Table4[[#This Row],[item_sold]],Table1[],4,FALSE))*Table4[[#This Row],[qty]]</f>
        <v>8.5</v>
      </c>
      <c r="G4151">
        <f t="shared" si="499"/>
        <v>6.5</v>
      </c>
      <c r="H4151" t="s">
        <v>361</v>
      </c>
    </row>
    <row r="4152" spans="1:9" x14ac:dyDescent="0.25">
      <c r="A4152" s="1">
        <f t="shared" si="492"/>
        <v>45550</v>
      </c>
      <c r="B4152" s="31">
        <f>TIME(15,52,0)</f>
        <v>0.66111111111111109</v>
      </c>
      <c r="C4152" t="str">
        <f>'Inventory as of 12th Aug 2024'!A244</f>
        <v>5ltrs water</v>
      </c>
      <c r="D4152">
        <v>1</v>
      </c>
      <c r="E4152" s="5">
        <f>Table4[[#This Row],[qty]]*(VLOOKUP(Table4[[#This Row],[item_sold]],Table1[],5,FALSE))</f>
        <v>120</v>
      </c>
      <c r="F4152" s="5">
        <f>(VLOOKUP(Table4[[#This Row],[item_sold]],Table1[],4,FALSE))*Table4[[#This Row],[qty]]</f>
        <v>75</v>
      </c>
      <c r="G4152">
        <f t="shared" si="499"/>
        <v>45</v>
      </c>
      <c r="H4152" t="s">
        <v>430</v>
      </c>
      <c r="I4152" t="s">
        <v>386</v>
      </c>
    </row>
    <row r="4153" spans="1:9" x14ac:dyDescent="0.25">
      <c r="A4153" s="1">
        <f t="shared" si="492"/>
        <v>45550</v>
      </c>
      <c r="B4153" s="31">
        <f>TIME(16,11,0)</f>
        <v>0.6743055555555556</v>
      </c>
      <c r="C4153" t="str">
        <f>'Inventory as of 12th Aug 2024'!A109</f>
        <v>Lighter</v>
      </c>
      <c r="D4153">
        <v>1</v>
      </c>
      <c r="E4153" s="5">
        <f>Table4[[#This Row],[qty]]*(VLOOKUP(Table4[[#This Row],[item_sold]],Table1[],5,FALSE))</f>
        <v>30</v>
      </c>
      <c r="F4153" s="5">
        <f>(VLOOKUP(Table4[[#This Row],[item_sold]],Table1[],4,FALSE))*Table4[[#This Row],[qty]]</f>
        <v>15</v>
      </c>
      <c r="G4153">
        <f t="shared" si="499"/>
        <v>15</v>
      </c>
      <c r="H4153" t="s">
        <v>247</v>
      </c>
    </row>
    <row r="4154" spans="1:9" x14ac:dyDescent="0.25">
      <c r="A4154" s="1">
        <f t="shared" si="492"/>
        <v>45550</v>
      </c>
      <c r="B4154" s="31">
        <f t="shared" ref="B4154" si="503">TIME(16,11,0)</f>
        <v>0.6743055555555556</v>
      </c>
      <c r="C4154" t="str">
        <f>'Inventory as of 12th Aug 2024'!A234</f>
        <v>Bigdaddy</v>
      </c>
      <c r="D4154">
        <v>3</v>
      </c>
      <c r="E4154" s="5">
        <f>Table4[[#This Row],[qty]]*(VLOOKUP(Table4[[#This Row],[item_sold]],Table1[],5,FALSE))</f>
        <v>30</v>
      </c>
      <c r="F4154" s="5">
        <f>(VLOOKUP(Table4[[#This Row],[item_sold]],Table1[],4,FALSE))*Table4[[#This Row],[qty]]</f>
        <v>18</v>
      </c>
      <c r="G4154">
        <f t="shared" si="499"/>
        <v>12</v>
      </c>
      <c r="H4154" t="s">
        <v>247</v>
      </c>
    </row>
    <row r="4155" spans="1:9" x14ac:dyDescent="0.25">
      <c r="A4155" s="1">
        <f t="shared" si="492"/>
        <v>45550</v>
      </c>
      <c r="B4155" s="31">
        <f>TIME(16,17,0)</f>
        <v>0.67847222222222225</v>
      </c>
      <c r="C4155" t="str">
        <f>'Inventory as of 12th Aug 2024'!A231</f>
        <v>Patco</v>
      </c>
      <c r="D4155">
        <v>2</v>
      </c>
      <c r="E4155" s="5">
        <f>Table4[[#This Row],[qty]]*(VLOOKUP(Table4[[#This Row],[item_sold]],Table1[],5,FALSE))</f>
        <v>5</v>
      </c>
      <c r="F4155" s="5">
        <f>(VLOOKUP(Table4[[#This Row],[item_sold]],Table1[],4,FALSE))*Table4[[#This Row],[qty]]</f>
        <v>2.4</v>
      </c>
      <c r="G4155">
        <f t="shared" si="499"/>
        <v>2.6</v>
      </c>
      <c r="H4155" t="s">
        <v>247</v>
      </c>
    </row>
    <row r="4156" spans="1:9" x14ac:dyDescent="0.25">
      <c r="A4156" s="1">
        <f t="shared" si="492"/>
        <v>45550</v>
      </c>
      <c r="B4156" s="31">
        <f t="shared" ref="B4156:B4161" si="504">TIME(16,17,0)</f>
        <v>0.67847222222222225</v>
      </c>
      <c r="C4156" t="str">
        <f>'Inventory as of 12th Aug 2024'!A232</f>
        <v>coo</v>
      </c>
      <c r="D4156">
        <v>2</v>
      </c>
      <c r="E4156" s="5">
        <f>Table4[[#This Row],[qty]]*(VLOOKUP(Table4[[#This Row],[item_sold]],Table1[],5,FALSE))</f>
        <v>5</v>
      </c>
      <c r="F4156" s="5">
        <f>(VLOOKUP(Table4[[#This Row],[item_sold]],Table1[],4,FALSE))*Table4[[#This Row],[qty]]</f>
        <v>2.4</v>
      </c>
      <c r="G4156">
        <f t="shared" si="499"/>
        <v>2.6</v>
      </c>
      <c r="H4156" t="s">
        <v>247</v>
      </c>
    </row>
    <row r="4157" spans="1:9" x14ac:dyDescent="0.25">
      <c r="A4157" s="1">
        <f t="shared" si="492"/>
        <v>45550</v>
      </c>
      <c r="B4157" s="31">
        <f t="shared" si="504"/>
        <v>0.67847222222222225</v>
      </c>
      <c r="C4157" t="str">
        <f>'Inventory as of 12th Aug 2024'!A236</f>
        <v>Gomba</v>
      </c>
      <c r="D4157">
        <v>2</v>
      </c>
      <c r="E4157" s="5">
        <f>Table4[[#This Row],[qty]]*(VLOOKUP(Table4[[#This Row],[item_sold]],Table1[],5,FALSE))</f>
        <v>5</v>
      </c>
      <c r="F4157" s="5">
        <f>(VLOOKUP(Table4[[#This Row],[item_sold]],Table1[],4,FALSE))*Table4[[#This Row],[qty]]</f>
        <v>3.6</v>
      </c>
      <c r="G4157">
        <f t="shared" si="499"/>
        <v>1.4</v>
      </c>
      <c r="H4157" t="s">
        <v>247</v>
      </c>
    </row>
    <row r="4158" spans="1:9" x14ac:dyDescent="0.25">
      <c r="A4158" s="1">
        <f t="shared" si="492"/>
        <v>45550</v>
      </c>
      <c r="B4158" s="31">
        <f t="shared" si="504"/>
        <v>0.67847222222222225</v>
      </c>
      <c r="C4158" t="str">
        <f>'Inventory as of 12th Aug 2024'!A230</f>
        <v>Fresh Blue</v>
      </c>
      <c r="D4158">
        <v>1</v>
      </c>
      <c r="E4158" s="5">
        <f>Table4[[#This Row],[qty]]*(VLOOKUP(Table4[[#This Row],[item_sold]],Table1[],5,FALSE))</f>
        <v>10</v>
      </c>
      <c r="F4158" s="5">
        <f>(VLOOKUP(Table4[[#This Row],[item_sold]],Table1[],4,FALSE))*Table4[[#This Row],[qty]]</f>
        <v>5</v>
      </c>
      <c r="G4158">
        <f t="shared" si="499"/>
        <v>5</v>
      </c>
      <c r="H4158" t="s">
        <v>247</v>
      </c>
    </row>
    <row r="4159" spans="1:9" x14ac:dyDescent="0.25">
      <c r="A4159" s="1">
        <f t="shared" si="492"/>
        <v>45550</v>
      </c>
      <c r="B4159" s="31">
        <f t="shared" si="504"/>
        <v>0.67847222222222225</v>
      </c>
      <c r="C4159" t="str">
        <f>'Inventory as of 12th Aug 2024'!A229</f>
        <v>Fresh green</v>
      </c>
      <c r="D4159">
        <v>1</v>
      </c>
      <c r="E4159" s="5">
        <f>Table4[[#This Row],[qty]]*(VLOOKUP(Table4[[#This Row],[item_sold]],Table1[],5,FALSE))</f>
        <v>10</v>
      </c>
      <c r="F4159" s="5">
        <f>(VLOOKUP(Table4[[#This Row],[item_sold]],Table1[],4,FALSE))*Table4[[#This Row],[qty]]</f>
        <v>5</v>
      </c>
      <c r="G4159">
        <f t="shared" si="499"/>
        <v>5</v>
      </c>
      <c r="H4159" t="s">
        <v>247</v>
      </c>
    </row>
    <row r="4160" spans="1:9" x14ac:dyDescent="0.25">
      <c r="A4160" s="1">
        <f t="shared" si="492"/>
        <v>45550</v>
      </c>
      <c r="B4160" s="31">
        <f t="shared" si="504"/>
        <v>0.67847222222222225</v>
      </c>
      <c r="C4160" t="str">
        <f>'Inventory as of 12th Aug 2024'!A234</f>
        <v>Bigdaddy</v>
      </c>
      <c r="D4160">
        <v>1</v>
      </c>
      <c r="E4160" s="5">
        <f>Table4[[#This Row],[qty]]*(VLOOKUP(Table4[[#This Row],[item_sold]],Table1[],5,FALSE))</f>
        <v>10</v>
      </c>
      <c r="F4160" s="5">
        <f>(VLOOKUP(Table4[[#This Row],[item_sold]],Table1[],4,FALSE))*Table4[[#This Row],[qty]]</f>
        <v>6</v>
      </c>
      <c r="G4160">
        <f t="shared" si="499"/>
        <v>4</v>
      </c>
      <c r="H4160" t="s">
        <v>247</v>
      </c>
    </row>
    <row r="4161" spans="1:12" x14ac:dyDescent="0.25">
      <c r="A4161" s="1">
        <f t="shared" si="492"/>
        <v>45550</v>
      </c>
      <c r="B4161" s="31">
        <f t="shared" si="504"/>
        <v>0.67847222222222225</v>
      </c>
      <c r="C4161" t="str">
        <f>'Inventory as of 12th Aug 2024'!A239</f>
        <v>Gumballs</v>
      </c>
      <c r="D4161">
        <v>5</v>
      </c>
      <c r="E4161" s="5">
        <f>Table4[[#This Row],[qty]]*(VLOOKUP(Table4[[#This Row],[item_sold]],Table1[],5,FALSE))</f>
        <v>5</v>
      </c>
      <c r="F4161" s="5">
        <f>(VLOOKUP(Table4[[#This Row],[item_sold]],Table1[],4,FALSE))*Table4[[#This Row],[qty]]</f>
        <v>3.5</v>
      </c>
      <c r="G4161">
        <f t="shared" si="499"/>
        <v>1.5</v>
      </c>
      <c r="H4161" t="s">
        <v>247</v>
      </c>
    </row>
    <row r="4162" spans="1:12" x14ac:dyDescent="0.25">
      <c r="A4162" s="1">
        <f t="shared" si="492"/>
        <v>45550</v>
      </c>
      <c r="B4162" s="31">
        <f>TIME(16,18,0)</f>
        <v>0.6791666666666667</v>
      </c>
      <c r="C4162" t="str">
        <f>'Inventory as of 12th Aug 2024'!A207</f>
        <v>soda 350ml plastic</v>
      </c>
      <c r="D4162">
        <v>2</v>
      </c>
      <c r="E4162" s="5">
        <f>Table4[[#This Row],[qty]]*(VLOOKUP(Table4[[#This Row],[item_sold]],Table1[],5,FALSE))</f>
        <v>100</v>
      </c>
      <c r="F4162" s="5">
        <f>(VLOOKUP(Table4[[#This Row],[item_sold]],Table1[],4,FALSE))*Table4[[#This Row],[qty]]</f>
        <v>83.333333333333329</v>
      </c>
      <c r="G4162">
        <f t="shared" si="499"/>
        <v>16.666666666666671</v>
      </c>
      <c r="H4162" t="s">
        <v>430</v>
      </c>
      <c r="I4162" t="s">
        <v>456</v>
      </c>
    </row>
    <row r="4163" spans="1:12" x14ac:dyDescent="0.25">
      <c r="A4163" s="1">
        <f t="shared" si="492"/>
        <v>45550</v>
      </c>
      <c r="B4163" s="31">
        <f>TIME(17,21,0)</f>
        <v>0.72291666666666676</v>
      </c>
      <c r="C4163" t="str">
        <f>'Inventory as of 12th Aug 2024'!A242</f>
        <v>Icepop</v>
      </c>
      <c r="D4163">
        <v>2</v>
      </c>
      <c r="E4163" s="5">
        <f>Table4[[#This Row],[qty]]*(VLOOKUP(Table4[[#This Row],[item_sold]],Table1[],5,FALSE))</f>
        <v>30</v>
      </c>
      <c r="F4163" s="5">
        <f>(VLOOKUP(Table4[[#This Row],[item_sold]],Table1[],4,FALSE))*Table4[[#This Row],[qty]]</f>
        <v>15</v>
      </c>
      <c r="G4163">
        <f t="shared" si="499"/>
        <v>15</v>
      </c>
      <c r="H4163" t="s">
        <v>247</v>
      </c>
    </row>
    <row r="4164" spans="1:12" x14ac:dyDescent="0.25">
      <c r="A4164" s="1">
        <f t="shared" si="492"/>
        <v>45550</v>
      </c>
      <c r="B4164" s="31">
        <f t="shared" ref="B4164:B4166" si="505">TIME(17,21,0)</f>
        <v>0.72291666666666676</v>
      </c>
      <c r="C4164" t="str">
        <f>'Inventory as of 12th Aug 2024'!A120</f>
        <v>Maramoja</v>
      </c>
      <c r="D4164">
        <v>1</v>
      </c>
      <c r="E4164" s="5">
        <f>Table4[[#This Row],[qty]]*(VLOOKUP(Table4[[#This Row],[item_sold]],Table1[],5,FALSE))</f>
        <v>10</v>
      </c>
      <c r="F4164" s="5">
        <f>(VLOOKUP(Table4[[#This Row],[item_sold]],Table1[],4,FALSE))*Table4[[#This Row],[qty]]</f>
        <v>7</v>
      </c>
      <c r="G4164">
        <f t="shared" si="499"/>
        <v>3</v>
      </c>
      <c r="H4164" t="s">
        <v>247</v>
      </c>
    </row>
    <row r="4165" spans="1:12" x14ac:dyDescent="0.25">
      <c r="A4165" s="1">
        <f t="shared" si="492"/>
        <v>45550</v>
      </c>
      <c r="B4165" s="31">
        <f t="shared" si="505"/>
        <v>0.72291666666666676</v>
      </c>
      <c r="C4165" t="str">
        <f>'Inventory as of 12th Aug 2024'!A4</f>
        <v>Safaricom 50 Credit</v>
      </c>
      <c r="D4165">
        <v>2</v>
      </c>
      <c r="E4165" s="5">
        <f>Table4[[#This Row],[qty]]*(VLOOKUP(Table4[[#This Row],[item_sold]],Table1[],5,FALSE))</f>
        <v>100</v>
      </c>
      <c r="F4165" s="5">
        <f>(VLOOKUP(Table4[[#This Row],[item_sold]],Table1[],4,FALSE))*Table4[[#This Row],[qty]]</f>
        <v>94</v>
      </c>
      <c r="G4165">
        <f t="shared" si="499"/>
        <v>6</v>
      </c>
      <c r="H4165" t="s">
        <v>247</v>
      </c>
    </row>
    <row r="4166" spans="1:12" x14ac:dyDescent="0.25">
      <c r="A4166" s="1">
        <f t="shared" si="492"/>
        <v>45550</v>
      </c>
      <c r="B4166" s="31">
        <f t="shared" si="505"/>
        <v>0.72291666666666676</v>
      </c>
      <c r="C4166" t="str">
        <f>'Inventory as of 12th Aug 2024'!A247</f>
        <v>nylon papers</v>
      </c>
      <c r="D4166">
        <v>1</v>
      </c>
      <c r="E4166" s="5">
        <f>Table4[[#This Row],[qty]]*(VLOOKUP(Table4[[#This Row],[item_sold]],Table1[],5,FALSE))</f>
        <v>100</v>
      </c>
      <c r="F4166" s="5">
        <f>(VLOOKUP(Table4[[#This Row],[item_sold]],Table1[],4,FALSE))*Table4[[#This Row],[qty]]</f>
        <v>70</v>
      </c>
      <c r="G4166">
        <f t="shared" si="499"/>
        <v>30</v>
      </c>
      <c r="H4166" t="s">
        <v>430</v>
      </c>
      <c r="I4166" t="s">
        <v>459</v>
      </c>
    </row>
    <row r="4167" spans="1:12" x14ac:dyDescent="0.25">
      <c r="A4167" s="1">
        <f t="shared" si="492"/>
        <v>45550</v>
      </c>
      <c r="B4167" s="31">
        <f>TIME(17,51,0)</f>
        <v>0.74375000000000002</v>
      </c>
      <c r="C4167" t="str">
        <f>'Inventory as of 12th Aug 2024'!A33</f>
        <v>BB Bread 400g</v>
      </c>
      <c r="D4167">
        <v>1</v>
      </c>
      <c r="E4167" s="5">
        <f>Table4[[#This Row],[qty]]*(VLOOKUP(Table4[[#This Row],[item_sold]],Table1[],5,FALSE))</f>
        <v>65</v>
      </c>
      <c r="F4167" s="5">
        <f>(VLOOKUP(Table4[[#This Row],[item_sold]],Table1[],4,FALSE))*Table4[[#This Row],[qty]]</f>
        <v>60</v>
      </c>
      <c r="G4167">
        <f t="shared" si="499"/>
        <v>5</v>
      </c>
      <c r="H4167" t="s">
        <v>361</v>
      </c>
    </row>
    <row r="4168" spans="1:12" x14ac:dyDescent="0.25">
      <c r="A4168" s="1">
        <f t="shared" si="492"/>
        <v>45550</v>
      </c>
      <c r="B4168" s="31">
        <f t="shared" ref="B4168" si="506">TIME(17,51,0)</f>
        <v>0.74375000000000002</v>
      </c>
      <c r="C4168" t="str">
        <f>'Inventory as of 12th Aug 2024'!A91</f>
        <v>Tomatoes</v>
      </c>
      <c r="D4168">
        <v>4</v>
      </c>
      <c r="E4168" s="5">
        <f>Table4[[#This Row],[qty]]*(VLOOKUP(Table4[[#This Row],[item_sold]],Table1[],5,FALSE))</f>
        <v>40</v>
      </c>
      <c r="F4168" s="5">
        <f>(VLOOKUP(Table4[[#This Row],[item_sold]],Table1[],4,FALSE))*Table4[[#This Row],[qty]]</f>
        <v>20</v>
      </c>
      <c r="G4168">
        <f t="shared" si="499"/>
        <v>20</v>
      </c>
      <c r="H4168" t="s">
        <v>361</v>
      </c>
    </row>
    <row r="4169" spans="1:12" x14ac:dyDescent="0.25">
      <c r="A4169" s="1">
        <f t="shared" si="492"/>
        <v>45550</v>
      </c>
      <c r="B4169" s="31">
        <f>TIME(18,16,0)</f>
        <v>0.76111111111111107</v>
      </c>
      <c r="C4169" t="str">
        <f>'Inventory as of 12th Aug 2024'!A219</f>
        <v>candle</v>
      </c>
      <c r="D4169">
        <v>3</v>
      </c>
      <c r="E4169" s="5">
        <f>Table4[[#This Row],[qty]]*(VLOOKUP(Table4[[#This Row],[item_sold]],Table1[],5,FALSE))</f>
        <v>45</v>
      </c>
      <c r="F4169" s="5">
        <f>(VLOOKUP(Table4[[#This Row],[item_sold]],Table1[],4,FALSE))*Table4[[#This Row],[qty]]</f>
        <v>28.125</v>
      </c>
      <c r="G4169">
        <f t="shared" si="499"/>
        <v>16.875</v>
      </c>
      <c r="H4169" t="s">
        <v>247</v>
      </c>
    </row>
    <row r="4170" spans="1:12" x14ac:dyDescent="0.25">
      <c r="A4170" s="1">
        <f t="shared" si="492"/>
        <v>45550</v>
      </c>
      <c r="B4170" s="31">
        <f>TIME(18,20,0)</f>
        <v>0.76388888888888884</v>
      </c>
      <c r="C4170" t="str">
        <f>'Inventory as of 12th Aug 2024'!A240</f>
        <v>Bigboss</v>
      </c>
      <c r="D4170">
        <v>1</v>
      </c>
      <c r="E4170" s="5">
        <f>Table4[[#This Row],[qty]]*(VLOOKUP(Table4[[#This Row],[item_sold]],Table1[],5,FALSE))</f>
        <v>5</v>
      </c>
      <c r="F4170" s="5">
        <f>(VLOOKUP(Table4[[#This Row],[item_sold]],Table1[],4,FALSE))*Table4[[#This Row],[qty]]</f>
        <v>3.5</v>
      </c>
      <c r="G4170">
        <f t="shared" si="499"/>
        <v>1.5</v>
      </c>
      <c r="H4170" t="s">
        <v>361</v>
      </c>
    </row>
    <row r="4171" spans="1:12" x14ac:dyDescent="0.25">
      <c r="A4171" s="1">
        <f t="shared" si="492"/>
        <v>45550</v>
      </c>
      <c r="B4171" s="31">
        <f>TIME(18,37,0)</f>
        <v>0.77569444444444446</v>
      </c>
      <c r="C4171" t="str">
        <f>'Inventory as of 12th Aug 2024'!A219</f>
        <v>candle</v>
      </c>
      <c r="D4171">
        <v>2</v>
      </c>
      <c r="E4171" s="5">
        <f>Table4[[#This Row],[qty]]*(VLOOKUP(Table4[[#This Row],[item_sold]],Table1[],5,FALSE))</f>
        <v>30</v>
      </c>
      <c r="F4171" s="5">
        <f>(VLOOKUP(Table4[[#This Row],[item_sold]],Table1[],4,FALSE))*Table4[[#This Row],[qty]]</f>
        <v>18.75</v>
      </c>
      <c r="G4171">
        <f t="shared" si="499"/>
        <v>11.25</v>
      </c>
      <c r="H4171" t="s">
        <v>247</v>
      </c>
    </row>
    <row r="4172" spans="1:12" x14ac:dyDescent="0.25">
      <c r="A4172" s="1">
        <f t="shared" si="492"/>
        <v>45550</v>
      </c>
      <c r="B4172" s="31">
        <f t="shared" ref="B4172" si="507">TIME(18,37,0)</f>
        <v>0.77569444444444446</v>
      </c>
      <c r="C4172" t="str">
        <f>'Inventory as of 12th Aug 2024'!A240</f>
        <v>Bigboss</v>
      </c>
      <c r="D4172">
        <v>1</v>
      </c>
      <c r="E4172" s="5">
        <f>Table4[[#This Row],[qty]]*(VLOOKUP(Table4[[#This Row],[item_sold]],Table1[],5,FALSE))</f>
        <v>5</v>
      </c>
      <c r="F4172" s="5">
        <f>(VLOOKUP(Table4[[#This Row],[item_sold]],Table1[],4,FALSE))*Table4[[#This Row],[qty]]</f>
        <v>3.5</v>
      </c>
      <c r="G4172">
        <f t="shared" si="499"/>
        <v>1.5</v>
      </c>
      <c r="H4172" t="s">
        <v>247</v>
      </c>
    </row>
    <row r="4173" spans="1:12" x14ac:dyDescent="0.25">
      <c r="A4173" s="1">
        <f t="shared" si="492"/>
        <v>45550</v>
      </c>
      <c r="B4173" s="31">
        <f>TIME(18,38,0)</f>
        <v>0.77638888888888891</v>
      </c>
      <c r="C4173" t="str">
        <f>'Inventory as of 12th Aug 2024'!A219</f>
        <v>candle</v>
      </c>
      <c r="D4173">
        <v>2</v>
      </c>
      <c r="E4173" s="5">
        <f>Table4[[#This Row],[qty]]*(VLOOKUP(Table4[[#This Row],[item_sold]],Table1[],5,FALSE))</f>
        <v>30</v>
      </c>
      <c r="F4173" s="5">
        <f>(VLOOKUP(Table4[[#This Row],[item_sold]],Table1[],4,FALSE))*Table4[[#This Row],[qty]]</f>
        <v>18.75</v>
      </c>
      <c r="G4173">
        <f t="shared" si="499"/>
        <v>11.25</v>
      </c>
      <c r="H4173" t="s">
        <v>247</v>
      </c>
    </row>
    <row r="4174" spans="1:12" x14ac:dyDescent="0.25">
      <c r="A4174" s="1">
        <f t="shared" si="492"/>
        <v>45550</v>
      </c>
      <c r="B4174" s="31">
        <f>TIME(18,52,0)</f>
        <v>0.78611111111111109</v>
      </c>
      <c r="C4174" t="str">
        <f>'Inventory as of 12th Aug 2024'!A2</f>
        <v>Safaricom 20 Credit</v>
      </c>
      <c r="D4174">
        <v>1</v>
      </c>
      <c r="E4174" s="5">
        <f>Table4[[#This Row],[qty]]*(VLOOKUP(Table4[[#This Row],[item_sold]],Table1[],5,FALSE))</f>
        <v>20</v>
      </c>
      <c r="F4174" s="5">
        <f>(VLOOKUP(Table4[[#This Row],[item_sold]],Table1[],4,FALSE))*Table4[[#This Row],[qty]]</f>
        <v>18</v>
      </c>
      <c r="G4174">
        <f t="shared" si="499"/>
        <v>2</v>
      </c>
      <c r="H4174" t="s">
        <v>247</v>
      </c>
    </row>
    <row r="4175" spans="1:12" x14ac:dyDescent="0.25">
      <c r="A4175" s="1">
        <f t="shared" si="492"/>
        <v>45550</v>
      </c>
      <c r="B4175" s="31">
        <f>TIME(18,56,0)</f>
        <v>0.78888888888888886</v>
      </c>
      <c r="C4175" t="str">
        <f>'Inventory as of 12th Aug 2024'!A75</f>
        <v>Cooking Oil Measured</v>
      </c>
      <c r="D4175">
        <v>1</v>
      </c>
      <c r="E4175" s="5">
        <f>Table4[[#This Row],[qty]]*(VLOOKUP(Table4[[#This Row],[item_sold]],Table1[],5,FALSE))</f>
        <v>280</v>
      </c>
      <c r="F4175" s="5">
        <f>(VLOOKUP(Table4[[#This Row],[item_sold]],Table1[],4,FALSE))*Table4[[#This Row],[qty]]</f>
        <v>200</v>
      </c>
      <c r="G4175">
        <f t="shared" si="499"/>
        <v>80</v>
      </c>
      <c r="H4175" t="s">
        <v>430</v>
      </c>
      <c r="I4175" t="s">
        <v>423</v>
      </c>
      <c r="J4175" t="s">
        <v>461</v>
      </c>
      <c r="K4175">
        <v>355</v>
      </c>
      <c r="L4175" t="s">
        <v>361</v>
      </c>
    </row>
    <row r="4176" spans="1:12" x14ac:dyDescent="0.25">
      <c r="A4176" s="1">
        <f t="shared" si="492"/>
        <v>45550</v>
      </c>
      <c r="B4176" s="31">
        <f t="shared" ref="B4176:B4177" si="508">TIME(18,56,0)</f>
        <v>0.78888888888888886</v>
      </c>
      <c r="C4176" t="str">
        <f>'Inventory as of 12th Aug 2024'!A73</f>
        <v>Royco Chicken mchuzi mix</v>
      </c>
      <c r="D4176">
        <v>1</v>
      </c>
      <c r="E4176" s="5">
        <f>Table4[[#This Row],[qty]]*(VLOOKUP(Table4[[#This Row],[item_sold]],Table1[],5,FALSE))</f>
        <v>10</v>
      </c>
      <c r="F4176" s="5">
        <f>(VLOOKUP(Table4[[#This Row],[item_sold]],Table1[],4,FALSE))*Table4[[#This Row],[qty]]</f>
        <v>9</v>
      </c>
      <c r="G4176">
        <f t="shared" si="499"/>
        <v>1</v>
      </c>
      <c r="H4176" t="s">
        <v>430</v>
      </c>
    </row>
    <row r="4177" spans="1:12" x14ac:dyDescent="0.25">
      <c r="A4177" s="1">
        <f t="shared" si="492"/>
        <v>45550</v>
      </c>
      <c r="B4177" s="31">
        <f t="shared" si="508"/>
        <v>0.78888888888888886</v>
      </c>
      <c r="C4177" t="str">
        <f>'Inventory as of 12th Aug 2024'!A16</f>
        <v>Mt kenya milk 500ml</v>
      </c>
      <c r="D4177">
        <v>1</v>
      </c>
      <c r="E4177" s="5">
        <f>Table4[[#This Row],[qty]]*(VLOOKUP(Table4[[#This Row],[item_sold]],Table1[],5,FALSE))</f>
        <v>65</v>
      </c>
      <c r="F4177" s="5">
        <f>(VLOOKUP(Table4[[#This Row],[item_sold]],Table1[],4,FALSE))*Table4[[#This Row],[qty]]</f>
        <v>48.333333333333336</v>
      </c>
      <c r="G4177">
        <f t="shared" si="499"/>
        <v>16.666666666666664</v>
      </c>
      <c r="H4177" t="s">
        <v>430</v>
      </c>
    </row>
    <row r="4178" spans="1:12" x14ac:dyDescent="0.25">
      <c r="A4178" s="1">
        <f t="shared" si="492"/>
        <v>45550</v>
      </c>
      <c r="B4178" s="31">
        <f>TIME(19,10,0)</f>
        <v>0.79861111111111116</v>
      </c>
      <c r="C4178" t="str">
        <f>'Inventory as of 12th Aug 2024'!A17</f>
        <v>Brookside milk 500ml</v>
      </c>
      <c r="D4178">
        <v>1</v>
      </c>
      <c r="E4178" s="5">
        <f>Table4[[#This Row],[qty]]*(VLOOKUP(Table4[[#This Row],[item_sold]],Table1[],5,FALSE))</f>
        <v>70</v>
      </c>
      <c r="F4178" s="5">
        <f>(VLOOKUP(Table4[[#This Row],[item_sold]],Table1[],4,FALSE))*Table4[[#This Row],[qty]]</f>
        <v>59</v>
      </c>
      <c r="G4178">
        <f t="shared" si="499"/>
        <v>11</v>
      </c>
      <c r="H4178" t="s">
        <v>247</v>
      </c>
    </row>
    <row r="4179" spans="1:12" x14ac:dyDescent="0.25">
      <c r="A4179" s="1">
        <f t="shared" si="492"/>
        <v>45550</v>
      </c>
      <c r="B4179" s="31">
        <f t="shared" ref="B4179" si="509">TIME(19,10,0)</f>
        <v>0.79861111111111116</v>
      </c>
      <c r="C4179" t="str">
        <f>'Inventory as of 12th Aug 2024'!A203</f>
        <v>Tropical heat crisps 50g</v>
      </c>
      <c r="D4179">
        <v>1</v>
      </c>
      <c r="E4179" s="5">
        <f>Table4[[#This Row],[qty]]*(VLOOKUP(Table4[[#This Row],[item_sold]],Table1[],5,FALSE))</f>
        <v>70</v>
      </c>
      <c r="F4179" s="5">
        <f>(VLOOKUP(Table4[[#This Row],[item_sold]],Table1[],4,FALSE))*Table4[[#This Row],[qty]]</f>
        <v>50</v>
      </c>
      <c r="G4179">
        <f t="shared" si="499"/>
        <v>20</v>
      </c>
      <c r="H4179" t="s">
        <v>430</v>
      </c>
      <c r="I4179" t="s">
        <v>450</v>
      </c>
    </row>
    <row r="4180" spans="1:12" x14ac:dyDescent="0.25">
      <c r="A4180" s="1">
        <f t="shared" si="492"/>
        <v>45550</v>
      </c>
      <c r="B4180" s="31">
        <f>TIME(19,25,0)</f>
        <v>0.80902777777777779</v>
      </c>
      <c r="C4180" t="str">
        <f>'Inventory as of 12th Aug 2024'!A91</f>
        <v>Tomatoes</v>
      </c>
      <c r="D4180">
        <v>4</v>
      </c>
      <c r="E4180" s="5">
        <f>Table4[[#This Row],[qty]]*(VLOOKUP(Table4[[#This Row],[item_sold]],Table1[],5,FALSE))</f>
        <v>40</v>
      </c>
      <c r="F4180" s="5">
        <f>(VLOOKUP(Table4[[#This Row],[item_sold]],Table1[],4,FALSE))*Table4[[#This Row],[qty]]</f>
        <v>20</v>
      </c>
      <c r="G4180">
        <f t="shared" si="499"/>
        <v>20</v>
      </c>
      <c r="H4180" t="s">
        <v>430</v>
      </c>
      <c r="I4180" t="s">
        <v>456</v>
      </c>
    </row>
    <row r="4181" spans="1:12" x14ac:dyDescent="0.25">
      <c r="A4181" s="1">
        <f t="shared" si="492"/>
        <v>45550</v>
      </c>
      <c r="B4181" s="31">
        <f t="shared" ref="B4181" si="510">TIME(19,25,0)</f>
        <v>0.80902777777777779</v>
      </c>
      <c r="C4181" t="str">
        <f>'Inventory as of 12th Aug 2024'!A9</f>
        <v>Kinangop Fresh Milk 500ml</v>
      </c>
      <c r="D4181">
        <v>2</v>
      </c>
      <c r="E4181" s="5">
        <f>Table4[[#This Row],[qty]]*(VLOOKUP(Table4[[#This Row],[item_sold]],Table1[],5,FALSE))</f>
        <v>120</v>
      </c>
      <c r="F4181" s="5">
        <f>(VLOOKUP(Table4[[#This Row],[item_sold]],Table1[],4,FALSE))*Table4[[#This Row],[qty]]</f>
        <v>110</v>
      </c>
      <c r="G4181">
        <f t="shared" si="499"/>
        <v>10</v>
      </c>
      <c r="H4181" t="s">
        <v>430</v>
      </c>
    </row>
    <row r="4182" spans="1:12" x14ac:dyDescent="0.25">
      <c r="A4182" s="1">
        <f t="shared" si="492"/>
        <v>45550</v>
      </c>
      <c r="B4182" s="31">
        <f>TIME(19,47,0)</f>
        <v>0.82430555555555562</v>
      </c>
      <c r="C4182" t="str">
        <f>'Inventory as of 12th Aug 2024'!A27</f>
        <v>Nescafe 1.5g</v>
      </c>
      <c r="D4182">
        <v>1</v>
      </c>
      <c r="E4182" s="5">
        <f>Table4[[#This Row],[qty]]*(VLOOKUP(Table4[[#This Row],[item_sold]],Table1[],5,FALSE))</f>
        <v>15</v>
      </c>
      <c r="F4182" s="5">
        <f>(VLOOKUP(Table4[[#This Row],[item_sold]],Table1[],4,FALSE))*Table4[[#This Row],[qty]]</f>
        <v>9.1666666666666661</v>
      </c>
      <c r="G4182">
        <f t="shared" si="499"/>
        <v>5.8333333333333339</v>
      </c>
      <c r="H4182" t="s">
        <v>247</v>
      </c>
    </row>
    <row r="4183" spans="1:12" x14ac:dyDescent="0.25">
      <c r="A4183" s="1">
        <f t="shared" si="492"/>
        <v>45550</v>
      </c>
      <c r="B4183" s="31">
        <f t="shared" ref="B4183" si="511">TIME(19,47,0)</f>
        <v>0.82430555555555562</v>
      </c>
      <c r="C4183" t="str">
        <f>'Inventory as of 12th Aug 2024'!A193</f>
        <v>Ginger Bisquit</v>
      </c>
      <c r="D4183">
        <v>1</v>
      </c>
      <c r="E4183" s="5">
        <f>Table4[[#This Row],[qty]]*(VLOOKUP(Table4[[#This Row],[item_sold]],Table1[],5,FALSE))</f>
        <v>5</v>
      </c>
      <c r="F4183" s="5">
        <f>(VLOOKUP(Table4[[#This Row],[item_sold]],Table1[],4,FALSE))*Table4[[#This Row],[qty]]</f>
        <v>4.333333333333333</v>
      </c>
      <c r="G4183">
        <f t="shared" si="499"/>
        <v>0.66666666666666696</v>
      </c>
      <c r="H4183" t="s">
        <v>247</v>
      </c>
    </row>
    <row r="4184" spans="1:12" x14ac:dyDescent="0.25">
      <c r="A4184" s="1">
        <f t="shared" ref="A4184:A4188" si="512">DATE(2024,9,15)</f>
        <v>45550</v>
      </c>
      <c r="B4184" s="31">
        <f>TIME(20,5,0)</f>
        <v>0.83680555555555547</v>
      </c>
      <c r="C4184" t="str">
        <f>'Inventory as of 12th Aug 2024'!A84</f>
        <v>omo 20g</v>
      </c>
      <c r="D4184">
        <v>3</v>
      </c>
      <c r="E4184" s="5">
        <f>Table4[[#This Row],[qty]]*(VLOOKUP(Table4[[#This Row],[item_sold]],Table1[],5,FALSE))</f>
        <v>45</v>
      </c>
      <c r="F4184" s="5">
        <f>(VLOOKUP(Table4[[#This Row],[item_sold]],Table1[],4,FALSE))*Table4[[#This Row],[qty]]</f>
        <v>27.5</v>
      </c>
      <c r="G4184">
        <f t="shared" si="499"/>
        <v>17.5</v>
      </c>
      <c r="H4184" t="s">
        <v>361</v>
      </c>
    </row>
    <row r="4185" spans="1:12" x14ac:dyDescent="0.25">
      <c r="A4185" s="1">
        <f t="shared" si="512"/>
        <v>45550</v>
      </c>
      <c r="B4185" s="31">
        <f>TIME(20,37,0)</f>
        <v>0.85902777777777783</v>
      </c>
      <c r="C4185" t="str">
        <f>'Inventory as of 12th Aug 2024'!A68</f>
        <v>Royco cubes</v>
      </c>
      <c r="D4185">
        <v>1</v>
      </c>
      <c r="E4185" s="5">
        <f>Table4[[#This Row],[qty]]*(VLOOKUP(Table4[[#This Row],[item_sold]],Table1[],5,FALSE))</f>
        <v>5</v>
      </c>
      <c r="F4185" s="5">
        <f>(VLOOKUP(Table4[[#This Row],[item_sold]],Table1[],4,FALSE))*Table4[[#This Row],[qty]]</f>
        <v>3</v>
      </c>
      <c r="G4185">
        <f t="shared" si="499"/>
        <v>2</v>
      </c>
      <c r="H4185" t="s">
        <v>430</v>
      </c>
      <c r="I4185" t="s">
        <v>385</v>
      </c>
    </row>
    <row r="4186" spans="1:12" x14ac:dyDescent="0.25">
      <c r="A4186" s="1">
        <f t="shared" si="512"/>
        <v>45550</v>
      </c>
      <c r="B4186" s="31">
        <f>TIME(20,42,0)</f>
        <v>0.86249999999999993</v>
      </c>
      <c r="C4186" t="str">
        <f>'Inventory as of 12th Aug 2024'!A14</f>
        <v>1ltr Brookside Lala Sweetened</v>
      </c>
      <c r="D4186">
        <v>1</v>
      </c>
      <c r="E4186" s="5">
        <f>Table4[[#This Row],[qty]]*(VLOOKUP(Table4[[#This Row],[item_sold]],Table1[],5,FALSE))</f>
        <v>190</v>
      </c>
      <c r="F4186" s="5">
        <f>(VLOOKUP(Table4[[#This Row],[item_sold]],Table1[],4,FALSE))*Table4[[#This Row],[qty]]</f>
        <v>173</v>
      </c>
      <c r="G4186">
        <f t="shared" si="499"/>
        <v>17</v>
      </c>
      <c r="H4186" t="s">
        <v>430</v>
      </c>
    </row>
    <row r="4187" spans="1:12" x14ac:dyDescent="0.25">
      <c r="A4187" s="1">
        <f t="shared" si="512"/>
        <v>45550</v>
      </c>
      <c r="B4187" s="31">
        <f>TIME(20,42,0)</f>
        <v>0.86249999999999993</v>
      </c>
      <c r="C4187" t="str">
        <f>'Inventory as of 12th Aug 2024'!A17</f>
        <v>Brookside milk 500ml</v>
      </c>
      <c r="D4187">
        <v>1</v>
      </c>
      <c r="E4187" s="5">
        <f>Table4[[#This Row],[qty]]*(VLOOKUP(Table4[[#This Row],[item_sold]],Table1[],5,FALSE))</f>
        <v>70</v>
      </c>
      <c r="F4187" s="5">
        <f>(VLOOKUP(Table4[[#This Row],[item_sold]],Table1[],4,FALSE))*Table4[[#This Row],[qty]]</f>
        <v>59</v>
      </c>
      <c r="G4187">
        <f t="shared" si="499"/>
        <v>11</v>
      </c>
      <c r="H4187" t="s">
        <v>430</v>
      </c>
    </row>
    <row r="4188" spans="1:12" x14ac:dyDescent="0.25">
      <c r="A4188" s="1">
        <f t="shared" si="512"/>
        <v>45550</v>
      </c>
      <c r="B4188" s="31">
        <f>TIME(19,9,0)</f>
        <v>0.79791666666666661</v>
      </c>
      <c r="F4188" s="5"/>
      <c r="G4188"/>
      <c r="J4188" t="s">
        <v>386</v>
      </c>
      <c r="K4188">
        <v>1850</v>
      </c>
      <c r="L4188" t="s">
        <v>361</v>
      </c>
    </row>
    <row r="4189" spans="1:12" x14ac:dyDescent="0.25">
      <c r="A4189" s="1">
        <f>DATE(2024,9,16)</f>
        <v>45551</v>
      </c>
      <c r="B4189" s="31">
        <f>TIME(7,35,0)</f>
        <v>0.31597222222222221</v>
      </c>
      <c r="C4189" t="str">
        <f>'Inventory as of 12th Aug 2024'!A92</f>
        <v>Banana</v>
      </c>
      <c r="D4189">
        <v>2</v>
      </c>
      <c r="E4189" s="5">
        <f>Table4[[#This Row],[qty]]*(VLOOKUP(Table4[[#This Row],[item_sold]],Table1[],5,FALSE))</f>
        <v>20</v>
      </c>
      <c r="F4189" s="5">
        <f>(VLOOKUP(Table4[[#This Row],[item_sold]],Table1[],4,FALSE))*Table4[[#This Row],[qty]]</f>
        <v>16.666666666666668</v>
      </c>
      <c r="G4189">
        <f t="shared" si="499"/>
        <v>3.3333333333333321</v>
      </c>
      <c r="H4189" t="s">
        <v>247</v>
      </c>
    </row>
    <row r="4190" spans="1:12" x14ac:dyDescent="0.25">
      <c r="A4190" s="1">
        <f t="shared" ref="A4190:A4232" si="513">DATE(2024,9,16)</f>
        <v>45551</v>
      </c>
      <c r="B4190" s="31">
        <f>TIME(7,41,0)</f>
        <v>0.32013888888888892</v>
      </c>
      <c r="C4190" t="str">
        <f>'Inventory as of 12th Aug 2024'!A18</f>
        <v>Crown Gold Milk 500ml</v>
      </c>
      <c r="D4190">
        <v>2</v>
      </c>
      <c r="E4190" s="5">
        <f>Table4[[#This Row],[qty]]*(VLOOKUP(Table4[[#This Row],[item_sold]],Table1[],5,FALSE))</f>
        <v>130</v>
      </c>
      <c r="F4190" s="5">
        <f>(VLOOKUP(Table4[[#This Row],[item_sold]],Table1[],4,FALSE))*Table4[[#This Row],[qty]]</f>
        <v>108.33333333333333</v>
      </c>
      <c r="G4190">
        <f t="shared" si="499"/>
        <v>21.666666666666671</v>
      </c>
      <c r="H4190" t="s">
        <v>361</v>
      </c>
    </row>
    <row r="4191" spans="1:12" x14ac:dyDescent="0.25">
      <c r="A4191" s="1">
        <f t="shared" si="513"/>
        <v>45551</v>
      </c>
      <c r="B4191" s="31">
        <f>TIME(7,42,0)</f>
        <v>0.32083333333333336</v>
      </c>
      <c r="C4191" t="str">
        <f>'Inventory as of 12th Aug 2024'!A58</f>
        <v>Safari</v>
      </c>
      <c r="D4191">
        <v>4</v>
      </c>
      <c r="E4191" s="5">
        <f>Table4[[#This Row],[qty]]*(VLOOKUP(Table4[[#This Row],[item_sold]],Table1[],5,FALSE))</f>
        <v>60</v>
      </c>
      <c r="F4191" s="5">
        <f>(VLOOKUP(Table4[[#This Row],[item_sold]],Table1[],4,FALSE))*Table4[[#This Row],[qty]]</f>
        <v>34</v>
      </c>
      <c r="G4191">
        <f t="shared" si="499"/>
        <v>26</v>
      </c>
      <c r="H4191" t="s">
        <v>361</v>
      </c>
    </row>
    <row r="4192" spans="1:12" x14ac:dyDescent="0.25">
      <c r="A4192" s="1">
        <f t="shared" si="513"/>
        <v>45551</v>
      </c>
      <c r="B4192" s="31">
        <f>TIME(7,50,0)</f>
        <v>0.3263888888888889</v>
      </c>
      <c r="C4192" t="str">
        <f>'Inventory as of 12th Aug 2024'!A58</f>
        <v>Safari</v>
      </c>
      <c r="D4192">
        <v>1</v>
      </c>
      <c r="E4192" s="5">
        <f>Table4[[#This Row],[qty]]*(VLOOKUP(Table4[[#This Row],[item_sold]],Table1[],5,FALSE))</f>
        <v>15</v>
      </c>
      <c r="F4192" s="5">
        <f>(VLOOKUP(Table4[[#This Row],[item_sold]],Table1[],4,FALSE))*Table4[[#This Row],[qty]]</f>
        <v>8.5</v>
      </c>
      <c r="G4192">
        <f t="shared" si="499"/>
        <v>6.5</v>
      </c>
      <c r="H4192" t="s">
        <v>247</v>
      </c>
    </row>
    <row r="4193" spans="1:8" x14ac:dyDescent="0.25">
      <c r="A4193" s="1">
        <f t="shared" si="513"/>
        <v>45551</v>
      </c>
      <c r="B4193" s="31">
        <f>TIME(8,23,0)</f>
        <v>0.34930555555555554</v>
      </c>
      <c r="C4193" t="str">
        <f>'Inventory as of 12th Aug 2024'!A9</f>
        <v>Kinangop Fresh Milk 500ml</v>
      </c>
      <c r="D4193">
        <v>1</v>
      </c>
      <c r="E4193" s="5">
        <f>Table4[[#This Row],[qty]]*(VLOOKUP(Table4[[#This Row],[item_sold]],Table1[],5,FALSE))</f>
        <v>60</v>
      </c>
      <c r="F4193" s="5">
        <f>(VLOOKUP(Table4[[#This Row],[item_sold]],Table1[],4,FALSE))*Table4[[#This Row],[qty]]</f>
        <v>55</v>
      </c>
      <c r="G4193">
        <f t="shared" si="499"/>
        <v>5</v>
      </c>
      <c r="H4193" t="s">
        <v>247</v>
      </c>
    </row>
    <row r="4194" spans="1:8" x14ac:dyDescent="0.25">
      <c r="A4194" s="1">
        <f t="shared" si="513"/>
        <v>45551</v>
      </c>
      <c r="B4194" s="31">
        <f>TIME(10,8,0)</f>
        <v>0.42222222222222222</v>
      </c>
      <c r="C4194" t="str">
        <f>'Inventory as of 12th Aug 2024'!A134</f>
        <v>Hanaan Tissue</v>
      </c>
      <c r="D4194">
        <v>1</v>
      </c>
      <c r="E4194" s="5">
        <f>Table4[[#This Row],[qty]]*(VLOOKUP(Table4[[#This Row],[item_sold]],Table1[],5,FALSE))</f>
        <v>55</v>
      </c>
      <c r="F4194" s="5">
        <f>(VLOOKUP(Table4[[#This Row],[item_sold]],Table1[],4,FALSE))*Table4[[#This Row],[qty]]</f>
        <v>43</v>
      </c>
      <c r="G4194">
        <f t="shared" si="499"/>
        <v>12</v>
      </c>
      <c r="H4194" t="s">
        <v>361</v>
      </c>
    </row>
    <row r="4195" spans="1:8" x14ac:dyDescent="0.25">
      <c r="A4195" s="1">
        <f t="shared" si="513"/>
        <v>45551</v>
      </c>
      <c r="B4195" s="31">
        <f>TIME(9,58,0)</f>
        <v>0.4152777777777778</v>
      </c>
      <c r="C4195" t="str">
        <f>'Inventory as of 12th Aug 2024'!A107</f>
        <v>Match Box</v>
      </c>
      <c r="D4195">
        <v>1</v>
      </c>
      <c r="E4195" s="5">
        <f>Table4[[#This Row],[qty]]*(VLOOKUP(Table4[[#This Row],[item_sold]],Table1[],5,FALSE))</f>
        <v>5</v>
      </c>
      <c r="F4195" s="5">
        <f>(VLOOKUP(Table4[[#This Row],[item_sold]],Table1[],4,FALSE))*Table4[[#This Row],[qty]]</f>
        <v>2.3611111111111112</v>
      </c>
      <c r="G4195">
        <f t="shared" si="499"/>
        <v>2.6388888888888888</v>
      </c>
      <c r="H4195" t="s">
        <v>361</v>
      </c>
    </row>
    <row r="4196" spans="1:8" x14ac:dyDescent="0.25">
      <c r="A4196" s="1">
        <f t="shared" si="513"/>
        <v>45551</v>
      </c>
      <c r="B4196" s="31">
        <f>TIME(10,28,0)</f>
        <v>0.43611111111111112</v>
      </c>
      <c r="C4196" t="str">
        <f>'Inventory as of 12th Aug 2024'!A33</f>
        <v>BB Bread 400g</v>
      </c>
      <c r="D4196">
        <v>1</v>
      </c>
      <c r="E4196" s="5">
        <f>Table4[[#This Row],[qty]]*(VLOOKUP(Table4[[#This Row],[item_sold]],Table1[],5,FALSE))</f>
        <v>65</v>
      </c>
      <c r="F4196" s="5">
        <f>(VLOOKUP(Table4[[#This Row],[item_sold]],Table1[],4,FALSE))*Table4[[#This Row],[qty]]</f>
        <v>60</v>
      </c>
      <c r="G4196">
        <f t="shared" si="499"/>
        <v>5</v>
      </c>
      <c r="H4196" t="s">
        <v>361</v>
      </c>
    </row>
    <row r="4197" spans="1:8" x14ac:dyDescent="0.25">
      <c r="A4197" s="1">
        <f t="shared" si="513"/>
        <v>45551</v>
      </c>
      <c r="B4197" s="31">
        <f>TIME(10,43,0)</f>
        <v>0.4465277777777778</v>
      </c>
      <c r="C4197" t="str">
        <f>'Inventory as of 12th Aug 2024'!A33</f>
        <v>BB Bread 400g</v>
      </c>
      <c r="D4197">
        <v>1</v>
      </c>
      <c r="E4197" s="5">
        <f>Table4[[#This Row],[qty]]*(VLOOKUP(Table4[[#This Row],[item_sold]],Table1[],5,FALSE))</f>
        <v>65</v>
      </c>
      <c r="F4197" s="5">
        <f>(VLOOKUP(Table4[[#This Row],[item_sold]],Table1[],4,FALSE))*Table4[[#This Row],[qty]]</f>
        <v>60</v>
      </c>
      <c r="G4197">
        <f t="shared" si="499"/>
        <v>5</v>
      </c>
      <c r="H4197" t="s">
        <v>361</v>
      </c>
    </row>
    <row r="4198" spans="1:8" x14ac:dyDescent="0.25">
      <c r="A4198" s="1">
        <f t="shared" si="513"/>
        <v>45551</v>
      </c>
      <c r="B4198" s="31">
        <f>TIME(13,47,0)</f>
        <v>0.57430555555555551</v>
      </c>
      <c r="C4198" t="str">
        <f>'Inventory as of 12th Aug 2024'!A212</f>
        <v>soda 300ml glass</v>
      </c>
      <c r="D4198">
        <v>3</v>
      </c>
      <c r="E4198" s="5">
        <f>Table4[[#This Row],[qty]]*(VLOOKUP(Table4[[#This Row],[item_sold]],Table1[],5,FALSE))</f>
        <v>120</v>
      </c>
      <c r="F4198" s="5">
        <f>(VLOOKUP(Table4[[#This Row],[item_sold]],Table1[],4,FALSE))*Table4[[#This Row],[qty]]</f>
        <v>97.5</v>
      </c>
      <c r="G4198">
        <f t="shared" si="499"/>
        <v>22.5</v>
      </c>
      <c r="H4198" t="s">
        <v>361</v>
      </c>
    </row>
    <row r="4199" spans="1:8" x14ac:dyDescent="0.25">
      <c r="A4199" s="1">
        <f t="shared" si="513"/>
        <v>45551</v>
      </c>
      <c r="B4199" s="31">
        <f t="shared" ref="B4199" si="514">TIME(13,47,0)</f>
        <v>0.57430555555555551</v>
      </c>
      <c r="C4199" t="str">
        <f>'Inventory as of 12th Aug 2024'!A191</f>
        <v>Nuvita Bisquit</v>
      </c>
      <c r="D4199">
        <v>1</v>
      </c>
      <c r="E4199" s="5">
        <f>Table4[[#This Row],[qty]]*(VLOOKUP(Table4[[#This Row],[item_sold]],Table1[],5,FALSE))</f>
        <v>5</v>
      </c>
      <c r="F4199" s="5">
        <f>(VLOOKUP(Table4[[#This Row],[item_sold]],Table1[],4,FALSE))*Table4[[#This Row],[qty]]</f>
        <v>4.166666666666667</v>
      </c>
      <c r="G4199">
        <f t="shared" si="499"/>
        <v>0.83333333333333304</v>
      </c>
      <c r="H4199" t="s">
        <v>361</v>
      </c>
    </row>
    <row r="4200" spans="1:8" x14ac:dyDescent="0.25">
      <c r="A4200" s="1">
        <f t="shared" si="513"/>
        <v>45551</v>
      </c>
      <c r="B4200" s="31">
        <f>TIME(14,3,0)</f>
        <v>0.5854166666666667</v>
      </c>
      <c r="C4200" t="str">
        <f>'Inventory as of 12th Aug 2024'!A8</f>
        <v>eggs</v>
      </c>
      <c r="D4200">
        <v>2</v>
      </c>
      <c r="E4200" s="5">
        <f>Table4[[#This Row],[qty]]*(VLOOKUP(Table4[[#This Row],[item_sold]],Table1[],5,FALSE))</f>
        <v>40</v>
      </c>
      <c r="F4200" s="5">
        <f>(VLOOKUP(Table4[[#This Row],[item_sold]],Table1[],4,FALSE))*Table4[[#This Row],[qty]]</f>
        <v>28.666666666666668</v>
      </c>
      <c r="G4200">
        <f t="shared" si="499"/>
        <v>11.333333333333332</v>
      </c>
      <c r="H4200" t="s">
        <v>361</v>
      </c>
    </row>
    <row r="4201" spans="1:8" x14ac:dyDescent="0.25">
      <c r="A4201" s="1">
        <f t="shared" si="513"/>
        <v>45551</v>
      </c>
      <c r="B4201" s="31">
        <f>TIME(14,3,0)</f>
        <v>0.5854166666666667</v>
      </c>
      <c r="C4201" t="str">
        <f>'Inventory as of 12th Aug 2024'!A58</f>
        <v>Safari</v>
      </c>
      <c r="D4201">
        <v>1</v>
      </c>
      <c r="E4201" s="5">
        <f>Table4[[#This Row],[qty]]*(VLOOKUP(Table4[[#This Row],[item_sold]],Table1[],5,FALSE))</f>
        <v>15</v>
      </c>
      <c r="F4201" s="5">
        <f>(VLOOKUP(Table4[[#This Row],[item_sold]],Table1[],4,FALSE))*Table4[[#This Row],[qty]]</f>
        <v>8.5</v>
      </c>
      <c r="G4201">
        <f t="shared" si="499"/>
        <v>6.5</v>
      </c>
      <c r="H4201" t="s">
        <v>361</v>
      </c>
    </row>
    <row r="4202" spans="1:8" x14ac:dyDescent="0.25">
      <c r="A4202" s="1">
        <f t="shared" si="513"/>
        <v>45551</v>
      </c>
      <c r="B4202" s="31">
        <f>TIME(16,7,0)</f>
        <v>0.67152777777777783</v>
      </c>
      <c r="C4202" t="str">
        <f>'Inventory as of 12th Aug 2024'!A213</f>
        <v>soda 500ml glass</v>
      </c>
      <c r="D4202">
        <v>1</v>
      </c>
      <c r="E4202" s="5">
        <f>Table4[[#This Row],[qty]]*(VLOOKUP(Table4[[#This Row],[item_sold]],Table1[],5,FALSE))</f>
        <v>55</v>
      </c>
      <c r="F4202" s="5">
        <f>(VLOOKUP(Table4[[#This Row],[item_sold]],Table1[],4,FALSE))*Table4[[#This Row],[qty]]</f>
        <v>50</v>
      </c>
      <c r="G4202">
        <f t="shared" ref="G4202:G4238" si="515">E4202-F4202</f>
        <v>5</v>
      </c>
      <c r="H4202" t="s">
        <v>247</v>
      </c>
    </row>
    <row r="4203" spans="1:8" x14ac:dyDescent="0.25">
      <c r="A4203" s="1">
        <f t="shared" si="513"/>
        <v>45551</v>
      </c>
      <c r="B4203" s="31">
        <f t="shared" ref="B4203" si="516">TIME(16,7,0)</f>
        <v>0.67152777777777783</v>
      </c>
      <c r="C4203" t="str">
        <f>'Inventory as of 12th Aug 2024'!A92</f>
        <v>Banana</v>
      </c>
      <c r="D4203">
        <v>2</v>
      </c>
      <c r="E4203" s="5">
        <f>Table4[[#This Row],[qty]]*(VLOOKUP(Table4[[#This Row],[item_sold]],Table1[],5,FALSE))</f>
        <v>20</v>
      </c>
      <c r="F4203" s="5">
        <f>(VLOOKUP(Table4[[#This Row],[item_sold]],Table1[],4,FALSE))*Table4[[#This Row],[qty]]</f>
        <v>16.666666666666668</v>
      </c>
      <c r="G4203">
        <f t="shared" si="515"/>
        <v>3.3333333333333321</v>
      </c>
      <c r="H4203" t="s">
        <v>247</v>
      </c>
    </row>
    <row r="4204" spans="1:8" x14ac:dyDescent="0.25">
      <c r="A4204" s="1">
        <f t="shared" si="513"/>
        <v>45551</v>
      </c>
      <c r="B4204" s="31">
        <f>TIME(16,33,0)</f>
        <v>0.68958333333333333</v>
      </c>
      <c r="C4204" t="str">
        <f>'Inventory as of 12th Aug 2024'!A10</f>
        <v>Mt Kenya milk 200ml</v>
      </c>
      <c r="D4204">
        <v>1</v>
      </c>
      <c r="E4204" s="5">
        <f>Table4[[#This Row],[qty]]*(VLOOKUP(Table4[[#This Row],[item_sold]],Table1[],5,FALSE))</f>
        <v>35</v>
      </c>
      <c r="F4204" s="5">
        <f>(VLOOKUP(Table4[[#This Row],[item_sold]],Table1[],4,FALSE))*Table4[[#This Row],[qty]]</f>
        <v>24.285714285714285</v>
      </c>
      <c r="G4204">
        <f t="shared" si="515"/>
        <v>10.714285714285715</v>
      </c>
      <c r="H4204" t="s">
        <v>247</v>
      </c>
    </row>
    <row r="4205" spans="1:8" x14ac:dyDescent="0.25">
      <c r="A4205" s="1">
        <f t="shared" si="513"/>
        <v>45551</v>
      </c>
      <c r="B4205" s="31">
        <f t="shared" ref="B4205" si="517">TIME(16,33,0)</f>
        <v>0.68958333333333333</v>
      </c>
      <c r="C4205" t="str">
        <f>'Inventory as of 12th Aug 2024'!A190</f>
        <v>Goodday Cookies</v>
      </c>
      <c r="D4205">
        <v>1</v>
      </c>
      <c r="E4205" s="5">
        <f>Table4[[#This Row],[qty]]*(VLOOKUP(Table4[[#This Row],[item_sold]],Table1[],5,FALSE))</f>
        <v>15</v>
      </c>
      <c r="F4205" s="5">
        <f>(VLOOKUP(Table4[[#This Row],[item_sold]],Table1[],4,FALSE))*Table4[[#This Row],[qty]]</f>
        <v>9.3333333333333339</v>
      </c>
      <c r="G4205">
        <f t="shared" si="515"/>
        <v>5.6666666666666661</v>
      </c>
      <c r="H4205" t="s">
        <v>247</v>
      </c>
    </row>
    <row r="4206" spans="1:8" x14ac:dyDescent="0.25">
      <c r="A4206" s="1">
        <f t="shared" si="513"/>
        <v>45551</v>
      </c>
      <c r="B4206" s="31">
        <f>TIME(16,50,0)</f>
        <v>0.70138888888888884</v>
      </c>
      <c r="C4206" t="str">
        <f>'Inventory as of 12th Aug 2024'!A194</f>
        <v>Half pound cake</v>
      </c>
      <c r="D4206">
        <v>1</v>
      </c>
      <c r="E4206" s="5">
        <f>Table4[[#This Row],[qty]]*(VLOOKUP(Table4[[#This Row],[item_sold]],Table1[],5,FALSE))</f>
        <v>100</v>
      </c>
      <c r="F4206" s="5">
        <f>(VLOOKUP(Table4[[#This Row],[item_sold]],Table1[],4,FALSE))*Table4[[#This Row],[qty]]</f>
        <v>90</v>
      </c>
      <c r="G4206">
        <f t="shared" si="515"/>
        <v>10</v>
      </c>
      <c r="H4206" t="s">
        <v>247</v>
      </c>
    </row>
    <row r="4207" spans="1:8" x14ac:dyDescent="0.25">
      <c r="A4207" s="1">
        <f t="shared" si="513"/>
        <v>45551</v>
      </c>
      <c r="B4207" s="31">
        <f>TIME(17,56,0)</f>
        <v>0.74722222222222223</v>
      </c>
      <c r="C4207" t="str">
        <f>'Inventory as of 12th Aug 2024'!A33</f>
        <v>BB Bread 400g</v>
      </c>
      <c r="D4207">
        <v>1</v>
      </c>
      <c r="E4207" s="5">
        <f>Table4[[#This Row],[qty]]*(VLOOKUP(Table4[[#This Row],[item_sold]],Table1[],5,FALSE))</f>
        <v>65</v>
      </c>
      <c r="F4207" s="5">
        <f>(VLOOKUP(Table4[[#This Row],[item_sold]],Table1[],4,FALSE))*Table4[[#This Row],[qty]]</f>
        <v>60</v>
      </c>
      <c r="G4207">
        <f t="shared" si="515"/>
        <v>5</v>
      </c>
      <c r="H4207" t="s">
        <v>361</v>
      </c>
    </row>
    <row r="4208" spans="1:8" x14ac:dyDescent="0.25">
      <c r="A4208" s="1">
        <f t="shared" si="513"/>
        <v>45551</v>
      </c>
      <c r="B4208" s="31">
        <f t="shared" ref="B4208:B4216" si="518">TIME(17,56,0)</f>
        <v>0.74722222222222223</v>
      </c>
      <c r="C4208" t="str">
        <f>'Inventory as of 12th Aug 2024'!A192</f>
        <v>Lemon Bisquit</v>
      </c>
      <c r="D4208">
        <v>1</v>
      </c>
      <c r="E4208" s="5">
        <f>Table4[[#This Row],[qty]]*(VLOOKUP(Table4[[#This Row],[item_sold]],Table1[],5,FALSE))</f>
        <v>5</v>
      </c>
      <c r="F4208" s="5">
        <f>(VLOOKUP(Table4[[#This Row],[item_sold]],Table1[],4,FALSE))*Table4[[#This Row],[qty]]</f>
        <v>4.333333333333333</v>
      </c>
      <c r="G4208">
        <f t="shared" si="515"/>
        <v>0.66666666666666696</v>
      </c>
      <c r="H4208" t="s">
        <v>361</v>
      </c>
    </row>
    <row r="4209" spans="1:9" x14ac:dyDescent="0.25">
      <c r="A4209" s="1">
        <f t="shared" si="513"/>
        <v>45551</v>
      </c>
      <c r="B4209" s="31">
        <f t="shared" si="518"/>
        <v>0.74722222222222223</v>
      </c>
      <c r="C4209" t="str">
        <f>'Inventory as of 12th Aug 2024'!A70</f>
        <v>Sugar 1/2 kg</v>
      </c>
      <c r="D4209">
        <v>1</v>
      </c>
      <c r="E4209" s="5">
        <f>Table4[[#This Row],[qty]]*(VLOOKUP(Table4[[#This Row],[item_sold]],Table1[],5,FALSE))</f>
        <v>90</v>
      </c>
      <c r="F4209" s="5">
        <f>(VLOOKUP(Table4[[#This Row],[item_sold]],Table1[],4,FALSE))*Table4[[#This Row],[qty]]</f>
        <v>60</v>
      </c>
      <c r="G4209">
        <f t="shared" si="515"/>
        <v>30</v>
      </c>
      <c r="H4209" t="s">
        <v>430</v>
      </c>
      <c r="I4209" t="s">
        <v>404</v>
      </c>
    </row>
    <row r="4210" spans="1:9" x14ac:dyDescent="0.25">
      <c r="A4210" s="1">
        <f t="shared" si="513"/>
        <v>45551</v>
      </c>
      <c r="B4210" s="31">
        <f t="shared" si="518"/>
        <v>0.74722222222222223</v>
      </c>
      <c r="C4210" t="str">
        <f>'Inventory as of 12th Aug 2024'!A46</f>
        <v>Tukuza 1kg</v>
      </c>
      <c r="D4210">
        <v>1</v>
      </c>
      <c r="E4210" s="5">
        <f>Table4[[#This Row],[qty]]*(VLOOKUP(Table4[[#This Row],[item_sold]],Table1[],5,FALSE))</f>
        <v>90</v>
      </c>
      <c r="F4210" s="5">
        <f>(VLOOKUP(Table4[[#This Row],[item_sold]],Table1[],4,FALSE))*Table4[[#This Row],[qty]]</f>
        <v>61.25</v>
      </c>
      <c r="G4210">
        <f t="shared" si="515"/>
        <v>28.75</v>
      </c>
      <c r="H4210" t="s">
        <v>430</v>
      </c>
    </row>
    <row r="4211" spans="1:9" x14ac:dyDescent="0.25">
      <c r="A4211" s="1">
        <f t="shared" si="513"/>
        <v>45551</v>
      </c>
      <c r="B4211" s="31">
        <f t="shared" si="518"/>
        <v>0.74722222222222223</v>
      </c>
      <c r="C4211" t="str">
        <f>'Inventory as of 12th Aug 2024'!A42</f>
        <v>Indomie chicken</v>
      </c>
      <c r="D4211">
        <v>2</v>
      </c>
      <c r="E4211" s="5">
        <f>Table4[[#This Row],[qty]]*(VLOOKUP(Table4[[#This Row],[item_sold]],Table1[],5,FALSE))</f>
        <v>100</v>
      </c>
      <c r="F4211" s="5">
        <f>(VLOOKUP(Table4[[#This Row],[item_sold]],Table1[],4,FALSE))*Table4[[#This Row],[qty]]</f>
        <v>75</v>
      </c>
      <c r="G4211">
        <f t="shared" si="515"/>
        <v>25</v>
      </c>
      <c r="H4211" t="s">
        <v>430</v>
      </c>
    </row>
    <row r="4212" spans="1:9" x14ac:dyDescent="0.25">
      <c r="A4212" s="1">
        <f t="shared" si="513"/>
        <v>45551</v>
      </c>
      <c r="B4212" s="31">
        <f t="shared" si="518"/>
        <v>0.74722222222222223</v>
      </c>
      <c r="C4212" t="str">
        <f>'Inventory as of 12th Aug 2024'!A17</f>
        <v>Brookside milk 500ml</v>
      </c>
      <c r="D4212">
        <v>2</v>
      </c>
      <c r="E4212" s="5">
        <f>Table4[[#This Row],[qty]]*(VLOOKUP(Table4[[#This Row],[item_sold]],Table1[],5,FALSE))</f>
        <v>140</v>
      </c>
      <c r="F4212" s="5">
        <f>(VLOOKUP(Table4[[#This Row],[item_sold]],Table1[],4,FALSE))*Table4[[#This Row],[qty]]</f>
        <v>118</v>
      </c>
      <c r="G4212">
        <f t="shared" si="515"/>
        <v>22</v>
      </c>
      <c r="H4212" t="s">
        <v>430</v>
      </c>
    </row>
    <row r="4213" spans="1:9" x14ac:dyDescent="0.25">
      <c r="A4213" s="1">
        <f t="shared" si="513"/>
        <v>45551</v>
      </c>
      <c r="B4213" s="31">
        <f t="shared" si="518"/>
        <v>0.74722222222222223</v>
      </c>
      <c r="C4213" t="str">
        <f>'Inventory as of 12th Aug 2024'!A37</f>
        <v>Festive Bread 400g</v>
      </c>
      <c r="D4213">
        <v>1</v>
      </c>
      <c r="E4213" s="5">
        <f>Table4[[#This Row],[qty]]*(VLOOKUP(Table4[[#This Row],[item_sold]],Table1[],5,FALSE))</f>
        <v>65</v>
      </c>
      <c r="F4213" s="5">
        <f>(VLOOKUP(Table4[[#This Row],[item_sold]],Table1[],4,FALSE))*Table4[[#This Row],[qty]]</f>
        <v>60</v>
      </c>
      <c r="G4213">
        <f t="shared" si="515"/>
        <v>5</v>
      </c>
      <c r="H4213" t="s">
        <v>430</v>
      </c>
    </row>
    <row r="4214" spans="1:9" x14ac:dyDescent="0.25">
      <c r="A4214" s="1">
        <f t="shared" si="513"/>
        <v>45551</v>
      </c>
      <c r="B4214" s="31">
        <f t="shared" si="518"/>
        <v>0.74722222222222223</v>
      </c>
      <c r="C4214" t="str">
        <f>'Inventory as of 12th Aug 2024'!A134</f>
        <v>Hanaan Tissue</v>
      </c>
      <c r="D4214">
        <v>2</v>
      </c>
      <c r="E4214" s="5">
        <f>Table4[[#This Row],[qty]]*(VLOOKUP(Table4[[#This Row],[item_sold]],Table1[],5,FALSE))</f>
        <v>110</v>
      </c>
      <c r="F4214" s="5">
        <f>(VLOOKUP(Table4[[#This Row],[item_sold]],Table1[],4,FALSE))*Table4[[#This Row],[qty]]</f>
        <v>86</v>
      </c>
      <c r="G4214">
        <f t="shared" si="515"/>
        <v>24</v>
      </c>
      <c r="H4214" t="s">
        <v>430</v>
      </c>
    </row>
    <row r="4215" spans="1:9" x14ac:dyDescent="0.25">
      <c r="A4215" s="1">
        <f t="shared" si="513"/>
        <v>45551</v>
      </c>
      <c r="B4215" s="31">
        <f t="shared" si="518"/>
        <v>0.74722222222222223</v>
      </c>
      <c r="C4215" t="str">
        <f>'Inventory as of 12th Aug 2024'!A150</f>
        <v>Geisha big</v>
      </c>
      <c r="D4215">
        <v>1</v>
      </c>
      <c r="E4215" s="5">
        <f>Table4[[#This Row],[qty]]*(VLOOKUP(Table4[[#This Row],[item_sold]],Table1[],5,FALSE))</f>
        <v>120</v>
      </c>
      <c r="F4215" s="5">
        <f>(VLOOKUP(Table4[[#This Row],[item_sold]],Table1[],4,FALSE))*Table4[[#This Row],[qty]]</f>
        <v>95</v>
      </c>
      <c r="G4215">
        <f t="shared" si="515"/>
        <v>25</v>
      </c>
      <c r="H4215" t="s">
        <v>430</v>
      </c>
    </row>
    <row r="4216" spans="1:9" x14ac:dyDescent="0.25">
      <c r="A4216" s="1">
        <f t="shared" si="513"/>
        <v>45551</v>
      </c>
      <c r="B4216" s="31">
        <f t="shared" si="518"/>
        <v>0.74722222222222223</v>
      </c>
      <c r="C4216" t="str">
        <f>'Inventory as of 12th Aug 2024'!A213</f>
        <v>soda 500ml glass</v>
      </c>
      <c r="D4216">
        <v>5</v>
      </c>
      <c r="E4216" s="5">
        <f>Table4[[#This Row],[qty]]*(VLOOKUP(Table4[[#This Row],[item_sold]],Table1[],5,FALSE))</f>
        <v>275</v>
      </c>
      <c r="F4216" s="5">
        <f>(VLOOKUP(Table4[[#This Row],[item_sold]],Table1[],4,FALSE))*Table4[[#This Row],[qty]]</f>
        <v>250</v>
      </c>
      <c r="G4216">
        <f t="shared" si="515"/>
        <v>25</v>
      </c>
      <c r="H4216" t="s">
        <v>430</v>
      </c>
    </row>
    <row r="4217" spans="1:9" x14ac:dyDescent="0.25">
      <c r="A4217" s="1">
        <f t="shared" si="513"/>
        <v>45551</v>
      </c>
      <c r="B4217" s="31">
        <f>TIME(18,7,0)</f>
        <v>0.75486111111111109</v>
      </c>
      <c r="C4217" t="str">
        <f>'Inventory as of 12th Aug 2024'!A8</f>
        <v>eggs</v>
      </c>
      <c r="D4217">
        <v>2</v>
      </c>
      <c r="E4217" s="5">
        <f>Table4[[#This Row],[qty]]*(VLOOKUP(Table4[[#This Row],[item_sold]],Table1[],5,FALSE))</f>
        <v>40</v>
      </c>
      <c r="F4217" s="5">
        <f>(VLOOKUP(Table4[[#This Row],[item_sold]],Table1[],4,FALSE))*Table4[[#This Row],[qty]]</f>
        <v>28.666666666666668</v>
      </c>
      <c r="G4217">
        <f t="shared" si="515"/>
        <v>11.333333333333332</v>
      </c>
      <c r="H4217" t="s">
        <v>361</v>
      </c>
    </row>
    <row r="4218" spans="1:9" x14ac:dyDescent="0.25">
      <c r="A4218" s="1">
        <f t="shared" si="513"/>
        <v>45551</v>
      </c>
      <c r="B4218" s="31">
        <f>TIME(18,22,0)</f>
        <v>0.76527777777777783</v>
      </c>
      <c r="C4218" t="str">
        <f>'Inventory as of 12th Aug 2024'!A217</f>
        <v>Pencil</v>
      </c>
      <c r="D4218">
        <v>1</v>
      </c>
      <c r="E4218" s="5">
        <f>Table4[[#This Row],[qty]]*(VLOOKUP(Table4[[#This Row],[item_sold]],Table1[],5,FALSE))</f>
        <v>10</v>
      </c>
      <c r="F4218" s="5">
        <f>(VLOOKUP(Table4[[#This Row],[item_sold]],Table1[],4,FALSE))*Table4[[#This Row],[qty]]</f>
        <v>7.5</v>
      </c>
      <c r="G4218">
        <f t="shared" si="515"/>
        <v>2.5</v>
      </c>
      <c r="H4218" t="s">
        <v>430</v>
      </c>
      <c r="I4218" t="s">
        <v>456</v>
      </c>
    </row>
    <row r="4219" spans="1:9" x14ac:dyDescent="0.25">
      <c r="A4219" s="1">
        <f t="shared" si="513"/>
        <v>45551</v>
      </c>
      <c r="B4219" s="31">
        <f>TIME(18,52,0)</f>
        <v>0.78611111111111109</v>
      </c>
      <c r="C4219" t="str">
        <f>'Inventory as of 12th Aug 2024'!A58</f>
        <v>Safari</v>
      </c>
      <c r="D4219">
        <v>1</v>
      </c>
      <c r="E4219" s="5">
        <f>Table4[[#This Row],[qty]]*(VLOOKUP(Table4[[#This Row],[item_sold]],Table1[],5,FALSE))</f>
        <v>15</v>
      </c>
      <c r="F4219" s="5">
        <f>(VLOOKUP(Table4[[#This Row],[item_sold]],Table1[],4,FALSE))*Table4[[#This Row],[qty]]</f>
        <v>8.5</v>
      </c>
      <c r="G4219">
        <f t="shared" si="515"/>
        <v>6.5</v>
      </c>
      <c r="H4219" t="s">
        <v>361</v>
      </c>
    </row>
    <row r="4220" spans="1:9" x14ac:dyDescent="0.25">
      <c r="A4220" s="1">
        <f t="shared" si="513"/>
        <v>45551</v>
      </c>
      <c r="B4220" s="31">
        <f>TIME(18,52,0)</f>
        <v>0.78611111111111109</v>
      </c>
      <c r="C4220" t="str">
        <f>'Inventory as of 12th Aug 2024'!A75</f>
        <v>Cooking Oil Measured</v>
      </c>
      <c r="D4220">
        <v>0.25</v>
      </c>
      <c r="E4220" s="5">
        <f>Table4[[#This Row],[qty]]*(VLOOKUP(Table4[[#This Row],[item_sold]],Table1[],5,FALSE))</f>
        <v>70</v>
      </c>
      <c r="F4220" s="5">
        <f>(VLOOKUP(Table4[[#This Row],[item_sold]],Table1[],4,FALSE))*Table4[[#This Row],[qty]]</f>
        <v>50</v>
      </c>
      <c r="G4220">
        <f t="shared" si="515"/>
        <v>20</v>
      </c>
      <c r="H4220" t="s">
        <v>361</v>
      </c>
    </row>
    <row r="4221" spans="1:9" x14ac:dyDescent="0.25">
      <c r="A4221" s="1">
        <f t="shared" si="513"/>
        <v>45551</v>
      </c>
      <c r="B4221" s="31">
        <f>TIME(9,58,0)</f>
        <v>0.4152777777777778</v>
      </c>
      <c r="C4221" t="str">
        <f>'Inventory as of 12th Aug 2024'!A58</f>
        <v>Safari</v>
      </c>
      <c r="D4221">
        <v>2</v>
      </c>
      <c r="E4221" s="5">
        <f>Table4[[#This Row],[qty]]*(VLOOKUP(Table4[[#This Row],[item_sold]],Table1[],5,FALSE))</f>
        <v>30</v>
      </c>
      <c r="F4221" s="5">
        <f>(VLOOKUP(Table4[[#This Row],[item_sold]],Table1[],4,FALSE))*Table4[[#This Row],[qty]]</f>
        <v>17</v>
      </c>
      <c r="G4221">
        <f t="shared" si="515"/>
        <v>13</v>
      </c>
      <c r="H4221" t="s">
        <v>361</v>
      </c>
    </row>
    <row r="4222" spans="1:9" x14ac:dyDescent="0.25">
      <c r="A4222" s="1">
        <f t="shared" si="513"/>
        <v>45551</v>
      </c>
      <c r="B4222" s="31">
        <f>TIME(19,22,0)</f>
        <v>0.80694444444444446</v>
      </c>
      <c r="C4222" t="str">
        <f>'Inventory as of 12th Aug 2024'!A58</f>
        <v>Safari</v>
      </c>
      <c r="D4222">
        <v>3</v>
      </c>
      <c r="E4222" s="5">
        <f>Table4[[#This Row],[qty]]*(VLOOKUP(Table4[[#This Row],[item_sold]],Table1[],5,FALSE))</f>
        <v>45</v>
      </c>
      <c r="F4222" s="5">
        <f>(VLOOKUP(Table4[[#This Row],[item_sold]],Table1[],4,FALSE))*Table4[[#This Row],[qty]]</f>
        <v>25.5</v>
      </c>
      <c r="G4222">
        <f t="shared" si="515"/>
        <v>19.5</v>
      </c>
      <c r="H4222" t="s">
        <v>361</v>
      </c>
    </row>
    <row r="4223" spans="1:9" x14ac:dyDescent="0.25">
      <c r="A4223" s="1">
        <f t="shared" si="513"/>
        <v>45551</v>
      </c>
      <c r="B4223" s="31">
        <f t="shared" ref="B4223" si="519">TIME(19,22,0)</f>
        <v>0.80694444444444446</v>
      </c>
      <c r="C4223" t="str">
        <f>'Inventory as of 12th Aug 2024'!A107</f>
        <v>Match Box</v>
      </c>
      <c r="D4223">
        <v>1</v>
      </c>
      <c r="E4223" s="5">
        <f>Table4[[#This Row],[qty]]*(VLOOKUP(Table4[[#This Row],[item_sold]],Table1[],5,FALSE))</f>
        <v>5</v>
      </c>
      <c r="F4223" s="5">
        <f>(VLOOKUP(Table4[[#This Row],[item_sold]],Table1[],4,FALSE))*Table4[[#This Row],[qty]]</f>
        <v>2.3611111111111112</v>
      </c>
      <c r="G4223">
        <f t="shared" si="515"/>
        <v>2.6388888888888888</v>
      </c>
      <c r="H4223" t="s">
        <v>361</v>
      </c>
    </row>
    <row r="4224" spans="1:9" x14ac:dyDescent="0.25">
      <c r="A4224" s="1">
        <f t="shared" si="513"/>
        <v>45551</v>
      </c>
      <c r="B4224" s="31">
        <f>TIME(19,23,0)</f>
        <v>0.80763888888888891</v>
      </c>
      <c r="C4224" t="str">
        <f>'Inventory as of 12th Aug 2024'!A36</f>
        <v>Festive 800g</v>
      </c>
      <c r="D4224">
        <v>1</v>
      </c>
      <c r="E4224" s="5">
        <f>Table4[[#This Row],[qty]]*(VLOOKUP(Table4[[#This Row],[item_sold]],Table1[],5,FALSE))</f>
        <v>130</v>
      </c>
      <c r="F4224" s="5">
        <f>(VLOOKUP(Table4[[#This Row],[item_sold]],Table1[],4,FALSE))*Table4[[#This Row],[qty]]</f>
        <v>120</v>
      </c>
      <c r="G4224">
        <f t="shared" si="515"/>
        <v>10</v>
      </c>
      <c r="H4224" t="s">
        <v>247</v>
      </c>
    </row>
    <row r="4225" spans="1:9" x14ac:dyDescent="0.25">
      <c r="A4225" s="1">
        <f t="shared" si="513"/>
        <v>45551</v>
      </c>
      <c r="B4225" s="31">
        <f t="shared" ref="B4225" si="520">TIME(19,23,0)</f>
        <v>0.80763888888888891</v>
      </c>
      <c r="C4225" t="str">
        <f>'Inventory as of 12th Aug 2024'!A33</f>
        <v>BB Bread 400g</v>
      </c>
      <c r="D4225">
        <v>1</v>
      </c>
      <c r="E4225" s="5">
        <f>Table4[[#This Row],[qty]]*(VLOOKUP(Table4[[#This Row],[item_sold]],Table1[],5,FALSE))</f>
        <v>65</v>
      </c>
      <c r="F4225" s="5">
        <f>(VLOOKUP(Table4[[#This Row],[item_sold]],Table1[],4,FALSE))*Table4[[#This Row],[qty]]</f>
        <v>60</v>
      </c>
      <c r="G4225">
        <f t="shared" si="515"/>
        <v>5</v>
      </c>
      <c r="H4225" t="s">
        <v>430</v>
      </c>
      <c r="I4225" t="s">
        <v>455</v>
      </c>
    </row>
    <row r="4226" spans="1:9" x14ac:dyDescent="0.25">
      <c r="A4226" s="1">
        <f t="shared" si="513"/>
        <v>45551</v>
      </c>
      <c r="B4226" s="31">
        <f>TIME(19,33,0)</f>
        <v>0.81458333333333333</v>
      </c>
      <c r="C4226" t="str">
        <f>'Inventory as of 12th Aug 2024'!A37</f>
        <v>Festive Bread 400g</v>
      </c>
      <c r="D4226">
        <v>1</v>
      </c>
      <c r="E4226" s="5">
        <f>Table4[[#This Row],[qty]]*(VLOOKUP(Table4[[#This Row],[item_sold]],Table1[],5,FALSE))</f>
        <v>65</v>
      </c>
      <c r="F4226" s="5">
        <f>(VLOOKUP(Table4[[#This Row],[item_sold]],Table1[],4,FALSE))*Table4[[#This Row],[qty]]</f>
        <v>60</v>
      </c>
      <c r="G4226">
        <f t="shared" si="515"/>
        <v>5</v>
      </c>
      <c r="H4226" t="s">
        <v>361</v>
      </c>
    </row>
    <row r="4227" spans="1:9" x14ac:dyDescent="0.25">
      <c r="A4227" s="1">
        <f t="shared" si="513"/>
        <v>45551</v>
      </c>
      <c r="B4227" s="31">
        <f>TIME(19,32,0)</f>
        <v>0.81388888888888899</v>
      </c>
      <c r="C4227" t="str">
        <f>'Inventory as of 12th Aug 2024'!A58</f>
        <v>Safari</v>
      </c>
      <c r="D4227">
        <v>1</v>
      </c>
      <c r="E4227" s="5">
        <f>Table4[[#This Row],[qty]]*(VLOOKUP(Table4[[#This Row],[item_sold]],Table1[],5,FALSE))</f>
        <v>15</v>
      </c>
      <c r="F4227" s="5">
        <f>(VLOOKUP(Table4[[#This Row],[item_sold]],Table1[],4,FALSE))*Table4[[#This Row],[qty]]</f>
        <v>8.5</v>
      </c>
      <c r="G4227">
        <f t="shared" si="515"/>
        <v>6.5</v>
      </c>
      <c r="H4227" t="s">
        <v>361</v>
      </c>
    </row>
    <row r="4228" spans="1:9" x14ac:dyDescent="0.25">
      <c r="A4228" s="1">
        <f t="shared" si="513"/>
        <v>45551</v>
      </c>
      <c r="B4228" s="31">
        <f>TIME(19,38,0)</f>
        <v>0.81805555555555554</v>
      </c>
      <c r="C4228" t="str">
        <f>'Inventory as of 12th Aug 2024'!A209</f>
        <v>afia 500ml</v>
      </c>
      <c r="D4228">
        <v>1</v>
      </c>
      <c r="E4228" s="5">
        <f>Table4[[#This Row],[qty]]*(VLOOKUP(Table4[[#This Row],[item_sold]],Table1[],5,FALSE))</f>
        <v>85</v>
      </c>
      <c r="F4228" s="5">
        <f>(VLOOKUP(Table4[[#This Row],[item_sold]],Table1[],4,FALSE))*Table4[[#This Row],[qty]]</f>
        <v>70.833333333333329</v>
      </c>
      <c r="G4228">
        <f t="shared" si="515"/>
        <v>14.166666666666671</v>
      </c>
      <c r="H4228" t="s">
        <v>361</v>
      </c>
    </row>
    <row r="4229" spans="1:9" x14ac:dyDescent="0.25">
      <c r="A4229" s="1">
        <f t="shared" si="513"/>
        <v>45551</v>
      </c>
      <c r="B4229" s="31">
        <f>TIME(19,39,0)</f>
        <v>0.81874999999999998</v>
      </c>
      <c r="C4229" t="str">
        <f>'Inventory as of 12th Aug 2024'!A37</f>
        <v>Festive Bread 400g</v>
      </c>
      <c r="D4229">
        <v>1</v>
      </c>
      <c r="E4229" s="5">
        <f>Table4[[#This Row],[qty]]*(VLOOKUP(Table4[[#This Row],[item_sold]],Table1[],5,FALSE))</f>
        <v>65</v>
      </c>
      <c r="F4229" s="5">
        <f>(VLOOKUP(Table4[[#This Row],[item_sold]],Table1[],4,FALSE))*Table4[[#This Row],[qty]]</f>
        <v>60</v>
      </c>
      <c r="G4229">
        <f t="shared" si="515"/>
        <v>5</v>
      </c>
      <c r="H4229" t="s">
        <v>361</v>
      </c>
    </row>
    <row r="4230" spans="1:9" x14ac:dyDescent="0.25">
      <c r="A4230" s="1">
        <f t="shared" si="513"/>
        <v>45551</v>
      </c>
      <c r="B4230" s="31">
        <f>TIME(19,49,0)</f>
        <v>0.8256944444444444</v>
      </c>
      <c r="C4230" t="str">
        <f>'Inventory as of 12th Aug 2024'!A6</f>
        <v>Airtel 10 Credit</v>
      </c>
      <c r="D4230">
        <v>1</v>
      </c>
      <c r="E4230" s="5">
        <f>Table4[[#This Row],[qty]]*(VLOOKUP(Table4[[#This Row],[item_sold]],Table1[],5,FALSE))</f>
        <v>10</v>
      </c>
      <c r="F4230" s="5">
        <f>(VLOOKUP(Table4[[#This Row],[item_sold]],Table1[],4,FALSE))*Table4[[#This Row],[qty]]</f>
        <v>9</v>
      </c>
      <c r="G4230">
        <f t="shared" si="515"/>
        <v>1</v>
      </c>
      <c r="H4230" t="s">
        <v>361</v>
      </c>
    </row>
    <row r="4231" spans="1:9" x14ac:dyDescent="0.25">
      <c r="A4231" s="1">
        <f t="shared" si="513"/>
        <v>45551</v>
      </c>
      <c r="B4231" s="31">
        <f>TIME(20,0,0)</f>
        <v>0.83333333333333337</v>
      </c>
      <c r="C4231" t="str">
        <f>'Inventory as of 12th Aug 2024'!A10</f>
        <v>Mt Kenya milk 200ml</v>
      </c>
      <c r="D4231">
        <v>4</v>
      </c>
      <c r="E4231" s="5">
        <f>Table4[[#This Row],[qty]]*(VLOOKUP(Table4[[#This Row],[item_sold]],Table1[],5,FALSE))</f>
        <v>140</v>
      </c>
      <c r="F4231" s="5">
        <f>(VLOOKUP(Table4[[#This Row],[item_sold]],Table1[],4,FALSE))*Table4[[#This Row],[qty]]</f>
        <v>97.142857142857139</v>
      </c>
      <c r="G4231">
        <f t="shared" si="515"/>
        <v>42.857142857142861</v>
      </c>
      <c r="H4231" t="s">
        <v>361</v>
      </c>
    </row>
    <row r="4232" spans="1:9" x14ac:dyDescent="0.25">
      <c r="A4232" s="1">
        <f t="shared" si="513"/>
        <v>45551</v>
      </c>
      <c r="B4232" s="31">
        <f>TIME(20,0,0)</f>
        <v>0.83333333333333337</v>
      </c>
      <c r="C4232" t="str">
        <f>'Inventory as of 12th Aug 2024'!A8</f>
        <v>eggs</v>
      </c>
      <c r="D4232">
        <v>2</v>
      </c>
      <c r="E4232" s="5">
        <f>Table4[[#This Row],[qty]]*(VLOOKUP(Table4[[#This Row],[item_sold]],Table1[],5,FALSE))</f>
        <v>40</v>
      </c>
      <c r="F4232" s="5">
        <f>(VLOOKUP(Table4[[#This Row],[item_sold]],Table1[],4,FALSE))*Table4[[#This Row],[qty]]</f>
        <v>28.666666666666668</v>
      </c>
      <c r="G4232">
        <f t="shared" si="515"/>
        <v>11.333333333333332</v>
      </c>
      <c r="H4232" t="s">
        <v>361</v>
      </c>
    </row>
    <row r="4233" spans="1:9" x14ac:dyDescent="0.25">
      <c r="A4233" s="1">
        <f>DATE(2024,9,17)</f>
        <v>45552</v>
      </c>
      <c r="B4233" s="31">
        <f>TIME(7,14,0)</f>
        <v>0.30138888888888887</v>
      </c>
      <c r="C4233" t="str">
        <f>'Inventory as of 12th Aug 2024'!A87</f>
        <v>Menengai Bar 1kg</v>
      </c>
      <c r="D4233">
        <v>0.2</v>
      </c>
      <c r="E4233" s="5">
        <f>Table4[[#This Row],[qty]]*(VLOOKUP(Table4[[#This Row],[item_sold]],Table1[],5,FALSE))</f>
        <v>50</v>
      </c>
      <c r="F4233" s="5">
        <f>(VLOOKUP(Table4[[#This Row],[item_sold]],Table1[],4,FALSE))*Table4[[#This Row],[qty]]</f>
        <v>38</v>
      </c>
      <c r="G4233">
        <f t="shared" si="515"/>
        <v>12</v>
      </c>
      <c r="H4233" t="s">
        <v>361</v>
      </c>
    </row>
    <row r="4234" spans="1:9" x14ac:dyDescent="0.25">
      <c r="A4234" s="1">
        <f t="shared" ref="A4234:A4286" si="521">DATE(2024,9,17)</f>
        <v>45552</v>
      </c>
      <c r="B4234" s="31">
        <f t="shared" ref="B4234" si="522">TIME(7,14,0)</f>
        <v>0.30138888888888887</v>
      </c>
      <c r="C4234" t="str">
        <f>'Inventory as of 12th Aug 2024'!A92</f>
        <v>Banana</v>
      </c>
      <c r="D4234">
        <v>6</v>
      </c>
      <c r="E4234" s="5">
        <f>Table4[[#This Row],[qty]]*(VLOOKUP(Table4[[#This Row],[item_sold]],Table1[],5,FALSE))</f>
        <v>60</v>
      </c>
      <c r="F4234" s="5">
        <f>(VLOOKUP(Table4[[#This Row],[item_sold]],Table1[],4,FALSE))*Table4[[#This Row],[qty]]</f>
        <v>50</v>
      </c>
      <c r="G4234">
        <f t="shared" si="515"/>
        <v>10</v>
      </c>
      <c r="H4234" t="s">
        <v>361</v>
      </c>
    </row>
    <row r="4235" spans="1:9" x14ac:dyDescent="0.25">
      <c r="A4235" s="1">
        <f t="shared" si="521"/>
        <v>45552</v>
      </c>
      <c r="B4235" s="31">
        <f>TIME(7,28,0)</f>
        <v>0.31111111111111112</v>
      </c>
      <c r="C4235" t="str">
        <f>'Inventory as of 12th Aug 2024'!A58</f>
        <v>Safari</v>
      </c>
      <c r="D4235">
        <v>1</v>
      </c>
      <c r="E4235" s="5">
        <f>Table4[[#This Row],[qty]]*(VLOOKUP(Table4[[#This Row],[item_sold]],Table1[],5,FALSE))</f>
        <v>15</v>
      </c>
      <c r="F4235" s="5">
        <f>(VLOOKUP(Table4[[#This Row],[item_sold]],Table1[],4,FALSE))*Table4[[#This Row],[qty]]</f>
        <v>8.5</v>
      </c>
      <c r="G4235">
        <f t="shared" si="515"/>
        <v>6.5</v>
      </c>
      <c r="H4235" t="s">
        <v>361</v>
      </c>
    </row>
    <row r="4236" spans="1:9" x14ac:dyDescent="0.25">
      <c r="A4236" s="1">
        <f t="shared" si="521"/>
        <v>45552</v>
      </c>
      <c r="B4236" s="31">
        <f>TIME(8,44,0)</f>
        <v>0.36388888888888887</v>
      </c>
      <c r="C4236" t="str">
        <f>'Inventory as of 12th Aug 2024'!A107</f>
        <v>Match Box</v>
      </c>
      <c r="D4236">
        <v>2</v>
      </c>
      <c r="E4236" s="5">
        <f>Table4[[#This Row],[qty]]*(VLOOKUP(Table4[[#This Row],[item_sold]],Table1[],5,FALSE))</f>
        <v>10</v>
      </c>
      <c r="F4236" s="5">
        <f>(VLOOKUP(Table4[[#This Row],[item_sold]],Table1[],4,FALSE))*Table4[[#This Row],[qty]]</f>
        <v>4.7222222222222223</v>
      </c>
      <c r="G4236">
        <f t="shared" si="515"/>
        <v>5.2777777777777777</v>
      </c>
      <c r="H4236" t="s">
        <v>361</v>
      </c>
    </row>
    <row r="4237" spans="1:9" x14ac:dyDescent="0.25">
      <c r="A4237" s="1">
        <f t="shared" si="521"/>
        <v>45552</v>
      </c>
      <c r="B4237" s="31">
        <f t="shared" ref="B4237" si="523">TIME(8,44,0)</f>
        <v>0.36388888888888887</v>
      </c>
      <c r="C4237" t="str">
        <f>'Inventory as of 12th Aug 2024'!A236</f>
        <v>Gomba</v>
      </c>
      <c r="D4237">
        <v>2</v>
      </c>
      <c r="E4237" s="5">
        <f>Table4[[#This Row],[qty]]*(VLOOKUP(Table4[[#This Row],[item_sold]],Table1[],5,FALSE))</f>
        <v>5</v>
      </c>
      <c r="F4237" s="5">
        <f>(VLOOKUP(Table4[[#This Row],[item_sold]],Table1[],4,FALSE))*Table4[[#This Row],[qty]]</f>
        <v>3.6</v>
      </c>
      <c r="G4237">
        <f t="shared" si="515"/>
        <v>1.4</v>
      </c>
      <c r="H4237" t="s">
        <v>361</v>
      </c>
    </row>
    <row r="4238" spans="1:9" x14ac:dyDescent="0.25">
      <c r="A4238" s="1">
        <f t="shared" si="521"/>
        <v>45552</v>
      </c>
      <c r="B4238" s="31">
        <f>TIME(8,45,0)</f>
        <v>0.36458333333333331</v>
      </c>
      <c r="C4238" t="str">
        <f>'Inventory as of 12th Aug 2024'!A248</f>
        <v>Soko Maize meal</v>
      </c>
      <c r="D4238">
        <v>1</v>
      </c>
      <c r="E4238" s="5">
        <f>Table4[[#This Row],[qty]]*(VLOOKUP(Table4[[#This Row],[item_sold]],Table1[],5,FALSE))</f>
        <v>160</v>
      </c>
      <c r="F4238" s="5">
        <f>(VLOOKUP(Table4[[#This Row],[item_sold]],Table1[],4,FALSE))*Table4[[#This Row],[qty]]</f>
        <v>125</v>
      </c>
      <c r="G4238">
        <f t="shared" si="515"/>
        <v>35</v>
      </c>
      <c r="H4238" t="s">
        <v>430</v>
      </c>
      <c r="I4238" t="s">
        <v>427</v>
      </c>
    </row>
    <row r="4239" spans="1:9" x14ac:dyDescent="0.25">
      <c r="A4239" s="1">
        <f t="shared" si="521"/>
        <v>45552</v>
      </c>
      <c r="B4239" s="31">
        <f t="shared" ref="B4239:B4240" si="524">TIME(8,45,0)</f>
        <v>0.36458333333333331</v>
      </c>
      <c r="C4239" t="str">
        <f>'Inventory as of 12th Aug 2024'!A58</f>
        <v>Safari</v>
      </c>
      <c r="D4239">
        <v>1</v>
      </c>
      <c r="E4239" s="5">
        <f>Table4[[#This Row],[qty]]*(VLOOKUP(Table4[[#This Row],[item_sold]],Table1[],5,FALSE))</f>
        <v>15</v>
      </c>
      <c r="F4239" s="5">
        <f>(VLOOKUP(Table4[[#This Row],[item_sold]],Table1[],4,FALSE))*Table4[[#This Row],[qty]]</f>
        <v>8.5</v>
      </c>
      <c r="G4239">
        <f t="shared" ref="G4239:G4267" si="525">E4239-F4239</f>
        <v>6.5</v>
      </c>
      <c r="H4239" t="s">
        <v>247</v>
      </c>
    </row>
    <row r="4240" spans="1:9" x14ac:dyDescent="0.25">
      <c r="A4240" s="1">
        <f t="shared" si="521"/>
        <v>45552</v>
      </c>
      <c r="B4240" s="31">
        <f t="shared" si="524"/>
        <v>0.36458333333333331</v>
      </c>
      <c r="C4240" t="str">
        <f>'Inventory as of 12th Aug 2024'!A33</f>
        <v>BB Bread 400g</v>
      </c>
      <c r="D4240">
        <v>1</v>
      </c>
      <c r="E4240" s="5">
        <f>Table4[[#This Row],[qty]]*(VLOOKUP(Table4[[#This Row],[item_sold]],Table1[],5,FALSE))</f>
        <v>65</v>
      </c>
      <c r="F4240" s="5">
        <f>(VLOOKUP(Table4[[#This Row],[item_sold]],Table1[],4,FALSE))*Table4[[#This Row],[qty]]</f>
        <v>60</v>
      </c>
      <c r="G4240">
        <f t="shared" si="525"/>
        <v>5</v>
      </c>
      <c r="H4240" t="s">
        <v>247</v>
      </c>
    </row>
    <row r="4241" spans="1:12" x14ac:dyDescent="0.25">
      <c r="A4241" s="1">
        <f t="shared" si="521"/>
        <v>45552</v>
      </c>
      <c r="B4241" s="31">
        <f>TIME(9,41,0)</f>
        <v>0.40347222222222223</v>
      </c>
      <c r="C4241" t="str">
        <f>'Inventory as of 12th Aug 2024'!A2</f>
        <v>Safaricom 20 Credit</v>
      </c>
      <c r="D4241">
        <v>1</v>
      </c>
      <c r="E4241" s="5">
        <f>Table4[[#This Row],[qty]]*(VLOOKUP(Table4[[#This Row],[item_sold]],Table1[],5,FALSE))</f>
        <v>20</v>
      </c>
      <c r="F4241" s="5">
        <f>(VLOOKUP(Table4[[#This Row],[item_sold]],Table1[],4,FALSE))*Table4[[#This Row],[qty]]</f>
        <v>18</v>
      </c>
      <c r="G4241">
        <f t="shared" si="525"/>
        <v>2</v>
      </c>
      <c r="H4241" t="s">
        <v>247</v>
      </c>
    </row>
    <row r="4242" spans="1:12" x14ac:dyDescent="0.25">
      <c r="A4242" s="1">
        <f t="shared" si="521"/>
        <v>45552</v>
      </c>
      <c r="B4242" s="31">
        <f t="shared" ref="B4242" si="526">TIME(9,41,0)</f>
        <v>0.40347222222222223</v>
      </c>
      <c r="C4242" t="str">
        <f>'Inventory as of 12th Aug 2024'!A5</f>
        <v>Airtel 20 Credit</v>
      </c>
      <c r="D4242">
        <v>1</v>
      </c>
      <c r="E4242" s="5">
        <f>Table4[[#This Row],[qty]]*(VLOOKUP(Table4[[#This Row],[item_sold]],Table1[],5,FALSE))</f>
        <v>20</v>
      </c>
      <c r="F4242" s="5">
        <f>(VLOOKUP(Table4[[#This Row],[item_sold]],Table1[],4,FALSE))*Table4[[#This Row],[qty]]</f>
        <v>18</v>
      </c>
      <c r="G4242">
        <f t="shared" si="525"/>
        <v>2</v>
      </c>
      <c r="H4242" t="s">
        <v>247</v>
      </c>
    </row>
    <row r="4243" spans="1:12" x14ac:dyDescent="0.25">
      <c r="A4243" s="1">
        <f t="shared" si="521"/>
        <v>45552</v>
      </c>
      <c r="B4243" s="31">
        <f>TIME(9,44,0)</f>
        <v>0.4055555555555555</v>
      </c>
      <c r="C4243" t="str">
        <f>'Inventory as of 12th Aug 2024'!A193</f>
        <v>Ginger Bisquit</v>
      </c>
      <c r="D4243">
        <v>6</v>
      </c>
      <c r="E4243" s="5">
        <f>Table4[[#This Row],[qty]]*(VLOOKUP(Table4[[#This Row],[item_sold]],Table1[],5,FALSE))</f>
        <v>30</v>
      </c>
      <c r="F4243" s="5">
        <f>(VLOOKUP(Table4[[#This Row],[item_sold]],Table1[],4,FALSE))*Table4[[#This Row],[qty]]</f>
        <v>26</v>
      </c>
      <c r="G4243">
        <f t="shared" si="525"/>
        <v>4</v>
      </c>
      <c r="H4243" t="s">
        <v>247</v>
      </c>
    </row>
    <row r="4244" spans="1:12" x14ac:dyDescent="0.25">
      <c r="A4244" s="1">
        <f t="shared" si="521"/>
        <v>45552</v>
      </c>
      <c r="B4244" s="31">
        <f>TIME(10,19,0)</f>
        <v>0.42986111111111108</v>
      </c>
      <c r="C4244" t="str">
        <f>'Inventory as of 12th Aug 2024'!A42</f>
        <v>Indomie chicken</v>
      </c>
      <c r="D4244">
        <v>2</v>
      </c>
      <c r="E4244" s="5">
        <f>Table4[[#This Row],[qty]]*(VLOOKUP(Table4[[#This Row],[item_sold]],Table1[],5,FALSE))</f>
        <v>100</v>
      </c>
      <c r="F4244" s="5">
        <f>(VLOOKUP(Table4[[#This Row],[item_sold]],Table1[],4,FALSE))*Table4[[#This Row],[qty]]</f>
        <v>75</v>
      </c>
      <c r="G4244">
        <f t="shared" si="525"/>
        <v>25</v>
      </c>
      <c r="H4244" t="s">
        <v>247</v>
      </c>
    </row>
    <row r="4245" spans="1:12" x14ac:dyDescent="0.25">
      <c r="A4245" s="1">
        <f t="shared" si="521"/>
        <v>45552</v>
      </c>
      <c r="B4245" s="31">
        <f>TIME(11,12,0)</f>
        <v>0.46666666666666662</v>
      </c>
      <c r="C4245" t="str">
        <f>'Inventory as of 12th Aug 2024'!A58</f>
        <v>Safari</v>
      </c>
      <c r="D4245">
        <v>1</v>
      </c>
      <c r="E4245" s="5">
        <f>Table4[[#This Row],[qty]]*(VLOOKUP(Table4[[#This Row],[item_sold]],Table1[],5,FALSE))</f>
        <v>15</v>
      </c>
      <c r="F4245" s="5">
        <f>(VLOOKUP(Table4[[#This Row],[item_sold]],Table1[],4,FALSE))*Table4[[#This Row],[qty]]</f>
        <v>8.5</v>
      </c>
      <c r="G4245">
        <f t="shared" si="525"/>
        <v>6.5</v>
      </c>
      <c r="H4245" t="s">
        <v>361</v>
      </c>
    </row>
    <row r="4246" spans="1:12" x14ac:dyDescent="0.25">
      <c r="A4246" s="1">
        <f t="shared" si="521"/>
        <v>45552</v>
      </c>
      <c r="B4246" s="31">
        <f>TIME(11,41,0)</f>
        <v>0.48680555555555555</v>
      </c>
      <c r="C4246" t="str">
        <f>'Inventory as of 12th Aug 2024'!A120</f>
        <v>Maramoja</v>
      </c>
      <c r="D4246">
        <v>1</v>
      </c>
      <c r="E4246" s="5">
        <f>Table4[[#This Row],[qty]]*(VLOOKUP(Table4[[#This Row],[item_sold]],Table1[],5,FALSE))</f>
        <v>10</v>
      </c>
      <c r="F4246" s="5">
        <f>(VLOOKUP(Table4[[#This Row],[item_sold]],Table1[],4,FALSE))*Table4[[#This Row],[qty]]</f>
        <v>7</v>
      </c>
      <c r="G4246">
        <f t="shared" si="525"/>
        <v>3</v>
      </c>
      <c r="H4246" t="s">
        <v>361</v>
      </c>
    </row>
    <row r="4247" spans="1:12" x14ac:dyDescent="0.25">
      <c r="A4247" s="1">
        <f t="shared" si="521"/>
        <v>45552</v>
      </c>
      <c r="B4247" s="31">
        <f>TIME(12,4,0)</f>
        <v>0.50277777777777777</v>
      </c>
      <c r="C4247" t="str">
        <f>'Inventory as of 12th Aug 2024'!A153</f>
        <v>mosquito stick</v>
      </c>
      <c r="D4247">
        <v>3</v>
      </c>
      <c r="E4247" s="5">
        <f>Table4[[#This Row],[qty]]*(VLOOKUP(Table4[[#This Row],[item_sold]],Table1[],5,FALSE))</f>
        <v>30</v>
      </c>
      <c r="F4247" s="5">
        <f>(VLOOKUP(Table4[[#This Row],[item_sold]],Table1[],4,FALSE))*Table4[[#This Row],[qty]]</f>
        <v>27</v>
      </c>
      <c r="G4247">
        <f t="shared" si="525"/>
        <v>3</v>
      </c>
      <c r="H4247" t="s">
        <v>361</v>
      </c>
    </row>
    <row r="4248" spans="1:12" x14ac:dyDescent="0.25">
      <c r="A4248" s="1">
        <f t="shared" si="521"/>
        <v>45552</v>
      </c>
      <c r="B4248" s="31">
        <f>TIME(13,5,0)</f>
        <v>0.54513888888888895</v>
      </c>
      <c r="C4248" t="str">
        <f>'Inventory as of 12th Aug 2024'!A8</f>
        <v>eggs</v>
      </c>
      <c r="D4248">
        <v>3</v>
      </c>
      <c r="E4248" s="5">
        <f>Table4[[#This Row],[qty]]*(VLOOKUP(Table4[[#This Row],[item_sold]],Table1[],5,FALSE))</f>
        <v>60</v>
      </c>
      <c r="F4248" s="5">
        <f>(VLOOKUP(Table4[[#This Row],[item_sold]],Table1[],4,FALSE))*Table4[[#This Row],[qty]]</f>
        <v>43</v>
      </c>
      <c r="G4248">
        <f t="shared" si="525"/>
        <v>17</v>
      </c>
      <c r="H4248" t="s">
        <v>361</v>
      </c>
    </row>
    <row r="4249" spans="1:12" x14ac:dyDescent="0.25">
      <c r="A4249" s="1">
        <f t="shared" si="521"/>
        <v>45552</v>
      </c>
      <c r="B4249" s="31">
        <f t="shared" ref="B4249" si="527">TIME(13,5,0)</f>
        <v>0.54513888888888895</v>
      </c>
      <c r="C4249" t="str">
        <f>'Inventory as of 12th Aug 2024'!A33</f>
        <v>BB Bread 400g</v>
      </c>
      <c r="D4249">
        <v>1</v>
      </c>
      <c r="E4249" s="5">
        <f>Table4[[#This Row],[qty]]*(VLOOKUP(Table4[[#This Row],[item_sold]],Table1[],5,FALSE))</f>
        <v>65</v>
      </c>
      <c r="F4249" s="5">
        <f>(VLOOKUP(Table4[[#This Row],[item_sold]],Table1[],4,FALSE))*Table4[[#This Row],[qty]]</f>
        <v>60</v>
      </c>
      <c r="G4249">
        <f t="shared" si="525"/>
        <v>5</v>
      </c>
      <c r="H4249" t="s">
        <v>361</v>
      </c>
    </row>
    <row r="4250" spans="1:12" x14ac:dyDescent="0.25">
      <c r="A4250" s="1">
        <f t="shared" si="521"/>
        <v>45552</v>
      </c>
      <c r="B4250" s="31">
        <f>TIME(13,14,0)</f>
        <v>0.55138888888888882</v>
      </c>
      <c r="C4250" t="str">
        <f>'Inventory as of 12th Aug 2024'!A83</f>
        <v>omo 75g</v>
      </c>
      <c r="D4250">
        <v>1</v>
      </c>
      <c r="E4250" s="5">
        <f>Table4[[#This Row],[qty]]*(VLOOKUP(Table4[[#This Row],[item_sold]],Table1[],5,FALSE))</f>
        <v>35</v>
      </c>
      <c r="F4250" s="5">
        <f>(VLOOKUP(Table4[[#This Row],[item_sold]],Table1[],4,FALSE))*Table4[[#This Row],[qty]]</f>
        <v>27.5</v>
      </c>
      <c r="G4250">
        <f t="shared" si="525"/>
        <v>7.5</v>
      </c>
      <c r="H4250" t="s">
        <v>361</v>
      </c>
    </row>
    <row r="4251" spans="1:12" x14ac:dyDescent="0.25">
      <c r="A4251" s="1">
        <f t="shared" si="521"/>
        <v>45552</v>
      </c>
      <c r="B4251" s="31">
        <f t="shared" ref="B4251:B4252" si="528">TIME(13,14,0)</f>
        <v>0.55138888888888882</v>
      </c>
      <c r="F4251" s="5"/>
      <c r="G4251"/>
      <c r="J4251" t="s">
        <v>394</v>
      </c>
      <c r="K4251">
        <v>390</v>
      </c>
      <c r="L4251" t="s">
        <v>361</v>
      </c>
    </row>
    <row r="4252" spans="1:12" x14ac:dyDescent="0.25">
      <c r="A4252" s="1">
        <f t="shared" si="521"/>
        <v>45552</v>
      </c>
      <c r="B4252" s="31">
        <f t="shared" si="528"/>
        <v>0.55138888888888882</v>
      </c>
      <c r="C4252" t="str">
        <f>'Inventory as of 12th Aug 2024'!A3</f>
        <v>Safaricom 10 Credit</v>
      </c>
      <c r="D4252">
        <v>1</v>
      </c>
      <c r="E4252" s="5">
        <f>Table4[[#This Row],[qty]]*(VLOOKUP(Table4[[#This Row],[item_sold]],Table1[],5,FALSE))</f>
        <v>10</v>
      </c>
      <c r="F4252" s="5">
        <f>(VLOOKUP(Table4[[#This Row],[item_sold]],Table1[],4,FALSE))*Table4[[#This Row],[qty]]</f>
        <v>9</v>
      </c>
      <c r="G4252">
        <f t="shared" si="525"/>
        <v>1</v>
      </c>
      <c r="H4252" t="s">
        <v>247</v>
      </c>
    </row>
    <row r="4253" spans="1:12" x14ac:dyDescent="0.25">
      <c r="A4253" s="1">
        <f t="shared" si="521"/>
        <v>45552</v>
      </c>
      <c r="B4253" s="31">
        <f>TIME(13,32,0)</f>
        <v>0.56388888888888888</v>
      </c>
      <c r="C4253" t="str">
        <f>'Inventory as of 12th Aug 2024'!A212</f>
        <v>soda 300ml glass</v>
      </c>
      <c r="D4253">
        <v>1</v>
      </c>
      <c r="E4253" s="5">
        <f>Table4[[#This Row],[qty]]*(VLOOKUP(Table4[[#This Row],[item_sold]],Table1[],5,FALSE))</f>
        <v>40</v>
      </c>
      <c r="F4253" s="5">
        <f>(VLOOKUP(Table4[[#This Row],[item_sold]],Table1[],4,FALSE))*Table4[[#This Row],[qty]]</f>
        <v>32.5</v>
      </c>
      <c r="G4253">
        <f t="shared" si="525"/>
        <v>7.5</v>
      </c>
      <c r="H4253" t="s">
        <v>361</v>
      </c>
    </row>
    <row r="4254" spans="1:12" x14ac:dyDescent="0.25">
      <c r="A4254" s="1">
        <f t="shared" si="521"/>
        <v>45552</v>
      </c>
      <c r="B4254" s="31">
        <f t="shared" ref="B4254" si="529">TIME(13,32,0)</f>
        <v>0.56388888888888888</v>
      </c>
      <c r="C4254" t="str">
        <f>'Inventory as of 12th Aug 2024'!A9</f>
        <v>Kinangop Fresh Milk 500ml</v>
      </c>
      <c r="D4254">
        <v>1</v>
      </c>
      <c r="E4254" s="5">
        <f>Table4[[#This Row],[qty]]*(VLOOKUP(Table4[[#This Row],[item_sold]],Table1[],5,FALSE))</f>
        <v>60</v>
      </c>
      <c r="F4254" s="5">
        <f>(VLOOKUP(Table4[[#This Row],[item_sold]],Table1[],4,FALSE))*Table4[[#This Row],[qty]]</f>
        <v>55</v>
      </c>
      <c r="G4254">
        <f t="shared" si="525"/>
        <v>5</v>
      </c>
      <c r="H4254" t="s">
        <v>361</v>
      </c>
    </row>
    <row r="4255" spans="1:12" x14ac:dyDescent="0.25">
      <c r="A4255" s="1">
        <f t="shared" si="521"/>
        <v>45552</v>
      </c>
      <c r="B4255" s="31">
        <f>TIME(13,52,0)</f>
        <v>0.57777777777777783</v>
      </c>
      <c r="C4255" t="str">
        <f>'Inventory as of 12th Aug 2024'!A9</f>
        <v>Kinangop Fresh Milk 500ml</v>
      </c>
      <c r="D4255">
        <v>2</v>
      </c>
      <c r="E4255" s="5">
        <f>Table4[[#This Row],[qty]]*(VLOOKUP(Table4[[#This Row],[item_sold]],Table1[],5,FALSE))</f>
        <v>120</v>
      </c>
      <c r="F4255" s="5">
        <f>(VLOOKUP(Table4[[#This Row],[item_sold]],Table1[],4,FALSE))*Table4[[#This Row],[qty]]</f>
        <v>110</v>
      </c>
      <c r="G4255">
        <f t="shared" si="525"/>
        <v>10</v>
      </c>
      <c r="H4255" t="s">
        <v>247</v>
      </c>
    </row>
    <row r="4256" spans="1:12" x14ac:dyDescent="0.25">
      <c r="A4256" s="1">
        <f t="shared" si="521"/>
        <v>45552</v>
      </c>
      <c r="B4256" s="31">
        <f t="shared" ref="B4256:B4257" si="530">TIME(13,52,0)</f>
        <v>0.57777777777777783</v>
      </c>
      <c r="C4256" t="str">
        <f>'Inventory as of 12th Aug 2024'!A33</f>
        <v>BB Bread 400g</v>
      </c>
      <c r="D4256">
        <v>1</v>
      </c>
      <c r="E4256" s="5">
        <f>Table4[[#This Row],[qty]]*(VLOOKUP(Table4[[#This Row],[item_sold]],Table1[],5,FALSE))</f>
        <v>65</v>
      </c>
      <c r="F4256" s="5">
        <f>(VLOOKUP(Table4[[#This Row],[item_sold]],Table1[],4,FALSE))*Table4[[#This Row],[qty]]</f>
        <v>60</v>
      </c>
      <c r="G4256">
        <f t="shared" si="525"/>
        <v>5</v>
      </c>
      <c r="H4256" t="s">
        <v>247</v>
      </c>
    </row>
    <row r="4257" spans="1:12" x14ac:dyDescent="0.25">
      <c r="A4257" s="1">
        <f t="shared" si="521"/>
        <v>45552</v>
      </c>
      <c r="B4257" s="31">
        <f t="shared" si="530"/>
        <v>0.57777777777777783</v>
      </c>
      <c r="C4257" t="str">
        <f>'Inventory as of 12th Aug 2024'!A5</f>
        <v>Airtel 20 Credit</v>
      </c>
      <c r="D4257">
        <v>1</v>
      </c>
      <c r="E4257" s="5">
        <f>Table4[[#This Row],[qty]]*(VLOOKUP(Table4[[#This Row],[item_sold]],Table1[],5,FALSE))</f>
        <v>20</v>
      </c>
      <c r="F4257" s="5">
        <f>(VLOOKUP(Table4[[#This Row],[item_sold]],Table1[],4,FALSE))*Table4[[#This Row],[qty]]</f>
        <v>18</v>
      </c>
      <c r="G4257">
        <f t="shared" si="525"/>
        <v>2</v>
      </c>
      <c r="H4257" t="s">
        <v>247</v>
      </c>
    </row>
    <row r="4258" spans="1:12" x14ac:dyDescent="0.25">
      <c r="A4258" s="1">
        <f t="shared" si="521"/>
        <v>45552</v>
      </c>
      <c r="B4258" s="31">
        <f>TIME(14,18,0)</f>
        <v>0.59583333333333333</v>
      </c>
      <c r="C4258" t="str">
        <f>'Inventory as of 12th Aug 2024'!A41</f>
        <v>Indomie beef</v>
      </c>
      <c r="D4258">
        <v>1</v>
      </c>
      <c r="E4258" s="5">
        <f>Table4[[#This Row],[qty]]*(VLOOKUP(Table4[[#This Row],[item_sold]],Table1[],5,FALSE))</f>
        <v>50</v>
      </c>
      <c r="F4258" s="5">
        <f>(VLOOKUP(Table4[[#This Row],[item_sold]],Table1[],4,FALSE))*Table4[[#This Row],[qty]]</f>
        <v>38</v>
      </c>
      <c r="G4258">
        <f t="shared" si="525"/>
        <v>12</v>
      </c>
      <c r="H4258" t="s">
        <v>361</v>
      </c>
    </row>
    <row r="4259" spans="1:12" x14ac:dyDescent="0.25">
      <c r="A4259" s="1">
        <f t="shared" si="521"/>
        <v>45552</v>
      </c>
      <c r="B4259" s="31">
        <f t="shared" ref="B4259" si="531">TIME(14,18,0)</f>
        <v>0.59583333333333333</v>
      </c>
      <c r="C4259" t="str">
        <f>'Inventory as of 12th Aug 2024'!A92</f>
        <v>Banana</v>
      </c>
      <c r="D4259">
        <v>1</v>
      </c>
      <c r="E4259" s="5">
        <f>Table4[[#This Row],[qty]]*(VLOOKUP(Table4[[#This Row],[item_sold]],Table1[],5,FALSE))</f>
        <v>10</v>
      </c>
      <c r="F4259" s="5">
        <f>(VLOOKUP(Table4[[#This Row],[item_sold]],Table1[],4,FALSE))*Table4[[#This Row],[qty]]</f>
        <v>8.3333333333333339</v>
      </c>
      <c r="G4259">
        <f t="shared" si="525"/>
        <v>1.6666666666666661</v>
      </c>
      <c r="H4259" t="s">
        <v>361</v>
      </c>
    </row>
    <row r="4260" spans="1:12" x14ac:dyDescent="0.25">
      <c r="A4260" s="1">
        <f t="shared" si="521"/>
        <v>45552</v>
      </c>
      <c r="B4260" s="31">
        <f>TIME(14,37,0)</f>
        <v>0.60902777777777783</v>
      </c>
      <c r="C4260" t="str">
        <f>'Inventory as of 12th Aug 2024'!A214</f>
        <v>smash juice</v>
      </c>
      <c r="D4260">
        <v>1</v>
      </c>
      <c r="E4260" s="5">
        <f>Table4[[#This Row],[qty]]*(VLOOKUP(Table4[[#This Row],[item_sold]],Table1[],5,FALSE))</f>
        <v>20</v>
      </c>
      <c r="F4260" s="5">
        <f>(VLOOKUP(Table4[[#This Row],[item_sold]],Table1[],4,FALSE))*Table4[[#This Row],[qty]]</f>
        <v>15</v>
      </c>
      <c r="G4260">
        <f t="shared" si="525"/>
        <v>5</v>
      </c>
      <c r="H4260" t="s">
        <v>361</v>
      </c>
    </row>
    <row r="4261" spans="1:12" x14ac:dyDescent="0.25">
      <c r="A4261" s="1">
        <f t="shared" si="521"/>
        <v>45552</v>
      </c>
      <c r="B4261" s="31">
        <f t="shared" ref="B4261:B4262" si="532">TIME(14,37,0)</f>
        <v>0.60902777777777783</v>
      </c>
      <c r="C4261" t="str">
        <f>'Inventory as of 12th Aug 2024'!A92</f>
        <v>Banana</v>
      </c>
      <c r="D4261">
        <v>1</v>
      </c>
      <c r="E4261" s="5">
        <f>Table4[[#This Row],[qty]]*(VLOOKUP(Table4[[#This Row],[item_sold]],Table1[],5,FALSE))</f>
        <v>10</v>
      </c>
      <c r="F4261" s="5">
        <f>(VLOOKUP(Table4[[#This Row],[item_sold]],Table1[],4,FALSE))*Table4[[#This Row],[qty]]</f>
        <v>8.3333333333333339</v>
      </c>
      <c r="G4261">
        <f t="shared" si="525"/>
        <v>1.6666666666666661</v>
      </c>
      <c r="H4261" t="s">
        <v>361</v>
      </c>
    </row>
    <row r="4262" spans="1:12" x14ac:dyDescent="0.25">
      <c r="A4262" s="1">
        <f t="shared" si="521"/>
        <v>45552</v>
      </c>
      <c r="B4262" s="31">
        <f t="shared" si="532"/>
        <v>0.60902777777777783</v>
      </c>
      <c r="C4262" t="str">
        <f>'Inventory as of 12th Aug 2024'!A242</f>
        <v>Icepop</v>
      </c>
      <c r="D4262">
        <v>1</v>
      </c>
      <c r="E4262" s="5">
        <f>Table4[[#This Row],[qty]]*(VLOOKUP(Table4[[#This Row],[item_sold]],Table1[],5,FALSE))</f>
        <v>15</v>
      </c>
      <c r="F4262" s="5">
        <f>(VLOOKUP(Table4[[#This Row],[item_sold]],Table1[],4,FALSE))*Table4[[#This Row],[qty]]</f>
        <v>7.5</v>
      </c>
      <c r="G4262">
        <f t="shared" si="525"/>
        <v>7.5</v>
      </c>
      <c r="H4262" t="s">
        <v>361</v>
      </c>
    </row>
    <row r="4263" spans="1:12" x14ac:dyDescent="0.25">
      <c r="A4263" s="1">
        <f t="shared" si="521"/>
        <v>45552</v>
      </c>
      <c r="B4263" s="31">
        <f>TIME(14,44,0)</f>
        <v>0.61388888888888882</v>
      </c>
      <c r="C4263" t="str">
        <f>'Inventory as of 12th Aug 2024'!A58</f>
        <v>Safari</v>
      </c>
      <c r="D4263">
        <v>1</v>
      </c>
      <c r="E4263" s="5">
        <f>Table4[[#This Row],[qty]]*(VLOOKUP(Table4[[#This Row],[item_sold]],Table1[],5,FALSE))</f>
        <v>15</v>
      </c>
      <c r="F4263" s="5">
        <f>(VLOOKUP(Table4[[#This Row],[item_sold]],Table1[],4,FALSE))*Table4[[#This Row],[qty]]</f>
        <v>8.5</v>
      </c>
      <c r="G4263">
        <f t="shared" si="525"/>
        <v>6.5</v>
      </c>
      <c r="H4263" t="s">
        <v>361</v>
      </c>
    </row>
    <row r="4264" spans="1:12" x14ac:dyDescent="0.25">
      <c r="A4264" s="1">
        <f t="shared" si="521"/>
        <v>45552</v>
      </c>
      <c r="B4264" s="31">
        <f t="shared" ref="B4264:B4265" si="533">TIME(14,44,0)</f>
        <v>0.61388888888888882</v>
      </c>
      <c r="C4264" t="str">
        <f>'Inventory as of 12th Aug 2024'!A92</f>
        <v>Banana</v>
      </c>
      <c r="D4264">
        <v>1</v>
      </c>
      <c r="E4264" s="5">
        <f>Table4[[#This Row],[qty]]*(VLOOKUP(Table4[[#This Row],[item_sold]],Table1[],5,FALSE))</f>
        <v>10</v>
      </c>
      <c r="F4264" s="5">
        <f>(VLOOKUP(Table4[[#This Row],[item_sold]],Table1[],4,FALSE))*Table4[[#This Row],[qty]]</f>
        <v>8.3333333333333339</v>
      </c>
      <c r="G4264">
        <f t="shared" si="525"/>
        <v>1.6666666666666661</v>
      </c>
      <c r="H4264" t="s">
        <v>361</v>
      </c>
    </row>
    <row r="4265" spans="1:12" x14ac:dyDescent="0.25">
      <c r="A4265" s="1">
        <f t="shared" si="521"/>
        <v>45552</v>
      </c>
      <c r="B4265" s="31">
        <f t="shared" si="533"/>
        <v>0.61388888888888882</v>
      </c>
      <c r="C4265" t="str">
        <f>'Inventory as of 12th Aug 2024'!A185</f>
        <v>Glucose 10g</v>
      </c>
      <c r="D4265">
        <v>1</v>
      </c>
      <c r="E4265" s="5">
        <f>Table4[[#This Row],[qty]]*(VLOOKUP(Table4[[#This Row],[item_sold]],Table1[],5,FALSE))</f>
        <v>5</v>
      </c>
      <c r="F4265" s="5">
        <f>(VLOOKUP(Table4[[#This Row],[item_sold]],Table1[],4,FALSE))*Table4[[#This Row],[qty]]</f>
        <v>3.75</v>
      </c>
      <c r="G4265">
        <f t="shared" si="525"/>
        <v>1.25</v>
      </c>
      <c r="H4265" t="s">
        <v>361</v>
      </c>
      <c r="J4265" t="s">
        <v>395</v>
      </c>
      <c r="K4265">
        <v>185</v>
      </c>
      <c r="L4265" t="s">
        <v>361</v>
      </c>
    </row>
    <row r="4266" spans="1:12" x14ac:dyDescent="0.25">
      <c r="A4266" s="1">
        <f t="shared" si="521"/>
        <v>45552</v>
      </c>
      <c r="B4266" s="31">
        <f>TIME(15,6,0)</f>
        <v>0.62916666666666665</v>
      </c>
      <c r="C4266" t="str">
        <f>'Inventory as of 12th Aug 2024'!A191</f>
        <v>Nuvita Bisquit</v>
      </c>
      <c r="D4266">
        <v>2</v>
      </c>
      <c r="E4266" s="5">
        <f>Table4[[#This Row],[qty]]*(VLOOKUP(Table4[[#This Row],[item_sold]],Table1[],5,FALSE))</f>
        <v>10</v>
      </c>
      <c r="F4266" s="5">
        <f>(VLOOKUP(Table4[[#This Row],[item_sold]],Table1[],4,FALSE))*Table4[[#This Row],[qty]]</f>
        <v>8.3333333333333339</v>
      </c>
      <c r="G4266">
        <f t="shared" si="525"/>
        <v>1.6666666666666661</v>
      </c>
      <c r="H4266" t="s">
        <v>247</v>
      </c>
    </row>
    <row r="4267" spans="1:12" x14ac:dyDescent="0.25">
      <c r="A4267" s="1">
        <f t="shared" si="521"/>
        <v>45552</v>
      </c>
      <c r="B4267" s="31">
        <f>TIME(15,29,0)</f>
        <v>0.64513888888888882</v>
      </c>
      <c r="C4267" t="str">
        <f>'Inventory as of 12th Aug 2024'!A75</f>
        <v>Cooking Oil Measured</v>
      </c>
      <c r="D4267">
        <v>0.25</v>
      </c>
      <c r="E4267" s="5">
        <f>Table4[[#This Row],[qty]]*(VLOOKUP(Table4[[#This Row],[item_sold]],Table1[],5,FALSE))</f>
        <v>70</v>
      </c>
      <c r="F4267" s="5">
        <f>(VLOOKUP(Table4[[#This Row],[item_sold]],Table1[],4,FALSE))*Table4[[#This Row],[qty]]</f>
        <v>50</v>
      </c>
      <c r="G4267">
        <f t="shared" si="525"/>
        <v>20</v>
      </c>
      <c r="H4267" t="s">
        <v>361</v>
      </c>
    </row>
    <row r="4268" spans="1:12" x14ac:dyDescent="0.25">
      <c r="A4268" s="1">
        <f t="shared" si="521"/>
        <v>45552</v>
      </c>
      <c r="B4268" s="31">
        <f>TIME(16,6,0)</f>
        <v>0.67083333333333339</v>
      </c>
      <c r="C4268" t="str">
        <f>'Inventory as of 12th Aug 2024'!A49</f>
        <v>Ndengu</v>
      </c>
      <c r="D4268">
        <v>0.5</v>
      </c>
      <c r="E4268" s="5">
        <f>Table4[[#This Row],[qty]]*(VLOOKUP(Table4[[#This Row],[item_sold]],Table1[],5,FALSE))</f>
        <v>80</v>
      </c>
      <c r="F4268" s="5">
        <f>(VLOOKUP(Table4[[#This Row],[item_sold]],Table1[],4,FALSE))*Table4[[#This Row],[qty]]</f>
        <v>60</v>
      </c>
      <c r="G4268">
        <f t="shared" ref="G4268:G4295" si="534">E4268-F4268</f>
        <v>20</v>
      </c>
      <c r="H4268" t="s">
        <v>361</v>
      </c>
    </row>
    <row r="4269" spans="1:12" x14ac:dyDescent="0.25">
      <c r="A4269" s="1">
        <f t="shared" si="521"/>
        <v>45552</v>
      </c>
      <c r="B4269" s="31">
        <f>TIME(16,12,0)</f>
        <v>0.67499999999999993</v>
      </c>
      <c r="C4269" t="str">
        <f>'Inventory as of 12th Aug 2024'!A58</f>
        <v>Safari</v>
      </c>
      <c r="D4269">
        <v>1</v>
      </c>
      <c r="E4269" s="5">
        <f>Table4[[#This Row],[qty]]*(VLOOKUP(Table4[[#This Row],[item_sold]],Table1[],5,FALSE))</f>
        <v>15</v>
      </c>
      <c r="F4269" s="5">
        <f>(VLOOKUP(Table4[[#This Row],[item_sold]],Table1[],4,FALSE))*Table4[[#This Row],[qty]]</f>
        <v>8.5</v>
      </c>
      <c r="G4269">
        <f t="shared" si="534"/>
        <v>6.5</v>
      </c>
      <c r="H4269" t="s">
        <v>361</v>
      </c>
    </row>
    <row r="4270" spans="1:12" x14ac:dyDescent="0.25">
      <c r="A4270" s="1">
        <f t="shared" si="521"/>
        <v>45552</v>
      </c>
      <c r="B4270" s="31">
        <f t="shared" ref="B4270:B4271" si="535">TIME(16,12,0)</f>
        <v>0.67499999999999993</v>
      </c>
      <c r="C4270" t="str">
        <f>'Inventory as of 12th Aug 2024'!A242</f>
        <v>Icepop</v>
      </c>
      <c r="D4270">
        <v>1</v>
      </c>
      <c r="E4270" s="5">
        <f>Table4[[#This Row],[qty]]*(VLOOKUP(Table4[[#This Row],[item_sold]],Table1[],5,FALSE))</f>
        <v>15</v>
      </c>
      <c r="F4270" s="5">
        <f>(VLOOKUP(Table4[[#This Row],[item_sold]],Table1[],4,FALSE))*Table4[[#This Row],[qty]]</f>
        <v>7.5</v>
      </c>
      <c r="G4270">
        <f t="shared" si="534"/>
        <v>7.5</v>
      </c>
      <c r="H4270" t="s">
        <v>247</v>
      </c>
    </row>
    <row r="4271" spans="1:12" x14ac:dyDescent="0.25">
      <c r="A4271" s="1">
        <f t="shared" si="521"/>
        <v>45552</v>
      </c>
      <c r="B4271" s="31">
        <f t="shared" si="535"/>
        <v>0.67499999999999993</v>
      </c>
      <c r="C4271" t="str">
        <f>'Inventory as of 12th Aug 2024'!A191</f>
        <v>Nuvita Bisquit</v>
      </c>
      <c r="D4271">
        <v>1</v>
      </c>
      <c r="E4271" s="5">
        <f>Table4[[#This Row],[qty]]*(VLOOKUP(Table4[[#This Row],[item_sold]],Table1[],5,FALSE))</f>
        <v>5</v>
      </c>
      <c r="F4271" s="5">
        <f>(VLOOKUP(Table4[[#This Row],[item_sold]],Table1[],4,FALSE))*Table4[[#This Row],[qty]]</f>
        <v>4.166666666666667</v>
      </c>
      <c r="G4271">
        <f t="shared" si="534"/>
        <v>0.83333333333333304</v>
      </c>
      <c r="H4271" t="s">
        <v>247</v>
      </c>
    </row>
    <row r="4272" spans="1:12" x14ac:dyDescent="0.25">
      <c r="A4272" s="1">
        <f t="shared" si="521"/>
        <v>45552</v>
      </c>
      <c r="B4272" s="31">
        <f>TIME(17,21,0)</f>
        <v>0.72291666666666676</v>
      </c>
      <c r="C4272" s="31" t="str">
        <f>'Inventory as of 12th Aug 2024'!A10</f>
        <v>Mt Kenya milk 200ml</v>
      </c>
      <c r="D4272">
        <v>1</v>
      </c>
      <c r="E4272" s="5">
        <f>Table4[[#This Row],[qty]]*(VLOOKUP(Table4[[#This Row],[item_sold]],Table1[],5,FALSE))</f>
        <v>35</v>
      </c>
      <c r="F4272" s="5">
        <f>(VLOOKUP(Table4[[#This Row],[item_sold]],Table1[],4,FALSE))*Table4[[#This Row],[qty]]</f>
        <v>24.285714285714285</v>
      </c>
      <c r="G4272">
        <f t="shared" si="534"/>
        <v>10.714285714285715</v>
      </c>
      <c r="H4272" t="s">
        <v>247</v>
      </c>
    </row>
    <row r="4273" spans="1:12" x14ac:dyDescent="0.25">
      <c r="A4273" s="1">
        <f t="shared" si="521"/>
        <v>45552</v>
      </c>
      <c r="B4273" s="31">
        <f>TIME(17,31,0)</f>
        <v>0.72986111111111107</v>
      </c>
      <c r="C4273" t="str">
        <f>'Inventory as of 12th Aug 2024'!A228</f>
        <v>Sharpener</v>
      </c>
      <c r="D4273">
        <v>1</v>
      </c>
      <c r="E4273" s="5">
        <f>Table4[[#This Row],[qty]]*(VLOOKUP(Table4[[#This Row],[item_sold]],Table1[],5,FALSE))</f>
        <v>15</v>
      </c>
      <c r="F4273" s="5">
        <f>(VLOOKUP(Table4[[#This Row],[item_sold]],Table1[],4,FALSE))*Table4[[#This Row],[qty]]</f>
        <v>5</v>
      </c>
      <c r="G4273">
        <f t="shared" si="534"/>
        <v>10</v>
      </c>
      <c r="H4273" t="s">
        <v>247</v>
      </c>
    </row>
    <row r="4274" spans="1:12" x14ac:dyDescent="0.25">
      <c r="A4274" s="1">
        <f t="shared" si="521"/>
        <v>45552</v>
      </c>
      <c r="B4274" s="31">
        <f t="shared" ref="B4274" si="536">TIME(17,31,0)</f>
        <v>0.72986111111111107</v>
      </c>
      <c r="C4274" t="str">
        <f>'Inventory as of 12th Aug 2024'!A135</f>
        <v>Bella Tissue</v>
      </c>
      <c r="D4274">
        <v>1</v>
      </c>
      <c r="E4274" s="5">
        <f>Table4[[#This Row],[qty]]*(VLOOKUP(Table4[[#This Row],[item_sold]],Table1[],5,FALSE))</f>
        <v>50</v>
      </c>
      <c r="F4274" s="5">
        <f>(VLOOKUP(Table4[[#This Row],[item_sold]],Table1[],4,FALSE))*Table4[[#This Row],[qty]]</f>
        <v>35</v>
      </c>
      <c r="G4274">
        <f t="shared" si="534"/>
        <v>15</v>
      </c>
      <c r="H4274" t="s">
        <v>361</v>
      </c>
    </row>
    <row r="4275" spans="1:12" x14ac:dyDescent="0.25">
      <c r="A4275" s="1">
        <f t="shared" si="521"/>
        <v>45552</v>
      </c>
      <c r="B4275" s="31">
        <f>TIME(19,0,0)</f>
        <v>0.79166666666666663</v>
      </c>
      <c r="C4275" t="str">
        <f>'Inventory as of 12th Aug 2024'!A16</f>
        <v>Mt kenya milk 500ml</v>
      </c>
      <c r="D4275">
        <v>2</v>
      </c>
      <c r="E4275" s="5">
        <f>Table4[[#This Row],[qty]]*(VLOOKUP(Table4[[#This Row],[item_sold]],Table1[],5,FALSE))</f>
        <v>130</v>
      </c>
      <c r="F4275" s="5">
        <f>(VLOOKUP(Table4[[#This Row],[item_sold]],Table1[],4,FALSE))*Table4[[#This Row],[qty]]</f>
        <v>96.666666666666671</v>
      </c>
      <c r="G4275">
        <f t="shared" si="534"/>
        <v>33.333333333333329</v>
      </c>
      <c r="H4275" t="s">
        <v>430</v>
      </c>
      <c r="I4275" t="s">
        <v>451</v>
      </c>
    </row>
    <row r="4276" spans="1:12" x14ac:dyDescent="0.25">
      <c r="A4276" s="1">
        <f t="shared" si="521"/>
        <v>45552</v>
      </c>
      <c r="B4276" s="31">
        <f t="shared" ref="B4276:B4278" si="537">TIME(19,0,0)</f>
        <v>0.79166666666666663</v>
      </c>
      <c r="C4276" t="str">
        <f>'Inventory as of 12th Aug 2024'!A75</f>
        <v>Cooking Oil Measured</v>
      </c>
      <c r="D4276">
        <v>0.5</v>
      </c>
      <c r="E4276" s="5">
        <f>Table4[[#This Row],[qty]]*(VLOOKUP(Table4[[#This Row],[item_sold]],Table1[],5,FALSE))</f>
        <v>140</v>
      </c>
      <c r="F4276" s="5">
        <f>(VLOOKUP(Table4[[#This Row],[item_sold]],Table1[],4,FALSE))*Table4[[#This Row],[qty]]</f>
        <v>100</v>
      </c>
      <c r="G4276">
        <f t="shared" si="534"/>
        <v>40</v>
      </c>
      <c r="H4276" t="s">
        <v>430</v>
      </c>
      <c r="I4276" t="s">
        <v>451</v>
      </c>
    </row>
    <row r="4277" spans="1:12" x14ac:dyDescent="0.25">
      <c r="A4277" s="1">
        <f t="shared" si="521"/>
        <v>45552</v>
      </c>
      <c r="B4277" s="31">
        <f t="shared" si="537"/>
        <v>0.79166666666666663</v>
      </c>
      <c r="C4277" t="str">
        <f>'Inventory as of 12th Aug 2024'!A79</f>
        <v xml:space="preserve">Whitewash </v>
      </c>
      <c r="D4277">
        <v>1</v>
      </c>
      <c r="E4277" s="5">
        <f>Table4[[#This Row],[qty]]*(VLOOKUP(Table4[[#This Row],[item_sold]],Table1[],5,FALSE))</f>
        <v>50</v>
      </c>
      <c r="F4277" s="5">
        <f>(VLOOKUP(Table4[[#This Row],[item_sold]],Table1[],4,FALSE))*Table4[[#This Row],[qty]]</f>
        <v>33.75</v>
      </c>
      <c r="G4277">
        <f t="shared" si="534"/>
        <v>16.25</v>
      </c>
      <c r="H4277" t="s">
        <v>430</v>
      </c>
      <c r="I4277" t="s">
        <v>451</v>
      </c>
    </row>
    <row r="4278" spans="1:12" x14ac:dyDescent="0.25">
      <c r="A4278" s="1">
        <f t="shared" si="521"/>
        <v>45552</v>
      </c>
      <c r="B4278" s="31">
        <f t="shared" si="537"/>
        <v>0.79166666666666663</v>
      </c>
      <c r="C4278" t="str">
        <f>'Inventory as of 12th Aug 2024'!A91</f>
        <v>Tomatoes</v>
      </c>
      <c r="D4278">
        <v>5</v>
      </c>
      <c r="E4278" s="5">
        <f>Table4[[#This Row],[qty]]*(VLOOKUP(Table4[[#This Row],[item_sold]],Table1[],5,FALSE))</f>
        <v>50</v>
      </c>
      <c r="F4278" s="5">
        <f>(VLOOKUP(Table4[[#This Row],[item_sold]],Table1[],4,FALSE))*Table4[[#This Row],[qty]]</f>
        <v>25</v>
      </c>
      <c r="G4278">
        <f t="shared" si="534"/>
        <v>25</v>
      </c>
      <c r="H4278" t="s">
        <v>430</v>
      </c>
      <c r="I4278" t="s">
        <v>451</v>
      </c>
    </row>
    <row r="4279" spans="1:12" x14ac:dyDescent="0.25">
      <c r="A4279" s="1">
        <f t="shared" si="521"/>
        <v>45552</v>
      </c>
      <c r="B4279" s="31">
        <f>TIME(19,0,0)</f>
        <v>0.79166666666666663</v>
      </c>
      <c r="C4279" t="str">
        <f>'Inventory as of 12th Aug 2024'!A90</f>
        <v>Onion</v>
      </c>
      <c r="D4279">
        <v>5</v>
      </c>
      <c r="E4279" s="5">
        <f>Table4[[#This Row],[qty]]*(VLOOKUP(Table4[[#This Row],[item_sold]],Table1[],5,FALSE))</f>
        <v>50</v>
      </c>
      <c r="F4279" s="5">
        <f>(VLOOKUP(Table4[[#This Row],[item_sold]],Table1[],4,FALSE))*Table4[[#This Row],[qty]]</f>
        <v>40</v>
      </c>
      <c r="G4279">
        <f t="shared" si="534"/>
        <v>10</v>
      </c>
      <c r="H4279" t="s">
        <v>247</v>
      </c>
    </row>
    <row r="4280" spans="1:12" x14ac:dyDescent="0.25">
      <c r="A4280" s="1">
        <f t="shared" si="521"/>
        <v>45552</v>
      </c>
      <c r="B4280" s="31">
        <f>TIME(19,2,0)</f>
        <v>0.79305555555555562</v>
      </c>
      <c r="C4280" t="str">
        <f>'Inventory as of 12th Aug 2024'!A58</f>
        <v>Safari</v>
      </c>
      <c r="D4280">
        <v>5</v>
      </c>
      <c r="E4280" s="5">
        <f>Table4[[#This Row],[qty]]*(VLOOKUP(Table4[[#This Row],[item_sold]],Table1[],5,FALSE))</f>
        <v>75</v>
      </c>
      <c r="F4280" s="5">
        <f>(VLOOKUP(Table4[[#This Row],[item_sold]],Table1[],4,FALSE))*Table4[[#This Row],[qty]]</f>
        <v>42.5</v>
      </c>
      <c r="G4280">
        <f t="shared" si="534"/>
        <v>32.5</v>
      </c>
      <c r="H4280" t="s">
        <v>361</v>
      </c>
    </row>
    <row r="4281" spans="1:12" x14ac:dyDescent="0.25">
      <c r="A4281" s="1">
        <f t="shared" si="521"/>
        <v>45552</v>
      </c>
      <c r="B4281" s="31">
        <f>TIME(19,11,0)</f>
        <v>0.7993055555555556</v>
      </c>
      <c r="C4281" t="str">
        <f>'Inventory as of 12th Aug 2024'!A58</f>
        <v>Safari</v>
      </c>
      <c r="D4281">
        <v>1</v>
      </c>
      <c r="E4281" s="5">
        <f>Table4[[#This Row],[qty]]*(VLOOKUP(Table4[[#This Row],[item_sold]],Table1[],5,FALSE))</f>
        <v>15</v>
      </c>
      <c r="F4281" s="5">
        <f>(VLOOKUP(Table4[[#This Row],[item_sold]],Table1[],4,FALSE))*Table4[[#This Row],[qty]]</f>
        <v>8.5</v>
      </c>
      <c r="G4281">
        <f t="shared" si="534"/>
        <v>6.5</v>
      </c>
      <c r="H4281" t="s">
        <v>361</v>
      </c>
    </row>
    <row r="4282" spans="1:12" x14ac:dyDescent="0.25">
      <c r="A4282" s="1">
        <f t="shared" si="521"/>
        <v>45552</v>
      </c>
      <c r="B4282" s="31">
        <f>TIME(19,11,0)</f>
        <v>0.7993055555555556</v>
      </c>
      <c r="C4282" t="str">
        <f>'Inventory as of 12th Aug 2024'!A153</f>
        <v>mosquito stick</v>
      </c>
      <c r="D4282">
        <v>3</v>
      </c>
      <c r="E4282" s="5">
        <f>Table4[[#This Row],[qty]]*(VLOOKUP(Table4[[#This Row],[item_sold]],Table1[],5,FALSE))</f>
        <v>30</v>
      </c>
      <c r="F4282" s="5">
        <f>(VLOOKUP(Table4[[#This Row],[item_sold]],Table1[],4,FALSE))*Table4[[#This Row],[qty]]</f>
        <v>27</v>
      </c>
      <c r="G4282">
        <f t="shared" si="534"/>
        <v>3</v>
      </c>
      <c r="H4282" t="s">
        <v>361</v>
      </c>
    </row>
    <row r="4283" spans="1:12" x14ac:dyDescent="0.25">
      <c r="A4283" s="1">
        <f t="shared" si="521"/>
        <v>45552</v>
      </c>
      <c r="B4283" s="31">
        <f>TIME(19,24,0)</f>
        <v>0.80833333333333324</v>
      </c>
      <c r="C4283" t="str">
        <f>'Inventory as of 12th Aug 2024'!A161</f>
        <v>Glycerine</v>
      </c>
      <c r="D4283">
        <v>1</v>
      </c>
      <c r="E4283" s="5">
        <f>Table4[[#This Row],[qty]]*(VLOOKUP(Table4[[#This Row],[item_sold]],Table1[],5,FALSE))</f>
        <v>50</v>
      </c>
      <c r="F4283" s="5">
        <f>(VLOOKUP(Table4[[#This Row],[item_sold]],Table1[],4,FALSE))*Table4[[#This Row],[qty]]</f>
        <v>41.666666666666664</v>
      </c>
      <c r="G4283">
        <f t="shared" si="534"/>
        <v>8.3333333333333357</v>
      </c>
      <c r="H4283" t="s">
        <v>361</v>
      </c>
    </row>
    <row r="4284" spans="1:12" x14ac:dyDescent="0.25">
      <c r="A4284" s="1">
        <f t="shared" si="521"/>
        <v>45552</v>
      </c>
      <c r="B4284" s="31">
        <f>TIME(19,8,0)</f>
        <v>0.79722222222222217</v>
      </c>
      <c r="C4284" t="str">
        <f>'Inventory as of 12th Aug 2024'!A92</f>
        <v>Banana</v>
      </c>
      <c r="D4284">
        <v>1</v>
      </c>
      <c r="E4284" s="5">
        <f>Table4[[#This Row],[qty]]*(VLOOKUP(Table4[[#This Row],[item_sold]],Table1[],5,FALSE))</f>
        <v>10</v>
      </c>
      <c r="F4284" s="5">
        <f>(VLOOKUP(Table4[[#This Row],[item_sold]],Table1[],4,FALSE))*Table4[[#This Row],[qty]]</f>
        <v>8.3333333333333339</v>
      </c>
      <c r="G4284">
        <f t="shared" si="534"/>
        <v>1.6666666666666661</v>
      </c>
      <c r="H4284" t="s">
        <v>361</v>
      </c>
      <c r="J4284" t="s">
        <v>455</v>
      </c>
      <c r="K4284">
        <v>400</v>
      </c>
      <c r="L4284" t="s">
        <v>361</v>
      </c>
    </row>
    <row r="4285" spans="1:12" x14ac:dyDescent="0.25">
      <c r="A4285" s="1">
        <f t="shared" si="521"/>
        <v>45552</v>
      </c>
      <c r="B4285" s="31">
        <f>TIME(20,17,0)</f>
        <v>0.84513888888888899</v>
      </c>
      <c r="C4285" t="str">
        <f>'Inventory as of 12th Aug 2024'!A58</f>
        <v>Safari</v>
      </c>
      <c r="D4285">
        <v>1</v>
      </c>
      <c r="E4285" s="5">
        <f>Table4[[#This Row],[qty]]*(VLOOKUP(Table4[[#This Row],[item_sold]],Table1[],5,FALSE))</f>
        <v>15</v>
      </c>
      <c r="F4285" s="5">
        <f>(VLOOKUP(Table4[[#This Row],[item_sold]],Table1[],4,FALSE))*Table4[[#This Row],[qty]]</f>
        <v>8.5</v>
      </c>
      <c r="G4285">
        <f t="shared" si="534"/>
        <v>6.5</v>
      </c>
      <c r="H4285" t="s">
        <v>361</v>
      </c>
      <c r="J4285" t="s">
        <v>388</v>
      </c>
      <c r="K4285">
        <v>50</v>
      </c>
      <c r="L4285" t="s">
        <v>247</v>
      </c>
    </row>
    <row r="4286" spans="1:12" x14ac:dyDescent="0.25">
      <c r="A4286" s="1">
        <f t="shared" si="521"/>
        <v>45552</v>
      </c>
      <c r="B4286" s="31">
        <f>TIME(7,0,0)</f>
        <v>0.29166666666666669</v>
      </c>
      <c r="C4286" t="str">
        <f>'Inventory as of 12th Aug 2024'!A91</f>
        <v>Tomatoes</v>
      </c>
      <c r="D4286">
        <v>5</v>
      </c>
      <c r="E4286" s="5">
        <f>Table4[[#This Row],[qty]]*(VLOOKUP(Table4[[#This Row],[item_sold]],Table1[],5,FALSE))</f>
        <v>50</v>
      </c>
      <c r="F4286" s="5">
        <f>(VLOOKUP(Table4[[#This Row],[item_sold]],Table1[],4,FALSE))*Table4[[#This Row],[qty]]</f>
        <v>25</v>
      </c>
      <c r="G4286">
        <f t="shared" si="534"/>
        <v>25</v>
      </c>
      <c r="H4286" t="s">
        <v>247</v>
      </c>
    </row>
    <row r="4287" spans="1:12" x14ac:dyDescent="0.25">
      <c r="A4287" s="1">
        <f>DATE(2024,9,18)</f>
        <v>45553</v>
      </c>
      <c r="B4287" s="31">
        <f>TIME(8,30,0)</f>
        <v>0.35416666666666669</v>
      </c>
      <c r="C4287" t="str">
        <f>'Inventory as of 12th Aug 2024'!A92</f>
        <v>Banana</v>
      </c>
      <c r="D4287">
        <v>1</v>
      </c>
      <c r="E4287" s="5">
        <f>Table4[[#This Row],[qty]]*(VLOOKUP(Table4[[#This Row],[item_sold]],Table1[],5,FALSE))</f>
        <v>10</v>
      </c>
      <c r="F4287" s="5">
        <f>(VLOOKUP(Table4[[#This Row],[item_sold]],Table1[],4,FALSE))*Table4[[#This Row],[qty]]</f>
        <v>8.3333333333333339</v>
      </c>
      <c r="G4287">
        <f t="shared" si="534"/>
        <v>1.6666666666666661</v>
      </c>
      <c r="H4287" t="s">
        <v>247</v>
      </c>
    </row>
    <row r="4288" spans="1:12" x14ac:dyDescent="0.25">
      <c r="A4288" s="1">
        <f t="shared" ref="A4288:A4337" si="538">DATE(2024,9,18)</f>
        <v>45553</v>
      </c>
      <c r="B4288" s="31">
        <f t="shared" ref="B4288:B4289" si="539">TIME(8,30,0)</f>
        <v>0.35416666666666669</v>
      </c>
      <c r="C4288" t="str">
        <f>'Inventory as of 12th Aug 2024'!A178</f>
        <v>Ringoz Paprika</v>
      </c>
      <c r="D4288">
        <v>1</v>
      </c>
      <c r="E4288" s="5">
        <f>Table4[[#This Row],[qty]]*(VLOOKUP(Table4[[#This Row],[item_sold]],Table1[],5,FALSE))</f>
        <v>15</v>
      </c>
      <c r="F4288" s="5">
        <f>(VLOOKUP(Table4[[#This Row],[item_sold]],Table1[],4,FALSE))*Table4[[#This Row],[qty]]</f>
        <v>8.8000000000000007</v>
      </c>
      <c r="G4288">
        <f t="shared" si="534"/>
        <v>6.1999999999999993</v>
      </c>
      <c r="H4288" t="s">
        <v>247</v>
      </c>
    </row>
    <row r="4289" spans="1:8" x14ac:dyDescent="0.25">
      <c r="A4289" s="1">
        <f t="shared" si="538"/>
        <v>45553</v>
      </c>
      <c r="B4289" s="31">
        <f t="shared" si="539"/>
        <v>0.35416666666666669</v>
      </c>
      <c r="C4289" t="str">
        <f>'Inventory as of 12th Aug 2024'!A243</f>
        <v>Ballon</v>
      </c>
      <c r="D4289">
        <v>1</v>
      </c>
      <c r="E4289" s="5">
        <f>Table4[[#This Row],[qty]]*(VLOOKUP(Table4[[#This Row],[item_sold]],Table1[],5,FALSE))</f>
        <v>10</v>
      </c>
      <c r="F4289" s="5">
        <f>(VLOOKUP(Table4[[#This Row],[item_sold]],Table1[],4,FALSE))*Table4[[#This Row],[qty]]</f>
        <v>7.5</v>
      </c>
      <c r="G4289">
        <f t="shared" si="534"/>
        <v>2.5</v>
      </c>
      <c r="H4289" t="s">
        <v>247</v>
      </c>
    </row>
    <row r="4290" spans="1:8" x14ac:dyDescent="0.25">
      <c r="A4290" s="1">
        <f t="shared" si="538"/>
        <v>45553</v>
      </c>
      <c r="B4290" s="31">
        <f>TIME(8,44,0)</f>
        <v>0.36388888888888887</v>
      </c>
      <c r="C4290" t="str">
        <f>'Inventory as of 12th Aug 2024'!A37</f>
        <v>Festive Bread 400g</v>
      </c>
      <c r="D4290">
        <v>1</v>
      </c>
      <c r="E4290" s="5">
        <f>Table4[[#This Row],[qty]]*(VLOOKUP(Table4[[#This Row],[item_sold]],Table1[],5,FALSE))</f>
        <v>65</v>
      </c>
      <c r="F4290" s="5">
        <f>(VLOOKUP(Table4[[#This Row],[item_sold]],Table1[],4,FALSE))*Table4[[#This Row],[qty]]</f>
        <v>60</v>
      </c>
      <c r="G4290">
        <f t="shared" si="534"/>
        <v>5</v>
      </c>
      <c r="H4290" t="s">
        <v>247</v>
      </c>
    </row>
    <row r="4291" spans="1:8" x14ac:dyDescent="0.25">
      <c r="A4291" s="1">
        <f t="shared" si="538"/>
        <v>45553</v>
      </c>
      <c r="B4291" s="31">
        <f>TIME(8,45,0)</f>
        <v>0.36458333333333331</v>
      </c>
      <c r="C4291" t="str">
        <f>'Inventory as of 12th Aug 2024'!A16</f>
        <v>Mt kenya milk 500ml</v>
      </c>
      <c r="D4291">
        <v>1</v>
      </c>
      <c r="E4291" s="5">
        <f>Table4[[#This Row],[qty]]*(VLOOKUP(Table4[[#This Row],[item_sold]],Table1[],5,FALSE))</f>
        <v>65</v>
      </c>
      <c r="F4291" s="5">
        <f>(VLOOKUP(Table4[[#This Row],[item_sold]],Table1[],4,FALSE))*Table4[[#This Row],[qty]]</f>
        <v>48.333333333333336</v>
      </c>
      <c r="G4291">
        <f t="shared" si="534"/>
        <v>16.666666666666664</v>
      </c>
      <c r="H4291" t="s">
        <v>361</v>
      </c>
    </row>
    <row r="4292" spans="1:8" x14ac:dyDescent="0.25">
      <c r="A4292" s="1">
        <f t="shared" si="538"/>
        <v>45553</v>
      </c>
      <c r="B4292" s="31">
        <f>TIME(8,51,0)</f>
        <v>0.36874999999999997</v>
      </c>
      <c r="C4292" t="str">
        <f>'Inventory as of 12th Aug 2024'!A126</f>
        <v>action</v>
      </c>
      <c r="D4292">
        <v>1</v>
      </c>
      <c r="E4292" s="5">
        <f>Table4[[#This Row],[qty]]*(VLOOKUP(Table4[[#This Row],[item_sold]],Table1[],5,FALSE))</f>
        <v>10</v>
      </c>
      <c r="F4292" s="5">
        <f>(VLOOKUP(Table4[[#This Row],[item_sold]],Table1[],4,FALSE))*Table4[[#This Row],[qty]]</f>
        <v>6</v>
      </c>
      <c r="G4292">
        <f t="shared" si="534"/>
        <v>4</v>
      </c>
      <c r="H4292" t="s">
        <v>361</v>
      </c>
    </row>
    <row r="4293" spans="1:8" x14ac:dyDescent="0.25">
      <c r="A4293" s="1">
        <f t="shared" si="538"/>
        <v>45553</v>
      </c>
      <c r="B4293" s="31">
        <f>TIME(10,30,0)</f>
        <v>0.4375</v>
      </c>
      <c r="C4293" t="str">
        <f>'Inventory as of 12th Aug 2024'!A9</f>
        <v>Kinangop Fresh Milk 500ml</v>
      </c>
      <c r="D4293">
        <v>1</v>
      </c>
      <c r="E4293" s="5">
        <f>Table4[[#This Row],[qty]]*(VLOOKUP(Table4[[#This Row],[item_sold]],Table1[],5,FALSE))</f>
        <v>60</v>
      </c>
      <c r="F4293" s="5">
        <f>(VLOOKUP(Table4[[#This Row],[item_sold]],Table1[],4,FALSE))*Table4[[#This Row],[qty]]</f>
        <v>55</v>
      </c>
      <c r="G4293">
        <f t="shared" si="534"/>
        <v>5</v>
      </c>
      <c r="H4293" t="s">
        <v>361</v>
      </c>
    </row>
    <row r="4294" spans="1:8" x14ac:dyDescent="0.25">
      <c r="A4294" s="1">
        <f t="shared" si="538"/>
        <v>45553</v>
      </c>
      <c r="B4294" s="31">
        <f t="shared" ref="B4294" si="540">TIME(10,30,0)</f>
        <v>0.4375</v>
      </c>
      <c r="C4294" t="str">
        <f>'Inventory as of 12th Aug 2024'!A58</f>
        <v>Safari</v>
      </c>
      <c r="D4294">
        <v>1</v>
      </c>
      <c r="E4294" s="5">
        <f>Table4[[#This Row],[qty]]*(VLOOKUP(Table4[[#This Row],[item_sold]],Table1[],5,FALSE))</f>
        <v>15</v>
      </c>
      <c r="F4294" s="5">
        <f>(VLOOKUP(Table4[[#This Row],[item_sold]],Table1[],4,FALSE))*Table4[[#This Row],[qty]]</f>
        <v>8.5</v>
      </c>
      <c r="G4294">
        <f t="shared" si="534"/>
        <v>6.5</v>
      </c>
      <c r="H4294" t="s">
        <v>247</v>
      </c>
    </row>
    <row r="4295" spans="1:8" x14ac:dyDescent="0.25">
      <c r="A4295" s="1">
        <f t="shared" si="538"/>
        <v>45553</v>
      </c>
      <c r="B4295" s="31">
        <f>TIME(11,9,0)</f>
        <v>0.46458333333333335</v>
      </c>
      <c r="C4295" t="str">
        <f>'Inventory as of 12th Aug 2024'!A75</f>
        <v>Cooking Oil Measured</v>
      </c>
      <c r="D4295">
        <v>0.25</v>
      </c>
      <c r="E4295" s="5">
        <f>Table4[[#This Row],[qty]]*(VLOOKUP(Table4[[#This Row],[item_sold]],Table1[],5,FALSE))</f>
        <v>70</v>
      </c>
      <c r="F4295" s="5">
        <f>(VLOOKUP(Table4[[#This Row],[item_sold]],Table1[],4,FALSE))*Table4[[#This Row],[qty]]</f>
        <v>50</v>
      </c>
      <c r="G4295">
        <f t="shared" si="534"/>
        <v>20</v>
      </c>
      <c r="H4295" t="s">
        <v>361</v>
      </c>
    </row>
    <row r="4296" spans="1:8" x14ac:dyDescent="0.25">
      <c r="A4296" s="1">
        <f t="shared" si="538"/>
        <v>45553</v>
      </c>
      <c r="B4296" s="31">
        <f>TIME(11,9,0)</f>
        <v>0.46458333333333335</v>
      </c>
      <c r="C4296" t="str">
        <f>'Inventory as of 12th Aug 2024'!A5</f>
        <v>Airtel 20 Credit</v>
      </c>
      <c r="D4296">
        <v>2</v>
      </c>
      <c r="E4296" s="5">
        <f>Table4[[#This Row],[qty]]*(VLOOKUP(Table4[[#This Row],[item_sold]],Table1[],5,FALSE))</f>
        <v>40</v>
      </c>
      <c r="F4296" s="5">
        <f>(VLOOKUP(Table4[[#This Row],[item_sold]],Table1[],4,FALSE))*Table4[[#This Row],[qty]]</f>
        <v>36</v>
      </c>
      <c r="G4296">
        <f t="shared" ref="G4296:G4331" si="541">E4296-F4296</f>
        <v>4</v>
      </c>
      <c r="H4296" t="s">
        <v>247</v>
      </c>
    </row>
    <row r="4297" spans="1:8" x14ac:dyDescent="0.25">
      <c r="A4297" s="1">
        <f t="shared" si="538"/>
        <v>45553</v>
      </c>
      <c r="B4297" s="31">
        <f>TIME(11,0,0)</f>
        <v>0.45833333333333331</v>
      </c>
      <c r="C4297" t="str">
        <f>'Inventory as of 12th Aug 2024'!A135</f>
        <v>Bella Tissue</v>
      </c>
      <c r="D4297">
        <v>1</v>
      </c>
      <c r="E4297" s="5">
        <f>Table4[[#This Row],[qty]]*(VLOOKUP(Table4[[#This Row],[item_sold]],Table1[],5,FALSE))</f>
        <v>50</v>
      </c>
      <c r="F4297" s="5">
        <f>(VLOOKUP(Table4[[#This Row],[item_sold]],Table1[],4,FALSE))*Table4[[#This Row],[qty]]</f>
        <v>35</v>
      </c>
      <c r="G4297">
        <f t="shared" si="541"/>
        <v>15</v>
      </c>
      <c r="H4297" t="s">
        <v>361</v>
      </c>
    </row>
    <row r="4298" spans="1:8" x14ac:dyDescent="0.25">
      <c r="A4298" s="1">
        <f t="shared" si="538"/>
        <v>45553</v>
      </c>
      <c r="B4298" s="31">
        <f>TIME(11,7,0)</f>
        <v>0.46319444444444446</v>
      </c>
      <c r="C4298" t="str">
        <f>'Inventory as of 12th Aug 2024'!A8</f>
        <v>eggs</v>
      </c>
      <c r="D4298">
        <v>2</v>
      </c>
      <c r="E4298" s="5">
        <f>Table4[[#This Row],[qty]]*(VLOOKUP(Table4[[#This Row],[item_sold]],Table1[],5,FALSE))</f>
        <v>40</v>
      </c>
      <c r="F4298" s="5">
        <f>(VLOOKUP(Table4[[#This Row],[item_sold]],Table1[],4,FALSE))*Table4[[#This Row],[qty]]</f>
        <v>28.666666666666668</v>
      </c>
      <c r="G4298">
        <f t="shared" si="541"/>
        <v>11.333333333333332</v>
      </c>
      <c r="H4298" t="s">
        <v>361</v>
      </c>
    </row>
    <row r="4299" spans="1:8" x14ac:dyDescent="0.25">
      <c r="A4299" s="1">
        <f t="shared" si="538"/>
        <v>45553</v>
      </c>
      <c r="B4299" s="31">
        <f>TIME(11,44,0)</f>
        <v>0.48888888888888887</v>
      </c>
      <c r="C4299" t="str">
        <f>'Inventory as of 12th Aug 2024'!A51</f>
        <v>Sindano rice</v>
      </c>
      <c r="D4299">
        <v>0.25</v>
      </c>
      <c r="E4299" s="5">
        <f>Table4[[#This Row],[qty]]*(VLOOKUP(Table4[[#This Row],[item_sold]],Table1[],5,FALSE))</f>
        <v>37.5</v>
      </c>
      <c r="F4299" s="5">
        <f>(VLOOKUP(Table4[[#This Row],[item_sold]],Table1[],4,FALSE))*Table4[[#This Row],[qty]]</f>
        <v>30</v>
      </c>
      <c r="G4299">
        <f t="shared" si="541"/>
        <v>7.5</v>
      </c>
      <c r="H4299" t="s">
        <v>361</v>
      </c>
    </row>
    <row r="4300" spans="1:8" x14ac:dyDescent="0.25">
      <c r="A4300" s="1">
        <f t="shared" si="538"/>
        <v>45553</v>
      </c>
      <c r="B4300" s="31">
        <f>TIME(12,1,0)</f>
        <v>0.50069444444444444</v>
      </c>
      <c r="C4300" t="str">
        <f>'Inventory as of 12th Aug 2024'!A206</f>
        <v>soda 500ml plastic</v>
      </c>
      <c r="D4300">
        <v>1</v>
      </c>
      <c r="E4300" s="5">
        <f>Table4[[#This Row],[qty]]*(VLOOKUP(Table4[[#This Row],[item_sold]],Table1[],5,FALSE))</f>
        <v>70</v>
      </c>
      <c r="F4300" s="5">
        <f>(VLOOKUP(Table4[[#This Row],[item_sold]],Table1[],4,FALSE))*Table4[[#This Row],[qty]]</f>
        <v>60.416666666666664</v>
      </c>
      <c r="G4300">
        <f t="shared" si="541"/>
        <v>9.5833333333333357</v>
      </c>
      <c r="H4300" t="s">
        <v>361</v>
      </c>
    </row>
    <row r="4301" spans="1:8" x14ac:dyDescent="0.25">
      <c r="A4301" s="1">
        <f t="shared" si="538"/>
        <v>45553</v>
      </c>
      <c r="B4301" s="31">
        <f>TIME(12,6,0)</f>
        <v>0.50416666666666665</v>
      </c>
      <c r="C4301" t="str">
        <f>'Inventory as of 12th Aug 2024'!A91</f>
        <v>Tomatoes</v>
      </c>
      <c r="D4301">
        <v>3</v>
      </c>
      <c r="E4301" s="5">
        <f>Table4[[#This Row],[qty]]*(VLOOKUP(Table4[[#This Row],[item_sold]],Table1[],5,FALSE))</f>
        <v>30</v>
      </c>
      <c r="F4301" s="5">
        <f>(VLOOKUP(Table4[[#This Row],[item_sold]],Table1[],4,FALSE))*Table4[[#This Row],[qty]]</f>
        <v>15</v>
      </c>
      <c r="G4301">
        <f t="shared" si="541"/>
        <v>15</v>
      </c>
      <c r="H4301" t="s">
        <v>361</v>
      </c>
    </row>
    <row r="4302" spans="1:8" x14ac:dyDescent="0.25">
      <c r="A4302" s="1">
        <f t="shared" si="538"/>
        <v>45553</v>
      </c>
      <c r="B4302" s="31">
        <f t="shared" ref="B4302" si="542">TIME(12,6,0)</f>
        <v>0.50416666666666665</v>
      </c>
      <c r="C4302" t="str">
        <f>'Inventory as of 12th Aug 2024'!A90</f>
        <v>Onion</v>
      </c>
      <c r="D4302">
        <v>3</v>
      </c>
      <c r="E4302" s="5">
        <f>Table4[[#This Row],[qty]]*(VLOOKUP(Table4[[#This Row],[item_sold]],Table1[],5,FALSE))</f>
        <v>30</v>
      </c>
      <c r="F4302" s="5">
        <f>(VLOOKUP(Table4[[#This Row],[item_sold]],Table1[],4,FALSE))*Table4[[#This Row],[qty]]</f>
        <v>24</v>
      </c>
      <c r="G4302">
        <f t="shared" si="541"/>
        <v>6</v>
      </c>
      <c r="H4302" t="s">
        <v>361</v>
      </c>
    </row>
    <row r="4303" spans="1:8" x14ac:dyDescent="0.25">
      <c r="A4303" s="1">
        <f t="shared" si="538"/>
        <v>45553</v>
      </c>
      <c r="B4303" s="31">
        <f>TIME(13,17,0)</f>
        <v>0.55347222222222225</v>
      </c>
      <c r="C4303" t="str">
        <f>'Inventory as of 12th Aug 2024'!A199</f>
        <v>Kdf</v>
      </c>
      <c r="D4303">
        <v>3</v>
      </c>
      <c r="E4303" s="5">
        <f>Table4[[#This Row],[qty]]*(VLOOKUP(Table4[[#This Row],[item_sold]],Table1[],5,FALSE))</f>
        <v>30</v>
      </c>
      <c r="F4303" s="5">
        <f>(VLOOKUP(Table4[[#This Row],[item_sold]],Table1[],4,FALSE))*Table4[[#This Row],[qty]]</f>
        <v>25</v>
      </c>
      <c r="G4303">
        <f t="shared" si="541"/>
        <v>5</v>
      </c>
      <c r="H4303" t="s">
        <v>361</v>
      </c>
    </row>
    <row r="4304" spans="1:8" x14ac:dyDescent="0.25">
      <c r="A4304" s="1">
        <f t="shared" si="538"/>
        <v>45553</v>
      </c>
      <c r="B4304" s="31">
        <f t="shared" ref="B4304:B4305" si="543">TIME(13,17,0)</f>
        <v>0.55347222222222225</v>
      </c>
      <c r="C4304" t="str">
        <f>'Inventory as of 12th Aug 2024'!A92</f>
        <v>Banana</v>
      </c>
      <c r="D4304">
        <v>1</v>
      </c>
      <c r="E4304" s="5">
        <f>Table4[[#This Row],[qty]]*(VLOOKUP(Table4[[#This Row],[item_sold]],Table1[],5,FALSE))</f>
        <v>10</v>
      </c>
      <c r="F4304" s="5">
        <f>(VLOOKUP(Table4[[#This Row],[item_sold]],Table1[],4,FALSE))*Table4[[#This Row],[qty]]</f>
        <v>8.3333333333333339</v>
      </c>
      <c r="G4304">
        <f t="shared" si="541"/>
        <v>1.6666666666666661</v>
      </c>
      <c r="H4304" t="s">
        <v>361</v>
      </c>
    </row>
    <row r="4305" spans="1:9" x14ac:dyDescent="0.25">
      <c r="A4305" s="1">
        <f t="shared" si="538"/>
        <v>45553</v>
      </c>
      <c r="B4305" s="31">
        <f t="shared" si="543"/>
        <v>0.55347222222222225</v>
      </c>
      <c r="C4305" t="str">
        <f>'Inventory as of 12th Aug 2024'!A233</f>
        <v>Lollipop</v>
      </c>
      <c r="D4305">
        <v>1</v>
      </c>
      <c r="E4305" s="5">
        <f>Table4[[#This Row],[qty]]*(VLOOKUP(Table4[[#This Row],[item_sold]],Table1[],5,FALSE))</f>
        <v>5</v>
      </c>
      <c r="F4305" s="5">
        <f>(VLOOKUP(Table4[[#This Row],[item_sold]],Table1[],4,FALSE))*Table4[[#This Row],[qty]]</f>
        <v>2.4</v>
      </c>
      <c r="G4305">
        <f t="shared" si="541"/>
        <v>2.6</v>
      </c>
      <c r="H4305" t="s">
        <v>361</v>
      </c>
    </row>
    <row r="4306" spans="1:9" x14ac:dyDescent="0.25">
      <c r="A4306" s="1">
        <f t="shared" si="538"/>
        <v>45553</v>
      </c>
      <c r="B4306" s="31">
        <f>TIME(13,19,0)</f>
        <v>0.55486111111111114</v>
      </c>
      <c r="C4306" t="str">
        <f>'Inventory as of 12th Aug 2024'!A211</f>
        <v>predator</v>
      </c>
      <c r="D4306">
        <v>1</v>
      </c>
      <c r="E4306" s="5">
        <f>Table4[[#This Row],[qty]]*(VLOOKUP(Table4[[#This Row],[item_sold]],Table1[],5,FALSE))</f>
        <v>70</v>
      </c>
      <c r="F4306" s="5">
        <f>(VLOOKUP(Table4[[#This Row],[item_sold]],Table1[],4,FALSE))*Table4[[#This Row],[qty]]</f>
        <v>54.166666666666664</v>
      </c>
      <c r="G4306">
        <f t="shared" si="541"/>
        <v>15.833333333333336</v>
      </c>
      <c r="H4306" t="s">
        <v>430</v>
      </c>
      <c r="I4306" t="s">
        <v>401</v>
      </c>
    </row>
    <row r="4307" spans="1:9" x14ac:dyDescent="0.25">
      <c r="A4307" s="1">
        <f t="shared" si="538"/>
        <v>45553</v>
      </c>
      <c r="B4307" s="31">
        <f>TIME(13,51,0)</f>
        <v>0.57708333333333328</v>
      </c>
      <c r="C4307" t="str">
        <f>'Inventory as of 12th Aug 2024'!A9</f>
        <v>Kinangop Fresh Milk 500ml</v>
      </c>
      <c r="D4307">
        <v>2</v>
      </c>
      <c r="E4307" s="5">
        <f>Table4[[#This Row],[qty]]*(VLOOKUP(Table4[[#This Row],[item_sold]],Table1[],5,FALSE))</f>
        <v>120</v>
      </c>
      <c r="F4307" s="5">
        <f>(VLOOKUP(Table4[[#This Row],[item_sold]],Table1[],4,FALSE))*Table4[[#This Row],[qty]]</f>
        <v>110</v>
      </c>
      <c r="G4307">
        <f t="shared" si="541"/>
        <v>10</v>
      </c>
      <c r="H4307" t="s">
        <v>247</v>
      </c>
    </row>
    <row r="4308" spans="1:9" x14ac:dyDescent="0.25">
      <c r="A4308" s="1">
        <f t="shared" si="538"/>
        <v>45553</v>
      </c>
      <c r="B4308" s="31">
        <f t="shared" ref="B4308" si="544">TIME(13,51,0)</f>
        <v>0.57708333333333328</v>
      </c>
      <c r="C4308" t="str">
        <f>'Inventory as of 12th Aug 2024'!A199</f>
        <v>Kdf</v>
      </c>
      <c r="D4308">
        <v>5</v>
      </c>
      <c r="E4308" s="5">
        <f>Table4[[#This Row],[qty]]*(VLOOKUP(Table4[[#This Row],[item_sold]],Table1[],5,FALSE))</f>
        <v>50</v>
      </c>
      <c r="F4308" s="5">
        <f>(VLOOKUP(Table4[[#This Row],[item_sold]],Table1[],4,FALSE))*Table4[[#This Row],[qty]]</f>
        <v>41.666666666666671</v>
      </c>
      <c r="G4308">
        <f t="shared" si="541"/>
        <v>8.3333333333333286</v>
      </c>
      <c r="H4308" t="s">
        <v>247</v>
      </c>
    </row>
    <row r="4309" spans="1:9" x14ac:dyDescent="0.25">
      <c r="A4309" s="1">
        <f t="shared" si="538"/>
        <v>45553</v>
      </c>
      <c r="B4309" s="31">
        <f>TIME(13,53,0)</f>
        <v>0.57847222222222217</v>
      </c>
      <c r="C4309" t="str">
        <f>'Inventory as of 12th Aug 2024'!A8</f>
        <v>eggs</v>
      </c>
      <c r="D4309">
        <v>2</v>
      </c>
      <c r="E4309" s="5">
        <f>Table4[[#This Row],[qty]]*(VLOOKUP(Table4[[#This Row],[item_sold]],Table1[],5,FALSE))</f>
        <v>40</v>
      </c>
      <c r="F4309" s="5">
        <f>(VLOOKUP(Table4[[#This Row],[item_sold]],Table1[],4,FALSE))*Table4[[#This Row],[qty]]</f>
        <v>28.666666666666668</v>
      </c>
      <c r="G4309">
        <f t="shared" si="541"/>
        <v>11.333333333333332</v>
      </c>
      <c r="H4309" t="s">
        <v>361</v>
      </c>
    </row>
    <row r="4310" spans="1:9" x14ac:dyDescent="0.25">
      <c r="A4310" s="1">
        <f t="shared" si="538"/>
        <v>45553</v>
      </c>
      <c r="B4310" s="31">
        <f t="shared" ref="B4310:B4311" si="545">TIME(13,53,0)</f>
        <v>0.57847222222222217</v>
      </c>
      <c r="C4310" t="str">
        <f>'Inventory as of 12th Aug 2024'!A58</f>
        <v>Safari</v>
      </c>
      <c r="D4310">
        <v>2</v>
      </c>
      <c r="E4310" s="5">
        <f>Table4[[#This Row],[qty]]*(VLOOKUP(Table4[[#This Row],[item_sold]],Table1[],5,FALSE))</f>
        <v>30</v>
      </c>
      <c r="F4310" s="5">
        <f>(VLOOKUP(Table4[[#This Row],[item_sold]],Table1[],4,FALSE))*Table4[[#This Row],[qty]]</f>
        <v>17</v>
      </c>
      <c r="G4310">
        <f t="shared" si="541"/>
        <v>13</v>
      </c>
      <c r="H4310" t="s">
        <v>361</v>
      </c>
    </row>
    <row r="4311" spans="1:9" x14ac:dyDescent="0.25">
      <c r="A4311" s="1">
        <f t="shared" si="538"/>
        <v>45553</v>
      </c>
      <c r="B4311" s="31">
        <f t="shared" si="545"/>
        <v>0.57847222222222217</v>
      </c>
      <c r="C4311" t="str">
        <f>'Inventory as of 12th Aug 2024'!A91</f>
        <v>Tomatoes</v>
      </c>
      <c r="D4311">
        <v>1</v>
      </c>
      <c r="E4311" s="5">
        <f>Table4[[#This Row],[qty]]*(VLOOKUP(Table4[[#This Row],[item_sold]],Table1[],5,FALSE))</f>
        <v>10</v>
      </c>
      <c r="F4311" s="5">
        <f>(VLOOKUP(Table4[[#This Row],[item_sold]],Table1[],4,FALSE))*Table4[[#This Row],[qty]]</f>
        <v>5</v>
      </c>
      <c r="G4311">
        <f t="shared" si="541"/>
        <v>5</v>
      </c>
      <c r="H4311" t="s">
        <v>361</v>
      </c>
    </row>
    <row r="4312" spans="1:9" x14ac:dyDescent="0.25">
      <c r="A4312" s="1">
        <f t="shared" si="538"/>
        <v>45553</v>
      </c>
      <c r="B4312" s="31">
        <f>TIME(14,10,0)</f>
        <v>0.59027777777777779</v>
      </c>
      <c r="C4312" t="str">
        <f>'Inventory as of 12th Aug 2024'!A58</f>
        <v>Safari</v>
      </c>
      <c r="D4312">
        <v>1</v>
      </c>
      <c r="E4312" s="5">
        <f>Table4[[#This Row],[qty]]*(VLOOKUP(Table4[[#This Row],[item_sold]],Table1[],5,FALSE))</f>
        <v>15</v>
      </c>
      <c r="F4312" s="5">
        <f>(VLOOKUP(Table4[[#This Row],[item_sold]],Table1[],4,FALSE))*Table4[[#This Row],[qty]]</f>
        <v>8.5</v>
      </c>
      <c r="G4312">
        <f t="shared" si="541"/>
        <v>6.5</v>
      </c>
      <c r="H4312" t="s">
        <v>361</v>
      </c>
    </row>
    <row r="4313" spans="1:9" x14ac:dyDescent="0.25">
      <c r="A4313" s="1">
        <f t="shared" si="538"/>
        <v>45553</v>
      </c>
      <c r="B4313" s="31">
        <f t="shared" ref="B4313:B4314" si="546">TIME(14,10,0)</f>
        <v>0.59027777777777779</v>
      </c>
      <c r="C4313" t="str">
        <f>'Inventory as of 12th Aug 2024'!A16</f>
        <v>Mt kenya milk 500ml</v>
      </c>
      <c r="D4313">
        <v>1</v>
      </c>
      <c r="E4313" s="5">
        <f>Table4[[#This Row],[qty]]*(VLOOKUP(Table4[[#This Row],[item_sold]],Table1[],5,FALSE))</f>
        <v>65</v>
      </c>
      <c r="F4313" s="5">
        <f>(VLOOKUP(Table4[[#This Row],[item_sold]],Table1[],4,FALSE))*Table4[[#This Row],[qty]]</f>
        <v>48.333333333333336</v>
      </c>
      <c r="G4313">
        <f t="shared" si="541"/>
        <v>16.666666666666664</v>
      </c>
      <c r="H4313" t="s">
        <v>361</v>
      </c>
    </row>
    <row r="4314" spans="1:9" x14ac:dyDescent="0.25">
      <c r="A4314" s="1">
        <f t="shared" si="538"/>
        <v>45553</v>
      </c>
      <c r="B4314" s="31">
        <f t="shared" si="546"/>
        <v>0.59027777777777779</v>
      </c>
      <c r="C4314" t="str">
        <f>'Inventory as of 12th Aug 2024'!A199</f>
        <v>Kdf</v>
      </c>
      <c r="D4314">
        <v>2</v>
      </c>
      <c r="E4314" s="5">
        <f>Table4[[#This Row],[qty]]*(VLOOKUP(Table4[[#This Row],[item_sold]],Table1[],5,FALSE))</f>
        <v>20</v>
      </c>
      <c r="F4314" s="5">
        <f>(VLOOKUP(Table4[[#This Row],[item_sold]],Table1[],4,FALSE))*Table4[[#This Row],[qty]]</f>
        <v>16.666666666666668</v>
      </c>
      <c r="G4314">
        <f t="shared" si="541"/>
        <v>3.3333333333333321</v>
      </c>
      <c r="H4314" t="s">
        <v>361</v>
      </c>
    </row>
    <row r="4315" spans="1:9" x14ac:dyDescent="0.25">
      <c r="A4315" s="1">
        <f t="shared" si="538"/>
        <v>45553</v>
      </c>
      <c r="B4315" s="31">
        <f>TIME(15,9,0)</f>
        <v>0.63124999999999998</v>
      </c>
      <c r="C4315" t="str">
        <f>'Inventory as of 12th Aug 2024'!A41</f>
        <v>Indomie beef</v>
      </c>
      <c r="D4315">
        <v>1</v>
      </c>
      <c r="E4315" s="5">
        <f>Table4[[#This Row],[qty]]*(VLOOKUP(Table4[[#This Row],[item_sold]],Table1[],5,FALSE))</f>
        <v>50</v>
      </c>
      <c r="F4315" s="5">
        <f>(VLOOKUP(Table4[[#This Row],[item_sold]],Table1[],4,FALSE))*Table4[[#This Row],[qty]]</f>
        <v>38</v>
      </c>
      <c r="G4315">
        <f t="shared" si="541"/>
        <v>12</v>
      </c>
      <c r="H4315" t="s">
        <v>247</v>
      </c>
    </row>
    <row r="4316" spans="1:9" x14ac:dyDescent="0.25">
      <c r="A4316" s="1">
        <f t="shared" si="538"/>
        <v>45553</v>
      </c>
      <c r="B4316" s="31">
        <f t="shared" ref="B4316" si="547">TIME(15,9,0)</f>
        <v>0.63124999999999998</v>
      </c>
      <c r="C4316" t="str">
        <f>'Inventory as of 12th Aug 2024'!A107</f>
        <v>Match Box</v>
      </c>
      <c r="D4316">
        <v>1</v>
      </c>
      <c r="E4316" s="5">
        <f>Table4[[#This Row],[qty]]*(VLOOKUP(Table4[[#This Row],[item_sold]],Table1[],5,FALSE))</f>
        <v>5</v>
      </c>
      <c r="F4316" s="5">
        <f>(VLOOKUP(Table4[[#This Row],[item_sold]],Table1[],4,FALSE))*Table4[[#This Row],[qty]]</f>
        <v>2.3611111111111112</v>
      </c>
      <c r="G4316">
        <f t="shared" si="541"/>
        <v>2.6388888888888888</v>
      </c>
      <c r="H4316" t="s">
        <v>247</v>
      </c>
    </row>
    <row r="4317" spans="1:9" x14ac:dyDescent="0.25">
      <c r="A4317" s="1">
        <f t="shared" si="538"/>
        <v>45553</v>
      </c>
      <c r="B4317" s="31">
        <f>TIME(15,40,0)</f>
        <v>0.65277777777777779</v>
      </c>
      <c r="C4317" t="str">
        <f>'Inventory as of 12th Aug 2024'!A191</f>
        <v>Nuvita Bisquit</v>
      </c>
      <c r="D4317">
        <v>2</v>
      </c>
      <c r="E4317" s="5">
        <f>Table4[[#This Row],[qty]]*(VLOOKUP(Table4[[#This Row],[item_sold]],Table1[],5,FALSE))</f>
        <v>10</v>
      </c>
      <c r="F4317" s="5">
        <f>(VLOOKUP(Table4[[#This Row],[item_sold]],Table1[],4,FALSE))*Table4[[#This Row],[qty]]</f>
        <v>8.3333333333333339</v>
      </c>
      <c r="G4317">
        <f t="shared" si="541"/>
        <v>1.6666666666666661</v>
      </c>
      <c r="H4317" t="s">
        <v>361</v>
      </c>
    </row>
    <row r="4318" spans="1:9" x14ac:dyDescent="0.25">
      <c r="A4318" s="1">
        <f t="shared" si="538"/>
        <v>45553</v>
      </c>
      <c r="B4318" s="31">
        <f>TIME(16,22,0)</f>
        <v>0.68194444444444446</v>
      </c>
      <c r="C4318" t="str">
        <f>'Inventory as of 12th Aug 2024'!A256</f>
        <v>Family bisquit</v>
      </c>
      <c r="D4318">
        <v>1</v>
      </c>
      <c r="E4318" s="5">
        <f>Table4[[#This Row],[qty]]*(VLOOKUP(Table4[[#This Row],[item_sold]],Table1[],5,FALSE))</f>
        <v>35</v>
      </c>
      <c r="F4318" s="5">
        <f>(VLOOKUP(Table4[[#This Row],[item_sold]],Table1[],4,FALSE))*Table4[[#This Row],[qty]]</f>
        <v>23.333333333333332</v>
      </c>
      <c r="G4318">
        <f t="shared" si="541"/>
        <v>11.666666666666668</v>
      </c>
      <c r="H4318" t="s">
        <v>247</v>
      </c>
    </row>
    <row r="4319" spans="1:9" x14ac:dyDescent="0.25">
      <c r="A4319" s="1">
        <f t="shared" si="538"/>
        <v>45553</v>
      </c>
      <c r="B4319" s="31">
        <f t="shared" ref="B4319" si="548">TIME(16,22,0)</f>
        <v>0.68194444444444446</v>
      </c>
      <c r="C4319" t="str">
        <f>'Inventory as of 12th Aug 2024'!A200</f>
        <v>Ngumu</v>
      </c>
      <c r="D4319">
        <v>1</v>
      </c>
      <c r="E4319" s="5">
        <f>Table4[[#This Row],[qty]]*(VLOOKUP(Table4[[#This Row],[item_sold]],Table1[],5,FALSE))</f>
        <v>10</v>
      </c>
      <c r="F4319" s="5">
        <f>(VLOOKUP(Table4[[#This Row],[item_sold]],Table1[],4,FALSE))*Table4[[#This Row],[qty]]</f>
        <v>8.3333333333333339</v>
      </c>
      <c r="G4319">
        <f t="shared" si="541"/>
        <v>1.6666666666666661</v>
      </c>
      <c r="H4319" t="s">
        <v>247</v>
      </c>
    </row>
    <row r="4320" spans="1:9" x14ac:dyDescent="0.25">
      <c r="A4320" s="1">
        <f t="shared" si="538"/>
        <v>45553</v>
      </c>
      <c r="B4320" s="31">
        <f>TIME(16,25,0)</f>
        <v>0.68402777777777779</v>
      </c>
      <c r="C4320" t="str">
        <f>'Inventory as of 12th Aug 2024'!A41</f>
        <v>Indomie beef</v>
      </c>
      <c r="D4320">
        <v>1</v>
      </c>
      <c r="E4320" s="5">
        <f>Table4[[#This Row],[qty]]*(VLOOKUP(Table4[[#This Row],[item_sold]],Table1[],5,FALSE))</f>
        <v>50</v>
      </c>
      <c r="F4320" s="5">
        <f>(VLOOKUP(Table4[[#This Row],[item_sold]],Table1[],4,FALSE))*Table4[[#This Row],[qty]]</f>
        <v>38</v>
      </c>
      <c r="G4320">
        <f t="shared" si="541"/>
        <v>12</v>
      </c>
      <c r="H4320" t="s">
        <v>247</v>
      </c>
    </row>
    <row r="4321" spans="1:12" x14ac:dyDescent="0.25">
      <c r="A4321" s="1">
        <f t="shared" si="538"/>
        <v>45553</v>
      </c>
      <c r="B4321" s="31">
        <f>TIME(16,46,0)</f>
        <v>0.69861111111111107</v>
      </c>
      <c r="C4321" t="str">
        <f>'Inventory as of 12th Aug 2024'!A84</f>
        <v>omo 20g</v>
      </c>
      <c r="D4321">
        <v>2</v>
      </c>
      <c r="E4321" s="5">
        <f>Table4[[#This Row],[qty]]*(VLOOKUP(Table4[[#This Row],[item_sold]],Table1[],5,FALSE))</f>
        <v>30</v>
      </c>
      <c r="F4321" s="5">
        <f>(VLOOKUP(Table4[[#This Row],[item_sold]],Table1[],4,FALSE))*Table4[[#This Row],[qty]]</f>
        <v>18.333333333333332</v>
      </c>
      <c r="G4321">
        <f t="shared" si="541"/>
        <v>11.666666666666668</v>
      </c>
      <c r="H4321" t="s">
        <v>361</v>
      </c>
    </row>
    <row r="4322" spans="1:12" x14ac:dyDescent="0.25">
      <c r="A4322" s="1">
        <f t="shared" si="538"/>
        <v>45553</v>
      </c>
      <c r="B4322" s="31">
        <f>TIME(16,46,0)</f>
        <v>0.69861111111111107</v>
      </c>
      <c r="C4322" t="str">
        <f>'Inventory as of 12th Aug 2024'!A10</f>
        <v>Mt Kenya milk 200ml</v>
      </c>
      <c r="D4322">
        <v>1</v>
      </c>
      <c r="E4322" s="5">
        <f>Table4[[#This Row],[qty]]*(VLOOKUP(Table4[[#This Row],[item_sold]],Table1[],5,FALSE))</f>
        <v>35</v>
      </c>
      <c r="F4322" s="5">
        <f>(VLOOKUP(Table4[[#This Row],[item_sold]],Table1[],4,FALSE))*Table4[[#This Row],[qty]]</f>
        <v>24.285714285714285</v>
      </c>
      <c r="G4322">
        <f t="shared" si="541"/>
        <v>10.714285714285715</v>
      </c>
      <c r="H4322" t="s">
        <v>361</v>
      </c>
    </row>
    <row r="4323" spans="1:12" x14ac:dyDescent="0.25">
      <c r="A4323" s="1">
        <f t="shared" si="538"/>
        <v>45553</v>
      </c>
      <c r="B4323" s="31">
        <f>TIME(12,16,0)</f>
        <v>0.51111111111111118</v>
      </c>
      <c r="C4323" t="str">
        <f>'Inventory as of 12th Aug 2024'!A212</f>
        <v>soda 300ml glass</v>
      </c>
      <c r="D4323">
        <v>1</v>
      </c>
      <c r="E4323" s="5">
        <f>Table4[[#This Row],[qty]]*(VLOOKUP(Table4[[#This Row],[item_sold]],Table1[],5,FALSE))</f>
        <v>40</v>
      </c>
      <c r="F4323" s="5">
        <f>(VLOOKUP(Table4[[#This Row],[item_sold]],Table1[],4,FALSE))*Table4[[#This Row],[qty]]</f>
        <v>32.5</v>
      </c>
      <c r="G4323">
        <f t="shared" si="541"/>
        <v>7.5</v>
      </c>
      <c r="H4323" t="s">
        <v>430</v>
      </c>
      <c r="I4323" t="s">
        <v>406</v>
      </c>
    </row>
    <row r="4324" spans="1:12" x14ac:dyDescent="0.25">
      <c r="A4324" s="1">
        <f t="shared" si="538"/>
        <v>45553</v>
      </c>
      <c r="B4324" s="31">
        <f>TIME(17,28,0)</f>
        <v>0.72777777777777775</v>
      </c>
      <c r="C4324" t="str">
        <f>'Inventory as of 12th Aug 2024'!A234</f>
        <v>Bigdaddy</v>
      </c>
      <c r="D4324">
        <v>4</v>
      </c>
      <c r="E4324" s="5">
        <f>Table4[[#This Row],[qty]]*(VLOOKUP(Table4[[#This Row],[item_sold]],Table1[],5,FALSE))</f>
        <v>40</v>
      </c>
      <c r="F4324" s="5">
        <f>(VLOOKUP(Table4[[#This Row],[item_sold]],Table1[],4,FALSE))*Table4[[#This Row],[qty]]</f>
        <v>24</v>
      </c>
      <c r="G4324">
        <f t="shared" si="541"/>
        <v>16</v>
      </c>
      <c r="H4324" t="s">
        <v>247</v>
      </c>
    </row>
    <row r="4325" spans="1:12" x14ac:dyDescent="0.25">
      <c r="A4325" s="1">
        <f t="shared" si="538"/>
        <v>45553</v>
      </c>
      <c r="B4325" s="31">
        <f>TIME(18,50,0)</f>
        <v>0.78472222222222221</v>
      </c>
      <c r="C4325" t="str">
        <f>'Inventory as of 12th Aug 2024'!A16</f>
        <v>Mt kenya milk 500ml</v>
      </c>
      <c r="D4325">
        <v>1</v>
      </c>
      <c r="E4325" s="5">
        <f>Table4[[#This Row],[qty]]*(VLOOKUP(Table4[[#This Row],[item_sold]],Table1[],5,FALSE))</f>
        <v>65</v>
      </c>
      <c r="F4325" s="5">
        <f>(VLOOKUP(Table4[[#This Row],[item_sold]],Table1[],4,FALSE))*Table4[[#This Row],[qty]]</f>
        <v>48.333333333333336</v>
      </c>
      <c r="G4325">
        <f t="shared" si="541"/>
        <v>16.666666666666664</v>
      </c>
      <c r="H4325" t="s">
        <v>361</v>
      </c>
    </row>
    <row r="4326" spans="1:12" x14ac:dyDescent="0.25">
      <c r="A4326" s="1">
        <f t="shared" si="538"/>
        <v>45553</v>
      </c>
      <c r="B4326" s="31">
        <f t="shared" ref="B4326" si="549">TIME(18,50,0)</f>
        <v>0.78472222222222221</v>
      </c>
      <c r="C4326" t="str">
        <f>'Inventory as of 12th Aug 2024'!A59</f>
        <v>kabras sugar 1kg</v>
      </c>
      <c r="D4326">
        <v>1</v>
      </c>
      <c r="E4326" s="5">
        <f>Table4[[#This Row],[qty]]*(VLOOKUP(Table4[[#This Row],[item_sold]],Table1[],5,FALSE))</f>
        <v>180</v>
      </c>
      <c r="F4326" s="5">
        <f>(VLOOKUP(Table4[[#This Row],[item_sold]],Table1[],4,FALSE))*Table4[[#This Row],[qty]]</f>
        <v>140</v>
      </c>
      <c r="G4326">
        <f t="shared" si="541"/>
        <v>40</v>
      </c>
      <c r="H4326" t="s">
        <v>247</v>
      </c>
    </row>
    <row r="4327" spans="1:12" x14ac:dyDescent="0.25">
      <c r="A4327" s="1">
        <f t="shared" si="538"/>
        <v>45553</v>
      </c>
      <c r="B4327" s="31">
        <f>TIME(19,3,0)</f>
        <v>0.79375000000000007</v>
      </c>
      <c r="C4327" s="27" t="str">
        <f>'Inventory as of 12th Aug 2024'!A255</f>
        <v>Masking Tape</v>
      </c>
      <c r="D4327">
        <v>2</v>
      </c>
      <c r="E4327" s="5">
        <f>Table4[[#This Row],[qty]]*(VLOOKUP(Table4[[#This Row],[item_sold]],Table1[],5,FALSE))</f>
        <v>60</v>
      </c>
      <c r="F4327" s="5">
        <f>(VLOOKUP(Table4[[#This Row],[item_sold]],Table1[],4,FALSE))*Table4[[#This Row],[qty]]</f>
        <v>41.666666666666664</v>
      </c>
      <c r="G4327">
        <f t="shared" si="541"/>
        <v>18.333333333333336</v>
      </c>
      <c r="H4327" t="s">
        <v>361</v>
      </c>
    </row>
    <row r="4328" spans="1:12" x14ac:dyDescent="0.25">
      <c r="A4328" s="1">
        <f t="shared" si="538"/>
        <v>45553</v>
      </c>
      <c r="B4328" s="31">
        <f>TIME(19,7,0)</f>
        <v>0.79652777777777783</v>
      </c>
      <c r="C4328" t="str">
        <f>'Inventory as of 12th Aug 2024'!A58</f>
        <v>Safari</v>
      </c>
      <c r="D4328">
        <v>1</v>
      </c>
      <c r="E4328" s="5">
        <f>Table4[[#This Row],[qty]]*(VLOOKUP(Table4[[#This Row],[item_sold]],Table1[],5,FALSE))</f>
        <v>15</v>
      </c>
      <c r="F4328" s="5">
        <f>(VLOOKUP(Table4[[#This Row],[item_sold]],Table1[],4,FALSE))*Table4[[#This Row],[qty]]</f>
        <v>8.5</v>
      </c>
      <c r="G4328">
        <f t="shared" si="541"/>
        <v>6.5</v>
      </c>
      <c r="H4328" t="s">
        <v>247</v>
      </c>
    </row>
    <row r="4329" spans="1:12" x14ac:dyDescent="0.25">
      <c r="A4329" s="1">
        <f t="shared" si="538"/>
        <v>45553</v>
      </c>
      <c r="B4329" s="31">
        <f>TIME(19,41,0)</f>
        <v>0.82013888888888886</v>
      </c>
      <c r="C4329" t="str">
        <f>'Inventory as of 12th Aug 2024'!A75</f>
        <v>Cooking Oil Measured</v>
      </c>
      <c r="D4329">
        <v>0.25</v>
      </c>
      <c r="E4329" s="5">
        <f>Table4[[#This Row],[qty]]*(VLOOKUP(Table4[[#This Row],[item_sold]],Table1[],5,FALSE))</f>
        <v>70</v>
      </c>
      <c r="F4329" s="5">
        <f>(VLOOKUP(Table4[[#This Row],[item_sold]],Table1[],4,FALSE))*Table4[[#This Row],[qty]]</f>
        <v>50</v>
      </c>
      <c r="G4329">
        <f t="shared" si="541"/>
        <v>20</v>
      </c>
      <c r="H4329" t="s">
        <v>361</v>
      </c>
    </row>
    <row r="4330" spans="1:12" x14ac:dyDescent="0.25">
      <c r="A4330" s="1">
        <f t="shared" si="538"/>
        <v>45553</v>
      </c>
      <c r="B4330" s="31">
        <f>TIME(19,45,0)</f>
        <v>0.82291666666666663</v>
      </c>
      <c r="C4330" t="str">
        <f>'Inventory as of 12th Aug 2024'!A199</f>
        <v>Kdf</v>
      </c>
      <c r="D4330">
        <v>3</v>
      </c>
      <c r="E4330" s="5">
        <f>Table4[[#This Row],[qty]]*(VLOOKUP(Table4[[#This Row],[item_sold]],Table1[],5,FALSE))</f>
        <v>30</v>
      </c>
      <c r="F4330" s="5">
        <f>(VLOOKUP(Table4[[#This Row],[item_sold]],Table1[],4,FALSE))*Table4[[#This Row],[qty]]</f>
        <v>25</v>
      </c>
      <c r="G4330">
        <f t="shared" si="541"/>
        <v>5</v>
      </c>
      <c r="H4330" t="s">
        <v>361</v>
      </c>
    </row>
    <row r="4331" spans="1:12" x14ac:dyDescent="0.25">
      <c r="A4331" s="1">
        <f t="shared" si="538"/>
        <v>45553</v>
      </c>
      <c r="B4331" s="31">
        <f>TIME(19,45,0)</f>
        <v>0.82291666666666663</v>
      </c>
      <c r="C4331" t="str">
        <f>'Inventory as of 12th Aug 2024'!A58</f>
        <v>Safari</v>
      </c>
      <c r="D4331">
        <v>1</v>
      </c>
      <c r="E4331" s="5">
        <f>Table4[[#This Row],[qty]]*(VLOOKUP(Table4[[#This Row],[item_sold]],Table1[],5,FALSE))</f>
        <v>15</v>
      </c>
      <c r="F4331" s="5">
        <f>(VLOOKUP(Table4[[#This Row],[item_sold]],Table1[],4,FALSE))*Table4[[#This Row],[qty]]</f>
        <v>8.5</v>
      </c>
      <c r="G4331">
        <f t="shared" si="541"/>
        <v>6.5</v>
      </c>
      <c r="H4331" t="s">
        <v>361</v>
      </c>
      <c r="J4331" t="s">
        <v>462</v>
      </c>
      <c r="K4331">
        <v>2075</v>
      </c>
      <c r="L4331" t="s">
        <v>361</v>
      </c>
    </row>
    <row r="4332" spans="1:12" x14ac:dyDescent="0.25">
      <c r="A4332" s="1">
        <f t="shared" si="538"/>
        <v>45553</v>
      </c>
      <c r="B4332" s="31">
        <f>TIME(19,54,0)</f>
        <v>0.82916666666666661</v>
      </c>
      <c r="C4332" t="str">
        <f>'Inventory as of 12th Aug 2024'!A91</f>
        <v>Tomatoes</v>
      </c>
      <c r="D4332">
        <v>2</v>
      </c>
      <c r="E4332" s="5">
        <f>Table4[[#This Row],[qty]]*(VLOOKUP(Table4[[#This Row],[item_sold]],Table1[],5,FALSE))</f>
        <v>20</v>
      </c>
      <c r="F4332" s="5">
        <f>(VLOOKUP(Table4[[#This Row],[item_sold]],Table1[],4,FALSE))*Table4[[#This Row],[qty]]</f>
        <v>10</v>
      </c>
      <c r="G4332">
        <f t="shared" ref="G4332:G4364" si="550">E4332-F4332</f>
        <v>10</v>
      </c>
      <c r="H4332" t="s">
        <v>361</v>
      </c>
    </row>
    <row r="4333" spans="1:12" x14ac:dyDescent="0.25">
      <c r="A4333" s="1">
        <f t="shared" si="538"/>
        <v>45553</v>
      </c>
      <c r="B4333" s="31">
        <f>TIME(20,9,0)</f>
        <v>0.83958333333333324</v>
      </c>
      <c r="C4333" t="str">
        <f>'Inventory as of 12th Aug 2024'!A47</f>
        <v>Pembe 2kg</v>
      </c>
      <c r="D4333">
        <v>1</v>
      </c>
      <c r="E4333" s="5">
        <f>Table4[[#This Row],[qty]]*(VLOOKUP(Table4[[#This Row],[item_sold]],Table1[],5,FALSE))</f>
        <v>160</v>
      </c>
      <c r="F4333" s="5">
        <f>(VLOOKUP(Table4[[#This Row],[item_sold]],Table1[],4,FALSE))*Table4[[#This Row],[qty]]</f>
        <v>123.33333333333333</v>
      </c>
      <c r="G4333">
        <f t="shared" si="550"/>
        <v>36.666666666666671</v>
      </c>
      <c r="H4333" t="s">
        <v>247</v>
      </c>
    </row>
    <row r="4334" spans="1:12" x14ac:dyDescent="0.25">
      <c r="A4334" s="1">
        <f t="shared" si="538"/>
        <v>45553</v>
      </c>
      <c r="B4334" s="31">
        <f t="shared" ref="B4334:B4337" si="551">TIME(20,9,0)</f>
        <v>0.83958333333333324</v>
      </c>
      <c r="C4334" t="str">
        <f>'Inventory as of 12th Aug 2024'!A86</f>
        <v>Downy sunrise fresh</v>
      </c>
      <c r="D4334">
        <v>2</v>
      </c>
      <c r="E4334" s="5">
        <f>Table4[[#This Row],[qty]]*(VLOOKUP(Table4[[#This Row],[item_sold]],Table1[],5,FALSE))</f>
        <v>40</v>
      </c>
      <c r="F4334" s="5">
        <f>(VLOOKUP(Table4[[#This Row],[item_sold]],Table1[],4,FALSE))*Table4[[#This Row],[qty]]</f>
        <v>34.666666666666664</v>
      </c>
      <c r="G4334">
        <f t="shared" si="550"/>
        <v>5.3333333333333357</v>
      </c>
      <c r="H4334" t="s">
        <v>247</v>
      </c>
    </row>
    <row r="4335" spans="1:12" x14ac:dyDescent="0.25">
      <c r="A4335" s="1">
        <f t="shared" si="538"/>
        <v>45553</v>
      </c>
      <c r="B4335" s="31">
        <f t="shared" si="551"/>
        <v>0.83958333333333324</v>
      </c>
      <c r="C4335" t="str">
        <f>'Inventory as of 12th Aug 2024'!A68</f>
        <v>Royco cubes</v>
      </c>
      <c r="D4335">
        <v>4</v>
      </c>
      <c r="E4335" s="5">
        <f>Table4[[#This Row],[qty]]*(VLOOKUP(Table4[[#This Row],[item_sold]],Table1[],5,FALSE))</f>
        <v>20</v>
      </c>
      <c r="F4335" s="5">
        <f>(VLOOKUP(Table4[[#This Row],[item_sold]],Table1[],4,FALSE))*Table4[[#This Row],[qty]]</f>
        <v>12</v>
      </c>
      <c r="G4335">
        <f t="shared" si="550"/>
        <v>8</v>
      </c>
      <c r="H4335" t="s">
        <v>247</v>
      </c>
    </row>
    <row r="4336" spans="1:12" x14ac:dyDescent="0.25">
      <c r="A4336" s="1">
        <f t="shared" si="538"/>
        <v>45553</v>
      </c>
      <c r="B4336" s="31">
        <f t="shared" si="551"/>
        <v>0.83958333333333324</v>
      </c>
      <c r="C4336" t="str">
        <f>'Inventory as of 12th Aug 2024'!A71</f>
        <v>Sugar 1/4 kg</v>
      </c>
      <c r="D4336">
        <v>1</v>
      </c>
      <c r="E4336" s="5">
        <f>Table4[[#This Row],[qty]]*(VLOOKUP(Table4[[#This Row],[item_sold]],Table1[],5,FALSE))</f>
        <v>45</v>
      </c>
      <c r="F4336" s="5">
        <f>(VLOOKUP(Table4[[#This Row],[item_sold]],Table1[],4,FALSE))*Table4[[#This Row],[qty]]</f>
        <v>30</v>
      </c>
      <c r="G4336">
        <f t="shared" si="550"/>
        <v>15</v>
      </c>
      <c r="H4336" t="s">
        <v>247</v>
      </c>
    </row>
    <row r="4337" spans="1:12" x14ac:dyDescent="0.25">
      <c r="A4337" s="1">
        <f t="shared" si="538"/>
        <v>45553</v>
      </c>
      <c r="B4337" s="31">
        <f t="shared" si="551"/>
        <v>0.83958333333333324</v>
      </c>
      <c r="C4337" t="str">
        <f>'Inventory as of 12th Aug 2024'!A75</f>
        <v>Cooking Oil Measured</v>
      </c>
      <c r="D4337">
        <v>0.25</v>
      </c>
      <c r="E4337" s="5">
        <f>Table4[[#This Row],[qty]]*(VLOOKUP(Table4[[#This Row],[item_sold]],Table1[],5,FALSE))</f>
        <v>70</v>
      </c>
      <c r="F4337" s="5">
        <f>(VLOOKUP(Table4[[#This Row],[item_sold]],Table1[],4,FALSE))*Table4[[#This Row],[qty]]</f>
        <v>50</v>
      </c>
      <c r="G4337">
        <f t="shared" si="550"/>
        <v>20</v>
      </c>
      <c r="H4337" t="s">
        <v>247</v>
      </c>
    </row>
    <row r="4338" spans="1:12" x14ac:dyDescent="0.25">
      <c r="A4338" s="1">
        <f>DATE(2024,9,19)</f>
        <v>45554</v>
      </c>
      <c r="B4338" s="31">
        <f>TIME(7,45,0)</f>
        <v>0.32291666666666669</v>
      </c>
      <c r="C4338" t="str">
        <f>'Inventory as of 12th Aug 2024'!A200</f>
        <v>Ngumu</v>
      </c>
      <c r="D4338">
        <v>1</v>
      </c>
      <c r="E4338" s="5">
        <f>Table4[[#This Row],[qty]]*(VLOOKUP(Table4[[#This Row],[item_sold]],Table1[],5,FALSE))</f>
        <v>10</v>
      </c>
      <c r="F4338" s="5">
        <f>(VLOOKUP(Table4[[#This Row],[item_sold]],Table1[],4,FALSE))*Table4[[#This Row],[qty]]</f>
        <v>8.3333333333333339</v>
      </c>
      <c r="G4338">
        <f t="shared" si="550"/>
        <v>1.6666666666666661</v>
      </c>
      <c r="H4338" t="s">
        <v>247</v>
      </c>
    </row>
    <row r="4339" spans="1:12" x14ac:dyDescent="0.25">
      <c r="A4339" s="1">
        <f t="shared" ref="A4339:A4397" si="552">DATE(2024,9,19)</f>
        <v>45554</v>
      </c>
      <c r="B4339" s="31">
        <f>TIME(7,50,0)</f>
        <v>0.3263888888888889</v>
      </c>
      <c r="C4339" t="str">
        <f>'Inventory as of 12th Aug 2024'!A245</f>
        <v>1.5ltrs water</v>
      </c>
      <c r="D4339">
        <v>2</v>
      </c>
      <c r="E4339" s="5">
        <f>Table4[[#This Row],[qty]]*(VLOOKUP(Table4[[#This Row],[item_sold]],Table1[],5,FALSE))</f>
        <v>140</v>
      </c>
      <c r="F4339" s="5">
        <f>(VLOOKUP(Table4[[#This Row],[item_sold]],Table1[],4,FALSE))*Table4[[#This Row],[qty]]</f>
        <v>50</v>
      </c>
      <c r="G4339">
        <f t="shared" si="550"/>
        <v>90</v>
      </c>
      <c r="H4339" t="s">
        <v>247</v>
      </c>
    </row>
    <row r="4340" spans="1:12" x14ac:dyDescent="0.25">
      <c r="A4340" s="1">
        <f t="shared" si="552"/>
        <v>45554</v>
      </c>
      <c r="B4340" s="31">
        <f>TIME(8,4,0)</f>
        <v>0.33611111111111108</v>
      </c>
      <c r="C4340" t="str">
        <f>'Inventory as of 12th Aug 2024'!A10</f>
        <v>Mt Kenya milk 200ml</v>
      </c>
      <c r="D4340">
        <v>1</v>
      </c>
      <c r="E4340" s="5">
        <f>Table4[[#This Row],[qty]]*(VLOOKUP(Table4[[#This Row],[item_sold]],Table1[],5,FALSE))</f>
        <v>35</v>
      </c>
      <c r="F4340" s="5">
        <f>(VLOOKUP(Table4[[#This Row],[item_sold]],Table1[],4,FALSE))*Table4[[#This Row],[qty]]</f>
        <v>24.285714285714285</v>
      </c>
      <c r="G4340">
        <f t="shared" si="550"/>
        <v>10.714285714285715</v>
      </c>
      <c r="H4340" t="s">
        <v>247</v>
      </c>
    </row>
    <row r="4341" spans="1:12" x14ac:dyDescent="0.25">
      <c r="A4341" s="1">
        <f t="shared" si="552"/>
        <v>45554</v>
      </c>
      <c r="B4341" s="31">
        <f>TIME(8,17,0)</f>
        <v>0.34513888888888888</v>
      </c>
      <c r="C4341" t="str">
        <f>'Inventory as of 12th Aug 2024'!A120</f>
        <v>Maramoja</v>
      </c>
      <c r="D4341">
        <v>1</v>
      </c>
      <c r="E4341" s="5">
        <f>Table4[[#This Row],[qty]]*(VLOOKUP(Table4[[#This Row],[item_sold]],Table1[],5,FALSE))</f>
        <v>10</v>
      </c>
      <c r="F4341" s="5">
        <f>(VLOOKUP(Table4[[#This Row],[item_sold]],Table1[],4,FALSE))*Table4[[#This Row],[qty]]</f>
        <v>7</v>
      </c>
      <c r="G4341">
        <f t="shared" si="550"/>
        <v>3</v>
      </c>
      <c r="H4341" t="s">
        <v>361</v>
      </c>
    </row>
    <row r="4342" spans="1:12" x14ac:dyDescent="0.25">
      <c r="A4342" s="1">
        <f t="shared" si="552"/>
        <v>45554</v>
      </c>
      <c r="B4342" s="31">
        <f>TIME(8,37,0)</f>
        <v>0.35902777777777778</v>
      </c>
      <c r="C4342" t="str">
        <f>'Inventory as of 12th Aug 2024'!A58</f>
        <v>Safari</v>
      </c>
      <c r="D4342">
        <v>2</v>
      </c>
      <c r="E4342" s="5">
        <f>Table4[[#This Row],[qty]]*(VLOOKUP(Table4[[#This Row],[item_sold]],Table1[],5,FALSE))</f>
        <v>30</v>
      </c>
      <c r="F4342" s="5">
        <f>(VLOOKUP(Table4[[#This Row],[item_sold]],Table1[],4,FALSE))*Table4[[#This Row],[qty]]</f>
        <v>17</v>
      </c>
      <c r="G4342">
        <f t="shared" si="550"/>
        <v>13</v>
      </c>
      <c r="H4342" t="s">
        <v>247</v>
      </c>
    </row>
    <row r="4343" spans="1:12" x14ac:dyDescent="0.25">
      <c r="A4343" s="1">
        <f t="shared" si="552"/>
        <v>45554</v>
      </c>
      <c r="B4343" s="31">
        <f>TIME(11,0,0)</f>
        <v>0.45833333333333331</v>
      </c>
      <c r="C4343" t="str">
        <f>'Inventory as of 12th Aug 2024'!A68</f>
        <v>Royco cubes</v>
      </c>
      <c r="D4343">
        <v>1</v>
      </c>
      <c r="E4343" s="5">
        <f>Table4[[#This Row],[qty]]*(VLOOKUP(Table4[[#This Row],[item_sold]],Table1[],5,FALSE))</f>
        <v>5</v>
      </c>
      <c r="F4343" s="5">
        <f>(VLOOKUP(Table4[[#This Row],[item_sold]],Table1[],4,FALSE))*Table4[[#This Row],[qty]]</f>
        <v>3</v>
      </c>
      <c r="G4343">
        <f t="shared" si="550"/>
        <v>2</v>
      </c>
      <c r="H4343" t="s">
        <v>430</v>
      </c>
      <c r="I4343" t="s">
        <v>390</v>
      </c>
    </row>
    <row r="4344" spans="1:12" x14ac:dyDescent="0.25">
      <c r="A4344" s="1">
        <f t="shared" si="552"/>
        <v>45554</v>
      </c>
      <c r="B4344" s="31">
        <f t="shared" ref="B4344:B4345" si="553">TIME(11,0,0)</f>
        <v>0.45833333333333331</v>
      </c>
      <c r="C4344" t="str">
        <f>'Inventory as of 12th Aug 2024'!A10</f>
        <v>Mt Kenya milk 200ml</v>
      </c>
      <c r="D4344">
        <v>1</v>
      </c>
      <c r="E4344" s="5">
        <f>Table4[[#This Row],[qty]]*(VLOOKUP(Table4[[#This Row],[item_sold]],Table1[],5,FALSE))</f>
        <v>35</v>
      </c>
      <c r="F4344" s="5">
        <f>(VLOOKUP(Table4[[#This Row],[item_sold]],Table1[],4,FALSE))*Table4[[#This Row],[qty]]</f>
        <v>24.285714285714285</v>
      </c>
      <c r="G4344">
        <f t="shared" si="550"/>
        <v>10.714285714285715</v>
      </c>
      <c r="H4344" t="s">
        <v>430</v>
      </c>
      <c r="I4344" t="s">
        <v>390</v>
      </c>
    </row>
    <row r="4345" spans="1:12" x14ac:dyDescent="0.25">
      <c r="A4345" s="1">
        <f t="shared" si="552"/>
        <v>45554</v>
      </c>
      <c r="B4345" s="31">
        <f t="shared" si="553"/>
        <v>0.45833333333333331</v>
      </c>
      <c r="C4345" t="str">
        <f>'Inventory as of 12th Aug 2024'!A37</f>
        <v>Festive Bread 400g</v>
      </c>
      <c r="D4345">
        <v>1</v>
      </c>
      <c r="E4345" s="5">
        <f>Table4[[#This Row],[qty]]*(VLOOKUP(Table4[[#This Row],[item_sold]],Table1[],5,FALSE))</f>
        <v>65</v>
      </c>
      <c r="F4345" s="5">
        <f>(VLOOKUP(Table4[[#This Row],[item_sold]],Table1[],4,FALSE))*Table4[[#This Row],[qty]]</f>
        <v>60</v>
      </c>
      <c r="G4345">
        <f t="shared" si="550"/>
        <v>5</v>
      </c>
      <c r="H4345" t="s">
        <v>430</v>
      </c>
    </row>
    <row r="4346" spans="1:12" x14ac:dyDescent="0.25">
      <c r="A4346" s="1">
        <f t="shared" si="552"/>
        <v>45554</v>
      </c>
      <c r="B4346" s="31">
        <f>TIME(11,24,0)</f>
        <v>0.47500000000000003</v>
      </c>
      <c r="C4346" t="str">
        <f>'Inventory as of 12th Aug 2024'!A85</f>
        <v>Downy lavender</v>
      </c>
      <c r="D4346">
        <v>1</v>
      </c>
      <c r="E4346" s="5">
        <f>Table4[[#This Row],[qty]]*(VLOOKUP(Table4[[#This Row],[item_sold]],Table1[],5,FALSE))</f>
        <v>20</v>
      </c>
      <c r="F4346" s="5">
        <f>(VLOOKUP(Table4[[#This Row],[item_sold]],Table1[],4,FALSE))*Table4[[#This Row],[qty]]</f>
        <v>17.333333333333332</v>
      </c>
      <c r="G4346">
        <f t="shared" si="550"/>
        <v>2.6666666666666679</v>
      </c>
      <c r="H4346" t="s">
        <v>361</v>
      </c>
    </row>
    <row r="4347" spans="1:12" x14ac:dyDescent="0.25">
      <c r="A4347" s="1">
        <f t="shared" si="552"/>
        <v>45554</v>
      </c>
      <c r="B4347" s="31">
        <f t="shared" ref="B4347:B4348" si="554">TIME(11,24,0)</f>
        <v>0.47500000000000003</v>
      </c>
      <c r="C4347" t="str">
        <f>'Inventory as of 12th Aug 2024'!A81</f>
        <v>ariel 75g</v>
      </c>
      <c r="D4347">
        <v>1</v>
      </c>
      <c r="E4347" s="5">
        <f>Table4[[#This Row],[qty]]*(VLOOKUP(Table4[[#This Row],[item_sold]],Table1[],5,FALSE))</f>
        <v>35</v>
      </c>
      <c r="F4347" s="5">
        <f>(VLOOKUP(Table4[[#This Row],[item_sold]],Table1[],4,FALSE))*Table4[[#This Row],[qty]]</f>
        <v>27.5</v>
      </c>
      <c r="G4347">
        <f t="shared" si="550"/>
        <v>7.5</v>
      </c>
      <c r="H4347" t="s">
        <v>361</v>
      </c>
    </row>
    <row r="4348" spans="1:12" x14ac:dyDescent="0.25">
      <c r="A4348" s="1">
        <f t="shared" si="552"/>
        <v>45554</v>
      </c>
      <c r="B4348" s="31">
        <f t="shared" si="554"/>
        <v>0.47500000000000003</v>
      </c>
      <c r="C4348" t="str">
        <f>'Inventory as of 12th Aug 2024'!A200</f>
        <v>Ngumu</v>
      </c>
      <c r="D4348">
        <v>3</v>
      </c>
      <c r="E4348" s="5">
        <f>Table4[[#This Row],[qty]]*(VLOOKUP(Table4[[#This Row],[item_sold]],Table1[],5,FALSE))</f>
        <v>30</v>
      </c>
      <c r="F4348" s="5">
        <f>(VLOOKUP(Table4[[#This Row],[item_sold]],Table1[],4,FALSE))*Table4[[#This Row],[qty]]</f>
        <v>25</v>
      </c>
      <c r="G4348">
        <f t="shared" si="550"/>
        <v>5</v>
      </c>
      <c r="H4348" t="s">
        <v>361</v>
      </c>
    </row>
    <row r="4349" spans="1:12" x14ac:dyDescent="0.25">
      <c r="A4349" s="1">
        <f t="shared" si="552"/>
        <v>45554</v>
      </c>
      <c r="B4349" s="31">
        <f>TIME(11,29,0)</f>
        <v>0.47847222222222219</v>
      </c>
      <c r="C4349" t="str">
        <f>'Inventory as of 12th Aug 2024'!A109</f>
        <v>Lighter</v>
      </c>
      <c r="D4349">
        <v>1</v>
      </c>
      <c r="E4349" s="5">
        <f>Table4[[#This Row],[qty]]*(VLOOKUP(Table4[[#This Row],[item_sold]],Table1[],5,FALSE))</f>
        <v>30</v>
      </c>
      <c r="F4349" s="5">
        <f>(VLOOKUP(Table4[[#This Row],[item_sold]],Table1[],4,FALSE))*Table4[[#This Row],[qty]]</f>
        <v>15</v>
      </c>
      <c r="G4349">
        <f t="shared" si="550"/>
        <v>15</v>
      </c>
      <c r="H4349" t="s">
        <v>361</v>
      </c>
    </row>
    <row r="4350" spans="1:12" x14ac:dyDescent="0.25">
      <c r="A4350" s="1">
        <f t="shared" si="552"/>
        <v>45554</v>
      </c>
      <c r="B4350" s="31">
        <f>TIME(11,42,0)</f>
        <v>0.48749999999999999</v>
      </c>
      <c r="C4350" t="str">
        <f>'Inventory as of 12th Aug 2024'!A9</f>
        <v>Kinangop Fresh Milk 500ml</v>
      </c>
      <c r="D4350">
        <v>1</v>
      </c>
      <c r="E4350" s="5">
        <f>Table4[[#This Row],[qty]]*(VLOOKUP(Table4[[#This Row],[item_sold]],Table1[],5,FALSE))</f>
        <v>60</v>
      </c>
      <c r="F4350" s="5">
        <f>(VLOOKUP(Table4[[#This Row],[item_sold]],Table1[],4,FALSE))*Table4[[#This Row],[qty]]</f>
        <v>55</v>
      </c>
      <c r="G4350">
        <f t="shared" si="550"/>
        <v>5</v>
      </c>
      <c r="H4350" t="s">
        <v>247</v>
      </c>
    </row>
    <row r="4351" spans="1:12" x14ac:dyDescent="0.25">
      <c r="A4351" s="1">
        <f t="shared" si="552"/>
        <v>45554</v>
      </c>
      <c r="B4351" s="31">
        <f>TIME(11,43,0)</f>
        <v>0.48819444444444443</v>
      </c>
      <c r="C4351" t="str">
        <f>'Inventory as of 12th Aug 2024'!A91</f>
        <v>Tomatoes</v>
      </c>
      <c r="D4351">
        <v>2</v>
      </c>
      <c r="E4351" s="5">
        <f>Table4[[#This Row],[qty]]*(VLOOKUP(Table4[[#This Row],[item_sold]],Table1[],5,FALSE))</f>
        <v>20</v>
      </c>
      <c r="F4351" s="5">
        <f>(VLOOKUP(Table4[[#This Row],[item_sold]],Table1[],4,FALSE))*Table4[[#This Row],[qty]]</f>
        <v>10</v>
      </c>
      <c r="G4351">
        <f t="shared" si="550"/>
        <v>10</v>
      </c>
      <c r="H4351" t="s">
        <v>247</v>
      </c>
      <c r="J4351" t="s">
        <v>403</v>
      </c>
      <c r="K4351">
        <v>280</v>
      </c>
      <c r="L4351" t="s">
        <v>247</v>
      </c>
    </row>
    <row r="4352" spans="1:12" x14ac:dyDescent="0.25">
      <c r="A4352" s="1">
        <f t="shared" si="552"/>
        <v>45554</v>
      </c>
      <c r="B4352" s="31">
        <f t="shared" ref="B4352:B4353" si="555">TIME(11,43,0)</f>
        <v>0.48819444444444443</v>
      </c>
      <c r="C4352" t="str">
        <f>'Inventory as of 12th Aug 2024'!A120</f>
        <v>Maramoja</v>
      </c>
      <c r="D4352">
        <v>2</v>
      </c>
      <c r="E4352" s="5">
        <f>Table4[[#This Row],[qty]]*(VLOOKUP(Table4[[#This Row],[item_sold]],Table1[],5,FALSE))</f>
        <v>20</v>
      </c>
      <c r="F4352" s="5">
        <f>(VLOOKUP(Table4[[#This Row],[item_sold]],Table1[],4,FALSE))*Table4[[#This Row],[qty]]</f>
        <v>14</v>
      </c>
      <c r="G4352">
        <f t="shared" si="550"/>
        <v>6</v>
      </c>
      <c r="H4352" t="s">
        <v>247</v>
      </c>
    </row>
    <row r="4353" spans="1:12" x14ac:dyDescent="0.25">
      <c r="A4353" s="1">
        <f t="shared" si="552"/>
        <v>45554</v>
      </c>
      <c r="B4353" s="31">
        <f t="shared" si="555"/>
        <v>0.48819444444444443</v>
      </c>
      <c r="C4353" t="str">
        <f>'Inventory as of 12th Aug 2024'!A5</f>
        <v>Airtel 20 Credit</v>
      </c>
      <c r="D4353">
        <v>1</v>
      </c>
      <c r="E4353" s="5">
        <f>Table4[[#This Row],[qty]]*(VLOOKUP(Table4[[#This Row],[item_sold]],Table1[],5,FALSE))</f>
        <v>20</v>
      </c>
      <c r="F4353" s="5">
        <f>(VLOOKUP(Table4[[#This Row],[item_sold]],Table1[],4,FALSE))*Table4[[#This Row],[qty]]</f>
        <v>18</v>
      </c>
      <c r="G4353">
        <f t="shared" si="550"/>
        <v>2</v>
      </c>
      <c r="H4353" t="s">
        <v>247</v>
      </c>
    </row>
    <row r="4354" spans="1:12" x14ac:dyDescent="0.25">
      <c r="A4354" s="1">
        <f t="shared" si="552"/>
        <v>45554</v>
      </c>
      <c r="B4354" s="31">
        <f>TIME(11,35,0)</f>
        <v>0.4826388888888889</v>
      </c>
      <c r="C4354" t="str">
        <f>'Inventory as of 12th Aug 2024'!A8</f>
        <v>eggs</v>
      </c>
      <c r="D4354">
        <v>10</v>
      </c>
      <c r="E4354" s="5">
        <f>Table4[[#This Row],[qty]]*(VLOOKUP(Table4[[#This Row],[item_sold]],Table1[],5,FALSE))</f>
        <v>200</v>
      </c>
      <c r="F4354" s="5">
        <f>(VLOOKUP(Table4[[#This Row],[item_sold]],Table1[],4,FALSE))*Table4[[#This Row],[qty]]</f>
        <v>143.33333333333334</v>
      </c>
      <c r="G4354">
        <f t="shared" si="550"/>
        <v>56.666666666666657</v>
      </c>
      <c r="H4354" t="s">
        <v>361</v>
      </c>
    </row>
    <row r="4355" spans="1:12" x14ac:dyDescent="0.25">
      <c r="A4355" s="1">
        <f t="shared" si="552"/>
        <v>45554</v>
      </c>
      <c r="B4355" s="31">
        <f t="shared" ref="B4355:B4357" si="556">TIME(11,35,0)</f>
        <v>0.4826388888888889</v>
      </c>
      <c r="C4355" t="str">
        <f>'Inventory as of 12th Aug 2024'!A211</f>
        <v>predator</v>
      </c>
      <c r="D4355">
        <v>1</v>
      </c>
      <c r="E4355" s="5">
        <f>Table4[[#This Row],[qty]]*(VLOOKUP(Table4[[#This Row],[item_sold]],Table1[],5,FALSE))</f>
        <v>70</v>
      </c>
      <c r="F4355" s="5">
        <f>(VLOOKUP(Table4[[#This Row],[item_sold]],Table1[],4,FALSE))*Table4[[#This Row],[qty]]</f>
        <v>54.166666666666664</v>
      </c>
      <c r="G4355">
        <f t="shared" si="550"/>
        <v>15.833333333333336</v>
      </c>
      <c r="H4355" t="s">
        <v>361</v>
      </c>
    </row>
    <row r="4356" spans="1:12" x14ac:dyDescent="0.25">
      <c r="A4356" s="1">
        <f t="shared" si="552"/>
        <v>45554</v>
      </c>
      <c r="B4356" s="31">
        <f t="shared" si="556"/>
        <v>0.4826388888888889</v>
      </c>
      <c r="C4356" t="str">
        <f>'Inventory as of 12th Aug 2024'!A207</f>
        <v>soda 350ml plastic</v>
      </c>
      <c r="D4356">
        <v>1</v>
      </c>
      <c r="E4356" s="5">
        <f>Table4[[#This Row],[qty]]*(VLOOKUP(Table4[[#This Row],[item_sold]],Table1[],5,FALSE))</f>
        <v>50</v>
      </c>
      <c r="F4356" s="5">
        <f>(VLOOKUP(Table4[[#This Row],[item_sold]],Table1[],4,FALSE))*Table4[[#This Row],[qty]]</f>
        <v>41.666666666666664</v>
      </c>
      <c r="G4356">
        <f t="shared" si="550"/>
        <v>8.3333333333333357</v>
      </c>
      <c r="H4356" t="s">
        <v>361</v>
      </c>
    </row>
    <row r="4357" spans="1:12" x14ac:dyDescent="0.25">
      <c r="A4357" s="1">
        <f t="shared" si="552"/>
        <v>45554</v>
      </c>
      <c r="B4357" s="31">
        <f t="shared" si="556"/>
        <v>0.4826388888888889</v>
      </c>
      <c r="C4357" t="str">
        <f>'Inventory as of 12th Aug 2024'!A234</f>
        <v>Bigdaddy</v>
      </c>
      <c r="D4357">
        <v>1</v>
      </c>
      <c r="E4357" s="5">
        <f>Table4[[#This Row],[qty]]*(VLOOKUP(Table4[[#This Row],[item_sold]],Table1[],5,FALSE))</f>
        <v>10</v>
      </c>
      <c r="F4357" s="5">
        <f>(VLOOKUP(Table4[[#This Row],[item_sold]],Table1[],4,FALSE))*Table4[[#This Row],[qty]]</f>
        <v>6</v>
      </c>
      <c r="G4357">
        <f t="shared" si="550"/>
        <v>4</v>
      </c>
      <c r="H4357" t="s">
        <v>361</v>
      </c>
    </row>
    <row r="4358" spans="1:12" x14ac:dyDescent="0.25">
      <c r="A4358" s="1">
        <f t="shared" si="552"/>
        <v>45554</v>
      </c>
      <c r="B4358" s="31">
        <f>TIME(12,30,0)</f>
        <v>0.52083333333333337</v>
      </c>
      <c r="C4358" t="str">
        <f>'Inventory as of 12th Aug 2024'!A205</f>
        <v xml:space="preserve"> soda 1.25lts</v>
      </c>
      <c r="D4358">
        <v>1</v>
      </c>
      <c r="E4358" s="5">
        <f>Table4[[#This Row],[qty]]*(VLOOKUP(Table4[[#This Row],[item_sold]],Table1[],5,FALSE))</f>
        <v>130</v>
      </c>
      <c r="F4358" s="5">
        <f>(VLOOKUP(Table4[[#This Row],[item_sold]],Table1[],4,FALSE))*Table4[[#This Row],[qty]]</f>
        <v>112.5</v>
      </c>
      <c r="G4358">
        <f t="shared" si="550"/>
        <v>17.5</v>
      </c>
      <c r="H4358" t="s">
        <v>247</v>
      </c>
    </row>
    <row r="4359" spans="1:12" x14ac:dyDescent="0.25">
      <c r="A4359" s="1">
        <f t="shared" si="552"/>
        <v>45554</v>
      </c>
      <c r="B4359" s="31">
        <f>TIME(12,30,0)</f>
        <v>0.52083333333333337</v>
      </c>
      <c r="C4359" t="str">
        <f>'Inventory as of 12th Aug 2024'!A175</f>
        <v>Coconut Cakes</v>
      </c>
      <c r="D4359">
        <v>3</v>
      </c>
      <c r="E4359" s="5">
        <f>Table4[[#This Row],[qty]]*(VLOOKUP(Table4[[#This Row],[item_sold]],Table1[],5,FALSE))</f>
        <v>30</v>
      </c>
      <c r="F4359" s="5">
        <f>(VLOOKUP(Table4[[#This Row],[item_sold]],Table1[],4,FALSE))*Table4[[#This Row],[qty]]</f>
        <v>25</v>
      </c>
      <c r="G4359">
        <f t="shared" si="550"/>
        <v>5</v>
      </c>
      <c r="H4359" t="s">
        <v>247</v>
      </c>
    </row>
    <row r="4360" spans="1:12" x14ac:dyDescent="0.25">
      <c r="A4360" s="1">
        <f t="shared" si="552"/>
        <v>45554</v>
      </c>
      <c r="B4360" s="31">
        <f>TIME(13,0,0)</f>
        <v>0.54166666666666663</v>
      </c>
      <c r="C4360" t="str">
        <f>'Inventory as of 12th Aug 2024'!A91</f>
        <v>Tomatoes</v>
      </c>
      <c r="D4360">
        <v>1</v>
      </c>
      <c r="E4360" s="5">
        <f>Table4[[#This Row],[qty]]*(VLOOKUP(Table4[[#This Row],[item_sold]],Table1[],5,FALSE))</f>
        <v>10</v>
      </c>
      <c r="F4360" s="5">
        <f>(VLOOKUP(Table4[[#This Row],[item_sold]],Table1[],4,FALSE))*Table4[[#This Row],[qty]]</f>
        <v>5</v>
      </c>
      <c r="G4360">
        <f t="shared" si="550"/>
        <v>5</v>
      </c>
      <c r="H4360" t="s">
        <v>430</v>
      </c>
      <c r="I4360" t="s">
        <v>406</v>
      </c>
    </row>
    <row r="4361" spans="1:12" x14ac:dyDescent="0.25">
      <c r="A4361" s="1">
        <f t="shared" si="552"/>
        <v>45554</v>
      </c>
      <c r="B4361" s="31">
        <f>TIME(13,30,0)</f>
        <v>0.5625</v>
      </c>
      <c r="C4361" t="str">
        <f>'Inventory as of 12th Aug 2024'!A208</f>
        <v>minutemaid 400ml</v>
      </c>
      <c r="D4361">
        <v>1</v>
      </c>
      <c r="E4361" s="5">
        <f>Table4[[#This Row],[qty]]*(VLOOKUP(Table4[[#This Row],[item_sold]],Table1[],5,FALSE))</f>
        <v>85</v>
      </c>
      <c r="F4361" s="5">
        <f>(VLOOKUP(Table4[[#This Row],[item_sold]],Table1[],4,FALSE))*Table4[[#This Row],[qty]]</f>
        <v>62.5</v>
      </c>
      <c r="G4361">
        <f t="shared" si="550"/>
        <v>22.5</v>
      </c>
      <c r="H4361" t="s">
        <v>430</v>
      </c>
      <c r="I4361" t="s">
        <v>401</v>
      </c>
      <c r="J4361" t="s">
        <v>401</v>
      </c>
      <c r="K4361">
        <v>30</v>
      </c>
      <c r="L4361" t="s">
        <v>247</v>
      </c>
    </row>
    <row r="4362" spans="1:12" x14ac:dyDescent="0.25">
      <c r="A4362" s="1">
        <f t="shared" si="552"/>
        <v>45554</v>
      </c>
      <c r="B4362" s="31">
        <f>TIME(13,31,0)</f>
        <v>0.56319444444444444</v>
      </c>
      <c r="C4362" t="str">
        <f>'Inventory as of 12th Aug 2024'!A213</f>
        <v>soda 500ml glass</v>
      </c>
      <c r="D4362">
        <v>1</v>
      </c>
      <c r="E4362" s="5">
        <f>Table4[[#This Row],[qty]]*(VLOOKUP(Table4[[#This Row],[item_sold]],Table1[],5,FALSE))</f>
        <v>55</v>
      </c>
      <c r="F4362" s="5">
        <f>(VLOOKUP(Table4[[#This Row],[item_sold]],Table1[],4,FALSE))*Table4[[#This Row],[qty]]</f>
        <v>50</v>
      </c>
      <c r="G4362">
        <f t="shared" si="550"/>
        <v>5</v>
      </c>
      <c r="H4362" t="s">
        <v>247</v>
      </c>
    </row>
    <row r="4363" spans="1:12" x14ac:dyDescent="0.25">
      <c r="A4363" s="1">
        <f t="shared" si="552"/>
        <v>45554</v>
      </c>
      <c r="B4363" s="31">
        <f t="shared" ref="B4363" si="557">TIME(13,31,0)</f>
        <v>0.56319444444444444</v>
      </c>
      <c r="C4363" t="str">
        <f>'Inventory as of 12th Aug 2024'!A199</f>
        <v>Kdf</v>
      </c>
      <c r="D4363">
        <v>2</v>
      </c>
      <c r="E4363" s="5">
        <f>Table4[[#This Row],[qty]]*(VLOOKUP(Table4[[#This Row],[item_sold]],Table1[],5,FALSE))</f>
        <v>20</v>
      </c>
      <c r="F4363" s="5">
        <f>(VLOOKUP(Table4[[#This Row],[item_sold]],Table1[],4,FALSE))*Table4[[#This Row],[qty]]</f>
        <v>16.666666666666668</v>
      </c>
      <c r="G4363">
        <f t="shared" si="550"/>
        <v>3.3333333333333321</v>
      </c>
      <c r="H4363" t="s">
        <v>247</v>
      </c>
    </row>
    <row r="4364" spans="1:12" x14ac:dyDescent="0.25">
      <c r="A4364" s="1">
        <f t="shared" si="552"/>
        <v>45554</v>
      </c>
      <c r="B4364" s="31">
        <f>TIME(13,31,0)</f>
        <v>0.56319444444444444</v>
      </c>
      <c r="C4364" t="str">
        <f>'Inventory as of 12th Aug 2024'!A36</f>
        <v>Festive 800g</v>
      </c>
      <c r="D4364">
        <v>1</v>
      </c>
      <c r="E4364" s="5">
        <f>Table4[[#This Row],[qty]]*(VLOOKUP(Table4[[#This Row],[item_sold]],Table1[],5,FALSE))</f>
        <v>130</v>
      </c>
      <c r="F4364" s="5">
        <f>(VLOOKUP(Table4[[#This Row],[item_sold]],Table1[],4,FALSE))*Table4[[#This Row],[qty]]</f>
        <v>120</v>
      </c>
      <c r="G4364">
        <f t="shared" si="550"/>
        <v>10</v>
      </c>
      <c r="H4364" t="s">
        <v>247</v>
      </c>
    </row>
    <row r="4365" spans="1:12" x14ac:dyDescent="0.25">
      <c r="A4365" s="1">
        <f t="shared" si="552"/>
        <v>45554</v>
      </c>
      <c r="B4365" s="31">
        <f>TIME(13,34,0)</f>
        <v>0.56527777777777777</v>
      </c>
      <c r="C4365" t="str">
        <f>'Inventory as of 12th Aug 2024'!A58</f>
        <v>Safari</v>
      </c>
      <c r="D4365">
        <v>6</v>
      </c>
      <c r="E4365" s="5">
        <f>Table4[[#This Row],[qty]]*(VLOOKUP(Table4[[#This Row],[item_sold]],Table1[],5,FALSE))</f>
        <v>90</v>
      </c>
      <c r="F4365" s="5">
        <f>(VLOOKUP(Table4[[#This Row],[item_sold]],Table1[],4,FALSE))*Table4[[#This Row],[qty]]</f>
        <v>51</v>
      </c>
      <c r="G4365">
        <f t="shared" ref="G4365:G4415" si="558">E4365-F4365</f>
        <v>39</v>
      </c>
      <c r="H4365" t="s">
        <v>247</v>
      </c>
    </row>
    <row r="4366" spans="1:12" x14ac:dyDescent="0.25">
      <c r="A4366" s="1">
        <f t="shared" si="552"/>
        <v>45554</v>
      </c>
      <c r="B4366" s="31">
        <f t="shared" ref="B4366" si="559">TIME(13,34,0)</f>
        <v>0.56527777777777777</v>
      </c>
      <c r="C4366" t="str">
        <f>'Inventory as of 12th Aug 2024'!A238</f>
        <v>Tropical</v>
      </c>
      <c r="D4366">
        <v>2</v>
      </c>
      <c r="E4366" s="5">
        <f>Table4[[#This Row],[qty]]*(VLOOKUP(Table4[[#This Row],[item_sold]],Table1[],5,FALSE))</f>
        <v>10</v>
      </c>
      <c r="F4366" s="5">
        <f>(VLOOKUP(Table4[[#This Row],[item_sold]],Table1[],4,FALSE))*Table4[[#This Row],[qty]]</f>
        <v>3</v>
      </c>
      <c r="G4366">
        <f t="shared" si="558"/>
        <v>7</v>
      </c>
      <c r="H4366" t="s">
        <v>247</v>
      </c>
    </row>
    <row r="4367" spans="1:12" x14ac:dyDescent="0.25">
      <c r="A4367" s="1">
        <f t="shared" si="552"/>
        <v>45554</v>
      </c>
      <c r="B4367" s="31">
        <f>TIME(13,36,0)</f>
        <v>0.56666666666666665</v>
      </c>
      <c r="C4367" t="str">
        <f>'Inventory as of 12th Aug 2024'!A41</f>
        <v>Indomie beef</v>
      </c>
      <c r="D4367">
        <v>2</v>
      </c>
      <c r="E4367" s="5">
        <f>Table4[[#This Row],[qty]]*(VLOOKUP(Table4[[#This Row],[item_sold]],Table1[],5,FALSE))</f>
        <v>100</v>
      </c>
      <c r="F4367" s="5">
        <f>(VLOOKUP(Table4[[#This Row],[item_sold]],Table1[],4,FALSE))*Table4[[#This Row],[qty]]</f>
        <v>76</v>
      </c>
      <c r="G4367">
        <f t="shared" si="558"/>
        <v>24</v>
      </c>
      <c r="H4367" t="s">
        <v>430</v>
      </c>
      <c r="I4367" t="s">
        <v>385</v>
      </c>
    </row>
    <row r="4368" spans="1:12" x14ac:dyDescent="0.25">
      <c r="A4368" s="1">
        <f t="shared" si="552"/>
        <v>45554</v>
      </c>
      <c r="B4368" s="31">
        <f>TIME(13,46,0)</f>
        <v>0.57361111111111118</v>
      </c>
      <c r="C4368" t="str">
        <f>'Inventory as of 12th Aug 2024'!A16</f>
        <v>Mt kenya milk 500ml</v>
      </c>
      <c r="D4368">
        <v>1</v>
      </c>
      <c r="E4368" s="5">
        <f>Table4[[#This Row],[qty]]*(VLOOKUP(Table4[[#This Row],[item_sold]],Table1[],5,FALSE))</f>
        <v>65</v>
      </c>
      <c r="F4368" s="5">
        <f>(VLOOKUP(Table4[[#This Row],[item_sold]],Table1[],4,FALSE))*Table4[[#This Row],[qty]]</f>
        <v>48.333333333333336</v>
      </c>
      <c r="G4368">
        <f t="shared" si="558"/>
        <v>16.666666666666664</v>
      </c>
      <c r="H4368" t="s">
        <v>247</v>
      </c>
    </row>
    <row r="4369" spans="1:9" x14ac:dyDescent="0.25">
      <c r="A4369" s="1">
        <f t="shared" si="552"/>
        <v>45554</v>
      </c>
      <c r="B4369" s="31">
        <f>TIME(14,34,0)</f>
        <v>0.6069444444444444</v>
      </c>
      <c r="C4369" t="str">
        <f>'Inventory as of 12th Aug 2024'!A199</f>
        <v>Kdf</v>
      </c>
      <c r="D4369">
        <v>1</v>
      </c>
      <c r="E4369" s="5">
        <f>Table4[[#This Row],[qty]]*(VLOOKUP(Table4[[#This Row],[item_sold]],Table1[],5,FALSE))</f>
        <v>10</v>
      </c>
      <c r="F4369" s="5">
        <f>(VLOOKUP(Table4[[#This Row],[item_sold]],Table1[],4,FALSE))*Table4[[#This Row],[qty]]</f>
        <v>8.3333333333333339</v>
      </c>
      <c r="G4369">
        <f t="shared" si="558"/>
        <v>1.6666666666666661</v>
      </c>
      <c r="H4369" t="s">
        <v>247</v>
      </c>
    </row>
    <row r="4370" spans="1:9" x14ac:dyDescent="0.25">
      <c r="A4370" s="1">
        <f t="shared" si="552"/>
        <v>45554</v>
      </c>
      <c r="B4370" s="31">
        <f>TIME(14,20,0)</f>
        <v>0.59722222222222221</v>
      </c>
      <c r="C4370" t="str">
        <f>'Inventory as of 12th Aug 2024'!A58</f>
        <v>Safari</v>
      </c>
      <c r="D4370">
        <v>1</v>
      </c>
      <c r="E4370" s="5">
        <f>Table4[[#This Row],[qty]]*(VLOOKUP(Table4[[#This Row],[item_sold]],Table1[],5,FALSE))</f>
        <v>15</v>
      </c>
      <c r="F4370" s="5">
        <f>(VLOOKUP(Table4[[#This Row],[item_sold]],Table1[],4,FALSE))*Table4[[#This Row],[qty]]</f>
        <v>8.5</v>
      </c>
      <c r="G4370">
        <f t="shared" si="558"/>
        <v>6.5</v>
      </c>
      <c r="H4370" t="s">
        <v>361</v>
      </c>
    </row>
    <row r="4371" spans="1:9" x14ac:dyDescent="0.25">
      <c r="A4371" s="1">
        <f t="shared" si="552"/>
        <v>45554</v>
      </c>
      <c r="B4371" s="31">
        <f>TIME(15,35,0)</f>
        <v>0.64930555555555558</v>
      </c>
      <c r="C4371" t="str">
        <f>'Inventory as of 12th Aug 2024'!A206</f>
        <v>soda 500ml plastic</v>
      </c>
      <c r="D4371">
        <v>1</v>
      </c>
      <c r="E4371" s="5">
        <f>Table4[[#This Row],[qty]]*(VLOOKUP(Table4[[#This Row],[item_sold]],Table1[],5,FALSE))</f>
        <v>70</v>
      </c>
      <c r="F4371" s="5">
        <f>(VLOOKUP(Table4[[#This Row],[item_sold]],Table1[],4,FALSE))*Table4[[#This Row],[qty]]</f>
        <v>60.416666666666664</v>
      </c>
      <c r="G4371">
        <f t="shared" si="558"/>
        <v>9.5833333333333357</v>
      </c>
      <c r="H4371" t="s">
        <v>247</v>
      </c>
    </row>
    <row r="4372" spans="1:9" x14ac:dyDescent="0.25">
      <c r="A4372" s="1">
        <f t="shared" si="552"/>
        <v>45554</v>
      </c>
      <c r="B4372" s="31">
        <f t="shared" ref="B4372:B4374" si="560">TIME(15,35,0)</f>
        <v>0.64930555555555558</v>
      </c>
      <c r="C4372" t="str">
        <f>'Inventory as of 12th Aug 2024'!A175</f>
        <v>Coconut Cakes</v>
      </c>
      <c r="D4372">
        <v>2</v>
      </c>
      <c r="E4372" s="5">
        <f>Table4[[#This Row],[qty]]*(VLOOKUP(Table4[[#This Row],[item_sold]],Table1[],5,FALSE))</f>
        <v>20</v>
      </c>
      <c r="F4372" s="5">
        <f>(VLOOKUP(Table4[[#This Row],[item_sold]],Table1[],4,FALSE))*Table4[[#This Row],[qty]]</f>
        <v>16.666666666666668</v>
      </c>
      <c r="G4372">
        <f t="shared" si="558"/>
        <v>3.3333333333333321</v>
      </c>
      <c r="H4372" t="s">
        <v>361</v>
      </c>
    </row>
    <row r="4373" spans="1:9" x14ac:dyDescent="0.25">
      <c r="A4373" s="1">
        <f t="shared" si="552"/>
        <v>45554</v>
      </c>
      <c r="B4373" s="31">
        <f t="shared" si="560"/>
        <v>0.64930555555555558</v>
      </c>
      <c r="C4373" t="str">
        <f>'Inventory as of 12th Aug 2024'!A41</f>
        <v>Indomie beef</v>
      </c>
      <c r="D4373">
        <v>1</v>
      </c>
      <c r="E4373" s="5">
        <f>Table4[[#This Row],[qty]]*(VLOOKUP(Table4[[#This Row],[item_sold]],Table1[],5,FALSE))</f>
        <v>50</v>
      </c>
      <c r="F4373" s="5">
        <f>(VLOOKUP(Table4[[#This Row],[item_sold]],Table1[],4,FALSE))*Table4[[#This Row],[qty]]</f>
        <v>38</v>
      </c>
      <c r="G4373">
        <f t="shared" si="558"/>
        <v>12</v>
      </c>
      <c r="H4373" t="s">
        <v>361</v>
      </c>
    </row>
    <row r="4374" spans="1:9" x14ac:dyDescent="0.25">
      <c r="A4374" s="1">
        <f t="shared" si="552"/>
        <v>45554</v>
      </c>
      <c r="B4374" s="31">
        <f t="shared" si="560"/>
        <v>0.64930555555555558</v>
      </c>
      <c r="C4374" t="str">
        <f>'Inventory as of 12th Aug 2024'!A8</f>
        <v>eggs</v>
      </c>
      <c r="D4374">
        <v>1</v>
      </c>
      <c r="E4374" s="5">
        <f>Table4[[#This Row],[qty]]*(VLOOKUP(Table4[[#This Row],[item_sold]],Table1[],5,FALSE))</f>
        <v>20</v>
      </c>
      <c r="F4374" s="5">
        <f>(VLOOKUP(Table4[[#This Row],[item_sold]],Table1[],4,FALSE))*Table4[[#This Row],[qty]]</f>
        <v>14.333333333333334</v>
      </c>
      <c r="G4374">
        <f t="shared" si="558"/>
        <v>5.6666666666666661</v>
      </c>
      <c r="H4374" t="s">
        <v>361</v>
      </c>
    </row>
    <row r="4375" spans="1:9" x14ac:dyDescent="0.25">
      <c r="A4375" s="1">
        <f t="shared" si="552"/>
        <v>45554</v>
      </c>
      <c r="B4375" s="31">
        <f>TIME(16,27,0)</f>
        <v>0.68541666666666667</v>
      </c>
      <c r="C4375" t="str">
        <f>'Inventory as of 12th Aug 2024'!A4</f>
        <v>Safaricom 50 Credit</v>
      </c>
      <c r="D4375">
        <v>1</v>
      </c>
      <c r="E4375" s="5">
        <f>Table4[[#This Row],[qty]]*(VLOOKUP(Table4[[#This Row],[item_sold]],Table1[],5,FALSE))</f>
        <v>50</v>
      </c>
      <c r="F4375" s="5">
        <f>(VLOOKUP(Table4[[#This Row],[item_sold]],Table1[],4,FALSE))*Table4[[#This Row],[qty]]</f>
        <v>47</v>
      </c>
      <c r="G4375">
        <f t="shared" si="558"/>
        <v>3</v>
      </c>
      <c r="H4375" t="s">
        <v>247</v>
      </c>
    </row>
    <row r="4376" spans="1:9" x14ac:dyDescent="0.25">
      <c r="A4376" s="1">
        <f t="shared" si="552"/>
        <v>45554</v>
      </c>
      <c r="B4376" s="31">
        <f>TIME(17,33,0)</f>
        <v>0.73125000000000007</v>
      </c>
      <c r="C4376" t="str">
        <f>'Inventory as of 12th Aug 2024'!A180</f>
        <v>Tamu  Tamu Green</v>
      </c>
      <c r="D4376">
        <v>1</v>
      </c>
      <c r="E4376" s="5">
        <f>Table4[[#This Row],[qty]]*(VLOOKUP(Table4[[#This Row],[item_sold]],Table1[],5,FALSE))</f>
        <v>15</v>
      </c>
      <c r="F4376" s="5">
        <f>(VLOOKUP(Table4[[#This Row],[item_sold]],Table1[],4,FALSE))*Table4[[#This Row],[qty]]</f>
        <v>8.6</v>
      </c>
      <c r="G4376">
        <f t="shared" si="558"/>
        <v>6.4</v>
      </c>
      <c r="H4376" t="s">
        <v>247</v>
      </c>
    </row>
    <row r="4377" spans="1:9" x14ac:dyDescent="0.25">
      <c r="A4377" s="1">
        <f t="shared" si="552"/>
        <v>45554</v>
      </c>
      <c r="B4377" s="31">
        <f>TIME(17,46,0)</f>
        <v>0.7402777777777777</v>
      </c>
      <c r="C4377" t="str">
        <f>'Inventory as of 12th Aug 2024'!A92</f>
        <v>Banana</v>
      </c>
      <c r="D4377">
        <v>4</v>
      </c>
      <c r="E4377" s="5">
        <f>Table4[[#This Row],[qty]]*(VLOOKUP(Table4[[#This Row],[item_sold]],Table1[],5,FALSE))</f>
        <v>40</v>
      </c>
      <c r="F4377" s="5">
        <f>(VLOOKUP(Table4[[#This Row],[item_sold]],Table1[],4,FALSE))*Table4[[#This Row],[qty]]</f>
        <v>33.333333333333336</v>
      </c>
      <c r="G4377">
        <f t="shared" si="558"/>
        <v>6.6666666666666643</v>
      </c>
      <c r="H4377" t="s">
        <v>247</v>
      </c>
    </row>
    <row r="4378" spans="1:9" x14ac:dyDescent="0.25">
      <c r="A4378" s="1">
        <f t="shared" si="552"/>
        <v>45554</v>
      </c>
      <c r="B4378" s="31">
        <f t="shared" ref="B4378:B4379" si="561">TIME(17,46,0)</f>
        <v>0.7402777777777777</v>
      </c>
      <c r="C4378" t="str">
        <f>'Inventory as of 12th Aug 2024'!A84</f>
        <v>omo 20g</v>
      </c>
      <c r="D4378">
        <v>1</v>
      </c>
      <c r="E4378" s="5">
        <f>Table4[[#This Row],[qty]]*(VLOOKUP(Table4[[#This Row],[item_sold]],Table1[],5,FALSE))</f>
        <v>15</v>
      </c>
      <c r="F4378" s="5">
        <f>(VLOOKUP(Table4[[#This Row],[item_sold]],Table1[],4,FALSE))*Table4[[#This Row],[qty]]</f>
        <v>9.1666666666666661</v>
      </c>
      <c r="G4378">
        <f t="shared" si="558"/>
        <v>5.8333333333333339</v>
      </c>
      <c r="H4378" t="s">
        <v>247</v>
      </c>
    </row>
    <row r="4379" spans="1:9" x14ac:dyDescent="0.25">
      <c r="A4379" s="1">
        <f t="shared" si="552"/>
        <v>45554</v>
      </c>
      <c r="B4379" s="31">
        <f t="shared" si="561"/>
        <v>0.7402777777777777</v>
      </c>
      <c r="C4379" t="str">
        <f>'Inventory as of 12th Aug 2024'!A199</f>
        <v>Kdf</v>
      </c>
      <c r="D4379">
        <v>1</v>
      </c>
      <c r="E4379" s="5">
        <f>Table4[[#This Row],[qty]]*(VLOOKUP(Table4[[#This Row],[item_sold]],Table1[],5,FALSE))</f>
        <v>10</v>
      </c>
      <c r="F4379" s="5">
        <f>(VLOOKUP(Table4[[#This Row],[item_sold]],Table1[],4,FALSE))*Table4[[#This Row],[qty]]</f>
        <v>8.3333333333333339</v>
      </c>
      <c r="G4379">
        <f t="shared" si="558"/>
        <v>1.6666666666666661</v>
      </c>
      <c r="H4379" t="s">
        <v>247</v>
      </c>
    </row>
    <row r="4380" spans="1:9" x14ac:dyDescent="0.25">
      <c r="A4380" s="1">
        <f t="shared" si="552"/>
        <v>45554</v>
      </c>
      <c r="B4380" s="31">
        <f>TIME(17,54,0)</f>
        <v>0.74583333333333324</v>
      </c>
      <c r="C4380" t="str">
        <f>'Inventory as of 12th Aug 2024'!A92</f>
        <v>Banana</v>
      </c>
      <c r="D4380">
        <v>2</v>
      </c>
      <c r="E4380" s="5">
        <f>Table4[[#This Row],[qty]]*(VLOOKUP(Table4[[#This Row],[item_sold]],Table1[],5,FALSE))</f>
        <v>20</v>
      </c>
      <c r="F4380" s="5">
        <f>(VLOOKUP(Table4[[#This Row],[item_sold]],Table1[],4,FALSE))*Table4[[#This Row],[qty]]</f>
        <v>16.666666666666668</v>
      </c>
      <c r="G4380">
        <f t="shared" si="558"/>
        <v>3.3333333333333321</v>
      </c>
      <c r="H4380" t="s">
        <v>361</v>
      </c>
    </row>
    <row r="4381" spans="1:9" x14ac:dyDescent="0.25">
      <c r="A4381" s="1">
        <f t="shared" si="552"/>
        <v>45554</v>
      </c>
      <c r="B4381" s="31">
        <f>TIME(17,54,0)</f>
        <v>0.74583333333333324</v>
      </c>
      <c r="C4381" t="str">
        <f>'Inventory as of 12th Aug 2024'!A33</f>
        <v>BB Bread 400g</v>
      </c>
      <c r="D4381">
        <v>1</v>
      </c>
      <c r="E4381" s="5">
        <f>Table4[[#This Row],[qty]]*(VLOOKUP(Table4[[#This Row],[item_sold]],Table1[],5,FALSE))</f>
        <v>65</v>
      </c>
      <c r="F4381" s="5">
        <f>(VLOOKUP(Table4[[#This Row],[item_sold]],Table1[],4,FALSE))*Table4[[#This Row],[qty]]</f>
        <v>60</v>
      </c>
      <c r="G4381">
        <f t="shared" si="558"/>
        <v>5</v>
      </c>
      <c r="H4381" t="s">
        <v>361</v>
      </c>
    </row>
    <row r="4382" spans="1:9" x14ac:dyDescent="0.25">
      <c r="A4382" s="1">
        <f t="shared" si="552"/>
        <v>45554</v>
      </c>
      <c r="B4382" s="31">
        <f>TIME(18,27,0)</f>
        <v>0.76874999999999993</v>
      </c>
      <c r="C4382" t="str">
        <f>'Inventory as of 12th Aug 2024'!A16</f>
        <v>Mt kenya milk 500ml</v>
      </c>
      <c r="D4382">
        <v>2</v>
      </c>
      <c r="E4382" s="5">
        <f>Table4[[#This Row],[qty]]*(VLOOKUP(Table4[[#This Row],[item_sold]],Table1[],5,FALSE))</f>
        <v>130</v>
      </c>
      <c r="F4382" s="5">
        <f>(VLOOKUP(Table4[[#This Row],[item_sold]],Table1[],4,FALSE))*Table4[[#This Row],[qty]]</f>
        <v>96.666666666666671</v>
      </c>
      <c r="G4382">
        <f t="shared" si="558"/>
        <v>33.333333333333329</v>
      </c>
      <c r="H4382" t="s">
        <v>247</v>
      </c>
    </row>
    <row r="4383" spans="1:9" x14ac:dyDescent="0.25">
      <c r="A4383" s="1">
        <f t="shared" si="552"/>
        <v>45554</v>
      </c>
      <c r="B4383" s="31">
        <f t="shared" ref="B4383:B4384" si="562">TIME(18,27,0)</f>
        <v>0.76874999999999993</v>
      </c>
      <c r="C4383" t="str">
        <f>'Inventory as of 12th Aug 2024'!A91</f>
        <v>Tomatoes</v>
      </c>
      <c r="D4383">
        <v>5</v>
      </c>
      <c r="E4383" s="5">
        <f>Table4[[#This Row],[qty]]*(VLOOKUP(Table4[[#This Row],[item_sold]],Table1[],5,FALSE))</f>
        <v>50</v>
      </c>
      <c r="F4383" s="5">
        <f>(VLOOKUP(Table4[[#This Row],[item_sold]],Table1[],4,FALSE))*Table4[[#This Row],[qty]]</f>
        <v>25</v>
      </c>
      <c r="G4383">
        <f t="shared" si="558"/>
        <v>25</v>
      </c>
      <c r="H4383" t="s">
        <v>247</v>
      </c>
    </row>
    <row r="4384" spans="1:9" x14ac:dyDescent="0.25">
      <c r="A4384" s="1">
        <f t="shared" si="552"/>
        <v>45554</v>
      </c>
      <c r="B4384" s="31">
        <f t="shared" si="562"/>
        <v>0.76874999999999993</v>
      </c>
      <c r="C4384" t="str">
        <f>'Inventory as of 12th Aug 2024'!A33</f>
        <v>BB Bread 400g</v>
      </c>
      <c r="D4384">
        <v>1</v>
      </c>
      <c r="E4384" s="5">
        <f>Table4[[#This Row],[qty]]*(VLOOKUP(Table4[[#This Row],[item_sold]],Table1[],5,FALSE))</f>
        <v>65</v>
      </c>
      <c r="F4384" s="5">
        <f>(VLOOKUP(Table4[[#This Row],[item_sold]],Table1[],4,FALSE))*Table4[[#This Row],[qty]]</f>
        <v>60</v>
      </c>
      <c r="G4384">
        <f t="shared" si="558"/>
        <v>5</v>
      </c>
      <c r="H4384" t="s">
        <v>430</v>
      </c>
      <c r="I4384" t="s">
        <v>451</v>
      </c>
    </row>
    <row r="4385" spans="1:9" x14ac:dyDescent="0.25">
      <c r="A4385" s="1">
        <f t="shared" si="552"/>
        <v>45554</v>
      </c>
      <c r="B4385" s="31">
        <f>TIME(18,29,0)</f>
        <v>0.77013888888888893</v>
      </c>
      <c r="C4385" t="str">
        <f>'Inventory as of 12th Aug 2024'!A58</f>
        <v>Safari</v>
      </c>
      <c r="D4385">
        <v>4</v>
      </c>
      <c r="E4385" s="5">
        <f>Table4[[#This Row],[qty]]*(VLOOKUP(Table4[[#This Row],[item_sold]],Table1[],5,FALSE))</f>
        <v>60</v>
      </c>
      <c r="F4385" s="5">
        <f>(VLOOKUP(Table4[[#This Row],[item_sold]],Table1[],4,FALSE))*Table4[[#This Row],[qty]]</f>
        <v>34</v>
      </c>
      <c r="G4385">
        <f t="shared" si="558"/>
        <v>26</v>
      </c>
      <c r="H4385" t="s">
        <v>247</v>
      </c>
    </row>
    <row r="4386" spans="1:9" x14ac:dyDescent="0.25">
      <c r="A4386" s="1">
        <f t="shared" si="552"/>
        <v>45554</v>
      </c>
      <c r="B4386" s="31">
        <f>TIME(18,53,0)</f>
        <v>0.78680555555555554</v>
      </c>
      <c r="C4386" t="str">
        <f>'Inventory as of 12th Aug 2024'!A75</f>
        <v>Cooking Oil Measured</v>
      </c>
      <c r="D4386">
        <v>0.25</v>
      </c>
      <c r="E4386" s="5">
        <f>Table4[[#This Row],[qty]]*(VLOOKUP(Table4[[#This Row],[item_sold]],Table1[],5,FALSE))</f>
        <v>70</v>
      </c>
      <c r="F4386" s="5">
        <f>(VLOOKUP(Table4[[#This Row],[item_sold]],Table1[],4,FALSE))*Table4[[#This Row],[qty]]</f>
        <v>50</v>
      </c>
      <c r="G4386">
        <f t="shared" si="558"/>
        <v>20</v>
      </c>
      <c r="H4386" t="s">
        <v>361</v>
      </c>
    </row>
    <row r="4387" spans="1:9" x14ac:dyDescent="0.25">
      <c r="A4387" s="1">
        <f t="shared" si="552"/>
        <v>45554</v>
      </c>
      <c r="B4387" s="31">
        <f>TIME(18,53,0)</f>
        <v>0.78680555555555554</v>
      </c>
      <c r="C4387" t="str">
        <f>'Inventory as of 12th Aug 2024'!A68</f>
        <v>Royco cubes</v>
      </c>
      <c r="D4387">
        <v>4</v>
      </c>
      <c r="E4387" s="5">
        <f>Table4[[#This Row],[qty]]*(VLOOKUP(Table4[[#This Row],[item_sold]],Table1[],5,FALSE))</f>
        <v>20</v>
      </c>
      <c r="F4387" s="5">
        <f>(VLOOKUP(Table4[[#This Row],[item_sold]],Table1[],4,FALSE))*Table4[[#This Row],[qty]]</f>
        <v>12</v>
      </c>
      <c r="G4387">
        <f t="shared" si="558"/>
        <v>8</v>
      </c>
      <c r="H4387" t="s">
        <v>361</v>
      </c>
    </row>
    <row r="4388" spans="1:9" x14ac:dyDescent="0.25">
      <c r="A4388" s="1">
        <f t="shared" si="552"/>
        <v>45554</v>
      </c>
      <c r="B4388" s="31">
        <f>TIME(19,19,0)</f>
        <v>0.80486111111111114</v>
      </c>
      <c r="C4388" t="str">
        <f>'Inventory as of 12th Aug 2024'!A75</f>
        <v>Cooking Oil Measured</v>
      </c>
      <c r="D4388">
        <v>0.25</v>
      </c>
      <c r="E4388" s="5">
        <f>Table4[[#This Row],[qty]]*(VLOOKUP(Table4[[#This Row],[item_sold]],Table1[],5,FALSE))</f>
        <v>70</v>
      </c>
      <c r="F4388" s="5">
        <f>(VLOOKUP(Table4[[#This Row],[item_sold]],Table1[],4,FALSE))*Table4[[#This Row],[qty]]</f>
        <v>50</v>
      </c>
      <c r="G4388">
        <f t="shared" si="558"/>
        <v>20</v>
      </c>
      <c r="H4388" t="s">
        <v>247</v>
      </c>
    </row>
    <row r="4389" spans="1:9" x14ac:dyDescent="0.25">
      <c r="A4389" s="1">
        <f t="shared" si="552"/>
        <v>45554</v>
      </c>
      <c r="B4389" s="31">
        <f>TIME(19,33,0)</f>
        <v>0.81458333333333333</v>
      </c>
      <c r="C4389" t="str">
        <f>'Inventory as of 12th Aug 2024'!A58</f>
        <v>Safari</v>
      </c>
      <c r="D4389">
        <v>3</v>
      </c>
      <c r="E4389" s="5">
        <f>Table4[[#This Row],[qty]]*(VLOOKUP(Table4[[#This Row],[item_sold]],Table1[],5,FALSE))</f>
        <v>45</v>
      </c>
      <c r="F4389" s="5">
        <f>(VLOOKUP(Table4[[#This Row],[item_sold]],Table1[],4,FALSE))*Table4[[#This Row],[qty]]</f>
        <v>25.5</v>
      </c>
      <c r="G4389">
        <f t="shared" si="558"/>
        <v>19.5</v>
      </c>
      <c r="H4389" t="s">
        <v>361</v>
      </c>
    </row>
    <row r="4390" spans="1:9" x14ac:dyDescent="0.25">
      <c r="A4390" s="1">
        <f t="shared" si="552"/>
        <v>45554</v>
      </c>
      <c r="B4390" s="31">
        <f>TIME(19,35,0)</f>
        <v>0.81597222222222221</v>
      </c>
      <c r="C4390" t="str">
        <f>'Inventory as of 12th Aug 2024'!A92</f>
        <v>Banana</v>
      </c>
      <c r="D4390">
        <v>2</v>
      </c>
      <c r="E4390" s="5">
        <f>Table4[[#This Row],[qty]]*(VLOOKUP(Table4[[#This Row],[item_sold]],Table1[],5,FALSE))</f>
        <v>20</v>
      </c>
      <c r="F4390" s="5">
        <f>(VLOOKUP(Table4[[#This Row],[item_sold]],Table1[],4,FALSE))*Table4[[#This Row],[qty]]</f>
        <v>16.666666666666668</v>
      </c>
      <c r="G4390">
        <f t="shared" si="558"/>
        <v>3.3333333333333321</v>
      </c>
      <c r="H4390" t="s">
        <v>361</v>
      </c>
    </row>
    <row r="4391" spans="1:9" x14ac:dyDescent="0.25">
      <c r="A4391" s="1">
        <f t="shared" si="552"/>
        <v>45554</v>
      </c>
      <c r="B4391" s="31">
        <f>TIME(19,38,0)</f>
        <v>0.81805555555555554</v>
      </c>
      <c r="C4391" t="str">
        <f>'Inventory as of 12th Aug 2024'!A33</f>
        <v>BB Bread 400g</v>
      </c>
      <c r="D4391">
        <v>1</v>
      </c>
      <c r="E4391" s="5">
        <f>Table4[[#This Row],[qty]]*(VLOOKUP(Table4[[#This Row],[item_sold]],Table1[],5,FALSE))</f>
        <v>65</v>
      </c>
      <c r="F4391" s="5">
        <f>(VLOOKUP(Table4[[#This Row],[item_sold]],Table1[],4,FALSE))*Table4[[#This Row],[qty]]</f>
        <v>60</v>
      </c>
      <c r="G4391">
        <f t="shared" si="558"/>
        <v>5</v>
      </c>
      <c r="H4391" t="s">
        <v>247</v>
      </c>
    </row>
    <row r="4392" spans="1:9" x14ac:dyDescent="0.25">
      <c r="A4392" s="1">
        <f t="shared" si="552"/>
        <v>45554</v>
      </c>
      <c r="B4392" s="31">
        <f>TIME(19,42,0)</f>
        <v>0.8208333333333333</v>
      </c>
      <c r="C4392" t="str">
        <f>'Inventory as of 12th Aug 2024'!A9</f>
        <v>Kinangop Fresh Milk 500ml</v>
      </c>
      <c r="D4392">
        <v>4</v>
      </c>
      <c r="E4392" s="5">
        <f>Table4[[#This Row],[qty]]*(VLOOKUP(Table4[[#This Row],[item_sold]],Table1[],5,FALSE))</f>
        <v>240</v>
      </c>
      <c r="F4392" s="5">
        <f>(VLOOKUP(Table4[[#This Row],[item_sold]],Table1[],4,FALSE))*Table4[[#This Row],[qty]]</f>
        <v>220</v>
      </c>
      <c r="G4392">
        <f t="shared" si="558"/>
        <v>20</v>
      </c>
      <c r="H4392" t="s">
        <v>361</v>
      </c>
    </row>
    <row r="4393" spans="1:9" x14ac:dyDescent="0.25">
      <c r="A4393" s="1">
        <f t="shared" si="552"/>
        <v>45554</v>
      </c>
      <c r="B4393" s="31">
        <f>TIME(19,42,0)</f>
        <v>0.8208333333333333</v>
      </c>
      <c r="C4393" t="str">
        <f>'Inventory as of 12th Aug 2024'!A92</f>
        <v>Banana</v>
      </c>
      <c r="D4393">
        <v>1</v>
      </c>
      <c r="E4393" s="5">
        <f>Table4[[#This Row],[qty]]*(VLOOKUP(Table4[[#This Row],[item_sold]],Table1[],5,FALSE))</f>
        <v>10</v>
      </c>
      <c r="F4393" s="5">
        <f>(VLOOKUP(Table4[[#This Row],[item_sold]],Table1[],4,FALSE))*Table4[[#This Row],[qty]]</f>
        <v>8.3333333333333339</v>
      </c>
      <c r="G4393">
        <f t="shared" si="558"/>
        <v>1.6666666666666661</v>
      </c>
      <c r="H4393" t="s">
        <v>361</v>
      </c>
    </row>
    <row r="4394" spans="1:9" x14ac:dyDescent="0.25">
      <c r="A4394" s="1">
        <f t="shared" si="552"/>
        <v>45554</v>
      </c>
      <c r="B4394" s="31">
        <f>TIME(19,44,0)</f>
        <v>0.8222222222222223</v>
      </c>
      <c r="C4394" t="str">
        <f>'Inventory as of 12th Aug 2024'!A91</f>
        <v>Tomatoes</v>
      </c>
      <c r="D4394">
        <v>2</v>
      </c>
      <c r="E4394" s="5">
        <f>Table4[[#This Row],[qty]]*(VLOOKUP(Table4[[#This Row],[item_sold]],Table1[],5,FALSE))</f>
        <v>20</v>
      </c>
      <c r="F4394" s="5">
        <f>(VLOOKUP(Table4[[#This Row],[item_sold]],Table1[],4,FALSE))*Table4[[#This Row],[qty]]</f>
        <v>10</v>
      </c>
      <c r="G4394">
        <f t="shared" si="558"/>
        <v>10</v>
      </c>
      <c r="H4394" t="s">
        <v>430</v>
      </c>
      <c r="I4394" t="s">
        <v>385</v>
      </c>
    </row>
    <row r="4395" spans="1:9" x14ac:dyDescent="0.25">
      <c r="A4395" s="1">
        <f t="shared" si="552"/>
        <v>45554</v>
      </c>
      <c r="B4395" s="31">
        <f>TIME(19,56,0)</f>
        <v>0.8305555555555556</v>
      </c>
      <c r="C4395" t="str">
        <f>'Inventory as of 12th Aug 2024'!A211</f>
        <v>predator</v>
      </c>
      <c r="D4395">
        <v>1</v>
      </c>
      <c r="E4395" s="5">
        <f>Table4[[#This Row],[qty]]*(VLOOKUP(Table4[[#This Row],[item_sold]],Table1[],5,FALSE))</f>
        <v>70</v>
      </c>
      <c r="F4395" s="5">
        <f>(VLOOKUP(Table4[[#This Row],[item_sold]],Table1[],4,FALSE))*Table4[[#This Row],[qty]]</f>
        <v>54.166666666666664</v>
      </c>
      <c r="G4395">
        <f t="shared" si="558"/>
        <v>15.833333333333336</v>
      </c>
      <c r="H4395" t="s">
        <v>247</v>
      </c>
    </row>
    <row r="4396" spans="1:9" x14ac:dyDescent="0.25">
      <c r="A4396" s="1">
        <f t="shared" si="552"/>
        <v>45554</v>
      </c>
      <c r="B4396" s="31">
        <f>TIME(20,9,0)</f>
        <v>0.83958333333333324</v>
      </c>
      <c r="C4396" t="str">
        <f>'Inventory as of 12th Aug 2024'!A38</f>
        <v>AVC Led bulb</v>
      </c>
      <c r="D4396">
        <v>1</v>
      </c>
      <c r="E4396" s="5">
        <f>Table4[[#This Row],[qty]]*(VLOOKUP(Table4[[#This Row],[item_sold]],Table1[],5,FALSE))</f>
        <v>100</v>
      </c>
      <c r="F4396" s="5">
        <f>(VLOOKUP(Table4[[#This Row],[item_sold]],Table1[],4,FALSE))*Table4[[#This Row],[qty]]</f>
        <v>69</v>
      </c>
      <c r="G4396">
        <f t="shared" si="558"/>
        <v>31</v>
      </c>
      <c r="H4396" t="s">
        <v>361</v>
      </c>
    </row>
    <row r="4397" spans="1:9" x14ac:dyDescent="0.25">
      <c r="A4397" s="1">
        <f t="shared" si="552"/>
        <v>45554</v>
      </c>
      <c r="B4397" s="31">
        <f>TIME(19,38,0)</f>
        <v>0.81805555555555554</v>
      </c>
      <c r="C4397" t="str">
        <f>'Inventory as of 12th Aug 2024'!A193</f>
        <v>Ginger Bisquit</v>
      </c>
      <c r="D4397">
        <v>4</v>
      </c>
      <c r="E4397" s="5">
        <f>Table4[[#This Row],[qty]]*(VLOOKUP(Table4[[#This Row],[item_sold]],Table1[],5,FALSE))</f>
        <v>20</v>
      </c>
      <c r="F4397" s="5">
        <f>(VLOOKUP(Table4[[#This Row],[item_sold]],Table1[],4,FALSE))*Table4[[#This Row],[qty]]</f>
        <v>17.333333333333332</v>
      </c>
      <c r="G4397">
        <f t="shared" si="558"/>
        <v>2.6666666666666679</v>
      </c>
      <c r="H4397" t="s">
        <v>361</v>
      </c>
    </row>
    <row r="4398" spans="1:9" x14ac:dyDescent="0.25">
      <c r="A4398" s="1">
        <f>DATE(2024,9,20)</f>
        <v>45555</v>
      </c>
      <c r="B4398" s="31">
        <f>TIME(7,0,0)</f>
        <v>0.29166666666666669</v>
      </c>
      <c r="C4398" t="str">
        <f>'Inventory as of 12th Aug 2024'!A35</f>
        <v>Festive 600g</v>
      </c>
      <c r="D4398">
        <v>1</v>
      </c>
      <c r="E4398" s="5">
        <f>Table4[[#This Row],[qty]]*(VLOOKUP(Table4[[#This Row],[item_sold]],Table1[],5,FALSE))</f>
        <v>100</v>
      </c>
      <c r="F4398" s="5">
        <f>(VLOOKUP(Table4[[#This Row],[item_sold]],Table1[],4,FALSE))*Table4[[#This Row],[qty]]</f>
        <v>90</v>
      </c>
      <c r="G4398">
        <f t="shared" si="558"/>
        <v>10</v>
      </c>
      <c r="H4398" t="s">
        <v>247</v>
      </c>
    </row>
    <row r="4399" spans="1:9" x14ac:dyDescent="0.25">
      <c r="A4399" s="1">
        <f t="shared" ref="A4399:A4462" si="563">DATE(2024,9,20)</f>
        <v>45555</v>
      </c>
      <c r="B4399" s="31">
        <f>TIME(7,15,0)</f>
        <v>0.30208333333333331</v>
      </c>
      <c r="C4399" t="str">
        <f>'Inventory as of 12th Aug 2024'!A16</f>
        <v>Mt kenya milk 500ml</v>
      </c>
      <c r="D4399">
        <v>2</v>
      </c>
      <c r="E4399" s="5">
        <f>Table4[[#This Row],[qty]]*(VLOOKUP(Table4[[#This Row],[item_sold]],Table1[],5,FALSE))</f>
        <v>130</v>
      </c>
      <c r="F4399" s="5">
        <f>(VLOOKUP(Table4[[#This Row],[item_sold]],Table1[],4,FALSE))*Table4[[#This Row],[qty]]</f>
        <v>96.666666666666671</v>
      </c>
      <c r="G4399">
        <f t="shared" si="558"/>
        <v>33.333333333333329</v>
      </c>
      <c r="H4399" t="s">
        <v>361</v>
      </c>
    </row>
    <row r="4400" spans="1:9" x14ac:dyDescent="0.25">
      <c r="A4400" s="1">
        <f t="shared" si="563"/>
        <v>45555</v>
      </c>
      <c r="B4400" s="31">
        <f>TIME(7,15,0)</f>
        <v>0.30208333333333331</v>
      </c>
      <c r="C4400" t="str">
        <f>'Inventory as of 12th Aug 2024'!A58</f>
        <v>Safari</v>
      </c>
      <c r="D4400">
        <v>1</v>
      </c>
      <c r="E4400" s="5">
        <f>Table4[[#This Row],[qty]]*(VLOOKUP(Table4[[#This Row],[item_sold]],Table1[],5,FALSE))</f>
        <v>15</v>
      </c>
      <c r="F4400" s="5">
        <f>(VLOOKUP(Table4[[#This Row],[item_sold]],Table1[],4,FALSE))*Table4[[#This Row],[qty]]</f>
        <v>8.5</v>
      </c>
      <c r="G4400">
        <f t="shared" si="558"/>
        <v>6.5</v>
      </c>
      <c r="H4400" t="s">
        <v>361</v>
      </c>
    </row>
    <row r="4401" spans="1:12" x14ac:dyDescent="0.25">
      <c r="A4401" s="1">
        <f t="shared" si="563"/>
        <v>45555</v>
      </c>
      <c r="B4401" s="31">
        <f>TIME(8,6,0)</f>
        <v>0.33749999999999997</v>
      </c>
      <c r="C4401" t="str">
        <f>'Inventory as of 12th Aug 2024'!A200</f>
        <v>Ngumu</v>
      </c>
      <c r="D4401">
        <v>1</v>
      </c>
      <c r="E4401" s="5">
        <f>Table4[[#This Row],[qty]]*(VLOOKUP(Table4[[#This Row],[item_sold]],Table1[],5,FALSE))</f>
        <v>10</v>
      </c>
      <c r="F4401" s="5">
        <f>(VLOOKUP(Table4[[#This Row],[item_sold]],Table1[],4,FALSE))*Table4[[#This Row],[qty]]</f>
        <v>8.3333333333333339</v>
      </c>
      <c r="G4401">
        <f t="shared" si="558"/>
        <v>1.6666666666666661</v>
      </c>
      <c r="H4401" t="s">
        <v>247</v>
      </c>
    </row>
    <row r="4402" spans="1:12" x14ac:dyDescent="0.25">
      <c r="A4402" s="1">
        <f t="shared" si="563"/>
        <v>45555</v>
      </c>
      <c r="B4402" s="31">
        <f t="shared" ref="B4402" si="564">TIME(8,6,0)</f>
        <v>0.33749999999999997</v>
      </c>
      <c r="C4402" t="str">
        <f>'Inventory as of 12th Aug 2024'!A6</f>
        <v>Airtel 10 Credit</v>
      </c>
      <c r="D4402">
        <v>1</v>
      </c>
      <c r="E4402" s="5">
        <f>Table4[[#This Row],[qty]]*(VLOOKUP(Table4[[#This Row],[item_sold]],Table1[],5,FALSE))</f>
        <v>10</v>
      </c>
      <c r="F4402" s="5">
        <f>(VLOOKUP(Table4[[#This Row],[item_sold]],Table1[],4,FALSE))*Table4[[#This Row],[qty]]</f>
        <v>9</v>
      </c>
      <c r="G4402">
        <f t="shared" si="558"/>
        <v>1</v>
      </c>
      <c r="H4402" t="s">
        <v>247</v>
      </c>
    </row>
    <row r="4403" spans="1:12" x14ac:dyDescent="0.25">
      <c r="A4403" s="1">
        <f t="shared" si="563"/>
        <v>45555</v>
      </c>
      <c r="B4403" s="31">
        <f>TIME(8,55,0)</f>
        <v>0.37152777777777773</v>
      </c>
      <c r="C4403" t="str">
        <f>'Inventory as of 12th Aug 2024'!A9</f>
        <v>Kinangop Fresh Milk 500ml</v>
      </c>
      <c r="D4403">
        <v>1</v>
      </c>
      <c r="E4403" s="5">
        <f>Table4[[#This Row],[qty]]*(VLOOKUP(Table4[[#This Row],[item_sold]],Table1[],5,FALSE))</f>
        <v>60</v>
      </c>
      <c r="F4403" s="5">
        <f>(VLOOKUP(Table4[[#This Row],[item_sold]],Table1[],4,FALSE))*Table4[[#This Row],[qty]]</f>
        <v>55</v>
      </c>
      <c r="G4403">
        <f t="shared" si="558"/>
        <v>5</v>
      </c>
      <c r="H4403" t="s">
        <v>430</v>
      </c>
      <c r="I4403" t="s">
        <v>404</v>
      </c>
    </row>
    <row r="4404" spans="1:12" x14ac:dyDescent="0.25">
      <c r="A4404" s="1">
        <f t="shared" si="563"/>
        <v>45555</v>
      </c>
      <c r="B4404" s="31">
        <f t="shared" ref="B4404:B4406" si="565">TIME(8,55,0)</f>
        <v>0.37152777777777773</v>
      </c>
      <c r="C4404" t="str">
        <f>'Inventory as of 12th Aug 2024'!A70</f>
        <v>Sugar 1/2 kg</v>
      </c>
      <c r="D4404">
        <v>1</v>
      </c>
      <c r="E4404" s="5">
        <f>Table4[[#This Row],[qty]]*(VLOOKUP(Table4[[#This Row],[item_sold]],Table1[],5,FALSE))</f>
        <v>90</v>
      </c>
      <c r="F4404" s="5">
        <f>(VLOOKUP(Table4[[#This Row],[item_sold]],Table1[],4,FALSE))*Table4[[#This Row],[qty]]</f>
        <v>60</v>
      </c>
      <c r="G4404">
        <f t="shared" si="558"/>
        <v>30</v>
      </c>
      <c r="H4404" t="s">
        <v>430</v>
      </c>
      <c r="I4404" t="s">
        <v>404</v>
      </c>
    </row>
    <row r="4405" spans="1:12" x14ac:dyDescent="0.25">
      <c r="A4405" s="1">
        <f t="shared" si="563"/>
        <v>45555</v>
      </c>
      <c r="B4405" s="31">
        <f t="shared" si="565"/>
        <v>0.37152777777777773</v>
      </c>
      <c r="C4405" t="str">
        <f>'Inventory as of 12th Aug 2024'!A138</f>
        <v>Softcare pads</v>
      </c>
      <c r="D4405">
        <v>1</v>
      </c>
      <c r="E4405" s="5">
        <f>Table4[[#This Row],[qty]]*(VLOOKUP(Table4[[#This Row],[item_sold]],Table1[],5,FALSE))</f>
        <v>85</v>
      </c>
      <c r="F4405" s="5">
        <f>(VLOOKUP(Table4[[#This Row],[item_sold]],Table1[],4,FALSE))*Table4[[#This Row],[qty]]</f>
        <v>66</v>
      </c>
      <c r="G4405">
        <f t="shared" si="558"/>
        <v>19</v>
      </c>
      <c r="H4405" t="s">
        <v>430</v>
      </c>
      <c r="I4405" t="s">
        <v>404</v>
      </c>
    </row>
    <row r="4406" spans="1:12" x14ac:dyDescent="0.25">
      <c r="A4406" s="1">
        <f t="shared" si="563"/>
        <v>45555</v>
      </c>
      <c r="B4406" s="31">
        <f t="shared" si="565"/>
        <v>0.37152777777777773</v>
      </c>
      <c r="C4406" t="str">
        <f>'Inventory as of 12th Aug 2024'!A260</f>
        <v>Pampers</v>
      </c>
      <c r="D4406">
        <v>5</v>
      </c>
      <c r="E4406" s="5">
        <f>Table4[[#This Row],[qty]]*(VLOOKUP(Table4[[#This Row],[item_sold]],Table1[],5,FALSE))</f>
        <v>100</v>
      </c>
      <c r="F4406" s="5">
        <f>(VLOOKUP(Table4[[#This Row],[item_sold]],Table1[],4,FALSE))*Table4[[#This Row],[qty]]</f>
        <v>62</v>
      </c>
      <c r="G4406">
        <f t="shared" si="558"/>
        <v>38</v>
      </c>
      <c r="H4406" t="s">
        <v>430</v>
      </c>
      <c r="I4406" t="s">
        <v>404</v>
      </c>
    </row>
    <row r="4407" spans="1:12" x14ac:dyDescent="0.25">
      <c r="A4407" s="1">
        <f t="shared" si="563"/>
        <v>45555</v>
      </c>
      <c r="B4407" s="31">
        <f>TIME(8,56,0)</f>
        <v>0.37222222222222223</v>
      </c>
      <c r="C4407" s="38" t="str">
        <f>'Inventory as of 12th Aug 2024'!A58</f>
        <v>Safari</v>
      </c>
      <c r="D4407">
        <v>1</v>
      </c>
      <c r="E4407" s="5">
        <f>Table4[[#This Row],[qty]]*(VLOOKUP(Table4[[#This Row],[item_sold]],Table1[],5,FALSE))</f>
        <v>15</v>
      </c>
      <c r="F4407" s="5">
        <f>(VLOOKUP(Table4[[#This Row],[item_sold]],Table1[],4,FALSE))*Table4[[#This Row],[qty]]</f>
        <v>8.5</v>
      </c>
      <c r="G4407">
        <f t="shared" si="558"/>
        <v>6.5</v>
      </c>
      <c r="H4407" t="s">
        <v>247</v>
      </c>
    </row>
    <row r="4408" spans="1:12" x14ac:dyDescent="0.25">
      <c r="A4408" s="1">
        <f t="shared" si="563"/>
        <v>45555</v>
      </c>
      <c r="B4408" s="31">
        <f t="shared" ref="B4408" si="566">TIME(9,0,0)</f>
        <v>0.375</v>
      </c>
      <c r="C4408" t="str">
        <f>'Inventory as of 12th Aug 2024'!A191</f>
        <v>Nuvita Bisquit</v>
      </c>
      <c r="D4408">
        <v>2</v>
      </c>
      <c r="E4408" s="5">
        <f>Table4[[#This Row],[qty]]*(VLOOKUP(Table4[[#This Row],[item_sold]],Table1[],5,FALSE))</f>
        <v>10</v>
      </c>
      <c r="F4408" s="5">
        <f>(VLOOKUP(Table4[[#This Row],[item_sold]],Table1[],4,FALSE))*Table4[[#This Row],[qty]]</f>
        <v>8.3333333333333339</v>
      </c>
      <c r="G4408">
        <f t="shared" si="558"/>
        <v>1.6666666666666661</v>
      </c>
      <c r="H4408" t="s">
        <v>247</v>
      </c>
    </row>
    <row r="4409" spans="1:12" x14ac:dyDescent="0.25">
      <c r="A4409" s="1">
        <f t="shared" si="563"/>
        <v>45555</v>
      </c>
      <c r="B4409" s="31">
        <f>TIME(9,3,0)</f>
        <v>0.37708333333333338</v>
      </c>
      <c r="C4409" t="str">
        <f>'Inventory as of 12th Aug 2024'!A57</f>
        <v>Sportsman</v>
      </c>
      <c r="D4409">
        <v>1</v>
      </c>
      <c r="E4409" s="5">
        <f>Table4[[#This Row],[qty]]*(VLOOKUP(Table4[[#This Row],[item_sold]],Table1[],5,FALSE))</f>
        <v>20</v>
      </c>
      <c r="F4409" s="5">
        <f>(VLOOKUP(Table4[[#This Row],[item_sold]],Table1[],4,FALSE))*Table4[[#This Row],[qty]]</f>
        <v>13</v>
      </c>
      <c r="G4409">
        <f t="shared" si="558"/>
        <v>7</v>
      </c>
      <c r="H4409" t="s">
        <v>247</v>
      </c>
    </row>
    <row r="4410" spans="1:12" x14ac:dyDescent="0.25">
      <c r="A4410" s="1">
        <f t="shared" si="563"/>
        <v>45555</v>
      </c>
      <c r="B4410" s="31">
        <f>TIME(9,6,0)</f>
        <v>0.37916666666666665</v>
      </c>
      <c r="C4410" t="str">
        <f>'Inventory as of 12th Aug 2024'!A6</f>
        <v>Airtel 10 Credit</v>
      </c>
      <c r="D4410">
        <v>1</v>
      </c>
      <c r="E4410" s="5">
        <f>Table4[[#This Row],[qty]]*(VLOOKUP(Table4[[#This Row],[item_sold]],Table1[],5,FALSE))</f>
        <v>10</v>
      </c>
      <c r="F4410" s="5">
        <f>(VLOOKUP(Table4[[#This Row],[item_sold]],Table1[],4,FALSE))*Table4[[#This Row],[qty]]</f>
        <v>9</v>
      </c>
      <c r="G4410">
        <f t="shared" si="558"/>
        <v>1</v>
      </c>
      <c r="H4410" t="s">
        <v>247</v>
      </c>
    </row>
    <row r="4411" spans="1:12" x14ac:dyDescent="0.25">
      <c r="A4411" s="1">
        <f t="shared" si="563"/>
        <v>45555</v>
      </c>
      <c r="B4411" s="31">
        <f>TIME(9,30,0)</f>
        <v>0.39583333333333331</v>
      </c>
      <c r="C4411" t="str">
        <f>'Inventory as of 12th Aug 2024'!A177</f>
        <v>Ringoz Barbeque</v>
      </c>
      <c r="D4411">
        <v>1</v>
      </c>
      <c r="E4411" s="5">
        <f>Table4[[#This Row],[qty]]*(VLOOKUP(Table4[[#This Row],[item_sold]],Table1[],5,FALSE))</f>
        <v>15</v>
      </c>
      <c r="F4411" s="5">
        <f>(VLOOKUP(Table4[[#This Row],[item_sold]],Table1[],4,FALSE))*Table4[[#This Row],[qty]]</f>
        <v>8.6</v>
      </c>
      <c r="G4411">
        <f t="shared" si="558"/>
        <v>6.4</v>
      </c>
      <c r="H4411" t="s">
        <v>247</v>
      </c>
      <c r="J4411" t="s">
        <v>404</v>
      </c>
      <c r="K4411">
        <v>335</v>
      </c>
      <c r="L4411" t="s">
        <v>361</v>
      </c>
    </row>
    <row r="4412" spans="1:12" x14ac:dyDescent="0.25">
      <c r="A4412" s="1">
        <f t="shared" si="563"/>
        <v>45555</v>
      </c>
      <c r="B4412" s="31">
        <f t="shared" ref="B4412:B4415" si="567">TIME(9,30,0)</f>
        <v>0.39583333333333331</v>
      </c>
      <c r="C4412" t="str">
        <f>'Inventory as of 12th Aug 2024'!A243</f>
        <v>Ballon</v>
      </c>
      <c r="D4412">
        <v>1</v>
      </c>
      <c r="E4412" s="5">
        <f>Table4[[#This Row],[qty]]*(VLOOKUP(Table4[[#This Row],[item_sold]],Table1[],5,FALSE))</f>
        <v>10</v>
      </c>
      <c r="F4412" s="5">
        <f>(VLOOKUP(Table4[[#This Row],[item_sold]],Table1[],4,FALSE))*Table4[[#This Row],[qty]]</f>
        <v>7.5</v>
      </c>
      <c r="G4412">
        <f t="shared" si="558"/>
        <v>2.5</v>
      </c>
      <c r="H4412" t="s">
        <v>247</v>
      </c>
    </row>
    <row r="4413" spans="1:12" x14ac:dyDescent="0.25">
      <c r="A4413" s="1">
        <f t="shared" si="563"/>
        <v>45555</v>
      </c>
      <c r="B4413" s="31">
        <f t="shared" si="567"/>
        <v>0.39583333333333331</v>
      </c>
      <c r="C4413" t="str">
        <f>'Inventory as of 12th Aug 2024'!A58</f>
        <v>Safari</v>
      </c>
      <c r="D4413">
        <v>6</v>
      </c>
      <c r="E4413" s="5">
        <f>Table4[[#This Row],[qty]]*(VLOOKUP(Table4[[#This Row],[item_sold]],Table1[],5,FALSE))</f>
        <v>90</v>
      </c>
      <c r="F4413" s="5">
        <f>(VLOOKUP(Table4[[#This Row],[item_sold]],Table1[],4,FALSE))*Table4[[#This Row],[qty]]</f>
        <v>51</v>
      </c>
      <c r="G4413">
        <f t="shared" si="558"/>
        <v>39</v>
      </c>
      <c r="H4413" t="s">
        <v>247</v>
      </c>
    </row>
    <row r="4414" spans="1:12" x14ac:dyDescent="0.25">
      <c r="A4414" s="1">
        <f t="shared" si="563"/>
        <v>45555</v>
      </c>
      <c r="B4414" s="31">
        <f t="shared" si="567"/>
        <v>0.39583333333333331</v>
      </c>
      <c r="C4414" t="str">
        <f>'Inventory as of 12th Aug 2024'!A120</f>
        <v>Maramoja</v>
      </c>
      <c r="D4414">
        <v>1</v>
      </c>
      <c r="E4414" s="5">
        <f>Table4[[#This Row],[qty]]*(VLOOKUP(Table4[[#This Row],[item_sold]],Table1[],5,FALSE))</f>
        <v>10</v>
      </c>
      <c r="F4414" s="5">
        <f>(VLOOKUP(Table4[[#This Row],[item_sold]],Table1[],4,FALSE))*Table4[[#This Row],[qty]]</f>
        <v>7</v>
      </c>
      <c r="G4414">
        <f t="shared" si="558"/>
        <v>3</v>
      </c>
      <c r="H4414" t="s">
        <v>247</v>
      </c>
    </row>
    <row r="4415" spans="1:12" x14ac:dyDescent="0.25">
      <c r="A4415" s="1">
        <f t="shared" si="563"/>
        <v>45555</v>
      </c>
      <c r="B4415" s="31">
        <f t="shared" si="567"/>
        <v>0.39583333333333331</v>
      </c>
      <c r="C4415" s="27" t="str">
        <f>'Inventory as of 12th Aug 2024'!A255</f>
        <v>Masking Tape</v>
      </c>
      <c r="D4415">
        <v>1</v>
      </c>
      <c r="E4415" s="5">
        <f>Table4[[#This Row],[qty]]*(VLOOKUP(Table4[[#This Row],[item_sold]],Table1[],5,FALSE))</f>
        <v>30</v>
      </c>
      <c r="F4415" s="5">
        <f>(VLOOKUP(Table4[[#This Row],[item_sold]],Table1[],4,FALSE))*Table4[[#This Row],[qty]]</f>
        <v>20.833333333333332</v>
      </c>
      <c r="G4415">
        <f t="shared" si="558"/>
        <v>9.1666666666666679</v>
      </c>
      <c r="H4415" t="s">
        <v>247</v>
      </c>
    </row>
    <row r="4416" spans="1:12" x14ac:dyDescent="0.25">
      <c r="A4416" s="1">
        <f t="shared" si="563"/>
        <v>45555</v>
      </c>
      <c r="B4416" s="31">
        <f>TIME(10,29,0)</f>
        <v>0.4368055555555555</v>
      </c>
      <c r="C4416" s="37" t="str">
        <f>'Inventory as of 12th Aug 2024'!A167</f>
        <v>Handkerchief</v>
      </c>
      <c r="D4416">
        <v>1</v>
      </c>
      <c r="E4416" s="5">
        <f>Table4[[#This Row],[qty]]*(VLOOKUP(Table4[[#This Row],[item_sold]],Table1[],5,FALSE))</f>
        <v>20</v>
      </c>
      <c r="F4416" s="5">
        <f>(VLOOKUP(Table4[[#This Row],[item_sold]],Table1[],4,FALSE))*Table4[[#This Row],[qty]]</f>
        <v>12</v>
      </c>
      <c r="G4416">
        <f t="shared" ref="G4416:G4430" si="568">E4416-F4416</f>
        <v>8</v>
      </c>
      <c r="H4416" t="s">
        <v>430</v>
      </c>
      <c r="I4416" t="s">
        <v>456</v>
      </c>
    </row>
    <row r="4417" spans="1:12" x14ac:dyDescent="0.25">
      <c r="A4417" s="1">
        <f t="shared" si="563"/>
        <v>45555</v>
      </c>
      <c r="B4417" s="31">
        <f t="shared" ref="B4417:B4419" si="569">TIME(10,29,0)</f>
        <v>0.4368055555555555</v>
      </c>
      <c r="C4417" t="str">
        <f>'Inventory as of 12th Aug 2024'!A256</f>
        <v>Family bisquit</v>
      </c>
      <c r="D4417">
        <v>1</v>
      </c>
      <c r="E4417" s="5">
        <f>Table4[[#This Row],[qty]]*(VLOOKUP(Table4[[#This Row],[item_sold]],Table1[],5,FALSE))</f>
        <v>35</v>
      </c>
      <c r="F4417" s="5">
        <f>(VLOOKUP(Table4[[#This Row],[item_sold]],Table1[],4,FALSE))*Table4[[#This Row],[qty]]</f>
        <v>23.333333333333332</v>
      </c>
      <c r="G4417">
        <f t="shared" si="568"/>
        <v>11.666666666666668</v>
      </c>
      <c r="H4417" t="s">
        <v>430</v>
      </c>
      <c r="I4417" t="s">
        <v>456</v>
      </c>
    </row>
    <row r="4418" spans="1:12" x14ac:dyDescent="0.25">
      <c r="A4418" s="1">
        <f t="shared" si="563"/>
        <v>45555</v>
      </c>
      <c r="B4418" s="31">
        <f t="shared" si="569"/>
        <v>0.4368055555555555</v>
      </c>
      <c r="C4418" t="str">
        <f>'Inventory as of 12th Aug 2024'!A238</f>
        <v>Tropical</v>
      </c>
      <c r="D4418">
        <v>1</v>
      </c>
      <c r="E4418" s="5">
        <f>Table4[[#This Row],[qty]]*(VLOOKUP(Table4[[#This Row],[item_sold]],Table1[],5,FALSE))</f>
        <v>5</v>
      </c>
      <c r="F4418" s="5">
        <f>(VLOOKUP(Table4[[#This Row],[item_sold]],Table1[],4,FALSE))*Table4[[#This Row],[qty]]</f>
        <v>1.5</v>
      </c>
      <c r="G4418">
        <f t="shared" si="568"/>
        <v>3.5</v>
      </c>
      <c r="H4418" t="s">
        <v>430</v>
      </c>
      <c r="I4418" t="s">
        <v>456</v>
      </c>
    </row>
    <row r="4419" spans="1:12" x14ac:dyDescent="0.25">
      <c r="A4419" s="1">
        <f t="shared" si="563"/>
        <v>45555</v>
      </c>
      <c r="B4419" s="31">
        <f t="shared" si="569"/>
        <v>0.4368055555555555</v>
      </c>
      <c r="C4419" t="str">
        <f>'Inventory as of 12th Aug 2024'!A229</f>
        <v>Fresh green</v>
      </c>
      <c r="D4419">
        <v>1</v>
      </c>
      <c r="E4419" s="5">
        <f>Table4[[#This Row],[qty]]*(VLOOKUP(Table4[[#This Row],[item_sold]],Table1[],5,FALSE))</f>
        <v>10</v>
      </c>
      <c r="F4419" s="5">
        <f>(VLOOKUP(Table4[[#This Row],[item_sold]],Table1[],4,FALSE))*Table4[[#This Row],[qty]]</f>
        <v>5</v>
      </c>
      <c r="G4419">
        <f t="shared" si="568"/>
        <v>5</v>
      </c>
      <c r="H4419" t="s">
        <v>430</v>
      </c>
      <c r="I4419" t="s">
        <v>456</v>
      </c>
    </row>
    <row r="4420" spans="1:12" x14ac:dyDescent="0.25">
      <c r="A4420" s="1">
        <f t="shared" si="563"/>
        <v>45555</v>
      </c>
      <c r="B4420" s="31">
        <f>TIME(10,55,0)</f>
        <v>0.4548611111111111</v>
      </c>
      <c r="C4420" t="str">
        <f>'Inventory as of 12th Aug 2024'!A8</f>
        <v>eggs</v>
      </c>
      <c r="D4420">
        <v>10</v>
      </c>
      <c r="E4420" s="5">
        <f>Table4[[#This Row],[qty]]*(VLOOKUP(Table4[[#This Row],[item_sold]],Table1[],5,FALSE))</f>
        <v>200</v>
      </c>
      <c r="F4420" s="5">
        <f>(VLOOKUP(Table4[[#This Row],[item_sold]],Table1[],4,FALSE))*Table4[[#This Row],[qty]]</f>
        <v>143.33333333333334</v>
      </c>
      <c r="G4420">
        <f t="shared" si="568"/>
        <v>56.666666666666657</v>
      </c>
      <c r="H4420" t="s">
        <v>361</v>
      </c>
    </row>
    <row r="4421" spans="1:12" x14ac:dyDescent="0.25">
      <c r="A4421" s="1">
        <f t="shared" si="563"/>
        <v>45555</v>
      </c>
      <c r="B4421" s="31">
        <f>TIME(11,11,0)</f>
        <v>0.46597222222222223</v>
      </c>
      <c r="C4421" t="str">
        <f>'Inventory as of 12th Aug 2024'!A211</f>
        <v>predator</v>
      </c>
      <c r="D4421">
        <v>1</v>
      </c>
      <c r="E4421" s="5">
        <f>Table4[[#This Row],[qty]]*(VLOOKUP(Table4[[#This Row],[item_sold]],Table1[],5,FALSE))</f>
        <v>70</v>
      </c>
      <c r="F4421" s="5">
        <f>(VLOOKUP(Table4[[#This Row],[item_sold]],Table1[],4,FALSE))*Table4[[#This Row],[qty]]</f>
        <v>54.166666666666664</v>
      </c>
      <c r="G4421">
        <f t="shared" si="568"/>
        <v>15.833333333333336</v>
      </c>
      <c r="H4421" t="s">
        <v>361</v>
      </c>
    </row>
    <row r="4422" spans="1:12" x14ac:dyDescent="0.25">
      <c r="A4422" s="1">
        <f t="shared" si="563"/>
        <v>45555</v>
      </c>
      <c r="B4422" s="31">
        <f>TIME(11,11,0)</f>
        <v>0.46597222222222223</v>
      </c>
      <c r="C4422" t="str">
        <f>'Inventory as of 12th Aug 2024'!A244</f>
        <v>5ltrs water</v>
      </c>
      <c r="D4422">
        <v>1</v>
      </c>
      <c r="E4422" s="5">
        <f>Table4[[#This Row],[qty]]*(VLOOKUP(Table4[[#This Row],[item_sold]],Table1[],5,FALSE))</f>
        <v>120</v>
      </c>
      <c r="F4422" s="5">
        <f>(VLOOKUP(Table4[[#This Row],[item_sold]],Table1[],4,FALSE))*Table4[[#This Row],[qty]]</f>
        <v>75</v>
      </c>
      <c r="G4422">
        <f t="shared" si="568"/>
        <v>45</v>
      </c>
      <c r="H4422" t="s">
        <v>430</v>
      </c>
      <c r="I4422" t="s">
        <v>401</v>
      </c>
    </row>
    <row r="4423" spans="1:12" x14ac:dyDescent="0.25">
      <c r="A4423" s="1">
        <f t="shared" si="563"/>
        <v>45555</v>
      </c>
      <c r="B4423" s="31">
        <f>TIME(12,45,0)</f>
        <v>0.53125</v>
      </c>
      <c r="C4423" t="str">
        <f>'Inventory as of 12th Aug 2024'!A199</f>
        <v>Kdf</v>
      </c>
      <c r="D4423">
        <v>1</v>
      </c>
      <c r="E4423" s="5">
        <f>Table4[[#This Row],[qty]]*(VLOOKUP(Table4[[#This Row],[item_sold]],Table1[],5,FALSE))</f>
        <v>10</v>
      </c>
      <c r="F4423" s="5">
        <f>(VLOOKUP(Table4[[#This Row],[item_sold]],Table1[],4,FALSE))*Table4[[#This Row],[qty]]</f>
        <v>8.3333333333333339</v>
      </c>
      <c r="G4423">
        <f t="shared" si="568"/>
        <v>1.6666666666666661</v>
      </c>
      <c r="H4423" t="s">
        <v>361</v>
      </c>
    </row>
    <row r="4424" spans="1:12" x14ac:dyDescent="0.25">
      <c r="A4424" s="1">
        <f t="shared" si="563"/>
        <v>45555</v>
      </c>
      <c r="B4424" s="31">
        <f>TIME(13,45,0)</f>
        <v>0.57291666666666663</v>
      </c>
      <c r="C4424" t="str">
        <f>'Inventory as of 12th Aug 2024'!A33</f>
        <v>BB Bread 400g</v>
      </c>
      <c r="D4424">
        <v>1</v>
      </c>
      <c r="E4424" s="5">
        <f>Table4[[#This Row],[qty]]*(VLOOKUP(Table4[[#This Row],[item_sold]],Table1[],5,FALSE))</f>
        <v>65</v>
      </c>
      <c r="F4424" s="5">
        <f>(VLOOKUP(Table4[[#This Row],[item_sold]],Table1[],4,FALSE))*Table4[[#This Row],[qty]]</f>
        <v>60</v>
      </c>
      <c r="G4424">
        <f t="shared" si="568"/>
        <v>5</v>
      </c>
      <c r="H4424" t="s">
        <v>247</v>
      </c>
      <c r="I4424" t="s">
        <v>385</v>
      </c>
      <c r="J4424" t="s">
        <v>385</v>
      </c>
      <c r="K4424">
        <v>50</v>
      </c>
      <c r="L4424" t="s">
        <v>247</v>
      </c>
    </row>
    <row r="4425" spans="1:12" x14ac:dyDescent="0.25">
      <c r="A4425" s="1">
        <f t="shared" si="563"/>
        <v>45555</v>
      </c>
      <c r="B4425" s="31">
        <f t="shared" ref="B4425" si="570">TIME(13,45,0)</f>
        <v>0.57291666666666663</v>
      </c>
      <c r="C4425" t="str">
        <f>'Inventory as of 12th Aug 2024'!A16</f>
        <v>Mt kenya milk 500ml</v>
      </c>
      <c r="D4425">
        <v>1</v>
      </c>
      <c r="E4425" s="5">
        <f>Table4[[#This Row],[qty]]*(VLOOKUP(Table4[[#This Row],[item_sold]],Table1[],5,FALSE))</f>
        <v>65</v>
      </c>
      <c r="F4425" s="5">
        <f>(VLOOKUP(Table4[[#This Row],[item_sold]],Table1[],4,FALSE))*Table4[[#This Row],[qty]]</f>
        <v>48.333333333333336</v>
      </c>
      <c r="G4425">
        <f t="shared" si="568"/>
        <v>16.666666666666664</v>
      </c>
      <c r="H4425" t="s">
        <v>430</v>
      </c>
      <c r="I4425" t="s">
        <v>385</v>
      </c>
    </row>
    <row r="4426" spans="1:12" x14ac:dyDescent="0.25">
      <c r="A4426" s="1">
        <f t="shared" si="563"/>
        <v>45555</v>
      </c>
      <c r="B4426" s="31">
        <f>TIME(14,17,0)</f>
        <v>0.59513888888888888</v>
      </c>
      <c r="C4426" t="str">
        <f>'Inventory as of 12th Aug 2024'!A10</f>
        <v>Mt Kenya milk 200ml</v>
      </c>
      <c r="D4426">
        <v>1</v>
      </c>
      <c r="E4426" s="5">
        <f>Table4[[#This Row],[qty]]*(VLOOKUP(Table4[[#This Row],[item_sold]],Table1[],5,FALSE))</f>
        <v>35</v>
      </c>
      <c r="F4426" s="5">
        <f>(VLOOKUP(Table4[[#This Row],[item_sold]],Table1[],4,FALSE))*Table4[[#This Row],[qty]]</f>
        <v>24.285714285714285</v>
      </c>
      <c r="G4426">
        <f t="shared" si="568"/>
        <v>10.714285714285715</v>
      </c>
      <c r="H4426" t="s">
        <v>247</v>
      </c>
    </row>
    <row r="4427" spans="1:12" x14ac:dyDescent="0.25">
      <c r="A4427" s="1">
        <f t="shared" si="563"/>
        <v>45555</v>
      </c>
      <c r="B4427" s="31">
        <f t="shared" ref="B4427" si="571">TIME(14,17,0)</f>
        <v>0.59513888888888888</v>
      </c>
      <c r="C4427" t="str">
        <f>'Inventory as of 12th Aug 2024'!A199</f>
        <v>Kdf</v>
      </c>
      <c r="D4427">
        <v>1</v>
      </c>
      <c r="E4427" s="5">
        <f>Table4[[#This Row],[qty]]*(VLOOKUP(Table4[[#This Row],[item_sold]],Table1[],5,FALSE))</f>
        <v>10</v>
      </c>
      <c r="F4427" s="5">
        <f>(VLOOKUP(Table4[[#This Row],[item_sold]],Table1[],4,FALSE))*Table4[[#This Row],[qty]]</f>
        <v>8.3333333333333339</v>
      </c>
      <c r="G4427">
        <f t="shared" si="568"/>
        <v>1.6666666666666661</v>
      </c>
      <c r="H4427" t="s">
        <v>247</v>
      </c>
    </row>
    <row r="4428" spans="1:12" x14ac:dyDescent="0.25">
      <c r="A4428" s="1">
        <f t="shared" si="563"/>
        <v>45555</v>
      </c>
      <c r="B4428" s="31">
        <f>TIME(14,40,0)</f>
        <v>0.61111111111111105</v>
      </c>
      <c r="C4428" t="str">
        <f>'Inventory as of 12th Aug 2024'!A212</f>
        <v>soda 300ml glass</v>
      </c>
      <c r="D4428">
        <v>1</v>
      </c>
      <c r="E4428" s="5">
        <f>Table4[[#This Row],[qty]]*(VLOOKUP(Table4[[#This Row],[item_sold]],Table1[],5,FALSE))</f>
        <v>40</v>
      </c>
      <c r="F4428" s="5">
        <f>(VLOOKUP(Table4[[#This Row],[item_sold]],Table1[],4,FALSE))*Table4[[#This Row],[qty]]</f>
        <v>32.5</v>
      </c>
      <c r="G4428">
        <f t="shared" si="568"/>
        <v>7.5</v>
      </c>
      <c r="H4428" t="s">
        <v>247</v>
      </c>
    </row>
    <row r="4429" spans="1:12" x14ac:dyDescent="0.25">
      <c r="A4429" s="1">
        <f t="shared" si="563"/>
        <v>45555</v>
      </c>
      <c r="B4429" s="31">
        <f t="shared" ref="B4429" si="572">TIME(14,40,0)</f>
        <v>0.61111111111111105</v>
      </c>
      <c r="C4429" t="str">
        <f>'Inventory as of 12th Aug 2024'!A10</f>
        <v>Mt Kenya milk 200ml</v>
      </c>
      <c r="D4429">
        <v>1</v>
      </c>
      <c r="E4429" s="5">
        <f>Table4[[#This Row],[qty]]*(VLOOKUP(Table4[[#This Row],[item_sold]],Table1[],5,FALSE))</f>
        <v>35</v>
      </c>
      <c r="F4429" s="5">
        <f>(VLOOKUP(Table4[[#This Row],[item_sold]],Table1[],4,FALSE))*Table4[[#This Row],[qty]]</f>
        <v>24.285714285714285</v>
      </c>
      <c r="G4429">
        <f t="shared" si="568"/>
        <v>10.714285714285715</v>
      </c>
      <c r="H4429" t="s">
        <v>247</v>
      </c>
    </row>
    <row r="4430" spans="1:12" x14ac:dyDescent="0.25">
      <c r="A4430" s="1">
        <f t="shared" si="563"/>
        <v>45555</v>
      </c>
      <c r="B4430" s="31">
        <f>TIME(14,41,0)</f>
        <v>0.6118055555555556</v>
      </c>
      <c r="C4430" t="str">
        <f>'Inventory as of 12th Aug 2024'!A193</f>
        <v>Ginger Bisquit</v>
      </c>
      <c r="D4430">
        <v>3</v>
      </c>
      <c r="E4430" s="5">
        <f>Table4[[#This Row],[qty]]*(VLOOKUP(Table4[[#This Row],[item_sold]],Table1[],5,FALSE))</f>
        <v>15</v>
      </c>
      <c r="F4430" s="5">
        <f>(VLOOKUP(Table4[[#This Row],[item_sold]],Table1[],4,FALSE))*Table4[[#This Row],[qty]]</f>
        <v>13</v>
      </c>
      <c r="G4430">
        <f t="shared" si="568"/>
        <v>2</v>
      </c>
      <c r="H4430" t="s">
        <v>247</v>
      </c>
    </row>
    <row r="4431" spans="1:12" x14ac:dyDescent="0.25">
      <c r="A4431" s="1">
        <f t="shared" si="563"/>
        <v>45555</v>
      </c>
      <c r="B4431" s="31">
        <f t="shared" ref="B4431" si="573">TIME(14,41,0)</f>
        <v>0.6118055555555556</v>
      </c>
      <c r="C4431" t="str">
        <f>'Inventory as of 12th Aug 2024'!A42</f>
        <v>Indomie chicken</v>
      </c>
      <c r="D4431">
        <v>1</v>
      </c>
      <c r="E4431" s="5">
        <f>Table4[[#This Row],[qty]]*(VLOOKUP(Table4[[#This Row],[item_sold]],Table1[],5,FALSE))</f>
        <v>50</v>
      </c>
      <c r="F4431" s="5">
        <f>(VLOOKUP(Table4[[#This Row],[item_sold]],Table1[],4,FALSE))*Table4[[#This Row],[qty]]</f>
        <v>37.5</v>
      </c>
      <c r="G4431">
        <f t="shared" ref="G4431:G4434" si="574">E4431-F4431</f>
        <v>12.5</v>
      </c>
      <c r="H4431" t="s">
        <v>247</v>
      </c>
    </row>
    <row r="4432" spans="1:12" x14ac:dyDescent="0.25">
      <c r="A4432" s="1">
        <f t="shared" si="563"/>
        <v>45555</v>
      </c>
      <c r="B4432" s="31">
        <f>TIME(14,42,0)</f>
        <v>0.61249999999999993</v>
      </c>
      <c r="C4432" t="str">
        <f>'Inventory as of 12th Aug 2024'!A120</f>
        <v>Maramoja</v>
      </c>
      <c r="D4432">
        <v>2</v>
      </c>
      <c r="E4432" s="5">
        <f>Table4[[#This Row],[qty]]*(VLOOKUP(Table4[[#This Row],[item_sold]],Table1[],5,FALSE))</f>
        <v>20</v>
      </c>
      <c r="F4432" s="5">
        <f>(VLOOKUP(Table4[[#This Row],[item_sold]],Table1[],4,FALSE))*Table4[[#This Row],[qty]]</f>
        <v>14</v>
      </c>
      <c r="G4432">
        <f t="shared" si="574"/>
        <v>6</v>
      </c>
      <c r="H4432" t="s">
        <v>247</v>
      </c>
    </row>
    <row r="4433" spans="1:9" x14ac:dyDescent="0.25">
      <c r="A4433" s="1">
        <f t="shared" si="563"/>
        <v>45555</v>
      </c>
      <c r="B4433" s="31">
        <f t="shared" ref="B4433" si="575">TIME(14,42,0)</f>
        <v>0.61249999999999993</v>
      </c>
      <c r="C4433" t="str">
        <f>'Inventory as of 12th Aug 2024'!A192</f>
        <v>Lemon Bisquit</v>
      </c>
      <c r="D4433">
        <v>2</v>
      </c>
      <c r="E4433" s="5">
        <f>Table4[[#This Row],[qty]]*(VLOOKUP(Table4[[#This Row],[item_sold]],Table1[],5,FALSE))</f>
        <v>10</v>
      </c>
      <c r="F4433" s="5">
        <f>(VLOOKUP(Table4[[#This Row],[item_sold]],Table1[],4,FALSE))*Table4[[#This Row],[qty]]</f>
        <v>8.6666666666666661</v>
      </c>
      <c r="G4433">
        <f t="shared" si="574"/>
        <v>1.3333333333333339</v>
      </c>
      <c r="H4433" t="s">
        <v>430</v>
      </c>
      <c r="I4433" t="s">
        <v>406</v>
      </c>
    </row>
    <row r="4434" spans="1:9" x14ac:dyDescent="0.25">
      <c r="A4434" s="1">
        <f t="shared" si="563"/>
        <v>45555</v>
      </c>
      <c r="B4434" s="31">
        <f>TIME(15,15,0)</f>
        <v>0.63541666666666663</v>
      </c>
      <c r="C4434" t="str">
        <f>'Inventory as of 12th Aug 2024'!A208</f>
        <v>minutemaid 400ml</v>
      </c>
      <c r="D4434">
        <v>1</v>
      </c>
      <c r="E4434" s="5">
        <f>Table4[[#This Row],[qty]]*(VLOOKUP(Table4[[#This Row],[item_sold]],Table1[],5,FALSE))</f>
        <v>85</v>
      </c>
      <c r="F4434" s="5">
        <f>(VLOOKUP(Table4[[#This Row],[item_sold]],Table1[],4,FALSE))*Table4[[#This Row],[qty]]</f>
        <v>62.5</v>
      </c>
      <c r="G4434">
        <f t="shared" si="574"/>
        <v>22.5</v>
      </c>
      <c r="H4434" t="s">
        <v>361</v>
      </c>
    </row>
    <row r="4435" spans="1:9" x14ac:dyDescent="0.25">
      <c r="A4435" s="1">
        <f t="shared" si="563"/>
        <v>45555</v>
      </c>
      <c r="B4435" s="31">
        <f t="shared" ref="B4435:B4436" si="576">TIME(15,15,0)</f>
        <v>0.63541666666666663</v>
      </c>
      <c r="C4435" t="str">
        <f>'Inventory as of 12th Aug 2024'!A242</f>
        <v>Icepop</v>
      </c>
      <c r="D4435">
        <v>1</v>
      </c>
      <c r="E4435" s="5">
        <f>Table4[[#This Row],[qty]]*(VLOOKUP(Table4[[#This Row],[item_sold]],Table1[],5,FALSE))</f>
        <v>15</v>
      </c>
      <c r="F4435" s="5">
        <f>(VLOOKUP(Table4[[#This Row],[item_sold]],Table1[],4,FALSE))*Table4[[#This Row],[qty]]</f>
        <v>7.5</v>
      </c>
      <c r="G4435">
        <f t="shared" ref="G4435:G4485" si="577">E4435-F4435</f>
        <v>7.5</v>
      </c>
      <c r="H4435" t="s">
        <v>361</v>
      </c>
    </row>
    <row r="4436" spans="1:9" x14ac:dyDescent="0.25">
      <c r="A4436" s="1">
        <f t="shared" si="563"/>
        <v>45555</v>
      </c>
      <c r="B4436" s="31">
        <f t="shared" si="576"/>
        <v>0.63541666666666663</v>
      </c>
      <c r="C4436" t="str">
        <f>'Inventory as of 12th Aug 2024'!A232</f>
        <v>coo</v>
      </c>
      <c r="D4436">
        <v>2</v>
      </c>
      <c r="E4436" s="5">
        <f>Table4[[#This Row],[qty]]*(VLOOKUP(Table4[[#This Row],[item_sold]],Table1[],5,FALSE))</f>
        <v>5</v>
      </c>
      <c r="F4436" s="5">
        <f>(VLOOKUP(Table4[[#This Row],[item_sold]],Table1[],4,FALSE))*Table4[[#This Row],[qty]]</f>
        <v>2.4</v>
      </c>
      <c r="G4436">
        <f t="shared" si="577"/>
        <v>2.6</v>
      </c>
      <c r="H4436" t="s">
        <v>361</v>
      </c>
    </row>
    <row r="4437" spans="1:9" x14ac:dyDescent="0.25">
      <c r="A4437" s="1">
        <f t="shared" si="563"/>
        <v>45555</v>
      </c>
      <c r="B4437" s="31">
        <f>TIME(15,53,0)</f>
        <v>0.66180555555555554</v>
      </c>
      <c r="C4437" t="str">
        <f>'Inventory as of 12th Aug 2024'!A256</f>
        <v>Family bisquit</v>
      </c>
      <c r="D4437">
        <v>1</v>
      </c>
      <c r="E4437" s="5">
        <f>Table4[[#This Row],[qty]]*(VLOOKUP(Table4[[#This Row],[item_sold]],Table1[],5,FALSE))</f>
        <v>35</v>
      </c>
      <c r="F4437" s="5">
        <f>(VLOOKUP(Table4[[#This Row],[item_sold]],Table1[],4,FALSE))*Table4[[#This Row],[qty]]</f>
        <v>23.333333333333332</v>
      </c>
      <c r="G4437">
        <f t="shared" si="577"/>
        <v>11.666666666666668</v>
      </c>
      <c r="H4437" t="s">
        <v>247</v>
      </c>
    </row>
    <row r="4438" spans="1:9" x14ac:dyDescent="0.25">
      <c r="A4438" s="1">
        <f t="shared" si="563"/>
        <v>45555</v>
      </c>
      <c r="B4438" s="31">
        <f>TIME(15,58,0)</f>
        <v>0.66527777777777775</v>
      </c>
      <c r="C4438" t="str">
        <f>'Inventory as of 12th Aug 2024'!A135</f>
        <v>Bella Tissue</v>
      </c>
      <c r="D4438">
        <v>1</v>
      </c>
      <c r="E4438" s="5">
        <f>Table4[[#This Row],[qty]]*(VLOOKUP(Table4[[#This Row],[item_sold]],Table1[],5,FALSE))</f>
        <v>50</v>
      </c>
      <c r="F4438" s="5">
        <f>(VLOOKUP(Table4[[#This Row],[item_sold]],Table1[],4,FALSE))*Table4[[#This Row],[qty]]</f>
        <v>35</v>
      </c>
      <c r="G4438">
        <f t="shared" si="577"/>
        <v>15</v>
      </c>
      <c r="H4438" t="s">
        <v>361</v>
      </c>
    </row>
    <row r="4439" spans="1:9" x14ac:dyDescent="0.25">
      <c r="A4439" s="1">
        <f t="shared" si="563"/>
        <v>45555</v>
      </c>
      <c r="B4439" s="31">
        <f>TIME(15,58,0)</f>
        <v>0.66527777777777775</v>
      </c>
      <c r="C4439" t="str">
        <f>'Inventory as of 12th Aug 2024'!A8</f>
        <v>eggs</v>
      </c>
      <c r="D4439">
        <v>2</v>
      </c>
      <c r="E4439" s="5">
        <f>Table4[[#This Row],[qty]]*(VLOOKUP(Table4[[#This Row],[item_sold]],Table1[],5,FALSE))</f>
        <v>40</v>
      </c>
      <c r="F4439" s="5">
        <f>(VLOOKUP(Table4[[#This Row],[item_sold]],Table1[],4,FALSE))*Table4[[#This Row],[qty]]</f>
        <v>28.666666666666668</v>
      </c>
      <c r="G4439">
        <f t="shared" si="577"/>
        <v>11.333333333333332</v>
      </c>
      <c r="H4439" t="s">
        <v>361</v>
      </c>
    </row>
    <row r="4440" spans="1:9" x14ac:dyDescent="0.25">
      <c r="A4440" s="1">
        <f t="shared" si="563"/>
        <v>45555</v>
      </c>
      <c r="B4440" s="31">
        <f>TIME(16,0,0)</f>
        <v>0.66666666666666663</v>
      </c>
      <c r="C4440" t="str">
        <f>'Inventory as of 12th Aug 2024'!A213</f>
        <v>soda 500ml glass</v>
      </c>
      <c r="D4440">
        <v>1</v>
      </c>
      <c r="E4440" s="5">
        <f>Table4[[#This Row],[qty]]*(VLOOKUP(Table4[[#This Row],[item_sold]],Table1[],5,FALSE))</f>
        <v>55</v>
      </c>
      <c r="F4440" s="5">
        <f>(VLOOKUP(Table4[[#This Row],[item_sold]],Table1[],4,FALSE))*Table4[[#This Row],[qty]]</f>
        <v>50</v>
      </c>
      <c r="G4440">
        <f t="shared" si="577"/>
        <v>5</v>
      </c>
      <c r="H4440" t="s">
        <v>430</v>
      </c>
      <c r="I4440" t="s">
        <v>419</v>
      </c>
    </row>
    <row r="4441" spans="1:9" x14ac:dyDescent="0.25">
      <c r="A4441" s="1">
        <f t="shared" si="563"/>
        <v>45555</v>
      </c>
      <c r="B4441" s="31">
        <f>TIME(17,3,0)</f>
        <v>0.7104166666666667</v>
      </c>
      <c r="C4441" t="str">
        <f>'Inventory as of 12th Aug 2024'!A4</f>
        <v>Safaricom 50 Credit</v>
      </c>
      <c r="D4441">
        <v>2</v>
      </c>
      <c r="E4441" s="5">
        <f>Table4[[#This Row],[qty]]*(VLOOKUP(Table4[[#This Row],[item_sold]],Table1[],5,FALSE))</f>
        <v>100</v>
      </c>
      <c r="F4441" s="5">
        <f>(VLOOKUP(Table4[[#This Row],[item_sold]],Table1[],4,FALSE))*Table4[[#This Row],[qty]]</f>
        <v>94</v>
      </c>
      <c r="G4441">
        <f t="shared" si="577"/>
        <v>6</v>
      </c>
      <c r="H4441" t="s">
        <v>247</v>
      </c>
    </row>
    <row r="4442" spans="1:9" x14ac:dyDescent="0.25">
      <c r="A4442" s="1">
        <f t="shared" si="563"/>
        <v>45555</v>
      </c>
      <c r="B4442" s="31">
        <f t="shared" ref="B4442" si="578">TIME(17,3,0)</f>
        <v>0.7104166666666667</v>
      </c>
      <c r="C4442" t="str">
        <f>'Inventory as of 12th Aug 2024'!A7</f>
        <v>Airtel 50 Credit</v>
      </c>
      <c r="D4442">
        <v>1</v>
      </c>
      <c r="E4442" s="5">
        <f>Table4[[#This Row],[qty]]*(VLOOKUP(Table4[[#This Row],[item_sold]],Table1[],5,FALSE))</f>
        <v>50</v>
      </c>
      <c r="F4442" s="5">
        <f>(VLOOKUP(Table4[[#This Row],[item_sold]],Table1[],4,FALSE))*Table4[[#This Row],[qty]]</f>
        <v>47</v>
      </c>
      <c r="G4442">
        <f t="shared" si="577"/>
        <v>3</v>
      </c>
      <c r="H4442" t="s">
        <v>247</v>
      </c>
    </row>
    <row r="4443" spans="1:9" x14ac:dyDescent="0.25">
      <c r="A4443" s="1">
        <f t="shared" si="563"/>
        <v>45555</v>
      </c>
      <c r="B4443" s="31">
        <f>TIME(17,4,0)</f>
        <v>0.71111111111111114</v>
      </c>
      <c r="C4443" t="str">
        <f>'Inventory as of 12th Aug 2024'!A58</f>
        <v>Safari</v>
      </c>
      <c r="D4443">
        <v>1</v>
      </c>
      <c r="E4443" s="5">
        <f>Table4[[#This Row],[qty]]*(VLOOKUP(Table4[[#This Row],[item_sold]],Table1[],5,FALSE))</f>
        <v>15</v>
      </c>
      <c r="F4443" s="5">
        <f>(VLOOKUP(Table4[[#This Row],[item_sold]],Table1[],4,FALSE))*Table4[[#This Row],[qty]]</f>
        <v>8.5</v>
      </c>
      <c r="G4443">
        <f t="shared" si="577"/>
        <v>6.5</v>
      </c>
      <c r="H4443" t="s">
        <v>430</v>
      </c>
      <c r="I4443" t="s">
        <v>447</v>
      </c>
    </row>
    <row r="4444" spans="1:9" x14ac:dyDescent="0.25">
      <c r="A4444" s="1">
        <f t="shared" si="563"/>
        <v>45555</v>
      </c>
      <c r="B4444" s="31">
        <f>TIME(17,32,0)</f>
        <v>0.73055555555555562</v>
      </c>
      <c r="C4444" t="str">
        <f>'Inventory as of 12th Aug 2024'!A139</f>
        <v>Sunny girl pad</v>
      </c>
      <c r="D4444">
        <v>1</v>
      </c>
      <c r="E4444" s="5">
        <f>Table4[[#This Row],[qty]]*(VLOOKUP(Table4[[#This Row],[item_sold]],Table1[],5,FALSE))</f>
        <v>70</v>
      </c>
      <c r="F4444" s="5">
        <f>(VLOOKUP(Table4[[#This Row],[item_sold]],Table1[],4,FALSE))*Table4[[#This Row],[qty]]</f>
        <v>56.666666666666664</v>
      </c>
      <c r="G4444">
        <f t="shared" si="577"/>
        <v>13.333333333333336</v>
      </c>
      <c r="H4444" t="s">
        <v>430</v>
      </c>
      <c r="I4444" s="25"/>
    </row>
    <row r="4445" spans="1:9" x14ac:dyDescent="0.25">
      <c r="A4445" s="1">
        <f t="shared" si="563"/>
        <v>45555</v>
      </c>
      <c r="B4445" s="31">
        <f t="shared" ref="B4445:B4446" si="579">TIME(17,32,0)</f>
        <v>0.73055555555555562</v>
      </c>
      <c r="C4445" t="str">
        <f>'Inventory as of 12th Aug 2024'!A121</f>
        <v>Panadol Extra</v>
      </c>
      <c r="D4445">
        <v>1</v>
      </c>
      <c r="E4445" s="5">
        <f>Table4[[#This Row],[qty]]*(VLOOKUP(Table4[[#This Row],[item_sold]],Table1[],5,FALSE))</f>
        <v>20</v>
      </c>
      <c r="F4445" s="5">
        <f>(VLOOKUP(Table4[[#This Row],[item_sold]],Table1[],4,FALSE))*Table4[[#This Row],[qty]]</f>
        <v>13</v>
      </c>
      <c r="G4445">
        <f t="shared" si="577"/>
        <v>7</v>
      </c>
      <c r="H4445" t="s">
        <v>430</v>
      </c>
      <c r="I4445" s="25"/>
    </row>
    <row r="4446" spans="1:9" x14ac:dyDescent="0.25">
      <c r="A4446" s="1">
        <f t="shared" si="563"/>
        <v>45555</v>
      </c>
      <c r="B4446" s="31">
        <f t="shared" si="579"/>
        <v>0.73055555555555562</v>
      </c>
      <c r="C4446" t="str">
        <f>'Inventory as of 12th Aug 2024'!A232</f>
        <v>coo</v>
      </c>
      <c r="D4446">
        <v>2</v>
      </c>
      <c r="E4446" s="5">
        <f>Table4[[#This Row],[qty]]*(VLOOKUP(Table4[[#This Row],[item_sold]],Table1[],5,FALSE))</f>
        <v>5</v>
      </c>
      <c r="F4446" s="5">
        <f>(VLOOKUP(Table4[[#This Row],[item_sold]],Table1[],4,FALSE))*Table4[[#This Row],[qty]]</f>
        <v>2.4</v>
      </c>
      <c r="G4446">
        <f t="shared" si="577"/>
        <v>2.6</v>
      </c>
      <c r="H4446" t="s">
        <v>430</v>
      </c>
      <c r="I4446" s="25"/>
    </row>
    <row r="4447" spans="1:9" x14ac:dyDescent="0.25">
      <c r="A4447" s="1">
        <f t="shared" si="563"/>
        <v>45555</v>
      </c>
      <c r="B4447" s="31">
        <f>TIME(17,56,0)</f>
        <v>0.74722222222222223</v>
      </c>
      <c r="C4447" t="str">
        <f>'Inventory as of 12th Aug 2024'!A230</f>
        <v>Fresh Blue</v>
      </c>
      <c r="D4447">
        <v>1</v>
      </c>
      <c r="E4447" s="5">
        <f>Table4[[#This Row],[qty]]*(VLOOKUP(Table4[[#This Row],[item_sold]],Table1[],5,FALSE))</f>
        <v>10</v>
      </c>
      <c r="F4447" s="5">
        <f>(VLOOKUP(Table4[[#This Row],[item_sold]],Table1[],4,FALSE))*Table4[[#This Row],[qty]]</f>
        <v>5</v>
      </c>
      <c r="G4447">
        <f t="shared" si="577"/>
        <v>5</v>
      </c>
      <c r="H4447" t="s">
        <v>247</v>
      </c>
    </row>
    <row r="4448" spans="1:9" x14ac:dyDescent="0.25">
      <c r="A4448" s="1">
        <f t="shared" si="563"/>
        <v>45555</v>
      </c>
      <c r="B4448" s="31">
        <f>TIME(17,56,0)</f>
        <v>0.74722222222222223</v>
      </c>
      <c r="C4448" t="str">
        <f>'Inventory as of 12th Aug 2024'!A234</f>
        <v>Bigdaddy</v>
      </c>
      <c r="D4448">
        <v>4</v>
      </c>
      <c r="E4448" s="5">
        <f>Table4[[#This Row],[qty]]*(VLOOKUP(Table4[[#This Row],[item_sold]],Table1[],5,FALSE))</f>
        <v>40</v>
      </c>
      <c r="F4448" s="5">
        <f>(VLOOKUP(Table4[[#This Row],[item_sold]],Table1[],4,FALSE))*Table4[[#This Row],[qty]]</f>
        <v>24</v>
      </c>
      <c r="G4448">
        <f t="shared" si="577"/>
        <v>16</v>
      </c>
      <c r="H4448" t="s">
        <v>247</v>
      </c>
    </row>
    <row r="4449" spans="1:12" x14ac:dyDescent="0.25">
      <c r="A4449" s="1">
        <f t="shared" si="563"/>
        <v>45555</v>
      </c>
      <c r="B4449" s="31">
        <f>TIME(18,17,0)</f>
        <v>0.76180555555555562</v>
      </c>
      <c r="C4449" t="str">
        <f>'Inventory as of 12th Aug 2024'!A211</f>
        <v>predator</v>
      </c>
      <c r="D4449">
        <v>1</v>
      </c>
      <c r="E4449" s="5">
        <f>Table4[[#This Row],[qty]]*(VLOOKUP(Table4[[#This Row],[item_sold]],Table1[],5,FALSE))</f>
        <v>70</v>
      </c>
      <c r="F4449" s="5">
        <f>(VLOOKUP(Table4[[#This Row],[item_sold]],Table1[],4,FALSE))*Table4[[#This Row],[qty]]</f>
        <v>54.166666666666664</v>
      </c>
      <c r="G4449">
        <f t="shared" si="577"/>
        <v>15.833333333333336</v>
      </c>
      <c r="H4449" t="s">
        <v>247</v>
      </c>
      <c r="I4449" t="s">
        <v>401</v>
      </c>
    </row>
    <row r="4450" spans="1:12" x14ac:dyDescent="0.25">
      <c r="A4450" s="1">
        <f t="shared" si="563"/>
        <v>45555</v>
      </c>
      <c r="B4450" s="31">
        <f t="shared" ref="B4450" si="580">TIME(18,17,0)</f>
        <v>0.76180555555555562</v>
      </c>
      <c r="C4450" t="str">
        <f>'Inventory as of 12th Aug 2024'!A47</f>
        <v>Pembe 2kg</v>
      </c>
      <c r="D4450">
        <v>1</v>
      </c>
      <c r="E4450" s="5">
        <f>Table4[[#This Row],[qty]]*(VLOOKUP(Table4[[#This Row],[item_sold]],Table1[],5,FALSE))</f>
        <v>160</v>
      </c>
      <c r="F4450" s="5">
        <f>(VLOOKUP(Table4[[#This Row],[item_sold]],Table1[],4,FALSE))*Table4[[#This Row],[qty]]</f>
        <v>123.33333333333333</v>
      </c>
      <c r="G4450">
        <f t="shared" si="577"/>
        <v>36.666666666666671</v>
      </c>
      <c r="H4450" t="s">
        <v>430</v>
      </c>
      <c r="I4450" t="s">
        <v>401</v>
      </c>
      <c r="J4450" t="s">
        <v>401</v>
      </c>
      <c r="K4450">
        <v>50</v>
      </c>
      <c r="L4450" t="s">
        <v>247</v>
      </c>
    </row>
    <row r="4451" spans="1:12" x14ac:dyDescent="0.25">
      <c r="A4451" s="1">
        <f t="shared" si="563"/>
        <v>45555</v>
      </c>
      <c r="B4451" s="31">
        <f>TIME(18,24,0)</f>
        <v>0.76666666666666661</v>
      </c>
      <c r="C4451" t="str">
        <f>'Inventory as of 12th Aug 2024'!A58</f>
        <v>Safari</v>
      </c>
      <c r="D4451">
        <v>1</v>
      </c>
      <c r="E4451" s="5">
        <f>Table4[[#This Row],[qty]]*(VLOOKUP(Table4[[#This Row],[item_sold]],Table1[],5,FALSE))</f>
        <v>15</v>
      </c>
      <c r="F4451" s="5">
        <f>(VLOOKUP(Table4[[#This Row],[item_sold]],Table1[],4,FALSE))*Table4[[#This Row],[qty]]</f>
        <v>8.5</v>
      </c>
      <c r="G4451">
        <f t="shared" si="577"/>
        <v>6.5</v>
      </c>
      <c r="H4451" t="s">
        <v>430</v>
      </c>
      <c r="I4451" t="s">
        <v>447</v>
      </c>
    </row>
    <row r="4452" spans="1:12" x14ac:dyDescent="0.25">
      <c r="A4452" s="1">
        <f t="shared" si="563"/>
        <v>45555</v>
      </c>
      <c r="B4452" s="31">
        <f>TIME(18,54,0)</f>
        <v>0.78749999999999998</v>
      </c>
      <c r="C4452" t="str">
        <f>'Inventory as of 12th Aug 2024'!A90</f>
        <v>Onion</v>
      </c>
      <c r="D4452">
        <v>3</v>
      </c>
      <c r="E4452" s="5">
        <f>Table4[[#This Row],[qty]]*(VLOOKUP(Table4[[#This Row],[item_sold]],Table1[],5,FALSE))</f>
        <v>30</v>
      </c>
      <c r="F4452" s="5">
        <f>(VLOOKUP(Table4[[#This Row],[item_sold]],Table1[],4,FALSE))*Table4[[#This Row],[qty]]</f>
        <v>24</v>
      </c>
      <c r="G4452">
        <f t="shared" si="577"/>
        <v>6</v>
      </c>
      <c r="H4452" t="s">
        <v>430</v>
      </c>
      <c r="I4452" t="s">
        <v>456</v>
      </c>
    </row>
    <row r="4453" spans="1:12" x14ac:dyDescent="0.25">
      <c r="A4453" s="1">
        <f t="shared" si="563"/>
        <v>45555</v>
      </c>
      <c r="B4453" s="31">
        <f>TIME(19,3,0)</f>
        <v>0.79375000000000007</v>
      </c>
      <c r="C4453" t="str">
        <f>'Inventory as of 12th Aug 2024'!A211</f>
        <v>predator</v>
      </c>
      <c r="D4453">
        <v>1</v>
      </c>
      <c r="E4453" s="5">
        <f>Table4[[#This Row],[qty]]*(VLOOKUP(Table4[[#This Row],[item_sold]],Table1[],5,FALSE))</f>
        <v>70</v>
      </c>
      <c r="F4453" s="5">
        <f>(VLOOKUP(Table4[[#This Row],[item_sold]],Table1[],4,FALSE))*Table4[[#This Row],[qty]]</f>
        <v>54.166666666666664</v>
      </c>
      <c r="G4453">
        <f t="shared" si="577"/>
        <v>15.833333333333336</v>
      </c>
      <c r="H4453" t="s">
        <v>361</v>
      </c>
    </row>
    <row r="4454" spans="1:12" x14ac:dyDescent="0.25">
      <c r="A4454" s="1">
        <f t="shared" si="563"/>
        <v>45555</v>
      </c>
      <c r="B4454" s="31">
        <f t="shared" ref="B4454:B4458" si="581">TIME(19,3,0)</f>
        <v>0.79375000000000007</v>
      </c>
      <c r="C4454" t="str">
        <f>'Inventory as of 12th Aug 2024'!A213</f>
        <v>soda 500ml glass</v>
      </c>
      <c r="D4454">
        <v>1</v>
      </c>
      <c r="E4454" s="5">
        <f>Table4[[#This Row],[qty]]*(VLOOKUP(Table4[[#This Row],[item_sold]],Table1[],5,FALSE))</f>
        <v>55</v>
      </c>
      <c r="F4454" s="5">
        <f>(VLOOKUP(Table4[[#This Row],[item_sold]],Table1[],4,FALSE))*Table4[[#This Row],[qty]]</f>
        <v>50</v>
      </c>
      <c r="G4454">
        <f t="shared" si="577"/>
        <v>5</v>
      </c>
      <c r="H4454" t="s">
        <v>361</v>
      </c>
    </row>
    <row r="4455" spans="1:12" x14ac:dyDescent="0.25">
      <c r="A4455" s="1">
        <f t="shared" si="563"/>
        <v>45555</v>
      </c>
      <c r="B4455" s="31">
        <f t="shared" si="581"/>
        <v>0.79375000000000007</v>
      </c>
      <c r="C4455" t="str">
        <f>'Inventory as of 12th Aug 2024'!A139</f>
        <v>Sunny girl pad</v>
      </c>
      <c r="D4455">
        <v>1</v>
      </c>
      <c r="E4455" s="5">
        <f>Table4[[#This Row],[qty]]*(VLOOKUP(Table4[[#This Row],[item_sold]],Table1[],5,FALSE))</f>
        <v>70</v>
      </c>
      <c r="F4455" s="5">
        <f>(VLOOKUP(Table4[[#This Row],[item_sold]],Table1[],4,FALSE))*Table4[[#This Row],[qty]]</f>
        <v>56.666666666666664</v>
      </c>
      <c r="G4455">
        <f t="shared" si="577"/>
        <v>13.333333333333336</v>
      </c>
      <c r="H4455" t="s">
        <v>361</v>
      </c>
    </row>
    <row r="4456" spans="1:12" x14ac:dyDescent="0.25">
      <c r="A4456" s="1">
        <f t="shared" si="563"/>
        <v>45555</v>
      </c>
      <c r="B4456" s="31">
        <f t="shared" si="581"/>
        <v>0.79375000000000007</v>
      </c>
      <c r="C4456" t="str">
        <f>'Inventory as of 12th Aug 2024'!A86</f>
        <v>Downy sunrise fresh</v>
      </c>
      <c r="D4456">
        <v>1</v>
      </c>
      <c r="E4456" s="5">
        <f>Table4[[#This Row],[qty]]*(VLOOKUP(Table4[[#This Row],[item_sold]],Table1[],5,FALSE))</f>
        <v>20</v>
      </c>
      <c r="F4456" s="5">
        <f>(VLOOKUP(Table4[[#This Row],[item_sold]],Table1[],4,FALSE))*Table4[[#This Row],[qty]]</f>
        <v>17.333333333333332</v>
      </c>
      <c r="G4456">
        <f t="shared" si="577"/>
        <v>2.6666666666666679</v>
      </c>
      <c r="H4456" t="s">
        <v>361</v>
      </c>
    </row>
    <row r="4457" spans="1:12" x14ac:dyDescent="0.25">
      <c r="A4457" s="1">
        <f t="shared" si="563"/>
        <v>45555</v>
      </c>
      <c r="B4457" s="31">
        <f t="shared" si="581"/>
        <v>0.79375000000000007</v>
      </c>
      <c r="C4457" t="str">
        <f>'Inventory as of 12th Aug 2024'!A254</f>
        <v>Maccofee</v>
      </c>
      <c r="D4457">
        <v>1</v>
      </c>
      <c r="E4457" s="5">
        <f>Table4[[#This Row],[qty]]*(VLOOKUP(Table4[[#This Row],[item_sold]],Table1[],5,FALSE))</f>
        <v>15</v>
      </c>
      <c r="F4457" s="5">
        <f>(VLOOKUP(Table4[[#This Row],[item_sold]],Table1[],4,FALSE))*Table4[[#This Row],[qty]]</f>
        <v>9.3333333333333339</v>
      </c>
      <c r="G4457">
        <f t="shared" si="577"/>
        <v>5.6666666666666661</v>
      </c>
      <c r="H4457" t="s">
        <v>361</v>
      </c>
    </row>
    <row r="4458" spans="1:12" x14ac:dyDescent="0.25">
      <c r="A4458" s="1">
        <f t="shared" si="563"/>
        <v>45555</v>
      </c>
      <c r="B4458" s="31">
        <f t="shared" si="581"/>
        <v>0.79375000000000007</v>
      </c>
      <c r="C4458" t="str">
        <f>'Inventory as of 12th Aug 2024'!A136</f>
        <v>Poa Pekee Tissue</v>
      </c>
      <c r="D4458">
        <v>1</v>
      </c>
      <c r="E4458" s="5">
        <f>Table4[[#This Row],[qty]]*(VLOOKUP(Table4[[#This Row],[item_sold]],Table1[],5,FALSE))</f>
        <v>30</v>
      </c>
      <c r="F4458" s="5">
        <f>(VLOOKUP(Table4[[#This Row],[item_sold]],Table1[],4,FALSE))*Table4[[#This Row],[qty]]</f>
        <v>13.333333333333334</v>
      </c>
      <c r="G4458">
        <f t="shared" si="577"/>
        <v>16.666666666666664</v>
      </c>
      <c r="H4458" t="s">
        <v>361</v>
      </c>
    </row>
    <row r="4459" spans="1:12" x14ac:dyDescent="0.25">
      <c r="A4459" s="1">
        <f t="shared" si="563"/>
        <v>45555</v>
      </c>
      <c r="B4459" s="31">
        <f>TIME(19,15,0)</f>
        <v>0.80208333333333337</v>
      </c>
      <c r="C4459" t="str">
        <f>'Inventory as of 12th Aug 2024'!A46</f>
        <v>Tukuza 1kg</v>
      </c>
      <c r="D4459">
        <v>1</v>
      </c>
      <c r="E4459" s="5">
        <f>Table4[[#This Row],[qty]]*(VLOOKUP(Table4[[#This Row],[item_sold]],Table1[],5,FALSE))</f>
        <v>90</v>
      </c>
      <c r="F4459" s="5">
        <f>(VLOOKUP(Table4[[#This Row],[item_sold]],Table1[],4,FALSE))*Table4[[#This Row],[qty]]</f>
        <v>61.25</v>
      </c>
      <c r="G4459">
        <f t="shared" si="577"/>
        <v>28.75</v>
      </c>
      <c r="H4459" t="s">
        <v>247</v>
      </c>
    </row>
    <row r="4460" spans="1:12" x14ac:dyDescent="0.25">
      <c r="A4460" s="1">
        <f t="shared" si="563"/>
        <v>45555</v>
      </c>
      <c r="B4460" s="31">
        <f t="shared" ref="B4460:B4462" si="582">TIME(19,15,0)</f>
        <v>0.80208333333333337</v>
      </c>
      <c r="C4460" t="str">
        <f>'Inventory as of 12th Aug 2024'!A91</f>
        <v>Tomatoes</v>
      </c>
      <c r="D4460">
        <v>2</v>
      </c>
      <c r="E4460" s="5">
        <f>Table4[[#This Row],[qty]]*(VLOOKUP(Table4[[#This Row],[item_sold]],Table1[],5,FALSE))</f>
        <v>20</v>
      </c>
      <c r="F4460" s="5">
        <f>(VLOOKUP(Table4[[#This Row],[item_sold]],Table1[],4,FALSE))*Table4[[#This Row],[qty]]</f>
        <v>10</v>
      </c>
      <c r="G4460">
        <f t="shared" si="577"/>
        <v>10</v>
      </c>
      <c r="H4460" t="s">
        <v>247</v>
      </c>
    </row>
    <row r="4461" spans="1:12" x14ac:dyDescent="0.25">
      <c r="A4461" s="1">
        <f t="shared" si="563"/>
        <v>45555</v>
      </c>
      <c r="B4461" s="31">
        <f t="shared" si="582"/>
        <v>0.80208333333333337</v>
      </c>
      <c r="C4461" t="str">
        <f>'Inventory as of 12th Aug 2024'!A90</f>
        <v>Onion</v>
      </c>
      <c r="D4461">
        <v>1</v>
      </c>
      <c r="E4461" s="5">
        <f>Table4[[#This Row],[qty]]*(VLOOKUP(Table4[[#This Row],[item_sold]],Table1[],5,FALSE))</f>
        <v>10</v>
      </c>
      <c r="F4461" s="5">
        <f>(VLOOKUP(Table4[[#This Row],[item_sold]],Table1[],4,FALSE))*Table4[[#This Row],[qty]]</f>
        <v>8</v>
      </c>
      <c r="G4461">
        <f t="shared" si="577"/>
        <v>2</v>
      </c>
      <c r="H4461" t="s">
        <v>247</v>
      </c>
    </row>
    <row r="4462" spans="1:12" x14ac:dyDescent="0.25">
      <c r="A4462" s="1">
        <f t="shared" si="563"/>
        <v>45555</v>
      </c>
      <c r="B4462" s="31">
        <f t="shared" si="582"/>
        <v>0.80208333333333337</v>
      </c>
      <c r="C4462" t="str">
        <f>'Inventory as of 12th Aug 2024'!A58</f>
        <v>Safari</v>
      </c>
      <c r="D4462">
        <v>2</v>
      </c>
      <c r="E4462" s="5">
        <f>Table4[[#This Row],[qty]]*(VLOOKUP(Table4[[#This Row],[item_sold]],Table1[],5,FALSE))</f>
        <v>30</v>
      </c>
      <c r="F4462" s="5">
        <f>(VLOOKUP(Table4[[#This Row],[item_sold]],Table1[],4,FALSE))*Table4[[#This Row],[qty]]</f>
        <v>17</v>
      </c>
      <c r="G4462">
        <f t="shared" si="577"/>
        <v>13</v>
      </c>
      <c r="H4462" t="s">
        <v>247</v>
      </c>
    </row>
    <row r="4463" spans="1:12" x14ac:dyDescent="0.25">
      <c r="A4463" s="1">
        <f t="shared" ref="A4463:A4477" si="583">DATE(2024,9,20)</f>
        <v>45555</v>
      </c>
      <c r="B4463" s="31">
        <f>TIME(19,24,0)</f>
        <v>0.80833333333333324</v>
      </c>
      <c r="C4463" t="str">
        <f>'Inventory as of 12th Aug 2024'!A79</f>
        <v xml:space="preserve">Whitewash </v>
      </c>
      <c r="D4463">
        <v>1</v>
      </c>
      <c r="E4463" s="5">
        <f>Table4[[#This Row],[qty]]*(VLOOKUP(Table4[[#This Row],[item_sold]],Table1[],5,FALSE))</f>
        <v>50</v>
      </c>
      <c r="F4463" s="5">
        <f>(VLOOKUP(Table4[[#This Row],[item_sold]],Table1[],4,FALSE))*Table4[[#This Row],[qty]]</f>
        <v>33.75</v>
      </c>
      <c r="G4463">
        <f t="shared" si="577"/>
        <v>16.25</v>
      </c>
      <c r="H4463" t="s">
        <v>361</v>
      </c>
    </row>
    <row r="4464" spans="1:12" x14ac:dyDescent="0.25">
      <c r="A4464" s="1">
        <f t="shared" si="583"/>
        <v>45555</v>
      </c>
      <c r="B4464" s="31">
        <f t="shared" ref="B4464:B4467" si="584">TIME(19,24,0)</f>
        <v>0.80833333333333324</v>
      </c>
      <c r="C4464" t="str">
        <f>'Inventory as of 12th Aug 2024'!A8</f>
        <v>eggs</v>
      </c>
      <c r="D4464">
        <v>5</v>
      </c>
      <c r="E4464" s="5">
        <f>Table4[[#This Row],[qty]]*(VLOOKUP(Table4[[#This Row],[item_sold]],Table1[],5,FALSE))</f>
        <v>100</v>
      </c>
      <c r="F4464" s="5">
        <f>(VLOOKUP(Table4[[#This Row],[item_sold]],Table1[],4,FALSE))*Table4[[#This Row],[qty]]</f>
        <v>71.666666666666671</v>
      </c>
      <c r="G4464">
        <f t="shared" si="577"/>
        <v>28.333333333333329</v>
      </c>
      <c r="H4464" t="s">
        <v>361</v>
      </c>
    </row>
    <row r="4465" spans="1:12" x14ac:dyDescent="0.25">
      <c r="A4465" s="1">
        <f t="shared" si="583"/>
        <v>45555</v>
      </c>
      <c r="B4465" s="31">
        <f t="shared" si="584"/>
        <v>0.80833333333333324</v>
      </c>
      <c r="C4465" t="str">
        <f>'Inventory as of 12th Aug 2024'!A91</f>
        <v>Tomatoes</v>
      </c>
      <c r="D4465">
        <v>2</v>
      </c>
      <c r="E4465" s="5">
        <f>Table4[[#This Row],[qty]]*(VLOOKUP(Table4[[#This Row],[item_sold]],Table1[],5,FALSE))</f>
        <v>20</v>
      </c>
      <c r="F4465" s="5">
        <f>(VLOOKUP(Table4[[#This Row],[item_sold]],Table1[],4,FALSE))*Table4[[#This Row],[qty]]</f>
        <v>10</v>
      </c>
      <c r="G4465">
        <f t="shared" si="577"/>
        <v>10</v>
      </c>
      <c r="H4465" t="s">
        <v>361</v>
      </c>
    </row>
    <row r="4466" spans="1:12" x14ac:dyDescent="0.25">
      <c r="A4466" s="1">
        <f t="shared" si="583"/>
        <v>45555</v>
      </c>
      <c r="B4466" s="31">
        <f t="shared" si="584"/>
        <v>0.80833333333333324</v>
      </c>
      <c r="C4466" t="str">
        <f>'Inventory as of 12th Aug 2024'!A92</f>
        <v>Banana</v>
      </c>
      <c r="D4466">
        <v>2</v>
      </c>
      <c r="E4466" s="5">
        <f>Table4[[#This Row],[qty]]*(VLOOKUP(Table4[[#This Row],[item_sold]],Table1[],5,FALSE))</f>
        <v>20</v>
      </c>
      <c r="F4466" s="5">
        <f>(VLOOKUP(Table4[[#This Row],[item_sold]],Table1[],4,FALSE))*Table4[[#This Row],[qty]]</f>
        <v>16.666666666666668</v>
      </c>
      <c r="G4466">
        <f t="shared" si="577"/>
        <v>3.3333333333333321</v>
      </c>
      <c r="H4466" t="s">
        <v>361</v>
      </c>
    </row>
    <row r="4467" spans="1:12" x14ac:dyDescent="0.25">
      <c r="A4467" s="1">
        <f t="shared" si="583"/>
        <v>45555</v>
      </c>
      <c r="B4467" s="31">
        <f t="shared" si="584"/>
        <v>0.80833333333333324</v>
      </c>
      <c r="C4467" t="str">
        <f>'Inventory as of 12th Aug 2024'!A18</f>
        <v>Crown Gold Milk 500ml</v>
      </c>
      <c r="D4467">
        <v>1</v>
      </c>
      <c r="E4467" s="5">
        <f>Table4[[#This Row],[qty]]*(VLOOKUP(Table4[[#This Row],[item_sold]],Table1[],5,FALSE))</f>
        <v>65</v>
      </c>
      <c r="F4467" s="5">
        <f>(VLOOKUP(Table4[[#This Row],[item_sold]],Table1[],4,FALSE))*Table4[[#This Row],[qty]]</f>
        <v>54.166666666666664</v>
      </c>
      <c r="G4467">
        <f t="shared" si="577"/>
        <v>10.833333333333336</v>
      </c>
      <c r="H4467" t="s">
        <v>361</v>
      </c>
    </row>
    <row r="4468" spans="1:12" x14ac:dyDescent="0.25">
      <c r="A4468" s="1">
        <f t="shared" si="583"/>
        <v>45555</v>
      </c>
      <c r="B4468" s="31">
        <f>TIME(19,30,0)</f>
        <v>0.8125</v>
      </c>
      <c r="C4468" t="str">
        <f>'Inventory as of 12th Aug 2024'!A57</f>
        <v>Sportsman</v>
      </c>
      <c r="D4468">
        <v>4</v>
      </c>
      <c r="E4468" s="5">
        <f>Table4[[#This Row],[qty]]*(VLOOKUP(Table4[[#This Row],[item_sold]],Table1[],5,FALSE))</f>
        <v>80</v>
      </c>
      <c r="F4468" s="5">
        <f>(VLOOKUP(Table4[[#This Row],[item_sold]],Table1[],4,FALSE))*Table4[[#This Row],[qty]]</f>
        <v>52</v>
      </c>
      <c r="G4468">
        <f t="shared" si="577"/>
        <v>28</v>
      </c>
      <c r="H4468" t="s">
        <v>361</v>
      </c>
    </row>
    <row r="4469" spans="1:12" x14ac:dyDescent="0.25">
      <c r="A4469" s="1">
        <f t="shared" si="583"/>
        <v>45555</v>
      </c>
      <c r="B4469" s="31">
        <f t="shared" ref="B4469" si="585">TIME(19,30,0)</f>
        <v>0.8125</v>
      </c>
      <c r="C4469" t="str">
        <f>'Inventory as of 12th Aug 2024'!A58</f>
        <v>Safari</v>
      </c>
      <c r="D4469">
        <v>1</v>
      </c>
      <c r="E4469" s="5">
        <f>Table4[[#This Row],[qty]]*(VLOOKUP(Table4[[#This Row],[item_sold]],Table1[],5,FALSE))</f>
        <v>15</v>
      </c>
      <c r="F4469" s="5">
        <f>(VLOOKUP(Table4[[#This Row],[item_sold]],Table1[],4,FALSE))*Table4[[#This Row],[qty]]</f>
        <v>8.5</v>
      </c>
      <c r="G4469">
        <f t="shared" si="577"/>
        <v>6.5</v>
      </c>
      <c r="H4469" t="s">
        <v>361</v>
      </c>
    </row>
    <row r="4470" spans="1:12" x14ac:dyDescent="0.25">
      <c r="A4470" s="1">
        <f t="shared" si="583"/>
        <v>45555</v>
      </c>
      <c r="B4470" s="31">
        <f>TIME(20,13,0)</f>
        <v>0.84236111111111101</v>
      </c>
      <c r="C4470" t="str">
        <f>'Inventory as of 12th Aug 2024'!A35</f>
        <v>Festive 600g</v>
      </c>
      <c r="D4470">
        <v>1</v>
      </c>
      <c r="E4470" s="5">
        <f>Table4[[#This Row],[qty]]*(VLOOKUP(Table4[[#This Row],[item_sold]],Table1[],5,FALSE))</f>
        <v>100</v>
      </c>
      <c r="F4470" s="5">
        <f>(VLOOKUP(Table4[[#This Row],[item_sold]],Table1[],4,FALSE))*Table4[[#This Row],[qty]]</f>
        <v>90</v>
      </c>
      <c r="G4470">
        <f t="shared" si="577"/>
        <v>10</v>
      </c>
      <c r="H4470" t="s">
        <v>361</v>
      </c>
    </row>
    <row r="4471" spans="1:12" x14ac:dyDescent="0.25">
      <c r="A4471" s="1">
        <f t="shared" si="583"/>
        <v>45555</v>
      </c>
      <c r="B4471" s="31">
        <f t="shared" ref="B4471:B4473" si="586">TIME(20,13,0)</f>
        <v>0.84236111111111101</v>
      </c>
      <c r="C4471" t="str">
        <f>'Inventory as of 12th Aug 2024'!A135</f>
        <v>Bella Tissue</v>
      </c>
      <c r="D4471">
        <v>1</v>
      </c>
      <c r="E4471" s="5">
        <f>Table4[[#This Row],[qty]]*(VLOOKUP(Table4[[#This Row],[item_sold]],Table1[],5,FALSE))</f>
        <v>50</v>
      </c>
      <c r="F4471" s="5">
        <f>(VLOOKUP(Table4[[#This Row],[item_sold]],Table1[],4,FALSE))*Table4[[#This Row],[qty]]</f>
        <v>35</v>
      </c>
      <c r="G4471">
        <f t="shared" si="577"/>
        <v>15</v>
      </c>
      <c r="H4471" t="s">
        <v>361</v>
      </c>
    </row>
    <row r="4472" spans="1:12" x14ac:dyDescent="0.25">
      <c r="A4472" s="1">
        <f t="shared" si="583"/>
        <v>45555</v>
      </c>
      <c r="B4472" s="31">
        <f t="shared" si="586"/>
        <v>0.84236111111111101</v>
      </c>
      <c r="C4472" t="str">
        <f>'Inventory as of 12th Aug 2024'!A120</f>
        <v>Maramoja</v>
      </c>
      <c r="D4472">
        <v>1</v>
      </c>
      <c r="E4472" s="5">
        <f>Table4[[#This Row],[qty]]*(VLOOKUP(Table4[[#This Row],[item_sold]],Table1[],5,FALSE))</f>
        <v>10</v>
      </c>
      <c r="F4472" s="5">
        <f>(VLOOKUP(Table4[[#This Row],[item_sold]],Table1[],4,FALSE))*Table4[[#This Row],[qty]]</f>
        <v>7</v>
      </c>
      <c r="G4472">
        <f t="shared" si="577"/>
        <v>3</v>
      </c>
      <c r="H4472" t="s">
        <v>361</v>
      </c>
    </row>
    <row r="4473" spans="1:12" x14ac:dyDescent="0.25">
      <c r="A4473" s="1">
        <f t="shared" si="583"/>
        <v>45555</v>
      </c>
      <c r="B4473" s="31">
        <f t="shared" si="586"/>
        <v>0.84236111111111101</v>
      </c>
      <c r="C4473" t="str">
        <f>'Inventory as of 12th Aug 2024'!A245</f>
        <v>1.5ltrs water</v>
      </c>
      <c r="D4473">
        <v>1</v>
      </c>
      <c r="E4473" s="5">
        <f>Table4[[#This Row],[qty]]*(VLOOKUP(Table4[[#This Row],[item_sold]],Table1[],5,FALSE))</f>
        <v>70</v>
      </c>
      <c r="F4473" s="5">
        <f>(VLOOKUP(Table4[[#This Row],[item_sold]],Table1[],4,FALSE))*Table4[[#This Row],[qty]]</f>
        <v>25</v>
      </c>
      <c r="G4473">
        <f t="shared" si="577"/>
        <v>45</v>
      </c>
      <c r="H4473" t="s">
        <v>361</v>
      </c>
    </row>
    <row r="4474" spans="1:12" x14ac:dyDescent="0.25">
      <c r="A4474" s="1">
        <f t="shared" si="583"/>
        <v>45555</v>
      </c>
      <c r="B4474" s="31">
        <f>TIME(20,35,0)</f>
        <v>0.85763888888888884</v>
      </c>
      <c r="C4474" t="str">
        <f>'Inventory as of 12th Aug 2024'!A8</f>
        <v>eggs</v>
      </c>
      <c r="D4474">
        <v>5</v>
      </c>
      <c r="E4474" s="5">
        <f>Table4[[#This Row],[qty]]*(VLOOKUP(Table4[[#This Row],[item_sold]],Table1[],5,FALSE))</f>
        <v>100</v>
      </c>
      <c r="F4474" s="5">
        <f>(VLOOKUP(Table4[[#This Row],[item_sold]],Table1[],4,FALSE))*Table4[[#This Row],[qty]]</f>
        <v>71.666666666666671</v>
      </c>
      <c r="G4474">
        <f t="shared" si="577"/>
        <v>28.333333333333329</v>
      </c>
      <c r="H4474" t="s">
        <v>247</v>
      </c>
    </row>
    <row r="4475" spans="1:12" x14ac:dyDescent="0.25">
      <c r="A4475" s="1">
        <f t="shared" si="583"/>
        <v>45555</v>
      </c>
      <c r="B4475" s="31">
        <f t="shared" ref="B4475:B4477" si="587">TIME(20,35,0)</f>
        <v>0.85763888888888884</v>
      </c>
      <c r="C4475" t="str">
        <f>'Inventory as of 12th Aug 2024'!A33</f>
        <v>BB Bread 400g</v>
      </c>
      <c r="D4475">
        <v>1</v>
      </c>
      <c r="E4475" s="5">
        <f>Table4[[#This Row],[qty]]*(VLOOKUP(Table4[[#This Row],[item_sold]],Table1[],5,FALSE))</f>
        <v>65</v>
      </c>
      <c r="F4475" s="5">
        <f>(VLOOKUP(Table4[[#This Row],[item_sold]],Table1[],4,FALSE))*Table4[[#This Row],[qty]]</f>
        <v>60</v>
      </c>
      <c r="G4475">
        <f t="shared" si="577"/>
        <v>5</v>
      </c>
      <c r="H4475" t="s">
        <v>247</v>
      </c>
    </row>
    <row r="4476" spans="1:12" x14ac:dyDescent="0.25">
      <c r="A4476" s="1">
        <f t="shared" si="583"/>
        <v>45555</v>
      </c>
      <c r="B4476" s="31">
        <f t="shared" si="587"/>
        <v>0.85763888888888884</v>
      </c>
      <c r="C4476" t="str">
        <f>'Inventory as of 12th Aug 2024'!A16</f>
        <v>Mt kenya milk 500ml</v>
      </c>
      <c r="D4476">
        <v>2</v>
      </c>
      <c r="E4476" s="5">
        <f>Table4[[#This Row],[qty]]*(VLOOKUP(Table4[[#This Row],[item_sold]],Table1[],5,FALSE))</f>
        <v>130</v>
      </c>
      <c r="F4476" s="5">
        <f>(VLOOKUP(Table4[[#This Row],[item_sold]],Table1[],4,FALSE))*Table4[[#This Row],[qty]]</f>
        <v>96.666666666666671</v>
      </c>
      <c r="G4476">
        <f t="shared" si="577"/>
        <v>33.333333333333329</v>
      </c>
      <c r="H4476" t="s">
        <v>247</v>
      </c>
    </row>
    <row r="4477" spans="1:12" x14ac:dyDescent="0.25">
      <c r="A4477" s="1">
        <f t="shared" si="583"/>
        <v>45555</v>
      </c>
      <c r="B4477" s="31">
        <f t="shared" si="587"/>
        <v>0.85763888888888884</v>
      </c>
      <c r="C4477" t="str">
        <f>'Inventory as of 12th Aug 2024'!A57</f>
        <v>Sportsman</v>
      </c>
      <c r="D4477">
        <v>1</v>
      </c>
      <c r="E4477" s="5">
        <f>Table4[[#This Row],[qty]]*(VLOOKUP(Table4[[#This Row],[item_sold]],Table1[],5,FALSE))</f>
        <v>20</v>
      </c>
      <c r="F4477" s="5">
        <f>(VLOOKUP(Table4[[#This Row],[item_sold]],Table1[],4,FALSE))*Table4[[#This Row],[qty]]</f>
        <v>13</v>
      </c>
      <c r="G4477">
        <f t="shared" si="577"/>
        <v>7</v>
      </c>
      <c r="H4477" t="s">
        <v>247</v>
      </c>
      <c r="J4477" t="s">
        <v>451</v>
      </c>
      <c r="K4477">
        <v>705</v>
      </c>
      <c r="L4477" t="s">
        <v>247</v>
      </c>
    </row>
    <row r="4478" spans="1:12" x14ac:dyDescent="0.25">
      <c r="A4478" s="1">
        <f>DATE(2024,9,21)</f>
        <v>45556</v>
      </c>
      <c r="B4478" s="31">
        <f>TIME(7,31,0)</f>
        <v>0.31319444444444444</v>
      </c>
      <c r="C4478" t="str">
        <f>'Inventory as of 12th Aug 2024'!A33</f>
        <v>BB Bread 400g</v>
      </c>
      <c r="D4478">
        <v>1</v>
      </c>
      <c r="E4478" s="5">
        <f>Table4[[#This Row],[qty]]*(VLOOKUP(Table4[[#This Row],[item_sold]],Table1[],5,FALSE))</f>
        <v>65</v>
      </c>
      <c r="F4478" s="5">
        <f>(VLOOKUP(Table4[[#This Row],[item_sold]],Table1[],4,FALSE))*Table4[[#This Row],[qty]]</f>
        <v>60</v>
      </c>
      <c r="G4478">
        <f t="shared" si="577"/>
        <v>5</v>
      </c>
      <c r="H4478" t="s">
        <v>247</v>
      </c>
    </row>
    <row r="4479" spans="1:12" x14ac:dyDescent="0.25">
      <c r="A4479" s="1">
        <f t="shared" ref="A4479:A4539" si="588">DATE(2024,9,21)</f>
        <v>45556</v>
      </c>
      <c r="B4479" s="31">
        <f t="shared" ref="B4479:B4480" si="589">TIME(7,31,0)</f>
        <v>0.31319444444444444</v>
      </c>
      <c r="C4479" t="str">
        <f>'Inventory as of 12th Aug 2024'!A16</f>
        <v>Mt kenya milk 500ml</v>
      </c>
      <c r="D4479">
        <v>1</v>
      </c>
      <c r="E4479" s="5">
        <f>Table4[[#This Row],[qty]]*(VLOOKUP(Table4[[#This Row],[item_sold]],Table1[],5,FALSE))</f>
        <v>65</v>
      </c>
      <c r="F4479" s="5">
        <f>(VLOOKUP(Table4[[#This Row],[item_sold]],Table1[],4,FALSE))*Table4[[#This Row],[qty]]</f>
        <v>48.333333333333336</v>
      </c>
      <c r="G4479">
        <f t="shared" si="577"/>
        <v>16.666666666666664</v>
      </c>
      <c r="H4479" t="s">
        <v>247</v>
      </c>
    </row>
    <row r="4480" spans="1:12" x14ac:dyDescent="0.25">
      <c r="A4480" s="1">
        <f t="shared" si="588"/>
        <v>45556</v>
      </c>
      <c r="B4480" s="31">
        <f t="shared" si="589"/>
        <v>0.31319444444444444</v>
      </c>
      <c r="C4480" t="str">
        <f>'Inventory as of 12th Aug 2024'!A84</f>
        <v>omo 20g</v>
      </c>
      <c r="D4480">
        <v>1</v>
      </c>
      <c r="E4480" s="5">
        <f>Table4[[#This Row],[qty]]*(VLOOKUP(Table4[[#This Row],[item_sold]],Table1[],5,FALSE))</f>
        <v>15</v>
      </c>
      <c r="F4480" s="5">
        <f>(VLOOKUP(Table4[[#This Row],[item_sold]],Table1[],4,FALSE))*Table4[[#This Row],[qty]]</f>
        <v>9.1666666666666661</v>
      </c>
      <c r="G4480">
        <f t="shared" si="577"/>
        <v>5.8333333333333339</v>
      </c>
      <c r="H4480" t="s">
        <v>247</v>
      </c>
    </row>
    <row r="4481" spans="1:12" x14ac:dyDescent="0.25">
      <c r="A4481" s="1">
        <f t="shared" si="588"/>
        <v>45556</v>
      </c>
      <c r="B4481" s="31">
        <f>TIME(7,38,0)</f>
        <v>0.31805555555555554</v>
      </c>
      <c r="C4481" t="str">
        <f>'Inventory as of 12th Aug 2024'!A16</f>
        <v>Mt kenya milk 500ml</v>
      </c>
      <c r="D4481">
        <v>1</v>
      </c>
      <c r="E4481" s="5">
        <f>Table4[[#This Row],[qty]]*(VLOOKUP(Table4[[#This Row],[item_sold]],Table1[],5,FALSE))</f>
        <v>65</v>
      </c>
      <c r="F4481" s="5">
        <f>(VLOOKUP(Table4[[#This Row],[item_sold]],Table1[],4,FALSE))*Table4[[#This Row],[qty]]</f>
        <v>48.333333333333336</v>
      </c>
      <c r="G4481">
        <f t="shared" si="577"/>
        <v>16.666666666666664</v>
      </c>
      <c r="H4481" t="s">
        <v>361</v>
      </c>
      <c r="J4481" t="s">
        <v>427</v>
      </c>
      <c r="K4481">
        <v>160</v>
      </c>
      <c r="L4481" t="s">
        <v>361</v>
      </c>
    </row>
    <row r="4482" spans="1:12" x14ac:dyDescent="0.25">
      <c r="A4482" s="1">
        <f t="shared" si="588"/>
        <v>45556</v>
      </c>
      <c r="B4482" s="31">
        <f t="shared" ref="B4482" si="590">TIME(7,38,0)</f>
        <v>0.31805555555555554</v>
      </c>
      <c r="C4482" t="str">
        <f>'Inventory as of 12th Aug 2024'!A33</f>
        <v>BB Bread 400g</v>
      </c>
      <c r="D4482">
        <v>1</v>
      </c>
      <c r="E4482" s="5">
        <f>Table4[[#This Row],[qty]]*(VLOOKUP(Table4[[#This Row],[item_sold]],Table1[],5,FALSE))</f>
        <v>65</v>
      </c>
      <c r="F4482" s="5">
        <f>(VLOOKUP(Table4[[#This Row],[item_sold]],Table1[],4,FALSE))*Table4[[#This Row],[qty]]</f>
        <v>60</v>
      </c>
      <c r="G4482">
        <f t="shared" si="577"/>
        <v>5</v>
      </c>
      <c r="H4482" t="s">
        <v>430</v>
      </c>
      <c r="I4482" t="s">
        <v>456</v>
      </c>
    </row>
    <row r="4483" spans="1:12" x14ac:dyDescent="0.25">
      <c r="A4483" s="1">
        <f t="shared" si="588"/>
        <v>45556</v>
      </c>
      <c r="B4483" s="31">
        <f>TIME(7,54,0)</f>
        <v>0.32916666666666666</v>
      </c>
      <c r="C4483" t="str">
        <f>'Inventory as of 12th Aug 2024'!A57</f>
        <v>Sportsman</v>
      </c>
      <c r="D4483">
        <v>1</v>
      </c>
      <c r="E4483" s="5">
        <f>Table4[[#This Row],[qty]]*(VLOOKUP(Table4[[#This Row],[item_sold]],Table1[],5,FALSE))</f>
        <v>20</v>
      </c>
      <c r="F4483" s="5">
        <f>(VLOOKUP(Table4[[#This Row],[item_sold]],Table1[],4,FALSE))*Table4[[#This Row],[qty]]</f>
        <v>13</v>
      </c>
      <c r="G4483">
        <f t="shared" si="577"/>
        <v>7</v>
      </c>
      <c r="H4483" t="s">
        <v>430</v>
      </c>
      <c r="I4483" t="s">
        <v>447</v>
      </c>
    </row>
    <row r="4484" spans="1:12" x14ac:dyDescent="0.25">
      <c r="A4484" s="1">
        <f t="shared" si="588"/>
        <v>45556</v>
      </c>
      <c r="B4484" s="31">
        <f>TIME(8,1,0)</f>
        <v>0.33402777777777781</v>
      </c>
      <c r="C4484" t="str">
        <f>'Inventory as of 12th Aug 2024'!A163</f>
        <v>Kioo+comb</v>
      </c>
      <c r="D4484">
        <v>1</v>
      </c>
      <c r="E4484" s="5">
        <f>Table4[[#This Row],[qty]]*(VLOOKUP(Table4[[#This Row],[item_sold]],Table1[],5,FALSE))</f>
        <v>50</v>
      </c>
      <c r="F4484" s="5">
        <f>(VLOOKUP(Table4[[#This Row],[item_sold]],Table1[],4,FALSE))*Table4[[#This Row],[qty]]</f>
        <v>40</v>
      </c>
      <c r="G4484">
        <f t="shared" si="577"/>
        <v>10</v>
      </c>
      <c r="H4484" t="s">
        <v>361</v>
      </c>
    </row>
    <row r="4485" spans="1:12" x14ac:dyDescent="0.25">
      <c r="A4485" s="1">
        <f t="shared" si="588"/>
        <v>45556</v>
      </c>
      <c r="B4485" s="31">
        <f t="shared" ref="B4485" si="591">TIME(8,1,0)</f>
        <v>0.33402777777777781</v>
      </c>
      <c r="C4485" t="str">
        <f>'Inventory as of 12th Aug 2024'!A57</f>
        <v>Sportsman</v>
      </c>
      <c r="D4485">
        <v>1</v>
      </c>
      <c r="E4485" s="5">
        <f>Table4[[#This Row],[qty]]*(VLOOKUP(Table4[[#This Row],[item_sold]],Table1[],5,FALSE))</f>
        <v>20</v>
      </c>
      <c r="F4485" s="5">
        <f>(VLOOKUP(Table4[[#This Row],[item_sold]],Table1[],4,FALSE))*Table4[[#This Row],[qty]]</f>
        <v>13</v>
      </c>
      <c r="G4485">
        <f t="shared" si="577"/>
        <v>7</v>
      </c>
      <c r="H4485" t="s">
        <v>247</v>
      </c>
    </row>
    <row r="4486" spans="1:12" x14ac:dyDescent="0.25">
      <c r="A4486" s="1">
        <f t="shared" si="588"/>
        <v>45556</v>
      </c>
      <c r="B4486" s="31">
        <f>TIME(9,9,0)</f>
        <v>0.38125000000000003</v>
      </c>
      <c r="C4486" t="str">
        <f>'Inventory as of 12th Aug 2024'!A84</f>
        <v>omo 20g</v>
      </c>
      <c r="D4486">
        <v>1</v>
      </c>
      <c r="E4486" s="5">
        <f>Table4[[#This Row],[qty]]*(VLOOKUP(Table4[[#This Row],[item_sold]],Table1[],5,FALSE))</f>
        <v>15</v>
      </c>
      <c r="F4486" s="5">
        <f>(VLOOKUP(Table4[[#This Row],[item_sold]],Table1[],4,FALSE))*Table4[[#This Row],[qty]]</f>
        <v>9.1666666666666661</v>
      </c>
      <c r="G4486">
        <f t="shared" ref="G4486:G4549" si="592">E4486-F4486</f>
        <v>5.8333333333333339</v>
      </c>
      <c r="H4486" t="s">
        <v>247</v>
      </c>
    </row>
    <row r="4487" spans="1:12" x14ac:dyDescent="0.25">
      <c r="A4487" s="1">
        <f t="shared" si="588"/>
        <v>45556</v>
      </c>
      <c r="B4487" s="31">
        <f t="shared" ref="B4487:B4489" si="593">TIME(9,9,0)</f>
        <v>0.38125000000000003</v>
      </c>
      <c r="C4487" t="str">
        <f>'Inventory as of 12th Aug 2024'!A83</f>
        <v>omo 75g</v>
      </c>
      <c r="D4487">
        <v>1</v>
      </c>
      <c r="E4487" s="5">
        <f>Table4[[#This Row],[qty]]*(VLOOKUP(Table4[[#This Row],[item_sold]],Table1[],5,FALSE))</f>
        <v>35</v>
      </c>
      <c r="F4487" s="5">
        <f>(VLOOKUP(Table4[[#This Row],[item_sold]],Table1[],4,FALSE))*Table4[[#This Row],[qty]]</f>
        <v>27.5</v>
      </c>
      <c r="G4487">
        <f t="shared" si="592"/>
        <v>7.5</v>
      </c>
      <c r="H4487" t="s">
        <v>247</v>
      </c>
    </row>
    <row r="4488" spans="1:12" x14ac:dyDescent="0.25">
      <c r="A4488" s="1">
        <f t="shared" si="588"/>
        <v>45556</v>
      </c>
      <c r="B4488" s="31">
        <f t="shared" si="593"/>
        <v>0.38125000000000003</v>
      </c>
      <c r="C4488" t="str">
        <f>'Inventory as of 12th Aug 2024'!A57</f>
        <v>Sportsman</v>
      </c>
      <c r="D4488">
        <v>1</v>
      </c>
      <c r="E4488" s="5">
        <f>Table4[[#This Row],[qty]]*(VLOOKUP(Table4[[#This Row],[item_sold]],Table1[],5,FALSE))</f>
        <v>20</v>
      </c>
      <c r="F4488" s="5">
        <f>(VLOOKUP(Table4[[#This Row],[item_sold]],Table1[],4,FALSE))*Table4[[#This Row],[qty]]</f>
        <v>13</v>
      </c>
      <c r="G4488">
        <f t="shared" si="592"/>
        <v>7</v>
      </c>
      <c r="H4488" t="s">
        <v>247</v>
      </c>
    </row>
    <row r="4489" spans="1:12" x14ac:dyDescent="0.25">
      <c r="A4489" s="1">
        <f t="shared" si="588"/>
        <v>45556</v>
      </c>
      <c r="B4489" s="31">
        <f t="shared" si="593"/>
        <v>0.38125000000000003</v>
      </c>
      <c r="C4489" t="str">
        <f>'Inventory as of 12th Aug 2024'!A191</f>
        <v>Nuvita Bisquit</v>
      </c>
      <c r="D4489">
        <v>2</v>
      </c>
      <c r="E4489" s="5">
        <f>Table4[[#This Row],[qty]]*(VLOOKUP(Table4[[#This Row],[item_sold]],Table1[],5,FALSE))</f>
        <v>10</v>
      </c>
      <c r="F4489" s="5">
        <f>(VLOOKUP(Table4[[#This Row],[item_sold]],Table1[],4,FALSE))*Table4[[#This Row],[qty]]</f>
        <v>8.3333333333333339</v>
      </c>
      <c r="G4489">
        <f t="shared" si="592"/>
        <v>1.6666666666666661</v>
      </c>
      <c r="H4489" t="s">
        <v>247</v>
      </c>
    </row>
    <row r="4490" spans="1:12" x14ac:dyDescent="0.25">
      <c r="A4490" s="1">
        <f t="shared" si="588"/>
        <v>45556</v>
      </c>
      <c r="B4490" s="31">
        <f>TIME(9,10,0)</f>
        <v>0.38194444444444442</v>
      </c>
      <c r="C4490" t="str">
        <f>'Inventory as of 12th Aug 2024'!A57</f>
        <v>Sportsman</v>
      </c>
      <c r="D4490">
        <v>2</v>
      </c>
      <c r="E4490" s="5">
        <f>Table4[[#This Row],[qty]]*(VLOOKUP(Table4[[#This Row],[item_sold]],Table1[],5,FALSE))</f>
        <v>40</v>
      </c>
      <c r="F4490" s="5">
        <f>(VLOOKUP(Table4[[#This Row],[item_sold]],Table1[],4,FALSE))*Table4[[#This Row],[qty]]</f>
        <v>26</v>
      </c>
      <c r="G4490">
        <f t="shared" si="592"/>
        <v>14</v>
      </c>
      <c r="H4490" t="s">
        <v>247</v>
      </c>
    </row>
    <row r="4491" spans="1:12" x14ac:dyDescent="0.25">
      <c r="A4491" s="1">
        <f t="shared" si="588"/>
        <v>45556</v>
      </c>
      <c r="B4491" s="31">
        <f t="shared" ref="B4491:B4492" si="594">TIME(9,10,0)</f>
        <v>0.38194444444444442</v>
      </c>
      <c r="C4491" t="str">
        <f>'Inventory as of 12th Aug 2024'!A84</f>
        <v>omo 20g</v>
      </c>
      <c r="D4491">
        <v>1</v>
      </c>
      <c r="E4491" s="5">
        <f>Table4[[#This Row],[qty]]*(VLOOKUP(Table4[[#This Row],[item_sold]],Table1[],5,FALSE))</f>
        <v>15</v>
      </c>
      <c r="F4491" s="5">
        <f>(VLOOKUP(Table4[[#This Row],[item_sold]],Table1[],4,FALSE))*Table4[[#This Row],[qty]]</f>
        <v>9.1666666666666661</v>
      </c>
      <c r="G4491">
        <f t="shared" si="592"/>
        <v>5.8333333333333339</v>
      </c>
      <c r="H4491" t="s">
        <v>430</v>
      </c>
      <c r="I4491" t="s">
        <v>391</v>
      </c>
    </row>
    <row r="4492" spans="1:12" x14ac:dyDescent="0.25">
      <c r="A4492" s="1">
        <f t="shared" si="588"/>
        <v>45556</v>
      </c>
      <c r="B4492" s="31">
        <f t="shared" si="594"/>
        <v>0.38194444444444442</v>
      </c>
      <c r="C4492" t="str">
        <f>'Inventory as of 12th Aug 2024'!A17</f>
        <v>Brookside milk 500ml</v>
      </c>
      <c r="D4492">
        <v>1</v>
      </c>
      <c r="E4492" s="5">
        <f>Table4[[#This Row],[qty]]*(VLOOKUP(Table4[[#This Row],[item_sold]],Table1[],5,FALSE))</f>
        <v>70</v>
      </c>
      <c r="F4492" s="5">
        <f>(VLOOKUP(Table4[[#This Row],[item_sold]],Table1[],4,FALSE))*Table4[[#This Row],[qty]]</f>
        <v>59</v>
      </c>
      <c r="G4492">
        <f t="shared" si="592"/>
        <v>11</v>
      </c>
      <c r="H4492" t="s">
        <v>430</v>
      </c>
    </row>
    <row r="4493" spans="1:12" x14ac:dyDescent="0.25">
      <c r="A4493" s="1">
        <f t="shared" si="588"/>
        <v>45556</v>
      </c>
      <c r="B4493" s="31">
        <f>TIME(9,24,0)</f>
        <v>0.39166666666666666</v>
      </c>
      <c r="C4493" t="str">
        <f>'Inventory as of 12th Aug 2024'!A33</f>
        <v>BB Bread 400g</v>
      </c>
      <c r="D4493">
        <v>1</v>
      </c>
      <c r="E4493" s="5">
        <f>Table4[[#This Row],[qty]]*(VLOOKUP(Table4[[#This Row],[item_sold]],Table1[],5,FALSE))</f>
        <v>65</v>
      </c>
      <c r="F4493" s="5">
        <f>(VLOOKUP(Table4[[#This Row],[item_sold]],Table1[],4,FALSE))*Table4[[#This Row],[qty]]</f>
        <v>60</v>
      </c>
      <c r="G4493">
        <f t="shared" si="592"/>
        <v>5</v>
      </c>
      <c r="H4493" t="s">
        <v>361</v>
      </c>
    </row>
    <row r="4494" spans="1:12" x14ac:dyDescent="0.25">
      <c r="A4494" s="1">
        <f t="shared" si="588"/>
        <v>45556</v>
      </c>
      <c r="B4494" s="31">
        <f>TIME(9,24,0)</f>
        <v>0.39166666666666666</v>
      </c>
      <c r="C4494" t="str">
        <f>'Inventory as of 12th Aug 2024'!A33</f>
        <v>BB Bread 400g</v>
      </c>
      <c r="D4494">
        <v>1</v>
      </c>
      <c r="E4494" s="5">
        <f>Table4[[#This Row],[qty]]*(VLOOKUP(Table4[[#This Row],[item_sold]],Table1[],5,FALSE))</f>
        <v>65</v>
      </c>
      <c r="F4494" s="5">
        <f>(VLOOKUP(Table4[[#This Row],[item_sold]],Table1[],4,FALSE))*Table4[[#This Row],[qty]]</f>
        <v>60</v>
      </c>
      <c r="G4494">
        <f t="shared" si="592"/>
        <v>5</v>
      </c>
      <c r="H4494" t="s">
        <v>361</v>
      </c>
    </row>
    <row r="4495" spans="1:12" x14ac:dyDescent="0.25">
      <c r="A4495" s="1">
        <f t="shared" si="588"/>
        <v>45556</v>
      </c>
      <c r="B4495" s="31">
        <f>TIME(9,25,0)</f>
        <v>0.3923611111111111</v>
      </c>
      <c r="C4495" t="str">
        <f>'Inventory as of 12th Aug 2024'!A5</f>
        <v>Airtel 20 Credit</v>
      </c>
      <c r="D4495">
        <v>1</v>
      </c>
      <c r="E4495" s="5">
        <f>Table4[[#This Row],[qty]]*(VLOOKUP(Table4[[#This Row],[item_sold]],Table1[],5,FALSE))</f>
        <v>20</v>
      </c>
      <c r="F4495" s="5">
        <f>(VLOOKUP(Table4[[#This Row],[item_sold]],Table1[],4,FALSE))*Table4[[#This Row],[qty]]</f>
        <v>18</v>
      </c>
      <c r="G4495">
        <f t="shared" si="592"/>
        <v>2</v>
      </c>
      <c r="H4495" t="s">
        <v>247</v>
      </c>
    </row>
    <row r="4496" spans="1:12" x14ac:dyDescent="0.25">
      <c r="A4496" s="1">
        <f t="shared" si="588"/>
        <v>45556</v>
      </c>
      <c r="B4496" s="31">
        <f t="shared" ref="B4496:B4497" si="595">TIME(9,25,0)</f>
        <v>0.3923611111111111</v>
      </c>
      <c r="C4496" t="str">
        <f>'Inventory as of 12th Aug 2024'!A31</f>
        <v>Drinking Chocolate 20g</v>
      </c>
      <c r="D4496">
        <v>1</v>
      </c>
      <c r="E4496" s="5">
        <f>Table4[[#This Row],[qty]]*(VLOOKUP(Table4[[#This Row],[item_sold]],Table1[],5,FALSE))</f>
        <v>20</v>
      </c>
      <c r="F4496" s="5">
        <f>(VLOOKUP(Table4[[#This Row],[item_sold]],Table1[],4,FALSE))*Table4[[#This Row],[qty]]</f>
        <v>10.416666666666666</v>
      </c>
      <c r="G4496">
        <f t="shared" si="592"/>
        <v>9.5833333333333339</v>
      </c>
      <c r="H4496" t="s">
        <v>361</v>
      </c>
    </row>
    <row r="4497" spans="1:9" x14ac:dyDescent="0.25">
      <c r="A4497" s="1">
        <f t="shared" si="588"/>
        <v>45556</v>
      </c>
      <c r="B4497" s="31">
        <f t="shared" si="595"/>
        <v>0.3923611111111111</v>
      </c>
      <c r="C4497" t="str">
        <f>'Inventory as of 12th Aug 2024'!A7</f>
        <v>Airtel 50 Credit</v>
      </c>
      <c r="D4497">
        <v>1</v>
      </c>
      <c r="E4497" s="5">
        <f>Table4[[#This Row],[qty]]*(VLOOKUP(Table4[[#This Row],[item_sold]],Table1[],5,FALSE))</f>
        <v>50</v>
      </c>
      <c r="F4497" s="5">
        <f>(VLOOKUP(Table4[[#This Row],[item_sold]],Table1[],4,FALSE))*Table4[[#This Row],[qty]]</f>
        <v>47</v>
      </c>
      <c r="G4497">
        <f t="shared" si="592"/>
        <v>3</v>
      </c>
      <c r="H4497" t="s">
        <v>361</v>
      </c>
    </row>
    <row r="4498" spans="1:9" x14ac:dyDescent="0.25">
      <c r="A4498" s="1">
        <f t="shared" si="588"/>
        <v>45556</v>
      </c>
      <c r="B4498" s="31">
        <f>TIME(10,12,0)</f>
        <v>0.42499999999999999</v>
      </c>
      <c r="C4498" t="str">
        <f>'Inventory as of 12th Aug 2024'!A175</f>
        <v>Coconut Cakes</v>
      </c>
      <c r="D4498">
        <v>6</v>
      </c>
      <c r="E4498" s="5">
        <f>Table4[[#This Row],[qty]]*(VLOOKUP(Table4[[#This Row],[item_sold]],Table1[],5,FALSE))</f>
        <v>60</v>
      </c>
      <c r="F4498" s="5">
        <f>(VLOOKUP(Table4[[#This Row],[item_sold]],Table1[],4,FALSE))*Table4[[#This Row],[qty]]</f>
        <v>50</v>
      </c>
      <c r="G4498">
        <f t="shared" si="592"/>
        <v>10</v>
      </c>
      <c r="H4498" t="s">
        <v>361</v>
      </c>
    </row>
    <row r="4499" spans="1:9" x14ac:dyDescent="0.25">
      <c r="A4499" s="1">
        <f t="shared" si="588"/>
        <v>45556</v>
      </c>
      <c r="B4499" s="31">
        <f>TIME(10,13,0)</f>
        <v>0.42569444444444443</v>
      </c>
      <c r="C4499" t="str">
        <f>'Inventory as of 12th Aug 2024'!A202</f>
        <v>funtime snacks</v>
      </c>
      <c r="D4499">
        <v>1</v>
      </c>
      <c r="E4499" s="5">
        <f>Table4[[#This Row],[qty]]*(VLOOKUP(Table4[[#This Row],[item_sold]],Table1[],5,FALSE))</f>
        <v>15</v>
      </c>
      <c r="F4499" s="5">
        <f>(VLOOKUP(Table4[[#This Row],[item_sold]],Table1[],4,FALSE))*Table4[[#This Row],[qty]]</f>
        <v>9</v>
      </c>
      <c r="G4499">
        <f t="shared" si="592"/>
        <v>6</v>
      </c>
      <c r="H4499" t="s">
        <v>247</v>
      </c>
    </row>
    <row r="4500" spans="1:9" x14ac:dyDescent="0.25">
      <c r="A4500" s="1">
        <f t="shared" si="588"/>
        <v>45556</v>
      </c>
      <c r="B4500" s="31">
        <f t="shared" ref="B4500:B4501" si="596">TIME(10,13,0)</f>
        <v>0.42569444444444443</v>
      </c>
      <c r="C4500" t="str">
        <f>'Inventory as of 12th Aug 2024'!A229</f>
        <v>Fresh green</v>
      </c>
      <c r="D4500">
        <v>1</v>
      </c>
      <c r="E4500" s="5">
        <f>Table4[[#This Row],[qty]]*(VLOOKUP(Table4[[#This Row],[item_sold]],Table1[],5,FALSE))</f>
        <v>10</v>
      </c>
      <c r="F4500" s="5">
        <f>(VLOOKUP(Table4[[#This Row],[item_sold]],Table1[],4,FALSE))*Table4[[#This Row],[qty]]</f>
        <v>5</v>
      </c>
      <c r="G4500">
        <f t="shared" si="592"/>
        <v>5</v>
      </c>
      <c r="H4500" t="s">
        <v>247</v>
      </c>
    </row>
    <row r="4501" spans="1:9" x14ac:dyDescent="0.25">
      <c r="A4501" s="1">
        <f t="shared" si="588"/>
        <v>45556</v>
      </c>
      <c r="B4501" s="31">
        <f t="shared" si="596"/>
        <v>0.42569444444444443</v>
      </c>
      <c r="C4501" t="str">
        <f>'Inventory as of 12th Aug 2024'!A200</f>
        <v>Ngumu</v>
      </c>
      <c r="D4501">
        <v>1</v>
      </c>
      <c r="E4501" s="5">
        <f>Table4[[#This Row],[qty]]*(VLOOKUP(Table4[[#This Row],[item_sold]],Table1[],5,FALSE))</f>
        <v>10</v>
      </c>
      <c r="F4501" s="5">
        <f>(VLOOKUP(Table4[[#This Row],[item_sold]],Table1[],4,FALSE))*Table4[[#This Row],[qty]]</f>
        <v>8.3333333333333339</v>
      </c>
      <c r="G4501">
        <f t="shared" si="592"/>
        <v>1.6666666666666661</v>
      </c>
      <c r="H4501" t="s">
        <v>247</v>
      </c>
    </row>
    <row r="4502" spans="1:9" x14ac:dyDescent="0.25">
      <c r="A4502" s="1">
        <f t="shared" si="588"/>
        <v>45556</v>
      </c>
      <c r="B4502" s="31">
        <f>TIME(11,27,0)</f>
        <v>0.4770833333333333</v>
      </c>
      <c r="C4502" t="str">
        <f>'Inventory as of 12th Aug 2024'!A57</f>
        <v>Sportsman</v>
      </c>
      <c r="D4502">
        <v>3</v>
      </c>
      <c r="E4502" s="5">
        <f>Table4[[#This Row],[qty]]*(VLOOKUP(Table4[[#This Row],[item_sold]],Table1[],5,FALSE))</f>
        <v>60</v>
      </c>
      <c r="F4502" s="5">
        <f>(VLOOKUP(Table4[[#This Row],[item_sold]],Table1[],4,FALSE))*Table4[[#This Row],[qty]]</f>
        <v>39</v>
      </c>
      <c r="G4502">
        <f t="shared" si="592"/>
        <v>21</v>
      </c>
      <c r="H4502" t="s">
        <v>361</v>
      </c>
    </row>
    <row r="4503" spans="1:9" x14ac:dyDescent="0.25">
      <c r="A4503" s="1">
        <f t="shared" si="588"/>
        <v>45556</v>
      </c>
      <c r="B4503" s="31">
        <f>TIME(12,0,0)</f>
        <v>0.5</v>
      </c>
      <c r="C4503" t="str">
        <f>'Inventory as of 12th Aug 2024'!A246</f>
        <v>300ml water</v>
      </c>
      <c r="D4503">
        <v>3</v>
      </c>
      <c r="E4503" s="5">
        <f>Table4[[#This Row],[qty]]*(VLOOKUP(Table4[[#This Row],[item_sold]],Table1[],5,FALSE))</f>
        <v>90</v>
      </c>
      <c r="F4503" s="5">
        <f>(VLOOKUP(Table4[[#This Row],[item_sold]],Table1[],4,FALSE))*Table4[[#This Row],[qty]]</f>
        <v>37.5</v>
      </c>
      <c r="G4503">
        <f t="shared" si="592"/>
        <v>52.5</v>
      </c>
      <c r="H4503" t="s">
        <v>430</v>
      </c>
      <c r="I4503" t="s">
        <v>386</v>
      </c>
    </row>
    <row r="4504" spans="1:9" x14ac:dyDescent="0.25">
      <c r="A4504" s="1">
        <f t="shared" si="588"/>
        <v>45556</v>
      </c>
      <c r="B4504" s="31">
        <f>TIME(12,52,0)</f>
        <v>0.53611111111111109</v>
      </c>
      <c r="C4504" t="str">
        <f>'Inventory as of 12th Aug 2024'!A211</f>
        <v>predator</v>
      </c>
      <c r="D4504">
        <v>1</v>
      </c>
      <c r="E4504" s="5">
        <f>Table4[[#This Row],[qty]]*(VLOOKUP(Table4[[#This Row],[item_sold]],Table1[],5,FALSE))</f>
        <v>70</v>
      </c>
      <c r="F4504" s="5">
        <f>(VLOOKUP(Table4[[#This Row],[item_sold]],Table1[],4,FALSE))*Table4[[#This Row],[qty]]</f>
        <v>54.166666666666664</v>
      </c>
      <c r="G4504">
        <f t="shared" si="592"/>
        <v>15.833333333333336</v>
      </c>
      <c r="H4504" t="s">
        <v>361</v>
      </c>
    </row>
    <row r="4505" spans="1:9" x14ac:dyDescent="0.25">
      <c r="A4505" s="1">
        <f t="shared" si="588"/>
        <v>45556</v>
      </c>
      <c r="B4505" s="31">
        <f t="shared" ref="B4505:B4506" si="597">TIME(12,52,0)</f>
        <v>0.53611111111111109</v>
      </c>
      <c r="C4505" t="str">
        <f>'Inventory as of 12th Aug 2024'!A42</f>
        <v>Indomie chicken</v>
      </c>
      <c r="D4505">
        <v>2</v>
      </c>
      <c r="E4505" s="5">
        <f>Table4[[#This Row],[qty]]*(VLOOKUP(Table4[[#This Row],[item_sold]],Table1[],5,FALSE))</f>
        <v>100</v>
      </c>
      <c r="F4505" s="5">
        <f>(VLOOKUP(Table4[[#This Row],[item_sold]],Table1[],4,FALSE))*Table4[[#This Row],[qty]]</f>
        <v>75</v>
      </c>
      <c r="G4505">
        <f t="shared" si="592"/>
        <v>25</v>
      </c>
      <c r="H4505" t="s">
        <v>430</v>
      </c>
      <c r="I4505" t="s">
        <v>401</v>
      </c>
    </row>
    <row r="4506" spans="1:9" x14ac:dyDescent="0.25">
      <c r="A4506" s="1">
        <f t="shared" si="588"/>
        <v>45556</v>
      </c>
      <c r="B4506" s="31">
        <f t="shared" si="597"/>
        <v>0.53611111111111109</v>
      </c>
      <c r="C4506" t="str">
        <f>'Inventory as of 12th Aug 2024'!A175</f>
        <v>Coconut Cakes</v>
      </c>
      <c r="D4506">
        <v>2</v>
      </c>
      <c r="E4506" s="5">
        <f>Table4[[#This Row],[qty]]*(VLOOKUP(Table4[[#This Row],[item_sold]],Table1[],5,FALSE))</f>
        <v>20</v>
      </c>
      <c r="F4506" s="5">
        <f>(VLOOKUP(Table4[[#This Row],[item_sold]],Table1[],4,FALSE))*Table4[[#This Row],[qty]]</f>
        <v>16.666666666666668</v>
      </c>
      <c r="G4506">
        <f t="shared" si="592"/>
        <v>3.3333333333333321</v>
      </c>
      <c r="H4506" t="s">
        <v>430</v>
      </c>
    </row>
    <row r="4507" spans="1:9" x14ac:dyDescent="0.25">
      <c r="A4507" s="1">
        <f t="shared" si="588"/>
        <v>45556</v>
      </c>
      <c r="B4507" s="31">
        <f>TIME(13,28,0)</f>
        <v>0.56111111111111112</v>
      </c>
      <c r="C4507" t="str">
        <f>'Inventory as of 12th Aug 2024'!A199</f>
        <v>Kdf</v>
      </c>
      <c r="D4507">
        <v>4</v>
      </c>
      <c r="E4507" s="5">
        <f>Table4[[#This Row],[qty]]*(VLOOKUP(Table4[[#This Row],[item_sold]],Table1[],5,FALSE))</f>
        <v>40</v>
      </c>
      <c r="F4507" s="5">
        <f>(VLOOKUP(Table4[[#This Row],[item_sold]],Table1[],4,FALSE))*Table4[[#This Row],[qty]]</f>
        <v>33.333333333333336</v>
      </c>
      <c r="G4507">
        <f t="shared" si="592"/>
        <v>6.6666666666666643</v>
      </c>
      <c r="H4507" t="s">
        <v>361</v>
      </c>
    </row>
    <row r="4508" spans="1:9" x14ac:dyDescent="0.25">
      <c r="A4508" s="1">
        <f t="shared" si="588"/>
        <v>45556</v>
      </c>
      <c r="B4508" s="31">
        <f t="shared" ref="B4508:B4513" si="598">TIME(13,28,0)</f>
        <v>0.56111111111111112</v>
      </c>
      <c r="C4508" t="str">
        <f>'Inventory as of 12th Aug 2024'!A16</f>
        <v>Mt kenya milk 500ml</v>
      </c>
      <c r="D4508">
        <v>1</v>
      </c>
      <c r="E4508" s="5">
        <f>Table4[[#This Row],[qty]]*(VLOOKUP(Table4[[#This Row],[item_sold]],Table1[],5,FALSE))</f>
        <v>65</v>
      </c>
      <c r="F4508" s="5">
        <f>(VLOOKUP(Table4[[#This Row],[item_sold]],Table1[],4,FALSE))*Table4[[#This Row],[qty]]</f>
        <v>48.333333333333336</v>
      </c>
      <c r="G4508">
        <f t="shared" si="592"/>
        <v>16.666666666666664</v>
      </c>
      <c r="H4508" t="s">
        <v>361</v>
      </c>
    </row>
    <row r="4509" spans="1:9" x14ac:dyDescent="0.25">
      <c r="A4509" s="1">
        <f t="shared" si="588"/>
        <v>45556</v>
      </c>
      <c r="B4509" s="31">
        <f t="shared" si="598"/>
        <v>0.56111111111111112</v>
      </c>
      <c r="C4509" t="str">
        <f>'Inventory as of 12th Aug 2024'!A75</f>
        <v>Cooking Oil Measured</v>
      </c>
      <c r="D4509">
        <v>0.25</v>
      </c>
      <c r="E4509" s="5">
        <f>Table4[[#This Row],[qty]]*(VLOOKUP(Table4[[#This Row],[item_sold]],Table1[],5,FALSE))</f>
        <v>70</v>
      </c>
      <c r="F4509" s="5">
        <f>(VLOOKUP(Table4[[#This Row],[item_sold]],Table1[],4,FALSE))*Table4[[#This Row],[qty]]</f>
        <v>50</v>
      </c>
      <c r="G4509">
        <f t="shared" si="592"/>
        <v>20</v>
      </c>
      <c r="H4509" t="s">
        <v>430</v>
      </c>
      <c r="I4509" t="s">
        <v>406</v>
      </c>
    </row>
    <row r="4510" spans="1:9" x14ac:dyDescent="0.25">
      <c r="A4510" s="1">
        <f t="shared" si="588"/>
        <v>45556</v>
      </c>
      <c r="B4510" s="31">
        <f t="shared" si="598"/>
        <v>0.56111111111111112</v>
      </c>
      <c r="C4510" t="str">
        <f>'Inventory as of 12th Aug 2024'!A91</f>
        <v>Tomatoes</v>
      </c>
      <c r="D4510">
        <v>3</v>
      </c>
      <c r="E4510" s="5">
        <f>Table4[[#This Row],[qty]]*(VLOOKUP(Table4[[#This Row],[item_sold]],Table1[],5,FALSE))</f>
        <v>30</v>
      </c>
      <c r="F4510" s="5">
        <f>(VLOOKUP(Table4[[#This Row],[item_sold]],Table1[],4,FALSE))*Table4[[#This Row],[qty]]</f>
        <v>15</v>
      </c>
      <c r="G4510">
        <f t="shared" si="592"/>
        <v>15</v>
      </c>
      <c r="H4510" t="s">
        <v>430</v>
      </c>
    </row>
    <row r="4511" spans="1:9" x14ac:dyDescent="0.25">
      <c r="A4511" s="1">
        <f t="shared" si="588"/>
        <v>45556</v>
      </c>
      <c r="B4511" s="31">
        <f t="shared" si="598"/>
        <v>0.56111111111111112</v>
      </c>
      <c r="C4511" t="str">
        <f>'Inventory as of 12th Aug 2024'!A212</f>
        <v>soda 300ml glass</v>
      </c>
      <c r="D4511">
        <v>1</v>
      </c>
      <c r="E4511" s="5">
        <f>Table4[[#This Row],[qty]]*(VLOOKUP(Table4[[#This Row],[item_sold]],Table1[],5,FALSE))</f>
        <v>40</v>
      </c>
      <c r="F4511" s="5">
        <f>(VLOOKUP(Table4[[#This Row],[item_sold]],Table1[],4,FALSE))*Table4[[#This Row],[qty]]</f>
        <v>32.5</v>
      </c>
      <c r="G4511">
        <f t="shared" si="592"/>
        <v>7.5</v>
      </c>
      <c r="H4511" t="s">
        <v>247</v>
      </c>
    </row>
    <row r="4512" spans="1:9" x14ac:dyDescent="0.25">
      <c r="A4512" s="1">
        <f t="shared" si="588"/>
        <v>45556</v>
      </c>
      <c r="B4512" s="31">
        <f t="shared" si="598"/>
        <v>0.56111111111111112</v>
      </c>
      <c r="C4512" t="str">
        <f>'Inventory as of 12th Aug 2024'!A175</f>
        <v>Coconut Cakes</v>
      </c>
      <c r="D4512">
        <v>6</v>
      </c>
      <c r="E4512" s="5">
        <f>Table4[[#This Row],[qty]]*(VLOOKUP(Table4[[#This Row],[item_sold]],Table1[],5,FALSE))</f>
        <v>60</v>
      </c>
      <c r="F4512" s="5">
        <f>(VLOOKUP(Table4[[#This Row],[item_sold]],Table1[],4,FALSE))*Table4[[#This Row],[qty]]</f>
        <v>50</v>
      </c>
      <c r="G4512">
        <f t="shared" si="592"/>
        <v>10</v>
      </c>
      <c r="H4512" t="s">
        <v>247</v>
      </c>
    </row>
    <row r="4513" spans="1:12" x14ac:dyDescent="0.25">
      <c r="A4513" s="1">
        <f t="shared" si="588"/>
        <v>45556</v>
      </c>
      <c r="B4513" s="31">
        <f t="shared" si="598"/>
        <v>0.56111111111111112</v>
      </c>
      <c r="C4513" t="str">
        <f>'Inventory as of 12th Aug 2024'!A57</f>
        <v>Sportsman</v>
      </c>
      <c r="D4513">
        <v>3</v>
      </c>
      <c r="E4513" s="5">
        <f>Table4[[#This Row],[qty]]*(VLOOKUP(Table4[[#This Row],[item_sold]],Table1[],5,FALSE))</f>
        <v>60</v>
      </c>
      <c r="F4513" s="5">
        <f>(VLOOKUP(Table4[[#This Row],[item_sold]],Table1[],4,FALSE))*Table4[[#This Row],[qty]]</f>
        <v>39</v>
      </c>
      <c r="G4513">
        <f t="shared" si="592"/>
        <v>21</v>
      </c>
      <c r="H4513" t="s">
        <v>247</v>
      </c>
    </row>
    <row r="4514" spans="1:12" x14ac:dyDescent="0.25">
      <c r="A4514" s="1">
        <f t="shared" si="588"/>
        <v>45556</v>
      </c>
      <c r="B4514" s="31">
        <f>TIME(13,38,0)</f>
        <v>0.56805555555555554</v>
      </c>
      <c r="C4514" t="str">
        <f>'Inventory as of 12th Aug 2024'!A206</f>
        <v>soda 500ml plastic</v>
      </c>
      <c r="D4514">
        <v>1</v>
      </c>
      <c r="E4514" s="5">
        <f>Table4[[#This Row],[qty]]*(VLOOKUP(Table4[[#This Row],[item_sold]],Table1[],5,FALSE))</f>
        <v>70</v>
      </c>
      <c r="F4514" s="5">
        <f>(VLOOKUP(Table4[[#This Row],[item_sold]],Table1[],4,FALSE))*Table4[[#This Row],[qty]]</f>
        <v>60.416666666666664</v>
      </c>
      <c r="G4514">
        <f t="shared" si="592"/>
        <v>9.5833333333333357</v>
      </c>
      <c r="H4514" t="s">
        <v>361</v>
      </c>
    </row>
    <row r="4515" spans="1:12" x14ac:dyDescent="0.25">
      <c r="A4515" s="1">
        <f t="shared" si="588"/>
        <v>45556</v>
      </c>
      <c r="B4515" s="31">
        <f t="shared" ref="B4515:B4517" si="599">TIME(13,38,0)</f>
        <v>0.56805555555555554</v>
      </c>
      <c r="C4515" t="str">
        <f>'Inventory as of 12th Aug 2024'!A92</f>
        <v>Banana</v>
      </c>
      <c r="D4515">
        <v>4</v>
      </c>
      <c r="E4515" s="5">
        <f>Table4[[#This Row],[qty]]*(VLOOKUP(Table4[[#This Row],[item_sold]],Table1[],5,FALSE))</f>
        <v>40</v>
      </c>
      <c r="F4515" s="5">
        <f>(VLOOKUP(Table4[[#This Row],[item_sold]],Table1[],4,FALSE))*Table4[[#This Row],[qty]]</f>
        <v>33.333333333333336</v>
      </c>
      <c r="G4515">
        <f t="shared" si="592"/>
        <v>6.6666666666666643</v>
      </c>
      <c r="H4515" t="s">
        <v>247</v>
      </c>
    </row>
    <row r="4516" spans="1:12" x14ac:dyDescent="0.25">
      <c r="A4516" s="1">
        <f t="shared" si="588"/>
        <v>45556</v>
      </c>
      <c r="B4516" s="31">
        <f t="shared" si="599"/>
        <v>0.56805555555555554</v>
      </c>
      <c r="C4516" t="str">
        <f>'Inventory as of 12th Aug 2024'!A182</f>
        <v>T.Heat Potato crisps salted 25g</v>
      </c>
      <c r="D4516">
        <v>1</v>
      </c>
      <c r="E4516" s="5">
        <f>Table4[[#This Row],[qty]]*(VLOOKUP(Table4[[#This Row],[item_sold]],Table1[],5,FALSE))</f>
        <v>30</v>
      </c>
      <c r="F4516" s="5">
        <f>(VLOOKUP(Table4[[#This Row],[item_sold]],Table1[],4,FALSE))*Table4[[#This Row],[qty]]</f>
        <v>22.916666666666668</v>
      </c>
      <c r="G4516">
        <f t="shared" si="592"/>
        <v>7.0833333333333321</v>
      </c>
      <c r="H4516" t="s">
        <v>247</v>
      </c>
    </row>
    <row r="4517" spans="1:12" x14ac:dyDescent="0.25">
      <c r="A4517" s="1">
        <f t="shared" si="588"/>
        <v>45556</v>
      </c>
      <c r="B4517" s="31">
        <f t="shared" si="599"/>
        <v>0.56805555555555554</v>
      </c>
      <c r="C4517" t="str">
        <f>'Inventory as of 12th Aug 2024'!A242</f>
        <v>Icepop</v>
      </c>
      <c r="D4517">
        <v>1</v>
      </c>
      <c r="E4517" s="5">
        <f>Table4[[#This Row],[qty]]*(VLOOKUP(Table4[[#This Row],[item_sold]],Table1[],5,FALSE))</f>
        <v>15</v>
      </c>
      <c r="F4517" s="5">
        <f>(VLOOKUP(Table4[[#This Row],[item_sold]],Table1[],4,FALSE))*Table4[[#This Row],[qty]]</f>
        <v>7.5</v>
      </c>
      <c r="G4517">
        <f t="shared" si="592"/>
        <v>7.5</v>
      </c>
      <c r="H4517" t="s">
        <v>247</v>
      </c>
    </row>
    <row r="4518" spans="1:12" x14ac:dyDescent="0.25">
      <c r="A4518" s="1">
        <f t="shared" si="588"/>
        <v>45556</v>
      </c>
      <c r="B4518" s="31">
        <f>TIME(14,33,0)</f>
        <v>0.60625000000000007</v>
      </c>
      <c r="C4518" t="str">
        <f>'Inventory as of 12th Aug 2024'!A204</f>
        <v>soda 2lts</v>
      </c>
      <c r="D4518">
        <v>1</v>
      </c>
      <c r="E4518" s="5">
        <f>Table4[[#This Row],[qty]]*(VLOOKUP(Table4[[#This Row],[item_sold]],Table1[],5,FALSE))</f>
        <v>200</v>
      </c>
      <c r="F4518" s="5">
        <f>(VLOOKUP(Table4[[#This Row],[item_sold]],Table1[],4,FALSE))*Table4[[#This Row],[qty]]</f>
        <v>176.66666666666666</v>
      </c>
      <c r="G4518">
        <f t="shared" si="592"/>
        <v>23.333333333333343</v>
      </c>
      <c r="H4518" t="s">
        <v>361</v>
      </c>
    </row>
    <row r="4519" spans="1:12" x14ac:dyDescent="0.25">
      <c r="A4519" s="1">
        <f t="shared" si="588"/>
        <v>45556</v>
      </c>
      <c r="B4519" s="31">
        <f>TIME(14,34,0)</f>
        <v>0.6069444444444444</v>
      </c>
      <c r="C4519" t="str">
        <f>'Inventory as of 12th Aug 2024'!A83</f>
        <v>omo 75g</v>
      </c>
      <c r="D4519">
        <v>1</v>
      </c>
      <c r="E4519" s="5">
        <f>Table4[[#This Row],[qty]]*(VLOOKUP(Table4[[#This Row],[item_sold]],Table1[],5,FALSE))</f>
        <v>35</v>
      </c>
      <c r="F4519" s="5">
        <f>(VLOOKUP(Table4[[#This Row],[item_sold]],Table1[],4,FALSE))*Table4[[#This Row],[qty]]</f>
        <v>27.5</v>
      </c>
      <c r="G4519">
        <f t="shared" si="592"/>
        <v>7.5</v>
      </c>
      <c r="H4519" t="s">
        <v>361</v>
      </c>
      <c r="J4519" t="s">
        <v>417</v>
      </c>
      <c r="K4519">
        <v>150</v>
      </c>
      <c r="L4519" t="s">
        <v>361</v>
      </c>
    </row>
    <row r="4520" spans="1:12" x14ac:dyDescent="0.25">
      <c r="A4520" s="1">
        <f t="shared" si="588"/>
        <v>45556</v>
      </c>
      <c r="B4520" s="31">
        <f>TIME(14,34,0)</f>
        <v>0.6069444444444444</v>
      </c>
      <c r="C4520" t="str">
        <f>'Inventory as of 12th Aug 2024'!A57</f>
        <v>Sportsman</v>
      </c>
      <c r="D4520">
        <v>1</v>
      </c>
      <c r="E4520" s="5">
        <f>Table4[[#This Row],[qty]]*(VLOOKUP(Table4[[#This Row],[item_sold]],Table1[],5,FALSE))</f>
        <v>20</v>
      </c>
      <c r="F4520" s="5">
        <f>(VLOOKUP(Table4[[#This Row],[item_sold]],Table1[],4,FALSE))*Table4[[#This Row],[qty]]</f>
        <v>13</v>
      </c>
      <c r="G4520">
        <f t="shared" si="592"/>
        <v>7</v>
      </c>
      <c r="H4520" t="s">
        <v>247</v>
      </c>
    </row>
    <row r="4521" spans="1:12" x14ac:dyDescent="0.25">
      <c r="A4521" s="1">
        <f t="shared" si="588"/>
        <v>45556</v>
      </c>
      <c r="B4521" s="31">
        <f t="shared" ref="B4521" si="600">TIME(14,34,0)</f>
        <v>0.6069444444444444</v>
      </c>
      <c r="C4521" t="str">
        <f>'Inventory as of 12th Aug 2024'!A242</f>
        <v>Icepop</v>
      </c>
      <c r="D4521">
        <v>1</v>
      </c>
      <c r="E4521" s="5">
        <f>Table4[[#This Row],[qty]]*(VLOOKUP(Table4[[#This Row],[item_sold]],Table1[],5,FALSE))</f>
        <v>15</v>
      </c>
      <c r="F4521" s="5">
        <f>(VLOOKUP(Table4[[#This Row],[item_sold]],Table1[],4,FALSE))*Table4[[#This Row],[qty]]</f>
        <v>7.5</v>
      </c>
      <c r="G4521">
        <f t="shared" si="592"/>
        <v>7.5</v>
      </c>
      <c r="H4521" t="s">
        <v>247</v>
      </c>
      <c r="J4521" t="s">
        <v>419</v>
      </c>
      <c r="K4521">
        <v>55</v>
      </c>
      <c r="L4521" t="s">
        <v>247</v>
      </c>
    </row>
    <row r="4522" spans="1:12" x14ac:dyDescent="0.25">
      <c r="A4522" s="1">
        <f t="shared" si="588"/>
        <v>45556</v>
      </c>
      <c r="B4522" s="31">
        <f>TIME(16,35,0)</f>
        <v>0.69097222222222221</v>
      </c>
      <c r="C4522" t="str">
        <f>'Inventory as of 12th Aug 2024'!A91</f>
        <v>Tomatoes</v>
      </c>
      <c r="D4522">
        <v>2</v>
      </c>
      <c r="E4522" s="5">
        <f>Table4[[#This Row],[qty]]*(VLOOKUP(Table4[[#This Row],[item_sold]],Table1[],5,FALSE))</f>
        <v>20</v>
      </c>
      <c r="F4522" s="5">
        <f>(VLOOKUP(Table4[[#This Row],[item_sold]],Table1[],4,FALSE))*Table4[[#This Row],[qty]]</f>
        <v>10</v>
      </c>
      <c r="G4522">
        <f t="shared" si="592"/>
        <v>10</v>
      </c>
      <c r="H4522" t="s">
        <v>247</v>
      </c>
    </row>
    <row r="4523" spans="1:12" x14ac:dyDescent="0.25">
      <c r="A4523" s="1">
        <f t="shared" si="588"/>
        <v>45556</v>
      </c>
      <c r="B4523" s="31">
        <f>TIME(16,35,0)</f>
        <v>0.69097222222222221</v>
      </c>
      <c r="C4523" t="str">
        <f>'Inventory as of 12th Aug 2024'!A192</f>
        <v>Lemon Bisquit</v>
      </c>
      <c r="D4523">
        <v>4</v>
      </c>
      <c r="E4523" s="5">
        <f>Table4[[#This Row],[qty]]*(VLOOKUP(Table4[[#This Row],[item_sold]],Table1[],5,FALSE))</f>
        <v>20</v>
      </c>
      <c r="F4523" s="5">
        <f>(VLOOKUP(Table4[[#This Row],[item_sold]],Table1[],4,FALSE))*Table4[[#This Row],[qty]]</f>
        <v>17.333333333333332</v>
      </c>
      <c r="G4523">
        <f t="shared" si="592"/>
        <v>2.6666666666666679</v>
      </c>
      <c r="H4523" t="s">
        <v>247</v>
      </c>
    </row>
    <row r="4524" spans="1:12" x14ac:dyDescent="0.25">
      <c r="A4524" s="1">
        <f t="shared" si="588"/>
        <v>45556</v>
      </c>
      <c r="B4524" s="31">
        <f>TIME(17,57,0)</f>
        <v>0.74791666666666667</v>
      </c>
      <c r="C4524" t="str">
        <f>'Inventory as of 12th Aug 2024'!A57</f>
        <v>Sportsman</v>
      </c>
      <c r="D4524">
        <v>2</v>
      </c>
      <c r="E4524" s="5">
        <f>Table4[[#This Row],[qty]]*(VLOOKUP(Table4[[#This Row],[item_sold]],Table1[],5,FALSE))</f>
        <v>40</v>
      </c>
      <c r="F4524" s="5">
        <f>(VLOOKUP(Table4[[#This Row],[item_sold]],Table1[],4,FALSE))*Table4[[#This Row],[qty]]</f>
        <v>26</v>
      </c>
      <c r="G4524">
        <f t="shared" si="592"/>
        <v>14</v>
      </c>
      <c r="H4524" t="s">
        <v>247</v>
      </c>
      <c r="J4524" t="s">
        <v>447</v>
      </c>
      <c r="K4524">
        <v>50</v>
      </c>
      <c r="L4524" t="s">
        <v>247</v>
      </c>
    </row>
    <row r="4525" spans="1:12" x14ac:dyDescent="0.25">
      <c r="A4525" s="1">
        <f t="shared" si="588"/>
        <v>45556</v>
      </c>
      <c r="B4525" s="31">
        <f t="shared" ref="B4525" si="601">TIME(17,57,0)</f>
        <v>0.74791666666666667</v>
      </c>
      <c r="C4525" t="str">
        <f>'Inventory as of 12th Aug 2024'!A107</f>
        <v>Match Box</v>
      </c>
      <c r="D4525">
        <v>1</v>
      </c>
      <c r="E4525" s="5">
        <f>Table4[[#This Row],[qty]]*(VLOOKUP(Table4[[#This Row],[item_sold]],Table1[],5,FALSE))</f>
        <v>5</v>
      </c>
      <c r="F4525" s="5">
        <f>(VLOOKUP(Table4[[#This Row],[item_sold]],Table1[],4,FALSE))*Table4[[#This Row],[qty]]</f>
        <v>2.3611111111111112</v>
      </c>
      <c r="G4525">
        <f t="shared" si="592"/>
        <v>2.6388888888888888</v>
      </c>
      <c r="H4525" t="s">
        <v>247</v>
      </c>
    </row>
    <row r="4526" spans="1:12" x14ac:dyDescent="0.25">
      <c r="A4526" s="1">
        <f t="shared" si="588"/>
        <v>45556</v>
      </c>
      <c r="B4526" s="31">
        <f>TIME(18,42,0)</f>
        <v>0.77916666666666667</v>
      </c>
      <c r="C4526" t="str">
        <f>'Inventory as of 12th Aug 2024'!A163</f>
        <v>Kioo+comb</v>
      </c>
      <c r="D4526">
        <v>1</v>
      </c>
      <c r="E4526" s="5">
        <f>Table4[[#This Row],[qty]]*(VLOOKUP(Table4[[#This Row],[item_sold]],Table1[],5,FALSE))</f>
        <v>50</v>
      </c>
      <c r="F4526" s="5">
        <f>(VLOOKUP(Table4[[#This Row],[item_sold]],Table1[],4,FALSE))*Table4[[#This Row],[qty]]</f>
        <v>40</v>
      </c>
      <c r="G4526">
        <f t="shared" si="592"/>
        <v>10</v>
      </c>
      <c r="H4526" t="s">
        <v>361</v>
      </c>
    </row>
    <row r="4527" spans="1:12" x14ac:dyDescent="0.25">
      <c r="A4527" s="1">
        <f t="shared" si="588"/>
        <v>45556</v>
      </c>
      <c r="B4527" s="31">
        <f>TIME(18,43,0)</f>
        <v>0.77986111111111101</v>
      </c>
      <c r="C4527" t="str">
        <f>'Inventory as of 12th Aug 2024'!A16</f>
        <v>Mt kenya milk 500ml</v>
      </c>
      <c r="D4527">
        <v>2</v>
      </c>
      <c r="E4527" s="5">
        <f>Table4[[#This Row],[qty]]*(VLOOKUP(Table4[[#This Row],[item_sold]],Table1[],5,FALSE))</f>
        <v>130</v>
      </c>
      <c r="F4527" s="5">
        <f>(VLOOKUP(Table4[[#This Row],[item_sold]],Table1[],4,FALSE))*Table4[[#This Row],[qty]]</f>
        <v>96.666666666666671</v>
      </c>
      <c r="G4527">
        <f t="shared" si="592"/>
        <v>33.333333333333329</v>
      </c>
      <c r="H4527" t="s">
        <v>247</v>
      </c>
    </row>
    <row r="4528" spans="1:12" x14ac:dyDescent="0.25">
      <c r="A4528" s="1">
        <f t="shared" si="588"/>
        <v>45556</v>
      </c>
      <c r="B4528" s="31">
        <f>TIME(18,46,0)</f>
        <v>0.78194444444444444</v>
      </c>
      <c r="C4528" t="str">
        <f>'Inventory as of 12th Aug 2024'!A8</f>
        <v>eggs</v>
      </c>
      <c r="D4528">
        <v>4</v>
      </c>
      <c r="E4528" s="5">
        <f>Table4[[#This Row],[qty]]*(VLOOKUP(Table4[[#This Row],[item_sold]],Table1[],5,FALSE))</f>
        <v>80</v>
      </c>
      <c r="F4528" s="5">
        <f>(VLOOKUP(Table4[[#This Row],[item_sold]],Table1[],4,FALSE))*Table4[[#This Row],[qty]]</f>
        <v>57.333333333333336</v>
      </c>
      <c r="G4528">
        <f t="shared" si="592"/>
        <v>22.666666666666664</v>
      </c>
      <c r="H4528" t="s">
        <v>430</v>
      </c>
      <c r="I4528" t="s">
        <v>391</v>
      </c>
    </row>
    <row r="4529" spans="1:9" x14ac:dyDescent="0.25">
      <c r="A4529" s="1">
        <f t="shared" si="588"/>
        <v>45556</v>
      </c>
      <c r="B4529" s="31">
        <f t="shared" ref="B4529:B4530" si="602">TIME(18,46,0)</f>
        <v>0.78194444444444444</v>
      </c>
      <c r="C4529" t="str">
        <f>'Inventory as of 12th Aug 2024'!A91</f>
        <v>Tomatoes</v>
      </c>
      <c r="D4529">
        <v>2</v>
      </c>
      <c r="E4529" s="5">
        <f>Table4[[#This Row],[qty]]*(VLOOKUP(Table4[[#This Row],[item_sold]],Table1[],5,FALSE))</f>
        <v>20</v>
      </c>
      <c r="F4529" s="5">
        <f>(VLOOKUP(Table4[[#This Row],[item_sold]],Table1[],4,FALSE))*Table4[[#This Row],[qty]]</f>
        <v>10</v>
      </c>
      <c r="G4529">
        <f t="shared" si="592"/>
        <v>10</v>
      </c>
      <c r="H4529" t="s">
        <v>430</v>
      </c>
    </row>
    <row r="4530" spans="1:9" x14ac:dyDescent="0.25">
      <c r="A4530" s="1">
        <f t="shared" si="588"/>
        <v>45556</v>
      </c>
      <c r="B4530" s="31">
        <f t="shared" si="602"/>
        <v>0.78194444444444444</v>
      </c>
      <c r="C4530" t="str">
        <f>'Inventory as of 12th Aug 2024'!A90</f>
        <v>Onion</v>
      </c>
      <c r="D4530">
        <v>1</v>
      </c>
      <c r="E4530" s="5">
        <f>Table4[[#This Row],[qty]]*(VLOOKUP(Table4[[#This Row],[item_sold]],Table1[],5,FALSE))</f>
        <v>10</v>
      </c>
      <c r="F4530" s="5">
        <f>(VLOOKUP(Table4[[#This Row],[item_sold]],Table1[],4,FALSE))*Table4[[#This Row],[qty]]</f>
        <v>8</v>
      </c>
      <c r="G4530">
        <f t="shared" si="592"/>
        <v>2</v>
      </c>
      <c r="H4530" t="s">
        <v>430</v>
      </c>
    </row>
    <row r="4531" spans="1:9" x14ac:dyDescent="0.25">
      <c r="A4531" s="1">
        <f t="shared" si="588"/>
        <v>45556</v>
      </c>
      <c r="B4531" s="31">
        <f>TIME(18,46,0)</f>
        <v>0.78194444444444444</v>
      </c>
      <c r="C4531" t="str">
        <f>'Inventory as of 12th Aug 2024'!A57</f>
        <v>Sportsman</v>
      </c>
      <c r="D4531">
        <v>2</v>
      </c>
      <c r="E4531" s="5">
        <f>Table4[[#This Row],[qty]]*(VLOOKUP(Table4[[#This Row],[item_sold]],Table1[],5,FALSE))</f>
        <v>40</v>
      </c>
      <c r="F4531" s="5">
        <f>(VLOOKUP(Table4[[#This Row],[item_sold]],Table1[],4,FALSE))*Table4[[#This Row],[qty]]</f>
        <v>26</v>
      </c>
      <c r="G4531">
        <f t="shared" si="592"/>
        <v>14</v>
      </c>
      <c r="H4531" t="s">
        <v>361</v>
      </c>
    </row>
    <row r="4532" spans="1:9" x14ac:dyDescent="0.25">
      <c r="A4532" s="1">
        <f t="shared" si="588"/>
        <v>45556</v>
      </c>
      <c r="B4532" s="31">
        <f t="shared" ref="B4532" si="603">TIME(18,46,0)</f>
        <v>0.78194444444444444</v>
      </c>
      <c r="C4532" t="str">
        <f>'Inventory as of 12th Aug 2024'!A91</f>
        <v>Tomatoes</v>
      </c>
      <c r="D4532">
        <v>2</v>
      </c>
      <c r="E4532" s="5">
        <f>Table4[[#This Row],[qty]]*(VLOOKUP(Table4[[#This Row],[item_sold]],Table1[],5,FALSE))</f>
        <v>20</v>
      </c>
      <c r="F4532" s="5">
        <f>(VLOOKUP(Table4[[#This Row],[item_sold]],Table1[],4,FALSE))*Table4[[#This Row],[qty]]</f>
        <v>10</v>
      </c>
      <c r="G4532">
        <f t="shared" si="592"/>
        <v>10</v>
      </c>
      <c r="H4532" t="s">
        <v>247</v>
      </c>
    </row>
    <row r="4533" spans="1:9" x14ac:dyDescent="0.25">
      <c r="A4533" s="1">
        <f t="shared" si="588"/>
        <v>45556</v>
      </c>
      <c r="B4533" s="31">
        <f>TIME(19,7,0)</f>
        <v>0.79652777777777783</v>
      </c>
      <c r="C4533" t="str">
        <f>'Inventory as of 12th Aug 2024'!A60</f>
        <v>kensalt 200g</v>
      </c>
      <c r="D4533">
        <v>1</v>
      </c>
      <c r="E4533" s="5">
        <f>Table4[[#This Row],[qty]]*(VLOOKUP(Table4[[#This Row],[item_sold]],Table1[],5,FALSE))</f>
        <v>15</v>
      </c>
      <c r="F4533" s="5">
        <f>(VLOOKUP(Table4[[#This Row],[item_sold]],Table1[],4,FALSE))*Table4[[#This Row],[qty]]</f>
        <v>5.5</v>
      </c>
      <c r="G4533">
        <f t="shared" si="592"/>
        <v>9.5</v>
      </c>
      <c r="H4533" t="s">
        <v>430</v>
      </c>
      <c r="I4533" t="s">
        <v>406</v>
      </c>
    </row>
    <row r="4534" spans="1:9" x14ac:dyDescent="0.25">
      <c r="A4534" s="1">
        <f t="shared" si="588"/>
        <v>45556</v>
      </c>
      <c r="B4534" s="31">
        <f>TIME(19,14,0)</f>
        <v>0.80138888888888893</v>
      </c>
      <c r="C4534" t="str">
        <f>'Inventory as of 12th Aug 2024'!A175</f>
        <v>Coconut Cakes</v>
      </c>
      <c r="D4534">
        <v>6</v>
      </c>
      <c r="E4534" s="5">
        <f>Table4[[#This Row],[qty]]*(VLOOKUP(Table4[[#This Row],[item_sold]],Table1[],5,FALSE))</f>
        <v>60</v>
      </c>
      <c r="F4534" s="5">
        <f>(VLOOKUP(Table4[[#This Row],[item_sold]],Table1[],4,FALSE))*Table4[[#This Row],[qty]]</f>
        <v>50</v>
      </c>
      <c r="G4534">
        <f t="shared" si="592"/>
        <v>10</v>
      </c>
      <c r="H4534" t="s">
        <v>361</v>
      </c>
    </row>
    <row r="4535" spans="1:9" x14ac:dyDescent="0.25">
      <c r="A4535" s="1">
        <f t="shared" si="588"/>
        <v>45556</v>
      </c>
      <c r="B4535" s="31">
        <f t="shared" ref="B4535:B4536" si="604">TIME(19,14,0)</f>
        <v>0.80138888888888893</v>
      </c>
      <c r="C4535" t="str">
        <f>'Inventory as of 12th Aug 2024'!A75</f>
        <v>Cooking Oil Measured</v>
      </c>
      <c r="D4535">
        <v>0.25</v>
      </c>
      <c r="E4535" s="5">
        <f>Table4[[#This Row],[qty]]*(VLOOKUP(Table4[[#This Row],[item_sold]],Table1[],5,FALSE))</f>
        <v>70</v>
      </c>
      <c r="F4535" s="5">
        <f>(VLOOKUP(Table4[[#This Row],[item_sold]],Table1[],4,FALSE))*Table4[[#This Row],[qty]]</f>
        <v>50</v>
      </c>
      <c r="G4535">
        <f t="shared" si="592"/>
        <v>20</v>
      </c>
      <c r="H4535" t="s">
        <v>361</v>
      </c>
    </row>
    <row r="4536" spans="1:9" x14ac:dyDescent="0.25">
      <c r="A4536" s="1">
        <f t="shared" si="588"/>
        <v>45556</v>
      </c>
      <c r="B4536" s="31">
        <f t="shared" si="604"/>
        <v>0.80138888888888893</v>
      </c>
      <c r="C4536" t="str">
        <f>'Inventory as of 12th Aug 2024'!A68</f>
        <v>Royco cubes</v>
      </c>
      <c r="D4536">
        <v>2</v>
      </c>
      <c r="E4536" s="5">
        <f>Table4[[#This Row],[qty]]*(VLOOKUP(Table4[[#This Row],[item_sold]],Table1[],5,FALSE))</f>
        <v>10</v>
      </c>
      <c r="F4536" s="5">
        <f>(VLOOKUP(Table4[[#This Row],[item_sold]],Table1[],4,FALSE))*Table4[[#This Row],[qty]]</f>
        <v>6</v>
      </c>
      <c r="G4536">
        <f t="shared" si="592"/>
        <v>4</v>
      </c>
      <c r="H4536" t="s">
        <v>361</v>
      </c>
    </row>
    <row r="4537" spans="1:9" x14ac:dyDescent="0.25">
      <c r="A4537" s="1">
        <f t="shared" si="588"/>
        <v>45556</v>
      </c>
      <c r="B4537" s="31">
        <f>TIME(19,57,0)</f>
        <v>0.83124999999999993</v>
      </c>
      <c r="C4537" t="str">
        <f>'Inventory as of 12th Aug 2024'!A57</f>
        <v>Sportsman</v>
      </c>
      <c r="D4537">
        <v>5</v>
      </c>
      <c r="E4537" s="5">
        <f>Table4[[#This Row],[qty]]*(VLOOKUP(Table4[[#This Row],[item_sold]],Table1[],5,FALSE))</f>
        <v>100</v>
      </c>
      <c r="F4537" s="5">
        <f>(VLOOKUP(Table4[[#This Row],[item_sold]],Table1[],4,FALSE))*Table4[[#This Row],[qty]]</f>
        <v>65</v>
      </c>
      <c r="G4537">
        <f t="shared" si="592"/>
        <v>35</v>
      </c>
      <c r="H4537" t="s">
        <v>361</v>
      </c>
    </row>
    <row r="4538" spans="1:9" x14ac:dyDescent="0.25">
      <c r="A4538" s="1">
        <f t="shared" si="588"/>
        <v>45556</v>
      </c>
      <c r="B4538" s="31">
        <f>TIME(20,20,0)</f>
        <v>0.84722222222222221</v>
      </c>
      <c r="C4538" t="str">
        <f>'Inventory as of 12th Aug 2024'!A37</f>
        <v>Festive Bread 400g</v>
      </c>
      <c r="D4538">
        <v>1</v>
      </c>
      <c r="E4538" s="5">
        <f>Table4[[#This Row],[qty]]*(VLOOKUP(Table4[[#This Row],[item_sold]],Table1[],5,FALSE))</f>
        <v>65</v>
      </c>
      <c r="F4538" s="5">
        <f>(VLOOKUP(Table4[[#This Row],[item_sold]],Table1[],4,FALSE))*Table4[[#This Row],[qty]]</f>
        <v>60</v>
      </c>
      <c r="G4538">
        <f t="shared" si="592"/>
        <v>5</v>
      </c>
      <c r="H4538" t="s">
        <v>361</v>
      </c>
    </row>
    <row r="4539" spans="1:9" x14ac:dyDescent="0.25">
      <c r="A4539" s="1">
        <f t="shared" si="588"/>
        <v>45556</v>
      </c>
      <c r="B4539" s="31">
        <f>TIME(20,20,0)</f>
        <v>0.84722222222222221</v>
      </c>
      <c r="C4539" t="str">
        <f>'Inventory as of 12th Aug 2024'!A57</f>
        <v>Sportsman</v>
      </c>
      <c r="D4539">
        <v>1</v>
      </c>
      <c r="E4539" s="5">
        <f>Table4[[#This Row],[qty]]*(VLOOKUP(Table4[[#This Row],[item_sold]],Table1[],5,FALSE))</f>
        <v>20</v>
      </c>
      <c r="F4539" s="5">
        <f>(VLOOKUP(Table4[[#This Row],[item_sold]],Table1[],4,FALSE))*Table4[[#This Row],[qty]]</f>
        <v>13</v>
      </c>
      <c r="G4539">
        <f t="shared" si="592"/>
        <v>7</v>
      </c>
      <c r="H4539" t="s">
        <v>247</v>
      </c>
    </row>
    <row r="4540" spans="1:9" x14ac:dyDescent="0.25">
      <c r="A4540" s="1">
        <f>DATE(2024,9,22)</f>
        <v>45557</v>
      </c>
      <c r="B4540" s="31">
        <f>TIME(7,28,0)</f>
        <v>0.31111111111111112</v>
      </c>
      <c r="C4540" t="str">
        <f>'Inventory as of 12th Aug 2024'!A16</f>
        <v>Mt kenya milk 500ml</v>
      </c>
      <c r="D4540">
        <v>1</v>
      </c>
      <c r="E4540" s="5">
        <f>Table4[[#This Row],[qty]]*(VLOOKUP(Table4[[#This Row],[item_sold]],Table1[],5,FALSE))</f>
        <v>65</v>
      </c>
      <c r="F4540" s="5">
        <f>(VLOOKUP(Table4[[#This Row],[item_sold]],Table1[],4,FALSE))*Table4[[#This Row],[qty]]</f>
        <v>48.333333333333336</v>
      </c>
      <c r="G4540">
        <f t="shared" si="592"/>
        <v>16.666666666666664</v>
      </c>
      <c r="H4540" t="s">
        <v>430</v>
      </c>
      <c r="I4540" t="s">
        <v>387</v>
      </c>
    </row>
    <row r="4541" spans="1:9" x14ac:dyDescent="0.25">
      <c r="A4541" s="1">
        <f t="shared" ref="A4541:A4604" si="605">DATE(2024,9,22)</f>
        <v>45557</v>
      </c>
      <c r="B4541" s="31">
        <f>TIME(8,0,0)</f>
        <v>0.33333333333333331</v>
      </c>
      <c r="C4541" t="str">
        <f>'Inventory as of 12th Aug 2024'!A17</f>
        <v>Brookside milk 500ml</v>
      </c>
      <c r="D4541">
        <v>2</v>
      </c>
      <c r="E4541" s="5">
        <f>Table4[[#This Row],[qty]]*(VLOOKUP(Table4[[#This Row],[item_sold]],Table1[],5,FALSE))</f>
        <v>140</v>
      </c>
      <c r="F4541" s="5">
        <f>(VLOOKUP(Table4[[#This Row],[item_sold]],Table1[],4,FALSE))*Table4[[#This Row],[qty]]</f>
        <v>118</v>
      </c>
      <c r="G4541">
        <f t="shared" si="592"/>
        <v>22</v>
      </c>
      <c r="H4541" t="s">
        <v>430</v>
      </c>
      <c r="I4541" t="s">
        <v>404</v>
      </c>
    </row>
    <row r="4542" spans="1:9" x14ac:dyDescent="0.25">
      <c r="A4542" s="1">
        <f t="shared" si="605"/>
        <v>45557</v>
      </c>
      <c r="B4542" s="31">
        <f t="shared" ref="B4542:B4543" si="606">TIME(8,0,0)</f>
        <v>0.33333333333333331</v>
      </c>
      <c r="C4542" t="str">
        <f>'Inventory as of 12th Aug 2024'!A9</f>
        <v>Kinangop Fresh Milk 500ml</v>
      </c>
      <c r="D4542">
        <v>1</v>
      </c>
      <c r="E4542" s="5">
        <f>Table4[[#This Row],[qty]]*(VLOOKUP(Table4[[#This Row],[item_sold]],Table1[],5,FALSE))</f>
        <v>60</v>
      </c>
      <c r="F4542" s="5">
        <f>(VLOOKUP(Table4[[#This Row],[item_sold]],Table1[],4,FALSE))*Table4[[#This Row],[qty]]</f>
        <v>55</v>
      </c>
      <c r="G4542">
        <f t="shared" si="592"/>
        <v>5</v>
      </c>
      <c r="H4542" t="s">
        <v>430</v>
      </c>
    </row>
    <row r="4543" spans="1:9" x14ac:dyDescent="0.25">
      <c r="A4543" s="1">
        <f t="shared" si="605"/>
        <v>45557</v>
      </c>
      <c r="B4543" s="31">
        <f t="shared" si="606"/>
        <v>0.33333333333333331</v>
      </c>
      <c r="C4543" t="str">
        <f>'Inventory as of 12th Aug 2024'!A8</f>
        <v>eggs</v>
      </c>
      <c r="D4543">
        <v>3</v>
      </c>
      <c r="E4543" s="5">
        <f>Table4[[#This Row],[qty]]*(VLOOKUP(Table4[[#This Row],[item_sold]],Table1[],5,FALSE))</f>
        <v>60</v>
      </c>
      <c r="F4543" s="5">
        <f>(VLOOKUP(Table4[[#This Row],[item_sold]],Table1[],4,FALSE))*Table4[[#This Row],[qty]]</f>
        <v>43</v>
      </c>
      <c r="G4543">
        <f t="shared" si="592"/>
        <v>17</v>
      </c>
      <c r="H4543" t="s">
        <v>430</v>
      </c>
    </row>
    <row r="4544" spans="1:9" x14ac:dyDescent="0.25">
      <c r="A4544" s="1">
        <f t="shared" si="605"/>
        <v>45557</v>
      </c>
      <c r="B4544" s="31">
        <f>TIME(8,9,0)</f>
        <v>0.33958333333333335</v>
      </c>
      <c r="C4544" t="str">
        <f>'Inventory as of 12th Aug 2024'!A9</f>
        <v>Kinangop Fresh Milk 500ml</v>
      </c>
      <c r="D4544">
        <v>1</v>
      </c>
      <c r="E4544" s="5">
        <f>Table4[[#This Row],[qty]]*(VLOOKUP(Table4[[#This Row],[item_sold]],Table1[],5,FALSE))</f>
        <v>60</v>
      </c>
      <c r="F4544" s="5">
        <f>(VLOOKUP(Table4[[#This Row],[item_sold]],Table1[],4,FALSE))*Table4[[#This Row],[qty]]</f>
        <v>55</v>
      </c>
      <c r="G4544">
        <f t="shared" si="592"/>
        <v>5</v>
      </c>
      <c r="H4544" t="s">
        <v>430</v>
      </c>
      <c r="I4544" t="s">
        <v>456</v>
      </c>
    </row>
    <row r="4545" spans="1:9" x14ac:dyDescent="0.25">
      <c r="A4545" s="1">
        <f t="shared" si="605"/>
        <v>45557</v>
      </c>
      <c r="B4545" s="31">
        <f>TIME(8,35,0)</f>
        <v>0.3576388888888889</v>
      </c>
      <c r="C4545" t="str">
        <f>'Inventory as of 12th Aug 2024'!A9</f>
        <v>Kinangop Fresh Milk 500ml</v>
      </c>
      <c r="D4545">
        <v>1</v>
      </c>
      <c r="E4545" s="5">
        <f>Table4[[#This Row],[qty]]*(VLOOKUP(Table4[[#This Row],[item_sold]],Table1[],5,FALSE))</f>
        <v>60</v>
      </c>
      <c r="F4545" s="5">
        <f>(VLOOKUP(Table4[[#This Row],[item_sold]],Table1[],4,FALSE))*Table4[[#This Row],[qty]]</f>
        <v>55</v>
      </c>
      <c r="G4545">
        <f t="shared" si="592"/>
        <v>5</v>
      </c>
      <c r="H4545" t="s">
        <v>430</v>
      </c>
      <c r="I4545" t="s">
        <v>391</v>
      </c>
    </row>
    <row r="4546" spans="1:9" x14ac:dyDescent="0.25">
      <c r="A4546" s="1">
        <f t="shared" si="605"/>
        <v>45557</v>
      </c>
      <c r="B4546" s="31">
        <f t="shared" ref="B4546:B4548" si="607">TIME(8,35,0)</f>
        <v>0.3576388888888889</v>
      </c>
      <c r="C4546" t="str">
        <f>'Inventory as of 12th Aug 2024'!A37</f>
        <v>Festive Bread 400g</v>
      </c>
      <c r="D4546">
        <v>1</v>
      </c>
      <c r="E4546" s="5">
        <f>Table4[[#This Row],[qty]]*(VLOOKUP(Table4[[#This Row],[item_sold]],Table1[],5,FALSE))</f>
        <v>65</v>
      </c>
      <c r="F4546" s="5">
        <f>(VLOOKUP(Table4[[#This Row],[item_sold]],Table1[],4,FALSE))*Table4[[#This Row],[qty]]</f>
        <v>60</v>
      </c>
      <c r="G4546">
        <f t="shared" si="592"/>
        <v>5</v>
      </c>
      <c r="H4546" t="s">
        <v>430</v>
      </c>
    </row>
    <row r="4547" spans="1:9" x14ac:dyDescent="0.25">
      <c r="A4547" s="1">
        <f t="shared" si="605"/>
        <v>45557</v>
      </c>
      <c r="B4547" s="31">
        <f t="shared" si="607"/>
        <v>0.3576388888888889</v>
      </c>
      <c r="C4547" t="str">
        <f>'Inventory as of 12th Aug 2024'!A71</f>
        <v>Sugar 1/4 kg</v>
      </c>
      <c r="D4547">
        <v>1</v>
      </c>
      <c r="E4547" s="5">
        <f>Table4[[#This Row],[qty]]*(VLOOKUP(Table4[[#This Row],[item_sold]],Table1[],5,FALSE))</f>
        <v>45</v>
      </c>
      <c r="F4547" s="5">
        <f>(VLOOKUP(Table4[[#This Row],[item_sold]],Table1[],4,FALSE))*Table4[[#This Row],[qty]]</f>
        <v>30</v>
      </c>
      <c r="G4547">
        <f t="shared" si="592"/>
        <v>15</v>
      </c>
      <c r="H4547" t="s">
        <v>430</v>
      </c>
    </row>
    <row r="4548" spans="1:9" x14ac:dyDescent="0.25">
      <c r="A4548" s="1">
        <f t="shared" si="605"/>
        <v>45557</v>
      </c>
      <c r="B4548" s="31">
        <f t="shared" si="607"/>
        <v>0.3576388888888889</v>
      </c>
      <c r="C4548" t="str">
        <f>'Inventory as of 12th Aug 2024'!A57</f>
        <v>Sportsman</v>
      </c>
      <c r="D4548">
        <v>2</v>
      </c>
      <c r="E4548" s="5">
        <f>Table4[[#This Row],[qty]]*(VLOOKUP(Table4[[#This Row],[item_sold]],Table1[],5,FALSE))</f>
        <v>40</v>
      </c>
      <c r="F4548" s="5">
        <f>(VLOOKUP(Table4[[#This Row],[item_sold]],Table1[],4,FALSE))*Table4[[#This Row],[qty]]</f>
        <v>26</v>
      </c>
      <c r="G4548">
        <f t="shared" si="592"/>
        <v>14</v>
      </c>
      <c r="H4548" t="s">
        <v>430</v>
      </c>
    </row>
    <row r="4549" spans="1:9" x14ac:dyDescent="0.25">
      <c r="A4549" s="1">
        <f t="shared" si="605"/>
        <v>45557</v>
      </c>
      <c r="B4549" s="31">
        <f>TIME(8,37,0)</f>
        <v>0.35902777777777778</v>
      </c>
      <c r="C4549" t="str">
        <f>'Inventory as of 12th Aug 2024'!A17</f>
        <v>Brookside milk 500ml</v>
      </c>
      <c r="D4549">
        <v>1</v>
      </c>
      <c r="E4549" s="5">
        <f>Table4[[#This Row],[qty]]*(VLOOKUP(Table4[[#This Row],[item_sold]],Table1[],5,FALSE))</f>
        <v>70</v>
      </c>
      <c r="F4549" s="5">
        <f>(VLOOKUP(Table4[[#This Row],[item_sold]],Table1[],4,FALSE))*Table4[[#This Row],[qty]]</f>
        <v>59</v>
      </c>
      <c r="G4549">
        <f t="shared" si="592"/>
        <v>11</v>
      </c>
      <c r="H4549" t="s">
        <v>247</v>
      </c>
    </row>
    <row r="4550" spans="1:9" x14ac:dyDescent="0.25">
      <c r="A4550" s="1">
        <f t="shared" si="605"/>
        <v>45557</v>
      </c>
      <c r="B4550" s="31">
        <f>TIME(8,22,0)</f>
        <v>0.34861111111111115</v>
      </c>
      <c r="C4550" t="str">
        <f>'Inventory as of 12th Aug 2024'!A9</f>
        <v>Kinangop Fresh Milk 500ml</v>
      </c>
      <c r="D4550">
        <v>1</v>
      </c>
      <c r="E4550" s="5">
        <f>Table4[[#This Row],[qty]]*(VLOOKUP(Table4[[#This Row],[item_sold]],Table1[],5,FALSE))</f>
        <v>60</v>
      </c>
      <c r="F4550" s="5">
        <f>(VLOOKUP(Table4[[#This Row],[item_sold]],Table1[],4,FALSE))*Table4[[#This Row],[qty]]</f>
        <v>55</v>
      </c>
      <c r="G4550">
        <f t="shared" ref="G4550:G4613" si="608">E4550-F4550</f>
        <v>5</v>
      </c>
      <c r="H4550" t="s">
        <v>361</v>
      </c>
    </row>
    <row r="4551" spans="1:9" x14ac:dyDescent="0.25">
      <c r="A4551" s="1">
        <f t="shared" si="605"/>
        <v>45557</v>
      </c>
      <c r="B4551" s="31">
        <f>TIME(8,22,0)</f>
        <v>0.34861111111111115</v>
      </c>
      <c r="C4551" t="str">
        <f>'Inventory as of 12th Aug 2024'!A37</f>
        <v>Festive Bread 400g</v>
      </c>
      <c r="D4551">
        <v>1</v>
      </c>
      <c r="E4551" s="5">
        <f>Table4[[#This Row],[qty]]*(VLOOKUP(Table4[[#This Row],[item_sold]],Table1[],5,FALSE))</f>
        <v>65</v>
      </c>
      <c r="F4551" s="5">
        <f>(VLOOKUP(Table4[[#This Row],[item_sold]],Table1[],4,FALSE))*Table4[[#This Row],[qty]]</f>
        <v>60</v>
      </c>
      <c r="G4551">
        <f t="shared" si="608"/>
        <v>5</v>
      </c>
      <c r="H4551" t="s">
        <v>361</v>
      </c>
    </row>
    <row r="4552" spans="1:9" x14ac:dyDescent="0.25">
      <c r="A4552" s="1">
        <f t="shared" si="605"/>
        <v>45557</v>
      </c>
      <c r="B4552" s="31">
        <f>TIME(8,46,0)</f>
        <v>0.36527777777777781</v>
      </c>
      <c r="C4552" t="str">
        <f>'Inventory as of 12th Aug 2024'!A91</f>
        <v>Tomatoes</v>
      </c>
      <c r="D4552">
        <v>4</v>
      </c>
      <c r="E4552" s="5">
        <f>Table4[[#This Row],[qty]]*(VLOOKUP(Table4[[#This Row],[item_sold]],Table1[],5,FALSE))</f>
        <v>40</v>
      </c>
      <c r="F4552" s="5">
        <f>(VLOOKUP(Table4[[#This Row],[item_sold]],Table1[],4,FALSE))*Table4[[#This Row],[qty]]</f>
        <v>20</v>
      </c>
      <c r="G4552">
        <f t="shared" si="608"/>
        <v>20</v>
      </c>
      <c r="H4552" t="s">
        <v>361</v>
      </c>
    </row>
    <row r="4553" spans="1:9" x14ac:dyDescent="0.25">
      <c r="A4553" s="1">
        <f t="shared" si="605"/>
        <v>45557</v>
      </c>
      <c r="B4553" s="31">
        <f>TIME(8,50,0)</f>
        <v>0.36805555555555558</v>
      </c>
      <c r="C4553" t="str">
        <f>'Inventory as of 12th Aug 2024'!A17</f>
        <v>Brookside milk 500ml</v>
      </c>
      <c r="D4553">
        <v>1</v>
      </c>
      <c r="E4553" s="5">
        <f>Table4[[#This Row],[qty]]*(VLOOKUP(Table4[[#This Row],[item_sold]],Table1[],5,FALSE))</f>
        <v>70</v>
      </c>
      <c r="F4553" s="5">
        <f>(VLOOKUP(Table4[[#This Row],[item_sold]],Table1[],4,FALSE))*Table4[[#This Row],[qty]]</f>
        <v>59</v>
      </c>
      <c r="G4553">
        <f t="shared" si="608"/>
        <v>11</v>
      </c>
      <c r="H4553" t="s">
        <v>247</v>
      </c>
    </row>
    <row r="4554" spans="1:9" x14ac:dyDescent="0.25">
      <c r="A4554" s="1">
        <f t="shared" si="605"/>
        <v>45557</v>
      </c>
      <c r="B4554" s="31">
        <f>TIME(9,16,0)</f>
        <v>0.38611111111111113</v>
      </c>
      <c r="C4554" t="str">
        <f>'Inventory as of 12th Aug 2024'!A200</f>
        <v>Ngumu</v>
      </c>
      <c r="D4554">
        <v>9</v>
      </c>
      <c r="E4554" s="5">
        <f>Table4[[#This Row],[qty]]*(VLOOKUP(Table4[[#This Row],[item_sold]],Table1[],5,FALSE))</f>
        <v>90</v>
      </c>
      <c r="F4554" s="5">
        <f>(VLOOKUP(Table4[[#This Row],[item_sold]],Table1[],4,FALSE))*Table4[[#This Row],[qty]]</f>
        <v>75</v>
      </c>
      <c r="G4554">
        <f t="shared" si="608"/>
        <v>15</v>
      </c>
      <c r="H4554" t="s">
        <v>247</v>
      </c>
    </row>
    <row r="4555" spans="1:9" x14ac:dyDescent="0.25">
      <c r="A4555" s="1">
        <f t="shared" si="605"/>
        <v>45557</v>
      </c>
      <c r="B4555" s="31">
        <f>TIME(9,20,0)</f>
        <v>0.3888888888888889</v>
      </c>
      <c r="C4555" t="str">
        <f>'Inventory as of 12th Aug 2024'!A33</f>
        <v>BB Bread 400g</v>
      </c>
      <c r="D4555">
        <v>1</v>
      </c>
      <c r="E4555" s="5">
        <f>Table4[[#This Row],[qty]]*(VLOOKUP(Table4[[#This Row],[item_sold]],Table1[],5,FALSE))</f>
        <v>65</v>
      </c>
      <c r="F4555" s="5">
        <f>(VLOOKUP(Table4[[#This Row],[item_sold]],Table1[],4,FALSE))*Table4[[#This Row],[qty]]</f>
        <v>60</v>
      </c>
      <c r="G4555">
        <f t="shared" si="608"/>
        <v>5</v>
      </c>
      <c r="H4555" t="s">
        <v>361</v>
      </c>
    </row>
    <row r="4556" spans="1:9" x14ac:dyDescent="0.25">
      <c r="A4556" s="1">
        <f t="shared" si="605"/>
        <v>45557</v>
      </c>
      <c r="B4556" s="31">
        <f>TIME(9,30,0)</f>
        <v>0.39583333333333331</v>
      </c>
      <c r="C4556" t="str">
        <f>'Inventory as of 12th Aug 2024'!A83</f>
        <v>omo 75g</v>
      </c>
      <c r="D4556">
        <v>1</v>
      </c>
      <c r="E4556" s="5">
        <f>Table4[[#This Row],[qty]]*(VLOOKUP(Table4[[#This Row],[item_sold]],Table1[],5,FALSE))</f>
        <v>35</v>
      </c>
      <c r="F4556" s="5">
        <f>(VLOOKUP(Table4[[#This Row],[item_sold]],Table1[],4,FALSE))*Table4[[#This Row],[qty]]</f>
        <v>27.5</v>
      </c>
      <c r="G4556">
        <f t="shared" si="608"/>
        <v>7.5</v>
      </c>
      <c r="H4556" t="s">
        <v>247</v>
      </c>
    </row>
    <row r="4557" spans="1:9" x14ac:dyDescent="0.25">
      <c r="A4557" s="1">
        <f t="shared" si="605"/>
        <v>45557</v>
      </c>
      <c r="B4557" s="31">
        <f t="shared" ref="B4557:B4559" si="609">TIME(9,30,0)</f>
        <v>0.39583333333333331</v>
      </c>
      <c r="C4557" t="str">
        <f>'Inventory as of 12th Aug 2024'!A79</f>
        <v xml:space="preserve">Whitewash </v>
      </c>
      <c r="D4557">
        <v>1</v>
      </c>
      <c r="E4557" s="5">
        <f>Table4[[#This Row],[qty]]*(VLOOKUP(Table4[[#This Row],[item_sold]],Table1[],5,FALSE))</f>
        <v>50</v>
      </c>
      <c r="F4557" s="5">
        <f>(VLOOKUP(Table4[[#This Row],[item_sold]],Table1[],4,FALSE))*Table4[[#This Row],[qty]]</f>
        <v>33.75</v>
      </c>
      <c r="G4557">
        <f t="shared" si="608"/>
        <v>16.25</v>
      </c>
      <c r="H4557" t="s">
        <v>247</v>
      </c>
    </row>
    <row r="4558" spans="1:9" x14ac:dyDescent="0.25">
      <c r="A4558" s="1">
        <f t="shared" si="605"/>
        <v>45557</v>
      </c>
      <c r="B4558" s="31">
        <f t="shared" si="609"/>
        <v>0.39583333333333331</v>
      </c>
      <c r="C4558" t="str">
        <f>'Inventory as of 12th Aug 2024'!A8</f>
        <v>eggs</v>
      </c>
      <c r="D4558">
        <v>4</v>
      </c>
      <c r="E4558" s="5">
        <f>Table4[[#This Row],[qty]]*(VLOOKUP(Table4[[#This Row],[item_sold]],Table1[],5,FALSE))</f>
        <v>80</v>
      </c>
      <c r="F4558" s="5">
        <f>(VLOOKUP(Table4[[#This Row],[item_sold]],Table1[],4,FALSE))*Table4[[#This Row],[qty]]</f>
        <v>57.333333333333336</v>
      </c>
      <c r="G4558">
        <f t="shared" si="608"/>
        <v>22.666666666666664</v>
      </c>
      <c r="H4558" t="s">
        <v>247</v>
      </c>
    </row>
    <row r="4559" spans="1:9" x14ac:dyDescent="0.25">
      <c r="A4559" s="1">
        <f t="shared" si="605"/>
        <v>45557</v>
      </c>
      <c r="B4559" s="31">
        <f t="shared" si="609"/>
        <v>0.39583333333333331</v>
      </c>
      <c r="C4559" t="str">
        <f>'Inventory as of 12th Aug 2024'!A193</f>
        <v>Ginger Bisquit</v>
      </c>
      <c r="D4559">
        <v>1</v>
      </c>
      <c r="E4559" s="5">
        <f>Table4[[#This Row],[qty]]*(VLOOKUP(Table4[[#This Row],[item_sold]],Table1[],5,FALSE))</f>
        <v>5</v>
      </c>
      <c r="F4559" s="5">
        <f>(VLOOKUP(Table4[[#This Row],[item_sold]],Table1[],4,FALSE))*Table4[[#This Row],[qty]]</f>
        <v>4.333333333333333</v>
      </c>
      <c r="G4559">
        <f t="shared" si="608"/>
        <v>0.66666666666666696</v>
      </c>
      <c r="H4559" t="s">
        <v>247</v>
      </c>
    </row>
    <row r="4560" spans="1:9" x14ac:dyDescent="0.25">
      <c r="A4560" s="1">
        <f t="shared" si="605"/>
        <v>45557</v>
      </c>
      <c r="B4560" s="31">
        <f>TIME(9,25,0)</f>
        <v>0.3923611111111111</v>
      </c>
      <c r="C4560" t="str">
        <f>'Inventory as of 12th Aug 2024'!A33</f>
        <v>BB Bread 400g</v>
      </c>
      <c r="D4560">
        <v>1</v>
      </c>
      <c r="E4560" s="5">
        <f>Table4[[#This Row],[qty]]*(VLOOKUP(Table4[[#This Row],[item_sold]],Table1[],5,FALSE))</f>
        <v>65</v>
      </c>
      <c r="F4560" s="5">
        <f>(VLOOKUP(Table4[[#This Row],[item_sold]],Table1[],4,FALSE))*Table4[[#This Row],[qty]]</f>
        <v>60</v>
      </c>
      <c r="G4560">
        <f t="shared" si="608"/>
        <v>5</v>
      </c>
      <c r="H4560" t="s">
        <v>361</v>
      </c>
    </row>
    <row r="4561" spans="1:12" x14ac:dyDescent="0.25">
      <c r="A4561" s="1">
        <f t="shared" si="605"/>
        <v>45557</v>
      </c>
      <c r="B4561" s="31">
        <f>TIME(9,40,0)</f>
        <v>0.40277777777777773</v>
      </c>
      <c r="C4561" t="str">
        <f>'Inventory as of 12th Aug 2024'!A16</f>
        <v>Mt kenya milk 500ml</v>
      </c>
      <c r="D4561">
        <v>1</v>
      </c>
      <c r="E4561" s="5">
        <f>Table4[[#This Row],[qty]]*(VLOOKUP(Table4[[#This Row],[item_sold]],Table1[],5,FALSE))</f>
        <v>65</v>
      </c>
      <c r="F4561" s="5">
        <f>(VLOOKUP(Table4[[#This Row],[item_sold]],Table1[],4,FALSE))*Table4[[#This Row],[qty]]</f>
        <v>48.333333333333336</v>
      </c>
      <c r="G4561">
        <f t="shared" si="608"/>
        <v>16.666666666666664</v>
      </c>
      <c r="H4561" t="s">
        <v>361</v>
      </c>
    </row>
    <row r="4562" spans="1:12" x14ac:dyDescent="0.25">
      <c r="A4562" s="1">
        <f t="shared" si="605"/>
        <v>45557</v>
      </c>
      <c r="B4562" s="31">
        <f t="shared" ref="B4562" si="610">TIME(9,40,0)</f>
        <v>0.40277777777777773</v>
      </c>
      <c r="C4562" t="str">
        <f>'Inventory as of 12th Aug 2024'!A199</f>
        <v>Kdf</v>
      </c>
      <c r="D4562">
        <v>2</v>
      </c>
      <c r="E4562" s="5">
        <f>Table4[[#This Row],[qty]]*(VLOOKUP(Table4[[#This Row],[item_sold]],Table1[],5,FALSE))</f>
        <v>20</v>
      </c>
      <c r="F4562" s="5">
        <f>(VLOOKUP(Table4[[#This Row],[item_sold]],Table1[],4,FALSE))*Table4[[#This Row],[qty]]</f>
        <v>16.666666666666668</v>
      </c>
      <c r="G4562">
        <f t="shared" si="608"/>
        <v>3.3333333333333321</v>
      </c>
      <c r="H4562" t="s">
        <v>361</v>
      </c>
    </row>
    <row r="4563" spans="1:12" x14ac:dyDescent="0.25">
      <c r="A4563" s="1">
        <f t="shared" si="605"/>
        <v>45557</v>
      </c>
      <c r="B4563" s="31">
        <f>TIME(9,50,0)</f>
        <v>0.40972222222222227</v>
      </c>
      <c r="C4563" t="str">
        <f>'Inventory as of 12th Aug 2024'!A57</f>
        <v>Sportsman</v>
      </c>
      <c r="D4563">
        <v>1</v>
      </c>
      <c r="E4563" s="5">
        <f>Table4[[#This Row],[qty]]*(VLOOKUP(Table4[[#This Row],[item_sold]],Table1[],5,FALSE))</f>
        <v>20</v>
      </c>
      <c r="F4563" s="5">
        <f>(VLOOKUP(Table4[[#This Row],[item_sold]],Table1[],4,FALSE))*Table4[[#This Row],[qty]]</f>
        <v>13</v>
      </c>
      <c r="G4563">
        <f t="shared" si="608"/>
        <v>7</v>
      </c>
      <c r="H4563" t="s">
        <v>361</v>
      </c>
    </row>
    <row r="4564" spans="1:12" x14ac:dyDescent="0.25">
      <c r="A4564" s="1">
        <f t="shared" si="605"/>
        <v>45557</v>
      </c>
      <c r="B4564" s="31">
        <f>TIME(10,12,0)</f>
        <v>0.42499999999999999</v>
      </c>
      <c r="C4564" t="str">
        <f>'Inventory as of 12th Aug 2024'!A8</f>
        <v>eggs</v>
      </c>
      <c r="D4564">
        <v>1</v>
      </c>
      <c r="E4564" s="5">
        <f>Table4[[#This Row],[qty]]*(VLOOKUP(Table4[[#This Row],[item_sold]],Table1[],5,FALSE))</f>
        <v>20</v>
      </c>
      <c r="F4564" s="5">
        <f>(VLOOKUP(Table4[[#This Row],[item_sold]],Table1[],4,FALSE))*Table4[[#This Row],[qty]]</f>
        <v>14.333333333333334</v>
      </c>
      <c r="G4564">
        <f t="shared" si="608"/>
        <v>5.6666666666666661</v>
      </c>
      <c r="H4564" t="s">
        <v>430</v>
      </c>
      <c r="I4564" t="s">
        <v>427</v>
      </c>
      <c r="J4564" t="s">
        <v>427</v>
      </c>
      <c r="K4564">
        <v>20</v>
      </c>
      <c r="L4564" t="s">
        <v>361</v>
      </c>
    </row>
    <row r="4565" spans="1:12" x14ac:dyDescent="0.25">
      <c r="A4565" s="1">
        <f t="shared" si="605"/>
        <v>45557</v>
      </c>
      <c r="B4565" s="31">
        <f>TIME(10,12,0)</f>
        <v>0.42499999999999999</v>
      </c>
      <c r="C4565" t="str">
        <f>'Inventory as of 12th Aug 2024'!A208</f>
        <v>minutemaid 400ml</v>
      </c>
      <c r="D4565">
        <v>1</v>
      </c>
      <c r="E4565" s="5">
        <f>Table4[[#This Row],[qty]]*(VLOOKUP(Table4[[#This Row],[item_sold]],Table1[],5,FALSE))</f>
        <v>85</v>
      </c>
      <c r="F4565" s="5">
        <f>(VLOOKUP(Table4[[#This Row],[item_sold]],Table1[],4,FALSE))*Table4[[#This Row],[qty]]</f>
        <v>62.5</v>
      </c>
      <c r="G4565">
        <f t="shared" si="608"/>
        <v>22.5</v>
      </c>
      <c r="H4565" t="s">
        <v>430</v>
      </c>
      <c r="I4565" t="s">
        <v>385</v>
      </c>
    </row>
    <row r="4566" spans="1:12" x14ac:dyDescent="0.25">
      <c r="A4566" s="1">
        <f t="shared" si="605"/>
        <v>45557</v>
      </c>
      <c r="B4566" s="31">
        <f>TIME(11,25,0)</f>
        <v>0.47569444444444442</v>
      </c>
      <c r="C4566" t="str">
        <f>'Inventory as of 12th Aug 2024'!A239</f>
        <v>Gumballs</v>
      </c>
      <c r="D4566">
        <v>10</v>
      </c>
      <c r="E4566" s="5">
        <f>Table4[[#This Row],[qty]]*(VLOOKUP(Table4[[#This Row],[item_sold]],Table1[],5,FALSE))</f>
        <v>10</v>
      </c>
      <c r="F4566" s="5">
        <f>(VLOOKUP(Table4[[#This Row],[item_sold]],Table1[],4,FALSE))*Table4[[#This Row],[qty]]</f>
        <v>7</v>
      </c>
      <c r="G4566">
        <f t="shared" si="608"/>
        <v>3</v>
      </c>
      <c r="H4566" t="s">
        <v>247</v>
      </c>
    </row>
    <row r="4567" spans="1:12" x14ac:dyDescent="0.25">
      <c r="A4567" s="1">
        <f t="shared" si="605"/>
        <v>45557</v>
      </c>
      <c r="B4567" s="31">
        <f>TIME(12,30,0)</f>
        <v>0.52083333333333337</v>
      </c>
      <c r="C4567" t="str">
        <f>'Inventory as of 12th Aug 2024'!A91</f>
        <v>Tomatoes</v>
      </c>
      <c r="D4567">
        <v>4</v>
      </c>
      <c r="E4567" s="5">
        <f>Table4[[#This Row],[qty]]*(VLOOKUP(Table4[[#This Row],[item_sold]],Table1[],5,FALSE))</f>
        <v>40</v>
      </c>
      <c r="F4567" s="5">
        <f>(VLOOKUP(Table4[[#This Row],[item_sold]],Table1[],4,FALSE))*Table4[[#This Row],[qty]]</f>
        <v>20</v>
      </c>
      <c r="G4567">
        <f t="shared" si="608"/>
        <v>20</v>
      </c>
      <c r="H4567" t="s">
        <v>430</v>
      </c>
      <c r="I4567" t="s">
        <v>391</v>
      </c>
    </row>
    <row r="4568" spans="1:12" x14ac:dyDescent="0.25">
      <c r="A4568" s="1">
        <f t="shared" si="605"/>
        <v>45557</v>
      </c>
      <c r="B4568" s="31">
        <f t="shared" ref="B4568:B4569" si="611">TIME(12,30,0)</f>
        <v>0.52083333333333337</v>
      </c>
      <c r="C4568" t="str">
        <f>'Inventory as of 12th Aug 2024'!A90</f>
        <v>Onion</v>
      </c>
      <c r="D4568">
        <v>1</v>
      </c>
      <c r="E4568" s="5">
        <f>Table4[[#This Row],[qty]]*(VLOOKUP(Table4[[#This Row],[item_sold]],Table1[],5,FALSE))</f>
        <v>10</v>
      </c>
      <c r="F4568" s="5">
        <f>(VLOOKUP(Table4[[#This Row],[item_sold]],Table1[],4,FALSE))*Table4[[#This Row],[qty]]</f>
        <v>8</v>
      </c>
      <c r="G4568">
        <f t="shared" si="608"/>
        <v>2</v>
      </c>
      <c r="H4568" t="s">
        <v>430</v>
      </c>
    </row>
    <row r="4569" spans="1:12" x14ac:dyDescent="0.25">
      <c r="A4569" s="1">
        <f t="shared" si="605"/>
        <v>45557</v>
      </c>
      <c r="B4569" s="31">
        <f t="shared" si="611"/>
        <v>0.52083333333333337</v>
      </c>
      <c r="C4569" t="str">
        <f>'Inventory as of 12th Aug 2024'!A57</f>
        <v>Sportsman</v>
      </c>
      <c r="D4569">
        <v>2</v>
      </c>
      <c r="E4569" s="5">
        <f>Table4[[#This Row],[qty]]*(VLOOKUP(Table4[[#This Row],[item_sold]],Table1[],5,FALSE))</f>
        <v>40</v>
      </c>
      <c r="F4569" s="5">
        <f>(VLOOKUP(Table4[[#This Row],[item_sold]],Table1[],4,FALSE))*Table4[[#This Row],[qty]]</f>
        <v>26</v>
      </c>
      <c r="G4569">
        <f t="shared" si="608"/>
        <v>14</v>
      </c>
      <c r="H4569" t="s">
        <v>361</v>
      </c>
      <c r="J4569" t="s">
        <v>391</v>
      </c>
      <c r="K4569">
        <v>40</v>
      </c>
      <c r="L4569" t="s">
        <v>361</v>
      </c>
    </row>
    <row r="4570" spans="1:12" x14ac:dyDescent="0.25">
      <c r="A4570" s="1">
        <f t="shared" si="605"/>
        <v>45557</v>
      </c>
      <c r="B4570" s="31">
        <f>TIME(12,25,0)</f>
        <v>0.51736111111111105</v>
      </c>
      <c r="C4570" t="str">
        <f>'Inventory as of 12th Aug 2024'!A213</f>
        <v>soda 500ml glass</v>
      </c>
      <c r="D4570">
        <v>3</v>
      </c>
      <c r="E4570" s="5">
        <f>Table4[[#This Row],[qty]]*(VLOOKUP(Table4[[#This Row],[item_sold]],Table1[],5,FALSE))</f>
        <v>165</v>
      </c>
      <c r="F4570" s="5">
        <f>(VLOOKUP(Table4[[#This Row],[item_sold]],Table1[],4,FALSE))*Table4[[#This Row],[qty]]</f>
        <v>150</v>
      </c>
      <c r="G4570">
        <f t="shared" si="608"/>
        <v>15</v>
      </c>
      <c r="H4570" t="s">
        <v>430</v>
      </c>
      <c r="I4570" t="s">
        <v>404</v>
      </c>
    </row>
    <row r="4571" spans="1:12" x14ac:dyDescent="0.25">
      <c r="A4571" s="1">
        <f t="shared" si="605"/>
        <v>45557</v>
      </c>
      <c r="B4571" s="31">
        <f t="shared" ref="B4571:B4574" si="612">TIME(12,25,0)</f>
        <v>0.51736111111111105</v>
      </c>
      <c r="C4571" t="str">
        <f>'Inventory as of 12th Aug 2024'!A47</f>
        <v>Pembe 2kg</v>
      </c>
      <c r="D4571">
        <v>1</v>
      </c>
      <c r="E4571" s="5">
        <f>Table4[[#This Row],[qty]]*(VLOOKUP(Table4[[#This Row],[item_sold]],Table1[],5,FALSE))</f>
        <v>160</v>
      </c>
      <c r="F4571" s="5">
        <f>(VLOOKUP(Table4[[#This Row],[item_sold]],Table1[],4,FALSE))*Table4[[#This Row],[qty]]</f>
        <v>123.33333333333333</v>
      </c>
      <c r="G4571">
        <f t="shared" si="608"/>
        <v>36.666666666666671</v>
      </c>
      <c r="H4571" t="s">
        <v>430</v>
      </c>
    </row>
    <row r="4572" spans="1:12" x14ac:dyDescent="0.25">
      <c r="A4572" s="1">
        <f t="shared" si="605"/>
        <v>45557</v>
      </c>
      <c r="B4572" s="31">
        <f t="shared" si="612"/>
        <v>0.51736111111111105</v>
      </c>
      <c r="C4572" t="str">
        <f>'Inventory as of 12th Aug 2024'!A44</f>
        <v>Ajab 2kg</v>
      </c>
      <c r="D4572">
        <v>1</v>
      </c>
      <c r="E4572" s="5">
        <f>Table4[[#This Row],[qty]]*(VLOOKUP(Table4[[#This Row],[item_sold]],Table1[],5,FALSE))</f>
        <v>220</v>
      </c>
      <c r="F4572" s="5">
        <f>(VLOOKUP(Table4[[#This Row],[item_sold]],Table1[],4,FALSE))*Table4[[#This Row],[qty]]</f>
        <v>175</v>
      </c>
      <c r="G4572">
        <f t="shared" si="608"/>
        <v>45</v>
      </c>
      <c r="H4572" t="s">
        <v>430</v>
      </c>
    </row>
    <row r="4573" spans="1:12" x14ac:dyDescent="0.25">
      <c r="A4573" s="1">
        <f t="shared" si="605"/>
        <v>45557</v>
      </c>
      <c r="B4573" s="31">
        <f t="shared" si="612"/>
        <v>0.51736111111111105</v>
      </c>
      <c r="C4573" t="str">
        <f>'Inventory as of 12th Aug 2024'!A50</f>
        <v>Pishori rice</v>
      </c>
      <c r="D4573">
        <v>1</v>
      </c>
      <c r="E4573" s="5">
        <f>Table4[[#This Row],[qty]]*(VLOOKUP(Table4[[#This Row],[item_sold]],Table1[],5,FALSE))</f>
        <v>220</v>
      </c>
      <c r="F4573" s="5">
        <f>(VLOOKUP(Table4[[#This Row],[item_sold]],Table1[],4,FALSE))*Table4[[#This Row],[qty]]</f>
        <v>180</v>
      </c>
      <c r="G4573">
        <f t="shared" si="608"/>
        <v>40</v>
      </c>
      <c r="H4573" t="s">
        <v>430</v>
      </c>
    </row>
    <row r="4574" spans="1:12" x14ac:dyDescent="0.25">
      <c r="A4574" s="1">
        <f t="shared" si="605"/>
        <v>45557</v>
      </c>
      <c r="B4574" s="31">
        <f t="shared" si="612"/>
        <v>0.51736111111111105</v>
      </c>
      <c r="C4574" t="str">
        <f>'Inventory as of 12th Aug 2024'!A49</f>
        <v>Ndengu</v>
      </c>
      <c r="D4574">
        <v>1</v>
      </c>
      <c r="E4574" s="5">
        <f>Table4[[#This Row],[qty]]*(VLOOKUP(Table4[[#This Row],[item_sold]],Table1[],5,FALSE))</f>
        <v>160</v>
      </c>
      <c r="F4574" s="5">
        <f>(VLOOKUP(Table4[[#This Row],[item_sold]],Table1[],4,FALSE))*Table4[[#This Row],[qty]]</f>
        <v>120</v>
      </c>
      <c r="G4574">
        <f t="shared" si="608"/>
        <v>40</v>
      </c>
      <c r="H4574" t="s">
        <v>430</v>
      </c>
    </row>
    <row r="4575" spans="1:12" x14ac:dyDescent="0.25">
      <c r="A4575" s="1">
        <f t="shared" si="605"/>
        <v>45557</v>
      </c>
      <c r="B4575" s="31">
        <f>TIME(12,32,0)</f>
        <v>0.52222222222222225</v>
      </c>
      <c r="C4575" t="str">
        <f>'Inventory as of 12th Aug 2024'!A91</f>
        <v>Tomatoes</v>
      </c>
      <c r="D4575">
        <v>2</v>
      </c>
      <c r="E4575" s="5">
        <f>Table4[[#This Row],[qty]]*(VLOOKUP(Table4[[#This Row],[item_sold]],Table1[],5,FALSE))</f>
        <v>20</v>
      </c>
      <c r="F4575" s="5">
        <f>(VLOOKUP(Table4[[#This Row],[item_sold]],Table1[],4,FALSE))*Table4[[#This Row],[qty]]</f>
        <v>10</v>
      </c>
      <c r="G4575">
        <f t="shared" si="608"/>
        <v>10</v>
      </c>
      <c r="H4575" t="s">
        <v>430</v>
      </c>
      <c r="I4575" t="s">
        <v>456</v>
      </c>
    </row>
    <row r="4576" spans="1:12" x14ac:dyDescent="0.25">
      <c r="A4576" s="1">
        <f t="shared" si="605"/>
        <v>45557</v>
      </c>
      <c r="B4576" s="31">
        <f>TIME(12,46,0)</f>
        <v>0.53194444444444444</v>
      </c>
      <c r="C4576" t="str">
        <f>'Inventory as of 12th Aug 2024'!A8</f>
        <v>eggs</v>
      </c>
      <c r="D4576">
        <v>3</v>
      </c>
      <c r="E4576" s="5">
        <f>Table4[[#This Row],[qty]]*(VLOOKUP(Table4[[#This Row],[item_sold]],Table1[],5,FALSE))</f>
        <v>60</v>
      </c>
      <c r="F4576" s="5">
        <f>(VLOOKUP(Table4[[#This Row],[item_sold]],Table1[],4,FALSE))*Table4[[#This Row],[qty]]</f>
        <v>43</v>
      </c>
      <c r="G4576">
        <f t="shared" si="608"/>
        <v>17</v>
      </c>
      <c r="H4576" t="s">
        <v>247</v>
      </c>
    </row>
    <row r="4577" spans="1:12" x14ac:dyDescent="0.25">
      <c r="A4577" s="1">
        <f t="shared" si="605"/>
        <v>45557</v>
      </c>
      <c r="B4577" s="31">
        <f>TIME(13,21,0)</f>
        <v>0.55625000000000002</v>
      </c>
      <c r="C4577" t="str">
        <f>'Inventory as of 12th Aug 2024'!A68</f>
        <v>Royco cubes</v>
      </c>
      <c r="D4577">
        <v>2</v>
      </c>
      <c r="E4577" s="5">
        <f>Table4[[#This Row],[qty]]*(VLOOKUP(Table4[[#This Row],[item_sold]],Table1[],5,FALSE))</f>
        <v>10</v>
      </c>
      <c r="F4577" s="5">
        <f>(VLOOKUP(Table4[[#This Row],[item_sold]],Table1[],4,FALSE))*Table4[[#This Row],[qty]]</f>
        <v>6</v>
      </c>
      <c r="G4577">
        <f t="shared" si="608"/>
        <v>4</v>
      </c>
      <c r="H4577" t="s">
        <v>361</v>
      </c>
    </row>
    <row r="4578" spans="1:12" x14ac:dyDescent="0.25">
      <c r="A4578" s="1">
        <f t="shared" si="605"/>
        <v>45557</v>
      </c>
      <c r="B4578" s="31">
        <f t="shared" ref="B4578" si="613">TIME(13,21,0)</f>
        <v>0.55625000000000002</v>
      </c>
      <c r="C4578" t="str">
        <f>'Inventory as of 12th Aug 2024'!A90</f>
        <v>Onion</v>
      </c>
      <c r="D4578">
        <v>1</v>
      </c>
      <c r="E4578" s="5">
        <f>Table4[[#This Row],[qty]]*(VLOOKUP(Table4[[#This Row],[item_sold]],Table1[],5,FALSE))</f>
        <v>10</v>
      </c>
      <c r="F4578" s="5">
        <f>(VLOOKUP(Table4[[#This Row],[item_sold]],Table1[],4,FALSE))*Table4[[#This Row],[qty]]</f>
        <v>8</v>
      </c>
      <c r="G4578">
        <f t="shared" si="608"/>
        <v>2</v>
      </c>
      <c r="H4578" t="s">
        <v>361</v>
      </c>
    </row>
    <row r="4579" spans="1:12" x14ac:dyDescent="0.25">
      <c r="A4579" s="1">
        <f t="shared" si="605"/>
        <v>45557</v>
      </c>
      <c r="B4579" s="31">
        <f>TIME(14,25,0)</f>
        <v>0.60069444444444442</v>
      </c>
      <c r="C4579" t="str">
        <f>'Inventory as of 12th Aug 2024'!A212</f>
        <v>soda 300ml glass</v>
      </c>
      <c r="D4579">
        <v>2</v>
      </c>
      <c r="E4579" s="5">
        <f>Table4[[#This Row],[qty]]*(VLOOKUP(Table4[[#This Row],[item_sold]],Table1[],5,FALSE))</f>
        <v>80</v>
      </c>
      <c r="F4579" s="5">
        <f>(VLOOKUP(Table4[[#This Row],[item_sold]],Table1[],4,FALSE))*Table4[[#This Row],[qty]]</f>
        <v>65</v>
      </c>
      <c r="G4579">
        <f t="shared" si="608"/>
        <v>15</v>
      </c>
      <c r="H4579" t="s">
        <v>361</v>
      </c>
    </row>
    <row r="4580" spans="1:12" x14ac:dyDescent="0.25">
      <c r="A4580" s="1">
        <f t="shared" si="605"/>
        <v>45557</v>
      </c>
      <c r="B4580" s="31">
        <f t="shared" ref="B4580" si="614">TIME(14,25,0)</f>
        <v>0.60069444444444442</v>
      </c>
      <c r="C4580" t="str">
        <f>'Inventory as of 12th Aug 2024'!A175</f>
        <v>Coconut Cakes</v>
      </c>
      <c r="D4580">
        <v>6</v>
      </c>
      <c r="E4580" s="5">
        <f>Table4[[#This Row],[qty]]*(VLOOKUP(Table4[[#This Row],[item_sold]],Table1[],5,FALSE))</f>
        <v>60</v>
      </c>
      <c r="F4580" s="5">
        <f>(VLOOKUP(Table4[[#This Row],[item_sold]],Table1[],4,FALSE))*Table4[[#This Row],[qty]]</f>
        <v>50</v>
      </c>
      <c r="G4580">
        <f t="shared" si="608"/>
        <v>10</v>
      </c>
      <c r="H4580" t="s">
        <v>361</v>
      </c>
    </row>
    <row r="4581" spans="1:12" x14ac:dyDescent="0.25">
      <c r="A4581" s="1">
        <f t="shared" si="605"/>
        <v>45557</v>
      </c>
      <c r="B4581" s="31">
        <f>TIME(14,46,0)</f>
        <v>0.61527777777777781</v>
      </c>
      <c r="C4581" t="str">
        <f>'Inventory as of 12th Aug 2024'!A16</f>
        <v>Mt kenya milk 500ml</v>
      </c>
      <c r="D4581">
        <v>1</v>
      </c>
      <c r="E4581" s="5">
        <f>Table4[[#This Row],[qty]]*(VLOOKUP(Table4[[#This Row],[item_sold]],Table1[],5,FALSE))</f>
        <v>65</v>
      </c>
      <c r="F4581" s="5">
        <f>(VLOOKUP(Table4[[#This Row],[item_sold]],Table1[],4,FALSE))*Table4[[#This Row],[qty]]</f>
        <v>48.333333333333336</v>
      </c>
      <c r="G4581">
        <f t="shared" si="608"/>
        <v>16.666666666666664</v>
      </c>
      <c r="H4581" t="s">
        <v>361</v>
      </c>
    </row>
    <row r="4582" spans="1:12" x14ac:dyDescent="0.25">
      <c r="A4582" s="1">
        <f t="shared" si="605"/>
        <v>45557</v>
      </c>
      <c r="B4582" s="31">
        <f>TIME(14,46,0)</f>
        <v>0.61527777777777781</v>
      </c>
      <c r="C4582" t="str">
        <f>'Inventory as of 12th Aug 2024'!A175</f>
        <v>Coconut Cakes</v>
      </c>
      <c r="D4582">
        <v>2</v>
      </c>
      <c r="E4582" s="5">
        <f>Table4[[#This Row],[qty]]*(VLOOKUP(Table4[[#This Row],[item_sold]],Table1[],5,FALSE))</f>
        <v>20</v>
      </c>
      <c r="F4582" s="5">
        <f>(VLOOKUP(Table4[[#This Row],[item_sold]],Table1[],4,FALSE))*Table4[[#This Row],[qty]]</f>
        <v>16.666666666666668</v>
      </c>
      <c r="G4582">
        <f t="shared" si="608"/>
        <v>3.3333333333333321</v>
      </c>
      <c r="H4582" t="s">
        <v>361</v>
      </c>
    </row>
    <row r="4583" spans="1:12" x14ac:dyDescent="0.25">
      <c r="A4583" s="1">
        <f t="shared" si="605"/>
        <v>45557</v>
      </c>
      <c r="B4583" s="31">
        <f>TIME(14,53,0)</f>
        <v>0.62013888888888891</v>
      </c>
      <c r="C4583" t="str">
        <f>'Inventory as of 12th Aug 2024'!A204</f>
        <v>soda 2lts</v>
      </c>
      <c r="D4583">
        <v>2</v>
      </c>
      <c r="E4583" s="5">
        <f>Table4[[#This Row],[qty]]*(VLOOKUP(Table4[[#This Row],[item_sold]],Table1[],5,FALSE))</f>
        <v>400</v>
      </c>
      <c r="F4583" s="5">
        <f>(VLOOKUP(Table4[[#This Row],[item_sold]],Table1[],4,FALSE))*Table4[[#This Row],[qty]]</f>
        <v>353.33333333333331</v>
      </c>
      <c r="G4583">
        <f t="shared" si="608"/>
        <v>46.666666666666686</v>
      </c>
      <c r="H4583" t="s">
        <v>247</v>
      </c>
    </row>
    <row r="4584" spans="1:12" x14ac:dyDescent="0.25">
      <c r="A4584" s="1">
        <f t="shared" si="605"/>
        <v>45557</v>
      </c>
      <c r="B4584" s="31">
        <f t="shared" ref="B4584" si="615">TIME(14,53,0)</f>
        <v>0.62013888888888891</v>
      </c>
      <c r="C4584" t="str">
        <f>'Inventory as of 12th Aug 2024'!A91</f>
        <v>Tomatoes</v>
      </c>
      <c r="D4584">
        <v>10</v>
      </c>
      <c r="E4584" s="5">
        <f>Table4[[#This Row],[qty]]*(VLOOKUP(Table4[[#This Row],[item_sold]],Table1[],5,FALSE))</f>
        <v>100</v>
      </c>
      <c r="F4584" s="5">
        <f>(VLOOKUP(Table4[[#This Row],[item_sold]],Table1[],4,FALSE))*Table4[[#This Row],[qty]]</f>
        <v>50</v>
      </c>
      <c r="G4584">
        <f t="shared" si="608"/>
        <v>50</v>
      </c>
      <c r="H4584" t="s">
        <v>247</v>
      </c>
    </row>
    <row r="4585" spans="1:12" x14ac:dyDescent="0.25">
      <c r="A4585" s="1">
        <f t="shared" si="605"/>
        <v>45557</v>
      </c>
      <c r="B4585" s="31">
        <f>TIME(15,2,0)</f>
        <v>0.62638888888888888</v>
      </c>
      <c r="C4585" t="str">
        <f>'Inventory as of 12th Aug 2024'!A83</f>
        <v>omo 75g</v>
      </c>
      <c r="D4585">
        <v>2</v>
      </c>
      <c r="E4585" s="5">
        <f>Table4[[#This Row],[qty]]*(VLOOKUP(Table4[[#This Row],[item_sold]],Table1[],5,FALSE))</f>
        <v>70</v>
      </c>
      <c r="F4585" s="5">
        <f>(VLOOKUP(Table4[[#This Row],[item_sold]],Table1[],4,FALSE))*Table4[[#This Row],[qty]]</f>
        <v>55</v>
      </c>
      <c r="G4585">
        <f t="shared" si="608"/>
        <v>15</v>
      </c>
      <c r="H4585" t="s">
        <v>247</v>
      </c>
      <c r="I4585" t="s">
        <v>395</v>
      </c>
      <c r="J4585" t="s">
        <v>395</v>
      </c>
      <c r="K4585">
        <v>30</v>
      </c>
      <c r="L4585" t="s">
        <v>247</v>
      </c>
    </row>
    <row r="4586" spans="1:12" x14ac:dyDescent="0.25">
      <c r="A4586" s="1">
        <f t="shared" si="605"/>
        <v>45557</v>
      </c>
      <c r="B4586" s="31">
        <f>TIME(15,11,0)</f>
        <v>0.63263888888888886</v>
      </c>
      <c r="C4586" t="str">
        <f>'Inventory as of 12th Aug 2024'!A86</f>
        <v>Downy sunrise fresh</v>
      </c>
      <c r="D4586">
        <v>1</v>
      </c>
      <c r="E4586" s="5">
        <f>Table4[[#This Row],[qty]]*(VLOOKUP(Table4[[#This Row],[item_sold]],Table1[],5,FALSE))</f>
        <v>20</v>
      </c>
      <c r="F4586" s="5">
        <f>(VLOOKUP(Table4[[#This Row],[item_sold]],Table1[],4,FALSE))*Table4[[#This Row],[qty]]</f>
        <v>17.333333333333332</v>
      </c>
      <c r="G4586">
        <f t="shared" si="608"/>
        <v>2.6666666666666679</v>
      </c>
      <c r="H4586" t="s">
        <v>430</v>
      </c>
    </row>
    <row r="4587" spans="1:12" x14ac:dyDescent="0.25">
      <c r="A4587" s="1">
        <f t="shared" si="605"/>
        <v>45557</v>
      </c>
      <c r="B4587" s="31">
        <f t="shared" ref="B4587:B4588" si="616">TIME(15,11,0)</f>
        <v>0.63263888888888886</v>
      </c>
      <c r="C4587" t="str">
        <f>'Inventory as of 12th Aug 2024'!A200</f>
        <v>Ngumu</v>
      </c>
      <c r="D4587">
        <v>1</v>
      </c>
      <c r="E4587" s="5">
        <f>Table4[[#This Row],[qty]]*(VLOOKUP(Table4[[#This Row],[item_sold]],Table1[],5,FALSE))</f>
        <v>10</v>
      </c>
      <c r="F4587" s="5">
        <f>(VLOOKUP(Table4[[#This Row],[item_sold]],Table1[],4,FALSE))*Table4[[#This Row],[qty]]</f>
        <v>8.3333333333333339</v>
      </c>
      <c r="G4587">
        <f t="shared" si="608"/>
        <v>1.6666666666666661</v>
      </c>
      <c r="H4587" t="s">
        <v>361</v>
      </c>
    </row>
    <row r="4588" spans="1:12" x14ac:dyDescent="0.25">
      <c r="A4588" s="1">
        <f t="shared" si="605"/>
        <v>45557</v>
      </c>
      <c r="B4588" s="31">
        <f t="shared" si="616"/>
        <v>0.63263888888888886</v>
      </c>
      <c r="C4588" t="str">
        <f>'Inventory as of 12th Aug 2024'!A50</f>
        <v>Pishori rice</v>
      </c>
      <c r="D4588">
        <v>0.25</v>
      </c>
      <c r="E4588" s="5">
        <f>Table4[[#This Row],[qty]]*(VLOOKUP(Table4[[#This Row],[item_sold]],Table1[],5,FALSE))</f>
        <v>55</v>
      </c>
      <c r="F4588" s="5">
        <f>(VLOOKUP(Table4[[#This Row],[item_sold]],Table1[],4,FALSE))*Table4[[#This Row],[qty]]</f>
        <v>45</v>
      </c>
      <c r="G4588">
        <f t="shared" si="608"/>
        <v>10</v>
      </c>
      <c r="H4588" t="s">
        <v>361</v>
      </c>
    </row>
    <row r="4589" spans="1:12" x14ac:dyDescent="0.25">
      <c r="A4589" s="1">
        <f t="shared" si="605"/>
        <v>45557</v>
      </c>
      <c r="B4589" s="31">
        <f>TIME(15,50,0)</f>
        <v>0.65972222222222221</v>
      </c>
      <c r="C4589" t="str">
        <f>'Inventory as of 12th Aug 2024'!A57</f>
        <v>Sportsman</v>
      </c>
      <c r="D4589">
        <v>1</v>
      </c>
      <c r="E4589" s="5">
        <f>Table4[[#This Row],[qty]]*(VLOOKUP(Table4[[#This Row],[item_sold]],Table1[],5,FALSE))</f>
        <v>20</v>
      </c>
      <c r="F4589" s="5">
        <f>(VLOOKUP(Table4[[#This Row],[item_sold]],Table1[],4,FALSE))*Table4[[#This Row],[qty]]</f>
        <v>13</v>
      </c>
      <c r="G4589">
        <f t="shared" si="608"/>
        <v>7</v>
      </c>
      <c r="H4589" t="s">
        <v>247</v>
      </c>
    </row>
    <row r="4590" spans="1:12" x14ac:dyDescent="0.25">
      <c r="A4590" s="1">
        <f t="shared" si="605"/>
        <v>45557</v>
      </c>
      <c r="B4590" s="31">
        <f>TIME(15,54,0)</f>
        <v>0.66249999999999998</v>
      </c>
      <c r="C4590" t="str">
        <f>'Inventory as of 12th Aug 2024'!A242</f>
        <v>Icepop</v>
      </c>
      <c r="D4590">
        <v>1</v>
      </c>
      <c r="E4590" s="5">
        <f>Table4[[#This Row],[qty]]*(VLOOKUP(Table4[[#This Row],[item_sold]],Table1[],5,FALSE))</f>
        <v>15</v>
      </c>
      <c r="F4590" s="5">
        <f>(VLOOKUP(Table4[[#This Row],[item_sold]],Table1[],4,FALSE))*Table4[[#This Row],[qty]]</f>
        <v>7.5</v>
      </c>
      <c r="G4590">
        <f t="shared" si="608"/>
        <v>7.5</v>
      </c>
      <c r="H4590" t="s">
        <v>247</v>
      </c>
    </row>
    <row r="4591" spans="1:12" x14ac:dyDescent="0.25">
      <c r="A4591" s="1">
        <f t="shared" si="605"/>
        <v>45557</v>
      </c>
      <c r="B4591" s="31">
        <f t="shared" ref="B4591:B4594" si="617">TIME(15,54,0)</f>
        <v>0.66249999999999998</v>
      </c>
      <c r="C4591" t="str">
        <f>'Inventory as of 12th Aug 2024'!A234</f>
        <v>Bigdaddy</v>
      </c>
      <c r="D4591">
        <v>3</v>
      </c>
      <c r="E4591" s="5">
        <f>Table4[[#This Row],[qty]]*(VLOOKUP(Table4[[#This Row],[item_sold]],Table1[],5,FALSE))</f>
        <v>30</v>
      </c>
      <c r="F4591" s="5">
        <f>(VLOOKUP(Table4[[#This Row],[item_sold]],Table1[],4,FALSE))*Table4[[#This Row],[qty]]</f>
        <v>18</v>
      </c>
      <c r="G4591">
        <f t="shared" si="608"/>
        <v>12</v>
      </c>
      <c r="H4591" t="s">
        <v>247</v>
      </c>
    </row>
    <row r="4592" spans="1:12" x14ac:dyDescent="0.25">
      <c r="A4592" s="1">
        <f t="shared" si="605"/>
        <v>45557</v>
      </c>
      <c r="B4592" s="31">
        <f t="shared" si="617"/>
        <v>0.66249999999999998</v>
      </c>
      <c r="C4592" t="str">
        <f>'Inventory as of 12th Aug 2024'!A231</f>
        <v>Patco</v>
      </c>
      <c r="D4592">
        <v>4</v>
      </c>
      <c r="E4592" s="5">
        <f>Table4[[#This Row],[qty]]*(VLOOKUP(Table4[[#This Row],[item_sold]],Table1[],5,FALSE))</f>
        <v>10</v>
      </c>
      <c r="F4592" s="5">
        <f>(VLOOKUP(Table4[[#This Row],[item_sold]],Table1[],4,FALSE))*Table4[[#This Row],[qty]]</f>
        <v>4.8</v>
      </c>
      <c r="G4592">
        <f t="shared" si="608"/>
        <v>5.2</v>
      </c>
      <c r="H4592" t="s">
        <v>247</v>
      </c>
    </row>
    <row r="4593" spans="1:9" x14ac:dyDescent="0.25">
      <c r="A4593" s="1">
        <f t="shared" si="605"/>
        <v>45557</v>
      </c>
      <c r="B4593" s="31">
        <f t="shared" si="617"/>
        <v>0.66249999999999998</v>
      </c>
      <c r="C4593" t="str">
        <f>'Inventory as of 12th Aug 2024'!A232</f>
        <v>coo</v>
      </c>
      <c r="D4593">
        <v>4</v>
      </c>
      <c r="E4593" s="5">
        <f>Table4[[#This Row],[qty]]*(VLOOKUP(Table4[[#This Row],[item_sold]],Table1[],5,FALSE))</f>
        <v>10</v>
      </c>
      <c r="F4593" s="5">
        <f>(VLOOKUP(Table4[[#This Row],[item_sold]],Table1[],4,FALSE))*Table4[[#This Row],[qty]]</f>
        <v>4.8</v>
      </c>
      <c r="G4593">
        <f t="shared" si="608"/>
        <v>5.2</v>
      </c>
      <c r="H4593" t="s">
        <v>247</v>
      </c>
    </row>
    <row r="4594" spans="1:9" x14ac:dyDescent="0.25">
      <c r="A4594" s="1">
        <f t="shared" si="605"/>
        <v>45557</v>
      </c>
      <c r="B4594" s="31">
        <f t="shared" si="617"/>
        <v>0.66249999999999998</v>
      </c>
      <c r="C4594" t="str">
        <f>'Inventory as of 12th Aug 2024'!A191</f>
        <v>Nuvita Bisquit</v>
      </c>
      <c r="D4594">
        <v>3</v>
      </c>
      <c r="E4594" s="5">
        <f>Table4[[#This Row],[qty]]*(VLOOKUP(Table4[[#This Row],[item_sold]],Table1[],5,FALSE))</f>
        <v>15</v>
      </c>
      <c r="F4594" s="5">
        <f>(VLOOKUP(Table4[[#This Row],[item_sold]],Table1[],4,FALSE))*Table4[[#This Row],[qty]]</f>
        <v>12.5</v>
      </c>
      <c r="G4594">
        <f t="shared" si="608"/>
        <v>2.5</v>
      </c>
      <c r="H4594" t="s">
        <v>247</v>
      </c>
    </row>
    <row r="4595" spans="1:9" x14ac:dyDescent="0.25">
      <c r="A4595" s="1">
        <f t="shared" si="605"/>
        <v>45557</v>
      </c>
      <c r="B4595" s="31">
        <f>TIME(15,57,0)</f>
        <v>0.6645833333333333</v>
      </c>
      <c r="C4595" t="str">
        <f>'Inventory as of 12th Aug 2024'!A177</f>
        <v>Ringoz Barbeque</v>
      </c>
      <c r="D4595">
        <v>2</v>
      </c>
      <c r="E4595" s="5">
        <f>Table4[[#This Row],[qty]]*(VLOOKUP(Table4[[#This Row],[item_sold]],Table1[],5,FALSE))</f>
        <v>30</v>
      </c>
      <c r="F4595" s="5">
        <f>(VLOOKUP(Table4[[#This Row],[item_sold]],Table1[],4,FALSE))*Table4[[#This Row],[qty]]</f>
        <v>17.2</v>
      </c>
      <c r="G4595">
        <f t="shared" si="608"/>
        <v>12.8</v>
      </c>
      <c r="H4595" t="s">
        <v>247</v>
      </c>
    </row>
    <row r="4596" spans="1:9" x14ac:dyDescent="0.25">
      <c r="A4596" s="1">
        <f t="shared" si="605"/>
        <v>45557</v>
      </c>
      <c r="B4596" s="31">
        <f t="shared" ref="B4596" si="618">TIME(15,57,0)</f>
        <v>0.6645833333333333</v>
      </c>
      <c r="C4596" t="str">
        <f>'Inventory as of 12th Aug 2024'!A180</f>
        <v>Tamu  Tamu Green</v>
      </c>
      <c r="D4596">
        <v>2</v>
      </c>
      <c r="E4596" s="5">
        <f>Table4[[#This Row],[qty]]*(VLOOKUP(Table4[[#This Row],[item_sold]],Table1[],5,FALSE))</f>
        <v>30</v>
      </c>
      <c r="F4596" s="5">
        <f>(VLOOKUP(Table4[[#This Row],[item_sold]],Table1[],4,FALSE))*Table4[[#This Row],[qty]]</f>
        <v>17.2</v>
      </c>
      <c r="G4596">
        <f t="shared" si="608"/>
        <v>12.8</v>
      </c>
      <c r="H4596" t="s">
        <v>247</v>
      </c>
    </row>
    <row r="4597" spans="1:9" x14ac:dyDescent="0.25">
      <c r="A4597" s="1">
        <f t="shared" si="605"/>
        <v>45557</v>
      </c>
      <c r="B4597" s="31">
        <f>TIME(16,55,0)</f>
        <v>0.70486111111111116</v>
      </c>
      <c r="C4597" t="str">
        <f>'Inventory as of 12th Aug 2024'!A234</f>
        <v>Bigdaddy</v>
      </c>
      <c r="D4597">
        <v>1</v>
      </c>
      <c r="E4597" s="5">
        <f>Table4[[#This Row],[qty]]*(VLOOKUP(Table4[[#This Row],[item_sold]],Table1[],5,FALSE))</f>
        <v>10</v>
      </c>
      <c r="F4597" s="5">
        <f>(VLOOKUP(Table4[[#This Row],[item_sold]],Table1[],4,FALSE))*Table4[[#This Row],[qty]]</f>
        <v>6</v>
      </c>
      <c r="G4597">
        <f t="shared" si="608"/>
        <v>4</v>
      </c>
      <c r="H4597" t="s">
        <v>247</v>
      </c>
    </row>
    <row r="4598" spans="1:9" x14ac:dyDescent="0.25">
      <c r="A4598" s="1">
        <f t="shared" si="605"/>
        <v>45557</v>
      </c>
      <c r="B4598" s="31">
        <f t="shared" ref="B4598" si="619">TIME(16,55,0)</f>
        <v>0.70486111111111116</v>
      </c>
      <c r="C4598" t="str">
        <f>'Inventory as of 12th Aug 2024'!A62</f>
        <v>kensalt 1kg</v>
      </c>
      <c r="D4598">
        <v>1</v>
      </c>
      <c r="E4598" s="5">
        <f>Table4[[#This Row],[qty]]*(VLOOKUP(Table4[[#This Row],[item_sold]],Table1[],5,FALSE))</f>
        <v>50</v>
      </c>
      <c r="F4598" s="5">
        <f>(VLOOKUP(Table4[[#This Row],[item_sold]],Table1[],4,FALSE))*Table4[[#This Row],[qty]]</f>
        <v>35</v>
      </c>
      <c r="G4598">
        <f t="shared" si="608"/>
        <v>15</v>
      </c>
      <c r="H4598" t="s">
        <v>247</v>
      </c>
    </row>
    <row r="4599" spans="1:9" x14ac:dyDescent="0.25">
      <c r="A4599" s="1">
        <f t="shared" si="605"/>
        <v>45557</v>
      </c>
      <c r="B4599" s="31">
        <f>TIME(17,17,0)</f>
        <v>0.72013888888888899</v>
      </c>
      <c r="C4599" t="str">
        <f>'Inventory as of 12th Aug 2024'!A84</f>
        <v>omo 20g</v>
      </c>
      <c r="D4599">
        <v>1</v>
      </c>
      <c r="E4599" s="5">
        <f>Table4[[#This Row],[qty]]*(VLOOKUP(Table4[[#This Row],[item_sold]],Table1[],5,FALSE))</f>
        <v>15</v>
      </c>
      <c r="F4599" s="5">
        <f>(VLOOKUP(Table4[[#This Row],[item_sold]],Table1[],4,FALSE))*Table4[[#This Row],[qty]]</f>
        <v>9.1666666666666661</v>
      </c>
      <c r="G4599">
        <f t="shared" si="608"/>
        <v>5.8333333333333339</v>
      </c>
      <c r="H4599" t="s">
        <v>247</v>
      </c>
    </row>
    <row r="4600" spans="1:9" x14ac:dyDescent="0.25">
      <c r="A4600" s="1">
        <f t="shared" si="605"/>
        <v>45557</v>
      </c>
      <c r="B4600" s="31">
        <f>TIME(17,36,0)</f>
        <v>0.73333333333333339</v>
      </c>
      <c r="C4600" t="str">
        <f>'Inventory as of 12th Aug 2024'!A229</f>
        <v>Fresh green</v>
      </c>
      <c r="D4600">
        <v>1</v>
      </c>
      <c r="E4600" s="5">
        <f>Table4[[#This Row],[qty]]*(VLOOKUP(Table4[[#This Row],[item_sold]],Table1[],5,FALSE))</f>
        <v>10</v>
      </c>
      <c r="F4600" s="5">
        <f>(VLOOKUP(Table4[[#This Row],[item_sold]],Table1[],4,FALSE))*Table4[[#This Row],[qty]]</f>
        <v>5</v>
      </c>
      <c r="G4600">
        <f t="shared" si="608"/>
        <v>5</v>
      </c>
      <c r="H4600" t="s">
        <v>247</v>
      </c>
    </row>
    <row r="4601" spans="1:9" x14ac:dyDescent="0.25">
      <c r="A4601" s="1">
        <f t="shared" si="605"/>
        <v>45557</v>
      </c>
      <c r="B4601" s="31">
        <f>TIME(17,36,0)</f>
        <v>0.73333333333333339</v>
      </c>
      <c r="C4601" t="str">
        <f>'Inventory as of 12th Aug 2024'!A185</f>
        <v>Glucose 10g</v>
      </c>
      <c r="D4601">
        <v>2</v>
      </c>
      <c r="E4601" s="5">
        <f>Table4[[#This Row],[qty]]*(VLOOKUP(Table4[[#This Row],[item_sold]],Table1[],5,FALSE))</f>
        <v>10</v>
      </c>
      <c r="F4601" s="5">
        <f>(VLOOKUP(Table4[[#This Row],[item_sold]],Table1[],4,FALSE))*Table4[[#This Row],[qty]]</f>
        <v>7.5</v>
      </c>
      <c r="G4601">
        <f t="shared" si="608"/>
        <v>2.5</v>
      </c>
      <c r="H4601" t="s">
        <v>247</v>
      </c>
    </row>
    <row r="4602" spans="1:9" x14ac:dyDescent="0.25">
      <c r="A4602" s="1">
        <f t="shared" si="605"/>
        <v>45557</v>
      </c>
      <c r="B4602" s="31">
        <f>TIME(17,40,0)</f>
        <v>0.73611111111111116</v>
      </c>
      <c r="C4602" t="str">
        <f>'Inventory as of 12th Aug 2024'!A106</f>
        <v>Steel Wool 15g</v>
      </c>
      <c r="D4602">
        <v>1</v>
      </c>
      <c r="E4602" s="5">
        <f>Table4[[#This Row],[qty]]*(VLOOKUP(Table4[[#This Row],[item_sold]],Table1[],5,FALSE))</f>
        <v>10</v>
      </c>
      <c r="F4602" s="5">
        <f>(VLOOKUP(Table4[[#This Row],[item_sold]],Table1[],4,FALSE))*Table4[[#This Row],[qty]]</f>
        <v>5.2333333333333334</v>
      </c>
      <c r="G4602">
        <f t="shared" si="608"/>
        <v>4.7666666666666666</v>
      </c>
      <c r="H4602" t="s">
        <v>247</v>
      </c>
    </row>
    <row r="4603" spans="1:9" x14ac:dyDescent="0.25">
      <c r="A4603" s="1">
        <f t="shared" si="605"/>
        <v>45557</v>
      </c>
      <c r="B4603" s="31">
        <f>TIME(18,19,0)</f>
        <v>0.7631944444444444</v>
      </c>
      <c r="C4603" t="str">
        <f>'Inventory as of 12th Aug 2024'!A57</f>
        <v>Sportsman</v>
      </c>
      <c r="D4603">
        <v>1</v>
      </c>
      <c r="E4603" s="5">
        <f>Table4[[#This Row],[qty]]*(VLOOKUP(Table4[[#This Row],[item_sold]],Table1[],5,FALSE))</f>
        <v>20</v>
      </c>
      <c r="F4603" s="5">
        <f>(VLOOKUP(Table4[[#This Row],[item_sold]],Table1[],4,FALSE))*Table4[[#This Row],[qty]]</f>
        <v>13</v>
      </c>
      <c r="G4603">
        <f t="shared" si="608"/>
        <v>7</v>
      </c>
      <c r="H4603" t="s">
        <v>361</v>
      </c>
    </row>
    <row r="4604" spans="1:9" x14ac:dyDescent="0.25">
      <c r="A4604" s="1">
        <f t="shared" si="605"/>
        <v>45557</v>
      </c>
      <c r="B4604" s="31">
        <f>TIME(18,28,0)</f>
        <v>0.76944444444444438</v>
      </c>
      <c r="C4604" t="str">
        <f>'Inventory as of 12th Aug 2024'!A57</f>
        <v>Sportsman</v>
      </c>
      <c r="D4604">
        <v>4</v>
      </c>
      <c r="E4604" s="5">
        <f>Table4[[#This Row],[qty]]*(VLOOKUP(Table4[[#This Row],[item_sold]],Table1[],5,FALSE))</f>
        <v>80</v>
      </c>
      <c r="F4604" s="5">
        <f>(VLOOKUP(Table4[[#This Row],[item_sold]],Table1[],4,FALSE))*Table4[[#This Row],[qty]]</f>
        <v>52</v>
      </c>
      <c r="G4604">
        <f t="shared" si="608"/>
        <v>28</v>
      </c>
      <c r="H4604" t="s">
        <v>361</v>
      </c>
    </row>
    <row r="4605" spans="1:9" x14ac:dyDescent="0.25">
      <c r="A4605" s="1">
        <f t="shared" ref="A4605:A4615" si="620">DATE(2024,9,22)</f>
        <v>45557</v>
      </c>
      <c r="B4605" s="31">
        <f t="shared" ref="B4605" si="621">TIME(18,28,0)</f>
        <v>0.76944444444444438</v>
      </c>
      <c r="C4605" t="str">
        <f>'Inventory as of 12th Aug 2024'!A120</f>
        <v>Maramoja</v>
      </c>
      <c r="D4605">
        <v>1</v>
      </c>
      <c r="E4605" s="5">
        <f>Table4[[#This Row],[qty]]*(VLOOKUP(Table4[[#This Row],[item_sold]],Table1[],5,FALSE))</f>
        <v>10</v>
      </c>
      <c r="F4605" s="5">
        <f>(VLOOKUP(Table4[[#This Row],[item_sold]],Table1[],4,FALSE))*Table4[[#This Row],[qty]]</f>
        <v>7</v>
      </c>
      <c r="G4605">
        <f t="shared" si="608"/>
        <v>3</v>
      </c>
      <c r="H4605" t="s">
        <v>361</v>
      </c>
    </row>
    <row r="4606" spans="1:9" x14ac:dyDescent="0.25">
      <c r="A4606" s="1">
        <f t="shared" si="620"/>
        <v>45557</v>
      </c>
      <c r="B4606" s="31">
        <f>TIME(18,40,0)</f>
        <v>0.77777777777777779</v>
      </c>
      <c r="C4606" t="str">
        <f>'Inventory as of 12th Aug 2024'!A16</f>
        <v>Mt kenya milk 500ml</v>
      </c>
      <c r="D4606">
        <v>4</v>
      </c>
      <c r="E4606" s="5">
        <f>Table4[[#This Row],[qty]]*(VLOOKUP(Table4[[#This Row],[item_sold]],Table1[],5,FALSE))</f>
        <v>260</v>
      </c>
      <c r="F4606" s="5">
        <f>(VLOOKUP(Table4[[#This Row],[item_sold]],Table1[],4,FALSE))*Table4[[#This Row],[qty]]</f>
        <v>193.33333333333334</v>
      </c>
      <c r="G4606">
        <f t="shared" si="608"/>
        <v>66.666666666666657</v>
      </c>
      <c r="H4606" t="s">
        <v>247</v>
      </c>
    </row>
    <row r="4607" spans="1:9" x14ac:dyDescent="0.25">
      <c r="A4607" s="1">
        <f t="shared" si="620"/>
        <v>45557</v>
      </c>
      <c r="B4607" s="31">
        <f t="shared" ref="B4607" si="622">TIME(18,40,0)</f>
        <v>0.77777777777777779</v>
      </c>
      <c r="C4607" t="str">
        <f>'Inventory as of 12th Aug 2024'!A35</f>
        <v>Festive 600g</v>
      </c>
      <c r="D4607">
        <v>1</v>
      </c>
      <c r="E4607" s="5">
        <f>Table4[[#This Row],[qty]]*(VLOOKUP(Table4[[#This Row],[item_sold]],Table1[],5,FALSE))</f>
        <v>100</v>
      </c>
      <c r="F4607" s="5">
        <f>(VLOOKUP(Table4[[#This Row],[item_sold]],Table1[],4,FALSE))*Table4[[#This Row],[qty]]</f>
        <v>90</v>
      </c>
      <c r="G4607">
        <f t="shared" si="608"/>
        <v>10</v>
      </c>
      <c r="H4607" t="s">
        <v>247</v>
      </c>
    </row>
    <row r="4608" spans="1:9" x14ac:dyDescent="0.25">
      <c r="A4608" s="1">
        <f t="shared" si="620"/>
        <v>45557</v>
      </c>
      <c r="B4608" s="31">
        <f>TIME(18,50,0)</f>
        <v>0.78472222222222221</v>
      </c>
      <c r="C4608" t="str">
        <f>'Inventory as of 12th Aug 2024'!A91</f>
        <v>Tomatoes</v>
      </c>
      <c r="D4608">
        <v>2</v>
      </c>
      <c r="E4608" s="5">
        <f>Table4[[#This Row],[qty]]*(VLOOKUP(Table4[[#This Row],[item_sold]],Table1[],5,FALSE))</f>
        <v>20</v>
      </c>
      <c r="F4608" s="5">
        <f>(VLOOKUP(Table4[[#This Row],[item_sold]],Table1[],4,FALSE))*Table4[[#This Row],[qty]]</f>
        <v>10</v>
      </c>
      <c r="G4608">
        <f t="shared" si="608"/>
        <v>10</v>
      </c>
      <c r="H4608" t="s">
        <v>430</v>
      </c>
      <c r="I4608" t="s">
        <v>456</v>
      </c>
    </row>
    <row r="4609" spans="1:12" x14ac:dyDescent="0.25">
      <c r="A4609" s="1">
        <f t="shared" si="620"/>
        <v>45557</v>
      </c>
      <c r="B4609" s="31">
        <f>TIME(18,55,0)</f>
        <v>0.78819444444444453</v>
      </c>
      <c r="C4609" t="str">
        <f>'Inventory as of 12th Aug 2024'!A17</f>
        <v>Brookside milk 500ml</v>
      </c>
      <c r="D4609">
        <v>3</v>
      </c>
      <c r="E4609" s="5">
        <f>Table4[[#This Row],[qty]]*(VLOOKUP(Table4[[#This Row],[item_sold]],Table1[],5,FALSE))</f>
        <v>210</v>
      </c>
      <c r="F4609" s="5">
        <f>(VLOOKUP(Table4[[#This Row],[item_sold]],Table1[],4,FALSE))*Table4[[#This Row],[qty]]</f>
        <v>177</v>
      </c>
      <c r="G4609">
        <f t="shared" si="608"/>
        <v>33</v>
      </c>
      <c r="H4609" t="s">
        <v>430</v>
      </c>
      <c r="I4609" t="s">
        <v>403</v>
      </c>
    </row>
    <row r="4610" spans="1:12" x14ac:dyDescent="0.25">
      <c r="A4610" s="1">
        <f t="shared" si="620"/>
        <v>45557</v>
      </c>
      <c r="B4610" s="31">
        <f>TIME(19,30,0)</f>
        <v>0.8125</v>
      </c>
      <c r="C4610" t="str">
        <f>'Inventory as of 12th Aug 2024'!A57</f>
        <v>Sportsman</v>
      </c>
      <c r="D4610">
        <v>1</v>
      </c>
      <c r="E4610" s="5">
        <f>Table4[[#This Row],[qty]]*(VLOOKUP(Table4[[#This Row],[item_sold]],Table1[],5,FALSE))</f>
        <v>20</v>
      </c>
      <c r="F4610" s="5">
        <f>(VLOOKUP(Table4[[#This Row],[item_sold]],Table1[],4,FALSE))*Table4[[#This Row],[qty]]</f>
        <v>13</v>
      </c>
      <c r="G4610">
        <f t="shared" si="608"/>
        <v>7</v>
      </c>
      <c r="H4610" t="s">
        <v>361</v>
      </c>
    </row>
    <row r="4611" spans="1:12" x14ac:dyDescent="0.25">
      <c r="A4611" s="1">
        <f t="shared" si="620"/>
        <v>45557</v>
      </c>
      <c r="B4611" s="31">
        <f>TIME(19,30,0)</f>
        <v>0.8125</v>
      </c>
      <c r="C4611" t="str">
        <f>'Inventory as of 12th Aug 2024'!A175</f>
        <v>Coconut Cakes</v>
      </c>
      <c r="D4611">
        <v>3</v>
      </c>
      <c r="E4611" s="5">
        <f>Table4[[#This Row],[qty]]*(VLOOKUP(Table4[[#This Row],[item_sold]],Table1[],5,FALSE))</f>
        <v>30</v>
      </c>
      <c r="F4611" s="5">
        <f>(VLOOKUP(Table4[[#This Row],[item_sold]],Table1[],4,FALSE))*Table4[[#This Row],[qty]]</f>
        <v>25</v>
      </c>
      <c r="G4611">
        <f t="shared" si="608"/>
        <v>5</v>
      </c>
      <c r="H4611" t="s">
        <v>361</v>
      </c>
    </row>
    <row r="4612" spans="1:12" x14ac:dyDescent="0.25">
      <c r="A4612" s="1">
        <f t="shared" si="620"/>
        <v>45557</v>
      </c>
      <c r="B4612" s="31">
        <f t="shared" ref="B4612:B4613" si="623">TIME(19,30,0)</f>
        <v>0.8125</v>
      </c>
      <c r="C4612" t="str">
        <f>'Inventory as of 12th Aug 2024'!A200</f>
        <v>Ngumu</v>
      </c>
      <c r="D4612">
        <v>1</v>
      </c>
      <c r="E4612" s="5">
        <f>Table4[[#This Row],[qty]]*(VLOOKUP(Table4[[#This Row],[item_sold]],Table1[],5,FALSE))</f>
        <v>10</v>
      </c>
      <c r="F4612" s="5">
        <f>(VLOOKUP(Table4[[#This Row],[item_sold]],Table1[],4,FALSE))*Table4[[#This Row],[qty]]</f>
        <v>8.3333333333333339</v>
      </c>
      <c r="G4612">
        <f t="shared" si="608"/>
        <v>1.6666666666666661</v>
      </c>
      <c r="H4612" t="s">
        <v>361</v>
      </c>
    </row>
    <row r="4613" spans="1:12" x14ac:dyDescent="0.25">
      <c r="A4613" s="1">
        <f t="shared" si="620"/>
        <v>45557</v>
      </c>
      <c r="B4613" s="31">
        <f t="shared" si="623"/>
        <v>0.8125</v>
      </c>
      <c r="C4613" t="str">
        <f>'Inventory as of 12th Aug 2024'!A209</f>
        <v>afia 500ml</v>
      </c>
      <c r="D4613">
        <v>1</v>
      </c>
      <c r="E4613" s="5">
        <f>Table4[[#This Row],[qty]]*(VLOOKUP(Table4[[#This Row],[item_sold]],Table1[],5,FALSE))</f>
        <v>85</v>
      </c>
      <c r="F4613" s="5">
        <f>(VLOOKUP(Table4[[#This Row],[item_sold]],Table1[],4,FALSE))*Table4[[#This Row],[qty]]</f>
        <v>70.833333333333329</v>
      </c>
      <c r="G4613">
        <f t="shared" si="608"/>
        <v>14.166666666666671</v>
      </c>
      <c r="H4613" t="s">
        <v>361</v>
      </c>
    </row>
    <row r="4614" spans="1:12" x14ac:dyDescent="0.25">
      <c r="A4614" s="1">
        <f t="shared" si="620"/>
        <v>45557</v>
      </c>
      <c r="B4614" s="31">
        <f>TIME(20,10,0)</f>
        <v>0.84027777777777779</v>
      </c>
      <c r="C4614" t="str">
        <f>'Inventory as of 12th Aug 2024'!A33</f>
        <v>BB Bread 400g</v>
      </c>
      <c r="D4614">
        <v>1</v>
      </c>
      <c r="E4614" s="5">
        <f>Table4[[#This Row],[qty]]*(VLOOKUP(Table4[[#This Row],[item_sold]],Table1[],5,FALSE))</f>
        <v>65</v>
      </c>
      <c r="F4614" s="5">
        <f>(VLOOKUP(Table4[[#This Row],[item_sold]],Table1[],4,FALSE))*Table4[[#This Row],[qty]]</f>
        <v>60</v>
      </c>
      <c r="G4614">
        <f t="shared" ref="G4614:G4633" si="624">E4614-F4614</f>
        <v>5</v>
      </c>
      <c r="H4614" t="s">
        <v>361</v>
      </c>
    </row>
    <row r="4615" spans="1:12" x14ac:dyDescent="0.25">
      <c r="A4615" s="1">
        <f t="shared" si="620"/>
        <v>45557</v>
      </c>
      <c r="B4615" s="31">
        <f>TIME(20,7,0)</f>
        <v>0.83819444444444446</v>
      </c>
      <c r="C4615" t="str">
        <f>'Inventory as of 12th Aug 2024'!A143</f>
        <v>Maxguard</v>
      </c>
      <c r="D4615">
        <v>1</v>
      </c>
      <c r="E4615" s="5">
        <f>Table4[[#This Row],[qty]]*(VLOOKUP(Table4[[#This Row],[item_sold]],Table1[],5,FALSE))</f>
        <v>80</v>
      </c>
      <c r="F4615" s="5">
        <f>(VLOOKUP(Table4[[#This Row],[item_sold]],Table1[],4,FALSE))*Table4[[#This Row],[qty]]</f>
        <v>30</v>
      </c>
      <c r="G4615">
        <f t="shared" si="624"/>
        <v>50</v>
      </c>
      <c r="H4615" t="s">
        <v>430</v>
      </c>
      <c r="I4615" t="s">
        <v>450</v>
      </c>
      <c r="J4615" t="s">
        <v>450</v>
      </c>
      <c r="K4615">
        <v>40</v>
      </c>
      <c r="L4615" t="s">
        <v>247</v>
      </c>
    </row>
    <row r="4616" spans="1:12" x14ac:dyDescent="0.25">
      <c r="A4616" s="1">
        <f>DATE(2024,9,23)</f>
        <v>45558</v>
      </c>
      <c r="B4616" s="31">
        <f>TIME(7,30,0)</f>
        <v>0.3125</v>
      </c>
      <c r="C4616" t="str">
        <f>'Inventory as of 12th Aug 2024'!A37</f>
        <v>Festive Bread 400g</v>
      </c>
      <c r="D4616">
        <v>1</v>
      </c>
      <c r="E4616" s="5">
        <f>Table4[[#This Row],[qty]]*(VLOOKUP(Table4[[#This Row],[item_sold]],Table1[],5,FALSE))</f>
        <v>65</v>
      </c>
      <c r="F4616" s="5">
        <f>(VLOOKUP(Table4[[#This Row],[item_sold]],Table1[],4,FALSE))*Table4[[#This Row],[qty]]</f>
        <v>60</v>
      </c>
      <c r="G4616">
        <f t="shared" si="624"/>
        <v>5</v>
      </c>
      <c r="H4616" t="s">
        <v>430</v>
      </c>
      <c r="I4616" t="s">
        <v>390</v>
      </c>
    </row>
    <row r="4617" spans="1:12" x14ac:dyDescent="0.25">
      <c r="A4617" s="1">
        <f t="shared" ref="A4617:A4667" si="625">DATE(2024,9,23)</f>
        <v>45558</v>
      </c>
      <c r="B4617" s="31">
        <f>TIME(8,4,0)</f>
        <v>0.33611111111111108</v>
      </c>
      <c r="C4617" t="str">
        <f>'Inventory as of 12th Aug 2024'!A57</f>
        <v>Sportsman</v>
      </c>
      <c r="D4617">
        <v>1</v>
      </c>
      <c r="E4617" s="5">
        <f>Table4[[#This Row],[qty]]*(VLOOKUP(Table4[[#This Row],[item_sold]],Table1[],5,FALSE))</f>
        <v>20</v>
      </c>
      <c r="F4617" s="5">
        <f>(VLOOKUP(Table4[[#This Row],[item_sold]],Table1[],4,FALSE))*Table4[[#This Row],[qty]]</f>
        <v>13</v>
      </c>
      <c r="G4617">
        <f t="shared" si="624"/>
        <v>7</v>
      </c>
      <c r="H4617" t="s">
        <v>247</v>
      </c>
    </row>
    <row r="4618" spans="1:12" x14ac:dyDescent="0.25">
      <c r="A4618" s="1">
        <f t="shared" si="625"/>
        <v>45558</v>
      </c>
      <c r="B4618" s="31">
        <f>TIME(8,20,0)</f>
        <v>0.34722222222222227</v>
      </c>
      <c r="C4618" t="str">
        <f>'Inventory as of 12th Aug 2024'!A44</f>
        <v>Ajab 2kg</v>
      </c>
      <c r="D4618">
        <v>1</v>
      </c>
      <c r="E4618" s="5">
        <f>Table4[[#This Row],[qty]]*(VLOOKUP(Table4[[#This Row],[item_sold]],Table1[],5,FALSE))</f>
        <v>220</v>
      </c>
      <c r="F4618" s="5">
        <f>(VLOOKUP(Table4[[#This Row],[item_sold]],Table1[],4,FALSE))*Table4[[#This Row],[qty]]</f>
        <v>175</v>
      </c>
      <c r="G4618">
        <f t="shared" si="624"/>
        <v>45</v>
      </c>
      <c r="H4618" t="s">
        <v>430</v>
      </c>
      <c r="I4618" t="s">
        <v>392</v>
      </c>
    </row>
    <row r="4619" spans="1:12" x14ac:dyDescent="0.25">
      <c r="A4619" s="1">
        <f t="shared" si="625"/>
        <v>45558</v>
      </c>
      <c r="B4619" s="31">
        <f>TIME(8,21,0)</f>
        <v>0.34791666666666665</v>
      </c>
      <c r="C4619" t="str">
        <f>'Inventory as of 12th Aug 2024'!A175</f>
        <v>Coconut Cakes</v>
      </c>
      <c r="D4619">
        <v>2</v>
      </c>
      <c r="E4619" s="5">
        <f>Table4[[#This Row],[qty]]*(VLOOKUP(Table4[[#This Row],[item_sold]],Table1[],5,FALSE))</f>
        <v>20</v>
      </c>
      <c r="F4619" s="5">
        <f>(VLOOKUP(Table4[[#This Row],[item_sold]],Table1[],4,FALSE))*Table4[[#This Row],[qty]]</f>
        <v>16.666666666666668</v>
      </c>
      <c r="G4619">
        <f t="shared" si="624"/>
        <v>3.3333333333333321</v>
      </c>
      <c r="H4619" t="s">
        <v>361</v>
      </c>
    </row>
    <row r="4620" spans="1:12" x14ac:dyDescent="0.25">
      <c r="A4620" s="1">
        <f t="shared" si="625"/>
        <v>45558</v>
      </c>
      <c r="B4620" s="31">
        <f>TIME(9,7,0)</f>
        <v>0.37986111111111115</v>
      </c>
      <c r="C4620" t="str">
        <f>'Inventory as of 12th Aug 2024'!A57</f>
        <v>Sportsman</v>
      </c>
      <c r="D4620">
        <v>1</v>
      </c>
      <c r="E4620" s="5">
        <f>Table4[[#This Row],[qty]]*(VLOOKUP(Table4[[#This Row],[item_sold]],Table1[],5,FALSE))</f>
        <v>20</v>
      </c>
      <c r="F4620" s="5">
        <f>(VLOOKUP(Table4[[#This Row],[item_sold]],Table1[],4,FALSE))*Table4[[#This Row],[qty]]</f>
        <v>13</v>
      </c>
      <c r="G4620">
        <f t="shared" si="624"/>
        <v>7</v>
      </c>
      <c r="H4620" t="s">
        <v>247</v>
      </c>
    </row>
    <row r="4621" spans="1:12" x14ac:dyDescent="0.25">
      <c r="A4621" s="1">
        <f t="shared" si="625"/>
        <v>45558</v>
      </c>
      <c r="B4621" s="31">
        <f>TIME(9,48,0)</f>
        <v>0.40833333333333338</v>
      </c>
      <c r="C4621" t="str">
        <f>'Inventory as of 12th Aug 2024'!A57</f>
        <v>Sportsman</v>
      </c>
      <c r="D4621">
        <v>2</v>
      </c>
      <c r="E4621" s="5">
        <f>Table4[[#This Row],[qty]]*(VLOOKUP(Table4[[#This Row],[item_sold]],Table1[],5,FALSE))</f>
        <v>40</v>
      </c>
      <c r="F4621" s="5">
        <f>(VLOOKUP(Table4[[#This Row],[item_sold]],Table1[],4,FALSE))*Table4[[#This Row],[qty]]</f>
        <v>26</v>
      </c>
      <c r="G4621">
        <f t="shared" si="624"/>
        <v>14</v>
      </c>
      <c r="H4621" t="s">
        <v>430</v>
      </c>
      <c r="I4621" t="s">
        <v>447</v>
      </c>
    </row>
    <row r="4622" spans="1:12" x14ac:dyDescent="0.25">
      <c r="A4622" s="1">
        <f t="shared" si="625"/>
        <v>45558</v>
      </c>
      <c r="B4622" s="31">
        <f>TIME(11,56,0)</f>
        <v>0.49722222222222223</v>
      </c>
      <c r="C4622" t="str">
        <f>'Inventory as of 12th Aug 2024'!A16</f>
        <v>Mt kenya milk 500ml</v>
      </c>
      <c r="D4622">
        <v>2</v>
      </c>
      <c r="E4622" s="5">
        <f>Table4[[#This Row],[qty]]*(VLOOKUP(Table4[[#This Row],[item_sold]],Table1[],5,FALSE))</f>
        <v>130</v>
      </c>
      <c r="F4622" s="5">
        <f>(VLOOKUP(Table4[[#This Row],[item_sold]],Table1[],4,FALSE))*Table4[[#This Row],[qty]]</f>
        <v>96.666666666666671</v>
      </c>
      <c r="G4622">
        <f t="shared" si="624"/>
        <v>33.333333333333329</v>
      </c>
      <c r="H4622" t="s">
        <v>361</v>
      </c>
    </row>
    <row r="4623" spans="1:12" x14ac:dyDescent="0.25">
      <c r="A4623" s="1">
        <f t="shared" si="625"/>
        <v>45558</v>
      </c>
      <c r="B4623" s="31">
        <f t="shared" ref="B4623" si="626">TIME(11,56,0)</f>
        <v>0.49722222222222223</v>
      </c>
      <c r="C4623" t="str">
        <f>'Inventory as of 12th Aug 2024'!A33</f>
        <v>BB Bread 400g</v>
      </c>
      <c r="D4623">
        <v>1</v>
      </c>
      <c r="E4623" s="5">
        <f>Table4[[#This Row],[qty]]*(VLOOKUP(Table4[[#This Row],[item_sold]],Table1[],5,FALSE))</f>
        <v>65</v>
      </c>
      <c r="F4623" s="5">
        <f>(VLOOKUP(Table4[[#This Row],[item_sold]],Table1[],4,FALSE))*Table4[[#This Row],[qty]]</f>
        <v>60</v>
      </c>
      <c r="G4623">
        <f t="shared" si="624"/>
        <v>5</v>
      </c>
      <c r="H4623" t="s">
        <v>361</v>
      </c>
    </row>
    <row r="4624" spans="1:12" x14ac:dyDescent="0.25">
      <c r="A4624" s="1">
        <f t="shared" si="625"/>
        <v>45558</v>
      </c>
      <c r="B4624" s="31">
        <f>TIME(12,8,0)</f>
        <v>0.50555555555555554</v>
      </c>
      <c r="C4624" t="str">
        <f>'Inventory as of 12th Aug 2024'!A90</f>
        <v>Onion</v>
      </c>
      <c r="D4624">
        <v>2</v>
      </c>
      <c r="E4624" s="5">
        <f>Table4[[#This Row],[qty]]*(VLOOKUP(Table4[[#This Row],[item_sold]],Table1[],5,FALSE))</f>
        <v>20</v>
      </c>
      <c r="F4624" s="5">
        <f>(VLOOKUP(Table4[[#This Row],[item_sold]],Table1[],4,FALSE))*Table4[[#This Row],[qty]]</f>
        <v>16</v>
      </c>
      <c r="G4624">
        <f t="shared" si="624"/>
        <v>4</v>
      </c>
      <c r="H4624" t="s">
        <v>247</v>
      </c>
    </row>
    <row r="4625" spans="1:12" x14ac:dyDescent="0.25">
      <c r="A4625" s="1">
        <f t="shared" si="625"/>
        <v>45558</v>
      </c>
      <c r="B4625" s="31">
        <f t="shared" ref="B4625" si="627">TIME(12,8,0)</f>
        <v>0.50555555555555554</v>
      </c>
      <c r="C4625" t="str">
        <f>'Inventory as of 12th Aug 2024'!A91</f>
        <v>Tomatoes</v>
      </c>
      <c r="D4625">
        <v>3</v>
      </c>
      <c r="E4625" s="5">
        <f>Table4[[#This Row],[qty]]*(VLOOKUP(Table4[[#This Row],[item_sold]],Table1[],5,FALSE))</f>
        <v>30</v>
      </c>
      <c r="F4625" s="5">
        <f>(VLOOKUP(Table4[[#This Row],[item_sold]],Table1[],4,FALSE))*Table4[[#This Row],[qty]]</f>
        <v>15</v>
      </c>
      <c r="G4625">
        <f t="shared" si="624"/>
        <v>15</v>
      </c>
      <c r="H4625" t="s">
        <v>247</v>
      </c>
    </row>
    <row r="4626" spans="1:12" x14ac:dyDescent="0.25">
      <c r="A4626" s="1">
        <f t="shared" si="625"/>
        <v>45558</v>
      </c>
      <c r="B4626" s="31">
        <f>TIME(12,27,0)</f>
        <v>0.51874999999999993</v>
      </c>
      <c r="C4626" t="str">
        <f>'Inventory as of 12th Aug 2024'!A8</f>
        <v>eggs</v>
      </c>
      <c r="D4626">
        <v>4</v>
      </c>
      <c r="E4626" s="5">
        <f>Table4[[#This Row],[qty]]*(VLOOKUP(Table4[[#This Row],[item_sold]],Table1[],5,FALSE))</f>
        <v>80</v>
      </c>
      <c r="F4626" s="5">
        <f>(VLOOKUP(Table4[[#This Row],[item_sold]],Table1[],4,FALSE))*Table4[[#This Row],[qty]]</f>
        <v>57.333333333333336</v>
      </c>
      <c r="G4626">
        <f t="shared" si="624"/>
        <v>22.666666666666664</v>
      </c>
      <c r="H4626" t="s">
        <v>430</v>
      </c>
      <c r="I4626" t="s">
        <v>451</v>
      </c>
    </row>
    <row r="4627" spans="1:12" x14ac:dyDescent="0.25">
      <c r="A4627" s="1">
        <f t="shared" si="625"/>
        <v>45558</v>
      </c>
      <c r="B4627" s="31">
        <f>TIME(12,27,0)</f>
        <v>0.51874999999999993</v>
      </c>
      <c r="C4627" t="str">
        <f>'Inventory as of 12th Aug 2024'!A16</f>
        <v>Mt kenya milk 500ml</v>
      </c>
      <c r="D4627">
        <v>2</v>
      </c>
      <c r="E4627" s="5">
        <f>Table4[[#This Row],[qty]]*(VLOOKUP(Table4[[#This Row],[item_sold]],Table1[],5,FALSE))</f>
        <v>130</v>
      </c>
      <c r="F4627" s="5">
        <f>(VLOOKUP(Table4[[#This Row],[item_sold]],Table1[],4,FALSE))*Table4[[#This Row],[qty]]</f>
        <v>96.666666666666671</v>
      </c>
      <c r="G4627">
        <f t="shared" si="624"/>
        <v>33.333333333333329</v>
      </c>
      <c r="H4627" t="s">
        <v>247</v>
      </c>
    </row>
    <row r="4628" spans="1:12" x14ac:dyDescent="0.25">
      <c r="A4628" s="1">
        <f t="shared" si="625"/>
        <v>45558</v>
      </c>
      <c r="B4628" s="31">
        <f>TIME(12,39,0)</f>
        <v>0.52708333333333335</v>
      </c>
      <c r="C4628" t="str">
        <f>'Inventory as of 12th Aug 2024'!A6</f>
        <v>Airtel 10 Credit</v>
      </c>
      <c r="D4628">
        <v>1</v>
      </c>
      <c r="E4628" s="5">
        <f>Table4[[#This Row],[qty]]*(VLOOKUP(Table4[[#This Row],[item_sold]],Table1[],5,FALSE))</f>
        <v>10</v>
      </c>
      <c r="F4628" s="5">
        <f>(VLOOKUP(Table4[[#This Row],[item_sold]],Table1[],4,FALSE))*Table4[[#This Row],[qty]]</f>
        <v>9</v>
      </c>
      <c r="G4628">
        <f t="shared" si="624"/>
        <v>1</v>
      </c>
      <c r="H4628" t="s">
        <v>247</v>
      </c>
    </row>
    <row r="4629" spans="1:12" x14ac:dyDescent="0.25">
      <c r="A4629" s="1">
        <f t="shared" si="625"/>
        <v>45558</v>
      </c>
      <c r="B4629" s="31">
        <f>TIME(12,55,0)</f>
        <v>0.53819444444444442</v>
      </c>
      <c r="C4629" t="str">
        <f>'Inventory as of 12th Aug 2024'!A3</f>
        <v>Safaricom 10 Credit</v>
      </c>
      <c r="D4629">
        <v>1</v>
      </c>
      <c r="E4629" s="5">
        <f>Table4[[#This Row],[qty]]*(VLOOKUP(Table4[[#This Row],[item_sold]],Table1[],5,FALSE))</f>
        <v>10</v>
      </c>
      <c r="F4629" s="5">
        <f>(VLOOKUP(Table4[[#This Row],[item_sold]],Table1[],4,FALSE))*Table4[[#This Row],[qty]]</f>
        <v>9</v>
      </c>
      <c r="G4629">
        <f t="shared" si="624"/>
        <v>1</v>
      </c>
      <c r="H4629" t="s">
        <v>247</v>
      </c>
    </row>
    <row r="4630" spans="1:12" x14ac:dyDescent="0.25">
      <c r="A4630" s="1">
        <f t="shared" si="625"/>
        <v>45558</v>
      </c>
      <c r="B4630" s="31">
        <f>TIME(13,59,0)</f>
        <v>0.58263888888888882</v>
      </c>
      <c r="C4630" t="str">
        <f>'Inventory as of 12th Aug 2024'!A175</f>
        <v>Coconut Cakes</v>
      </c>
      <c r="D4630">
        <v>3</v>
      </c>
      <c r="E4630" s="5">
        <f>Table4[[#This Row],[qty]]*(VLOOKUP(Table4[[#This Row],[item_sold]],Table1[],5,FALSE))</f>
        <v>30</v>
      </c>
      <c r="F4630" s="5">
        <f>(VLOOKUP(Table4[[#This Row],[item_sold]],Table1[],4,FALSE))*Table4[[#This Row],[qty]]</f>
        <v>25</v>
      </c>
      <c r="G4630">
        <f t="shared" si="624"/>
        <v>5</v>
      </c>
      <c r="H4630" t="s">
        <v>247</v>
      </c>
    </row>
    <row r="4631" spans="1:12" x14ac:dyDescent="0.25">
      <c r="A4631" s="1">
        <f t="shared" si="625"/>
        <v>45558</v>
      </c>
      <c r="B4631" s="31">
        <f t="shared" ref="B4631" si="628">TIME(13,59,0)</f>
        <v>0.58263888888888882</v>
      </c>
      <c r="C4631" t="str">
        <f>'Inventory as of 12th Aug 2024'!A75</f>
        <v>Cooking Oil Measured</v>
      </c>
      <c r="D4631">
        <v>1</v>
      </c>
      <c r="E4631" s="5">
        <f>Table4[[#This Row],[qty]]*(VLOOKUP(Table4[[#This Row],[item_sold]],Table1[],5,FALSE))</f>
        <v>280</v>
      </c>
      <c r="F4631" s="5">
        <f>(VLOOKUP(Table4[[#This Row],[item_sold]],Table1[],4,FALSE))*Table4[[#This Row],[qty]]</f>
        <v>200</v>
      </c>
      <c r="G4631">
        <f t="shared" si="624"/>
        <v>80</v>
      </c>
      <c r="H4631" t="s">
        <v>430</v>
      </c>
      <c r="I4631" t="s">
        <v>451</v>
      </c>
    </row>
    <row r="4632" spans="1:12" x14ac:dyDescent="0.25">
      <c r="A4632" s="1">
        <f t="shared" si="625"/>
        <v>45558</v>
      </c>
      <c r="B4632" s="31">
        <f>TIME(14,6,0)</f>
        <v>0.58750000000000002</v>
      </c>
      <c r="C4632" t="str">
        <f>'Inventory as of 12th Aug 2024'!A191</f>
        <v>Nuvita Bisquit</v>
      </c>
      <c r="D4632">
        <v>2</v>
      </c>
      <c r="E4632" s="5">
        <f>Table4[[#This Row],[qty]]*(VLOOKUP(Table4[[#This Row],[item_sold]],Table1[],5,FALSE))</f>
        <v>10</v>
      </c>
      <c r="F4632" s="5">
        <f>(VLOOKUP(Table4[[#This Row],[item_sold]],Table1[],4,FALSE))*Table4[[#This Row],[qty]]</f>
        <v>8.3333333333333339</v>
      </c>
      <c r="G4632">
        <f t="shared" si="624"/>
        <v>1.6666666666666661</v>
      </c>
      <c r="H4632" t="s">
        <v>361</v>
      </c>
    </row>
    <row r="4633" spans="1:12" x14ac:dyDescent="0.25">
      <c r="A4633" s="1">
        <f t="shared" si="625"/>
        <v>45558</v>
      </c>
      <c r="B4633" s="31">
        <f t="shared" ref="B4633:B4635" si="629">TIME(14,6,0)</f>
        <v>0.58750000000000002</v>
      </c>
      <c r="C4633" t="str">
        <f>'Inventory as of 12th Aug 2024'!A57</f>
        <v>Sportsman</v>
      </c>
      <c r="D4633">
        <v>1</v>
      </c>
      <c r="E4633" s="5">
        <f>Table4[[#This Row],[qty]]*(VLOOKUP(Table4[[#This Row],[item_sold]],Table1[],5,FALSE))</f>
        <v>20</v>
      </c>
      <c r="F4633" s="5">
        <f>(VLOOKUP(Table4[[#This Row],[item_sold]],Table1[],4,FALSE))*Table4[[#This Row],[qty]]</f>
        <v>13</v>
      </c>
      <c r="G4633">
        <f t="shared" si="624"/>
        <v>7</v>
      </c>
      <c r="H4633" t="s">
        <v>361</v>
      </c>
    </row>
    <row r="4634" spans="1:12" x14ac:dyDescent="0.25">
      <c r="A4634" s="1">
        <f t="shared" si="625"/>
        <v>45558</v>
      </c>
      <c r="B4634" s="31">
        <f t="shared" si="629"/>
        <v>0.58750000000000002</v>
      </c>
      <c r="C4634" t="str">
        <f>'Inventory as of 12th Aug 2024'!A33</f>
        <v>BB Bread 400g</v>
      </c>
      <c r="D4634">
        <v>1</v>
      </c>
      <c r="E4634" s="5">
        <f>Table4[[#This Row],[qty]]*(VLOOKUP(Table4[[#This Row],[item_sold]],Table1[],5,FALSE))</f>
        <v>65</v>
      </c>
      <c r="F4634" s="5">
        <f>(VLOOKUP(Table4[[#This Row],[item_sold]],Table1[],4,FALSE))*Table4[[#This Row],[qty]]</f>
        <v>60</v>
      </c>
      <c r="G4634">
        <f t="shared" ref="G4634:G4691" si="630">E4634-F4634</f>
        <v>5</v>
      </c>
      <c r="H4634" t="s">
        <v>361</v>
      </c>
    </row>
    <row r="4635" spans="1:12" x14ac:dyDescent="0.25">
      <c r="A4635" s="1">
        <f t="shared" si="625"/>
        <v>45558</v>
      </c>
      <c r="B4635" s="31">
        <f t="shared" si="629"/>
        <v>0.58750000000000002</v>
      </c>
      <c r="C4635" t="str">
        <f>'Inventory as of 12th Aug 2024'!A87</f>
        <v>Menengai Bar 1kg</v>
      </c>
      <c r="D4635">
        <v>0.2</v>
      </c>
      <c r="E4635" s="5">
        <f>Table4[[#This Row],[qty]]*(VLOOKUP(Table4[[#This Row],[item_sold]],Table1[],5,FALSE))</f>
        <v>50</v>
      </c>
      <c r="F4635" s="5">
        <f>(VLOOKUP(Table4[[#This Row],[item_sold]],Table1[],4,FALSE))*Table4[[#This Row],[qty]]</f>
        <v>38</v>
      </c>
      <c r="G4635">
        <f t="shared" si="630"/>
        <v>12</v>
      </c>
      <c r="H4635" t="s">
        <v>247</v>
      </c>
      <c r="J4635" t="s">
        <v>392</v>
      </c>
      <c r="K4635">
        <v>220</v>
      </c>
      <c r="L4635" t="s">
        <v>361</v>
      </c>
    </row>
    <row r="4636" spans="1:12" x14ac:dyDescent="0.25">
      <c r="A4636" s="1">
        <f t="shared" si="625"/>
        <v>45558</v>
      </c>
      <c r="B4636" s="31">
        <f>TIME(15,48,0)</f>
        <v>0.65833333333333333</v>
      </c>
      <c r="C4636" t="str">
        <f>'Inventory as of 12th Aug 2024'!A234</f>
        <v>Bigdaddy</v>
      </c>
      <c r="D4636">
        <v>1</v>
      </c>
      <c r="E4636" s="5">
        <f>Table4[[#This Row],[qty]]*(VLOOKUP(Table4[[#This Row],[item_sold]],Table1[],5,FALSE))</f>
        <v>10</v>
      </c>
      <c r="F4636" s="5">
        <f>(VLOOKUP(Table4[[#This Row],[item_sold]],Table1[],4,FALSE))*Table4[[#This Row],[qty]]</f>
        <v>6</v>
      </c>
      <c r="G4636">
        <f t="shared" si="630"/>
        <v>4</v>
      </c>
      <c r="H4636" t="s">
        <v>361</v>
      </c>
    </row>
    <row r="4637" spans="1:12" x14ac:dyDescent="0.25">
      <c r="A4637" s="1">
        <f t="shared" si="625"/>
        <v>45558</v>
      </c>
      <c r="B4637" s="31">
        <f>TIME(16,19,0)</f>
        <v>0.67986111111111114</v>
      </c>
      <c r="C4637" t="str">
        <f>'Inventory as of 12th Aug 2024'!A41</f>
        <v>Indomie beef</v>
      </c>
      <c r="D4637">
        <v>1</v>
      </c>
      <c r="E4637" s="5">
        <f>Table4[[#This Row],[qty]]*(VLOOKUP(Table4[[#This Row],[item_sold]],Table1[],5,FALSE))</f>
        <v>50</v>
      </c>
      <c r="F4637" s="5">
        <f>(VLOOKUP(Table4[[#This Row],[item_sold]],Table1[],4,FALSE))*Table4[[#This Row],[qty]]</f>
        <v>38</v>
      </c>
      <c r="G4637">
        <f t="shared" si="630"/>
        <v>12</v>
      </c>
      <c r="H4637" t="s">
        <v>361</v>
      </c>
    </row>
    <row r="4638" spans="1:12" x14ac:dyDescent="0.25">
      <c r="A4638" s="1">
        <f t="shared" si="625"/>
        <v>45558</v>
      </c>
      <c r="B4638" s="31">
        <f t="shared" ref="B4638" si="631">TIME(16,19,0)</f>
        <v>0.67986111111111114</v>
      </c>
      <c r="C4638" t="str">
        <f>'Inventory as of 12th Aug 2024'!A135</f>
        <v>Bella Tissue</v>
      </c>
      <c r="D4638">
        <v>1</v>
      </c>
      <c r="E4638" s="5">
        <f>Table4[[#This Row],[qty]]*(VLOOKUP(Table4[[#This Row],[item_sold]],Table1[],5,FALSE))</f>
        <v>50</v>
      </c>
      <c r="F4638" s="5">
        <f>(VLOOKUP(Table4[[#This Row],[item_sold]],Table1[],4,FALSE))*Table4[[#This Row],[qty]]</f>
        <v>35</v>
      </c>
      <c r="G4638">
        <f t="shared" si="630"/>
        <v>15</v>
      </c>
      <c r="H4638" t="s">
        <v>361</v>
      </c>
    </row>
    <row r="4639" spans="1:12" x14ac:dyDescent="0.25">
      <c r="A4639" s="1">
        <f t="shared" si="625"/>
        <v>45558</v>
      </c>
      <c r="B4639" s="31">
        <f>TIME(16,31,0)</f>
        <v>0.68819444444444444</v>
      </c>
      <c r="C4639" t="str">
        <f>'Inventory as of 12th Aug 2024'!A15</f>
        <v>1ltr Brookside Lala Natural</v>
      </c>
      <c r="D4639">
        <v>2</v>
      </c>
      <c r="E4639" s="5">
        <f>Table4[[#This Row],[qty]]*(VLOOKUP(Table4[[#This Row],[item_sold]],Table1[],5,FALSE))</f>
        <v>360</v>
      </c>
      <c r="F4639" s="5">
        <f>(VLOOKUP(Table4[[#This Row],[item_sold]],Table1[],4,FALSE))*Table4[[#This Row],[qty]]</f>
        <v>328</v>
      </c>
      <c r="G4639">
        <f t="shared" si="630"/>
        <v>32</v>
      </c>
      <c r="H4639" t="s">
        <v>361</v>
      </c>
    </row>
    <row r="4640" spans="1:12" x14ac:dyDescent="0.25">
      <c r="A4640" s="1">
        <f t="shared" si="625"/>
        <v>45558</v>
      </c>
      <c r="B4640" s="31">
        <f>TIME(16,44,0)</f>
        <v>0.6972222222222223</v>
      </c>
      <c r="C4640" t="str">
        <f>'Inventory as of 12th Aug 2024'!A213</f>
        <v>soda 500ml glass</v>
      </c>
      <c r="D4640">
        <v>2</v>
      </c>
      <c r="E4640" s="5">
        <f>Table4[[#This Row],[qty]]*(VLOOKUP(Table4[[#This Row],[item_sold]],Table1[],5,FALSE))</f>
        <v>110</v>
      </c>
      <c r="F4640" s="5">
        <f>(VLOOKUP(Table4[[#This Row],[item_sold]],Table1[],4,FALSE))*Table4[[#This Row],[qty]]</f>
        <v>100</v>
      </c>
      <c r="G4640">
        <f t="shared" si="630"/>
        <v>10</v>
      </c>
      <c r="H4640" t="s">
        <v>430</v>
      </c>
      <c r="I4640" t="s">
        <v>419</v>
      </c>
      <c r="J4640" t="s">
        <v>419</v>
      </c>
      <c r="K4640">
        <v>40</v>
      </c>
      <c r="L4640" t="s">
        <v>361</v>
      </c>
    </row>
    <row r="4641" spans="1:12" x14ac:dyDescent="0.25">
      <c r="A4641" s="1">
        <f t="shared" si="625"/>
        <v>45558</v>
      </c>
      <c r="B4641" s="31">
        <f>TIME(16,44,0)</f>
        <v>0.6972222222222223</v>
      </c>
      <c r="C4641" t="str">
        <f>'Inventory as of 12th Aug 2024'!A175</f>
        <v>Coconut Cakes</v>
      </c>
      <c r="D4641">
        <v>6</v>
      </c>
      <c r="E4641" s="5">
        <f>Table4[[#This Row],[qty]]*(VLOOKUP(Table4[[#This Row],[item_sold]],Table1[],5,FALSE))</f>
        <v>60</v>
      </c>
      <c r="F4641" s="5">
        <f>(VLOOKUP(Table4[[#This Row],[item_sold]],Table1[],4,FALSE))*Table4[[#This Row],[qty]]</f>
        <v>50</v>
      </c>
      <c r="G4641">
        <f t="shared" si="630"/>
        <v>10</v>
      </c>
      <c r="H4641" t="s">
        <v>430</v>
      </c>
    </row>
    <row r="4642" spans="1:12" x14ac:dyDescent="0.25">
      <c r="A4642" s="1">
        <f t="shared" si="625"/>
        <v>45558</v>
      </c>
      <c r="B4642" s="31">
        <f>TIME(16,54,0)</f>
        <v>0.70416666666666661</v>
      </c>
      <c r="C4642" t="str">
        <f>'Inventory as of 12th Aug 2024'!A57</f>
        <v>Sportsman</v>
      </c>
      <c r="D4642">
        <v>1</v>
      </c>
      <c r="E4642" s="5">
        <f>Table4[[#This Row],[qty]]*(VLOOKUP(Table4[[#This Row],[item_sold]],Table1[],5,FALSE))</f>
        <v>20</v>
      </c>
      <c r="F4642" s="5">
        <f>(VLOOKUP(Table4[[#This Row],[item_sold]],Table1[],4,FALSE))*Table4[[#This Row],[qty]]</f>
        <v>13</v>
      </c>
      <c r="G4642">
        <f t="shared" si="630"/>
        <v>7</v>
      </c>
      <c r="H4642" t="s">
        <v>361</v>
      </c>
    </row>
    <row r="4643" spans="1:12" x14ac:dyDescent="0.25">
      <c r="A4643" s="1">
        <f t="shared" si="625"/>
        <v>45558</v>
      </c>
      <c r="B4643" s="31">
        <f>TIME(17,8,0)</f>
        <v>0.71388888888888891</v>
      </c>
      <c r="C4643" t="str">
        <f>'Inventory as of 12th Aug 2024'!A109</f>
        <v>Lighter</v>
      </c>
      <c r="D4643">
        <v>1</v>
      </c>
      <c r="E4643" s="5">
        <f>Table4[[#This Row],[qty]]*(VLOOKUP(Table4[[#This Row],[item_sold]],Table1[],5,FALSE))</f>
        <v>30</v>
      </c>
      <c r="F4643" s="5">
        <f>(VLOOKUP(Table4[[#This Row],[item_sold]],Table1[],4,FALSE))*Table4[[#This Row],[qty]]</f>
        <v>15</v>
      </c>
      <c r="G4643">
        <f t="shared" si="630"/>
        <v>15</v>
      </c>
      <c r="H4643" t="s">
        <v>361</v>
      </c>
    </row>
    <row r="4644" spans="1:12" x14ac:dyDescent="0.25">
      <c r="A4644" s="1">
        <f t="shared" si="625"/>
        <v>45558</v>
      </c>
      <c r="B4644" s="31">
        <f>TIME(17,54,0)</f>
        <v>0.74583333333333324</v>
      </c>
      <c r="C4644" t="str">
        <f>'Inventory as of 12th Aug 2024'!A229</f>
        <v>Fresh green</v>
      </c>
      <c r="D4644">
        <v>1</v>
      </c>
      <c r="E4644" s="5">
        <f>Table4[[#This Row],[qty]]*(VLOOKUP(Table4[[#This Row],[item_sold]],Table1[],5,FALSE))</f>
        <v>10</v>
      </c>
      <c r="F4644" s="5">
        <f>(VLOOKUP(Table4[[#This Row],[item_sold]],Table1[],4,FALSE))*Table4[[#This Row],[qty]]</f>
        <v>5</v>
      </c>
      <c r="G4644">
        <f t="shared" si="630"/>
        <v>5</v>
      </c>
      <c r="H4644" t="s">
        <v>247</v>
      </c>
      <c r="J4644" t="s">
        <v>451</v>
      </c>
      <c r="K4644">
        <v>250</v>
      </c>
      <c r="L4644" t="s">
        <v>247</v>
      </c>
    </row>
    <row r="4645" spans="1:12" x14ac:dyDescent="0.25">
      <c r="A4645" s="1">
        <f t="shared" si="625"/>
        <v>45558</v>
      </c>
      <c r="B4645" s="31">
        <f>TIME(18,41,0)</f>
        <v>0.77847222222222223</v>
      </c>
      <c r="C4645" t="str">
        <f>'Inventory as of 12th Aug 2024'!A134</f>
        <v>Hanaan Tissue</v>
      </c>
      <c r="D4645">
        <v>2</v>
      </c>
      <c r="E4645" s="5">
        <f>Table4[[#This Row],[qty]]*(VLOOKUP(Table4[[#This Row],[item_sold]],Table1[],5,FALSE))</f>
        <v>110</v>
      </c>
      <c r="F4645" s="5">
        <f>(VLOOKUP(Table4[[#This Row],[item_sold]],Table1[],4,FALSE))*Table4[[#This Row],[qty]]</f>
        <v>86</v>
      </c>
      <c r="G4645">
        <f t="shared" si="630"/>
        <v>24</v>
      </c>
      <c r="H4645" t="s">
        <v>247</v>
      </c>
    </row>
    <row r="4646" spans="1:12" x14ac:dyDescent="0.25">
      <c r="A4646" s="1">
        <f t="shared" si="625"/>
        <v>45558</v>
      </c>
      <c r="B4646" s="31">
        <f t="shared" ref="B4646:B4648" si="632">TIME(18,41,0)</f>
        <v>0.77847222222222223</v>
      </c>
      <c r="C4646" t="str">
        <f>'Inventory as of 12th Aug 2024'!A91</f>
        <v>Tomatoes</v>
      </c>
      <c r="D4646">
        <v>10</v>
      </c>
      <c r="E4646" s="5">
        <f>Table4[[#This Row],[qty]]*(VLOOKUP(Table4[[#This Row],[item_sold]],Table1[],5,FALSE))</f>
        <v>100</v>
      </c>
      <c r="F4646" s="5">
        <f>(VLOOKUP(Table4[[#This Row],[item_sold]],Table1[],4,FALSE))*Table4[[#This Row],[qty]]</f>
        <v>50</v>
      </c>
      <c r="G4646">
        <f t="shared" si="630"/>
        <v>50</v>
      </c>
      <c r="H4646" t="s">
        <v>247</v>
      </c>
    </row>
    <row r="4647" spans="1:12" x14ac:dyDescent="0.25">
      <c r="A4647" s="1">
        <f t="shared" si="625"/>
        <v>45558</v>
      </c>
      <c r="B4647" s="31">
        <f t="shared" si="632"/>
        <v>0.77847222222222223</v>
      </c>
      <c r="C4647" t="str">
        <f>'Inventory as of 12th Aug 2024'!A90</f>
        <v>Onion</v>
      </c>
      <c r="D4647">
        <v>5</v>
      </c>
      <c r="E4647" s="5">
        <f>Table4[[#This Row],[qty]]*(VLOOKUP(Table4[[#This Row],[item_sold]],Table1[],5,FALSE))</f>
        <v>50</v>
      </c>
      <c r="F4647" s="5">
        <f>(VLOOKUP(Table4[[#This Row],[item_sold]],Table1[],4,FALSE))*Table4[[#This Row],[qty]]</f>
        <v>40</v>
      </c>
      <c r="G4647">
        <f t="shared" si="630"/>
        <v>10</v>
      </c>
      <c r="H4647" t="s">
        <v>247</v>
      </c>
    </row>
    <row r="4648" spans="1:12" x14ac:dyDescent="0.25">
      <c r="A4648" s="1">
        <f t="shared" si="625"/>
        <v>45558</v>
      </c>
      <c r="B4648" s="31">
        <f t="shared" si="632"/>
        <v>0.77847222222222223</v>
      </c>
      <c r="C4648" t="str">
        <f>'Inventory as of 12th Aug 2024'!A37</f>
        <v>Festive Bread 400g</v>
      </c>
      <c r="D4648">
        <v>1</v>
      </c>
      <c r="E4648" s="5">
        <f>Table4[[#This Row],[qty]]*(VLOOKUP(Table4[[#This Row],[item_sold]],Table1[],5,FALSE))</f>
        <v>65</v>
      </c>
      <c r="F4648" s="5">
        <f>(VLOOKUP(Table4[[#This Row],[item_sold]],Table1[],4,FALSE))*Table4[[#This Row],[qty]]</f>
        <v>60</v>
      </c>
      <c r="G4648">
        <f t="shared" si="630"/>
        <v>5</v>
      </c>
      <c r="H4648" t="s">
        <v>247</v>
      </c>
    </row>
    <row r="4649" spans="1:12" x14ac:dyDescent="0.25">
      <c r="A4649" s="1">
        <f t="shared" si="625"/>
        <v>45558</v>
      </c>
      <c r="B4649" s="31">
        <f>TIME(19,0,0)</f>
        <v>0.79166666666666663</v>
      </c>
      <c r="C4649" t="str">
        <f>'Inventory as of 12th Aug 2024'!A175</f>
        <v>Coconut Cakes</v>
      </c>
      <c r="D4649">
        <v>2</v>
      </c>
      <c r="E4649" s="5">
        <f>Table4[[#This Row],[qty]]*(VLOOKUP(Table4[[#This Row],[item_sold]],Table1[],5,FALSE))</f>
        <v>20</v>
      </c>
      <c r="F4649" s="5">
        <f>(VLOOKUP(Table4[[#This Row],[item_sold]],Table1[],4,FALSE))*Table4[[#This Row],[qty]]</f>
        <v>16.666666666666668</v>
      </c>
      <c r="G4649">
        <f t="shared" si="630"/>
        <v>3.3333333333333321</v>
      </c>
      <c r="H4649" t="s">
        <v>430</v>
      </c>
      <c r="I4649" t="s">
        <v>580</v>
      </c>
    </row>
    <row r="4650" spans="1:12" x14ac:dyDescent="0.25">
      <c r="A4650" s="1">
        <f t="shared" si="625"/>
        <v>45558</v>
      </c>
      <c r="B4650" s="31">
        <f t="shared" ref="B4650" si="633">TIME(19,0,0)</f>
        <v>0.79166666666666663</v>
      </c>
      <c r="C4650" t="str">
        <f>'Inventory as of 12th Aug 2024'!A91</f>
        <v>Tomatoes</v>
      </c>
      <c r="D4650">
        <v>3</v>
      </c>
      <c r="E4650" s="5">
        <f>Table4[[#This Row],[qty]]*(VLOOKUP(Table4[[#This Row],[item_sold]],Table1[],5,FALSE))</f>
        <v>30</v>
      </c>
      <c r="F4650" s="5">
        <f>(VLOOKUP(Table4[[#This Row],[item_sold]],Table1[],4,FALSE))*Table4[[#This Row],[qty]]</f>
        <v>15</v>
      </c>
      <c r="G4650">
        <f t="shared" si="630"/>
        <v>15</v>
      </c>
      <c r="H4650" t="s">
        <v>430</v>
      </c>
      <c r="I4650" t="s">
        <v>456</v>
      </c>
    </row>
    <row r="4651" spans="1:12" x14ac:dyDescent="0.25">
      <c r="A4651" s="1">
        <f t="shared" si="625"/>
        <v>45558</v>
      </c>
      <c r="B4651" s="31">
        <f>TIME(19,12,0)</f>
        <v>0.79999999999999993</v>
      </c>
      <c r="C4651" t="str">
        <f>'Inventory as of 12th Aug 2024'!A35</f>
        <v>Festive 600g</v>
      </c>
      <c r="D4651">
        <v>1</v>
      </c>
      <c r="E4651" s="5">
        <f>Table4[[#This Row],[qty]]*(VLOOKUP(Table4[[#This Row],[item_sold]],Table1[],5,FALSE))</f>
        <v>100</v>
      </c>
      <c r="F4651" s="5">
        <f>(VLOOKUP(Table4[[#This Row],[item_sold]],Table1[],4,FALSE))*Table4[[#This Row],[qty]]</f>
        <v>90</v>
      </c>
      <c r="G4651">
        <f t="shared" si="630"/>
        <v>10</v>
      </c>
      <c r="H4651" t="s">
        <v>247</v>
      </c>
    </row>
    <row r="4652" spans="1:12" x14ac:dyDescent="0.25">
      <c r="A4652" s="1">
        <f t="shared" si="625"/>
        <v>45558</v>
      </c>
      <c r="B4652" s="31">
        <f>TIME(19,13,0)</f>
        <v>0.80069444444444438</v>
      </c>
      <c r="C4652" t="str">
        <f>'Inventory as of 12th Aug 2024'!A248</f>
        <v>Soko Maize meal</v>
      </c>
      <c r="D4652">
        <v>1</v>
      </c>
      <c r="E4652" s="5">
        <f>Table4[[#This Row],[qty]]*(VLOOKUP(Table4[[#This Row],[item_sold]],Table1[],5,FALSE))</f>
        <v>160</v>
      </c>
      <c r="F4652" s="5">
        <f>(VLOOKUP(Table4[[#This Row],[item_sold]],Table1[],4,FALSE))*Table4[[#This Row],[qty]]</f>
        <v>125</v>
      </c>
      <c r="G4652">
        <f t="shared" si="630"/>
        <v>35</v>
      </c>
      <c r="H4652" t="s">
        <v>247</v>
      </c>
    </row>
    <row r="4653" spans="1:12" x14ac:dyDescent="0.25">
      <c r="A4653" s="1">
        <f t="shared" si="625"/>
        <v>45558</v>
      </c>
      <c r="B4653" s="31">
        <f>TIME(19,50,0)</f>
        <v>0.82638888888888884</v>
      </c>
      <c r="C4653" t="str">
        <f>'Inventory as of 12th Aug 2024'!A57</f>
        <v>Sportsman</v>
      </c>
      <c r="D4653">
        <v>1</v>
      </c>
      <c r="E4653" s="5">
        <f>Table4[[#This Row],[qty]]*(VLOOKUP(Table4[[#This Row],[item_sold]],Table1[],5,FALSE))</f>
        <v>20</v>
      </c>
      <c r="F4653" s="5">
        <f>(VLOOKUP(Table4[[#This Row],[item_sold]],Table1[],4,FALSE))*Table4[[#This Row],[qty]]</f>
        <v>13</v>
      </c>
      <c r="G4653">
        <f t="shared" si="630"/>
        <v>7</v>
      </c>
      <c r="H4653" t="s">
        <v>361</v>
      </c>
      <c r="J4653" t="s">
        <v>419</v>
      </c>
      <c r="K4653">
        <v>100</v>
      </c>
      <c r="L4653" t="s">
        <v>247</v>
      </c>
    </row>
    <row r="4654" spans="1:12" x14ac:dyDescent="0.25">
      <c r="A4654" s="1">
        <f t="shared" si="625"/>
        <v>45558</v>
      </c>
      <c r="B4654" s="31">
        <f>TIME(19,36,0)</f>
        <v>0.81666666666666676</v>
      </c>
      <c r="C4654" t="str">
        <f>'Inventory as of 12th Aug 2024'!A180</f>
        <v>Tamu  Tamu Green</v>
      </c>
      <c r="D4654">
        <v>2</v>
      </c>
      <c r="E4654" s="5">
        <f>Table4[[#This Row],[qty]]*(VLOOKUP(Table4[[#This Row],[item_sold]],Table1[],5,FALSE))</f>
        <v>30</v>
      </c>
      <c r="F4654" s="5">
        <f>(VLOOKUP(Table4[[#This Row],[item_sold]],Table1[],4,FALSE))*Table4[[#This Row],[qty]]</f>
        <v>17.2</v>
      </c>
      <c r="G4654">
        <f t="shared" si="630"/>
        <v>12.8</v>
      </c>
      <c r="H4654" t="s">
        <v>361</v>
      </c>
    </row>
    <row r="4655" spans="1:12" x14ac:dyDescent="0.25">
      <c r="A4655" s="1">
        <f t="shared" si="625"/>
        <v>45558</v>
      </c>
      <c r="B4655" s="31">
        <f t="shared" ref="B4655" si="634">TIME(19,36,0)</f>
        <v>0.81666666666666676</v>
      </c>
      <c r="C4655" t="str">
        <f>'Inventory as of 12th Aug 2024'!A177</f>
        <v>Ringoz Barbeque</v>
      </c>
      <c r="D4655">
        <v>2</v>
      </c>
      <c r="E4655" s="5">
        <f>Table4[[#This Row],[qty]]*(VLOOKUP(Table4[[#This Row],[item_sold]],Table1[],5,FALSE))</f>
        <v>30</v>
      </c>
      <c r="F4655" s="5">
        <f>(VLOOKUP(Table4[[#This Row],[item_sold]],Table1[],4,FALSE))*Table4[[#This Row],[qty]]</f>
        <v>17.2</v>
      </c>
      <c r="G4655">
        <f t="shared" si="630"/>
        <v>12.8</v>
      </c>
      <c r="H4655" t="s">
        <v>361</v>
      </c>
    </row>
    <row r="4656" spans="1:12" x14ac:dyDescent="0.25">
      <c r="A4656" s="1">
        <f t="shared" si="625"/>
        <v>45558</v>
      </c>
      <c r="B4656" s="31">
        <f>TIME(19,58,0)</f>
        <v>0.83194444444444438</v>
      </c>
      <c r="C4656" t="str">
        <f>'Inventory as of 12th Aug 2024'!A68</f>
        <v>Royco cubes</v>
      </c>
      <c r="D4656">
        <v>4</v>
      </c>
      <c r="E4656" s="5">
        <f>Table4[[#This Row],[qty]]*(VLOOKUP(Table4[[#This Row],[item_sold]],Table1[],5,FALSE))</f>
        <v>20</v>
      </c>
      <c r="F4656" s="5">
        <f>(VLOOKUP(Table4[[#This Row],[item_sold]],Table1[],4,FALSE))*Table4[[#This Row],[qty]]</f>
        <v>12</v>
      </c>
      <c r="G4656">
        <f t="shared" si="630"/>
        <v>8</v>
      </c>
      <c r="H4656" t="s">
        <v>361</v>
      </c>
    </row>
    <row r="4657" spans="1:12" x14ac:dyDescent="0.25">
      <c r="A4657" s="1">
        <f t="shared" si="625"/>
        <v>45558</v>
      </c>
      <c r="B4657" s="31">
        <f>TIME(19,58,0)</f>
        <v>0.83194444444444438</v>
      </c>
      <c r="C4657" t="str">
        <f>'Inventory as of 12th Aug 2024'!A75</f>
        <v>Cooking Oil Measured</v>
      </c>
      <c r="D4657">
        <v>0.25</v>
      </c>
      <c r="E4657" s="5">
        <f>Table4[[#This Row],[qty]]*(VLOOKUP(Table4[[#This Row],[item_sold]],Table1[],5,FALSE))</f>
        <v>70</v>
      </c>
      <c r="F4657" s="5">
        <f>(VLOOKUP(Table4[[#This Row],[item_sold]],Table1[],4,FALSE))*Table4[[#This Row],[qty]]</f>
        <v>50</v>
      </c>
      <c r="G4657">
        <f t="shared" si="630"/>
        <v>20</v>
      </c>
      <c r="H4657" t="s">
        <v>361</v>
      </c>
    </row>
    <row r="4658" spans="1:12" x14ac:dyDescent="0.25">
      <c r="A4658" s="1">
        <f t="shared" si="625"/>
        <v>45558</v>
      </c>
      <c r="B4658" s="31">
        <f>TIME(20,2,0)</f>
        <v>0.83472222222222225</v>
      </c>
      <c r="C4658" t="str">
        <f>'Inventory as of 12th Aug 2024'!A221</f>
        <v>Rasor Blade</v>
      </c>
      <c r="D4658">
        <v>1</v>
      </c>
      <c r="E4658" s="5">
        <f>Table4[[#This Row],[qty]]*(VLOOKUP(Table4[[#This Row],[item_sold]],Table1[],5,FALSE))</f>
        <v>5</v>
      </c>
      <c r="F4658" s="5">
        <f>(VLOOKUP(Table4[[#This Row],[item_sold]],Table1[],4,FALSE))*Table4[[#This Row],[qty]]</f>
        <v>2</v>
      </c>
      <c r="G4658">
        <f t="shared" si="630"/>
        <v>3</v>
      </c>
      <c r="H4658" t="s">
        <v>430</v>
      </c>
      <c r="I4658" t="s">
        <v>456</v>
      </c>
    </row>
    <row r="4659" spans="1:12" x14ac:dyDescent="0.25">
      <c r="A4659" s="1">
        <f t="shared" si="625"/>
        <v>45558</v>
      </c>
      <c r="B4659" s="31">
        <f t="shared" ref="B4659:B4662" si="635">TIME(20,2,0)</f>
        <v>0.83472222222222225</v>
      </c>
      <c r="C4659" t="str">
        <f>'Inventory as of 12th Aug 2024'!A37</f>
        <v>Festive Bread 400g</v>
      </c>
      <c r="D4659">
        <v>1</v>
      </c>
      <c r="E4659" s="5">
        <f>Table4[[#This Row],[qty]]*(VLOOKUP(Table4[[#This Row],[item_sold]],Table1[],5,FALSE))</f>
        <v>65</v>
      </c>
      <c r="F4659" s="5">
        <f>(VLOOKUP(Table4[[#This Row],[item_sold]],Table1[],4,FALSE))*Table4[[#This Row],[qty]]</f>
        <v>60</v>
      </c>
      <c r="G4659">
        <f t="shared" si="630"/>
        <v>5</v>
      </c>
      <c r="H4659" t="s">
        <v>247</v>
      </c>
    </row>
    <row r="4660" spans="1:12" x14ac:dyDescent="0.25">
      <c r="A4660" s="1">
        <f t="shared" si="625"/>
        <v>45558</v>
      </c>
      <c r="B4660" s="31">
        <f t="shared" si="635"/>
        <v>0.83472222222222225</v>
      </c>
      <c r="C4660" t="str">
        <f>'Inventory as of 12th Aug 2024'!A9</f>
        <v>Kinangop Fresh Milk 500ml</v>
      </c>
      <c r="D4660">
        <v>1</v>
      </c>
      <c r="E4660" s="5">
        <f>Table4[[#This Row],[qty]]*(VLOOKUP(Table4[[#This Row],[item_sold]],Table1[],5,FALSE))</f>
        <v>60</v>
      </c>
      <c r="F4660" s="5">
        <f>(VLOOKUP(Table4[[#This Row],[item_sold]],Table1[],4,FALSE))*Table4[[#This Row],[qty]]</f>
        <v>55</v>
      </c>
      <c r="G4660">
        <f t="shared" si="630"/>
        <v>5</v>
      </c>
      <c r="H4660" t="s">
        <v>247</v>
      </c>
    </row>
    <row r="4661" spans="1:12" x14ac:dyDescent="0.25">
      <c r="A4661" s="1">
        <f t="shared" si="625"/>
        <v>45558</v>
      </c>
      <c r="B4661" s="31">
        <f t="shared" si="635"/>
        <v>0.83472222222222225</v>
      </c>
      <c r="C4661" t="str">
        <f>'Inventory as of 12th Aug 2024'!A224</f>
        <v>pens black</v>
      </c>
      <c r="D4661">
        <v>1</v>
      </c>
      <c r="E4661" s="5">
        <f>Table4[[#This Row],[qty]]*(VLOOKUP(Table4[[#This Row],[item_sold]],Table1[],5,FALSE))</f>
        <v>10</v>
      </c>
      <c r="F4661" s="5">
        <f>(VLOOKUP(Table4[[#This Row],[item_sold]],Table1[],4,FALSE))*Table4[[#This Row],[qty]]</f>
        <v>5</v>
      </c>
      <c r="G4661">
        <f t="shared" si="630"/>
        <v>5</v>
      </c>
      <c r="H4661" t="s">
        <v>361</v>
      </c>
    </row>
    <row r="4662" spans="1:12" x14ac:dyDescent="0.25">
      <c r="A4662" s="1">
        <f t="shared" si="625"/>
        <v>45558</v>
      </c>
      <c r="B4662" s="31">
        <f t="shared" si="635"/>
        <v>0.83472222222222225</v>
      </c>
      <c r="C4662" t="str">
        <f>'Inventory as of 12th Aug 2024'!A225</f>
        <v>pens red</v>
      </c>
      <c r="D4662">
        <v>1</v>
      </c>
      <c r="E4662" s="5">
        <f>Table4[[#This Row],[qty]]*(VLOOKUP(Table4[[#This Row],[item_sold]],Table1[],5,FALSE))</f>
        <v>10</v>
      </c>
      <c r="F4662" s="5">
        <f>(VLOOKUP(Table4[[#This Row],[item_sold]],Table1[],4,FALSE))*Table4[[#This Row],[qty]]</f>
        <v>5</v>
      </c>
      <c r="G4662">
        <f t="shared" si="630"/>
        <v>5</v>
      </c>
      <c r="H4662" t="s">
        <v>361</v>
      </c>
    </row>
    <row r="4663" spans="1:12" x14ac:dyDescent="0.25">
      <c r="A4663" s="1">
        <f t="shared" si="625"/>
        <v>45558</v>
      </c>
      <c r="B4663" s="31">
        <f>TIME(20,17,0)</f>
        <v>0.84513888888888899</v>
      </c>
      <c r="C4663" t="str">
        <f>'Inventory as of 12th Aug 2024'!A153</f>
        <v>mosquito stick</v>
      </c>
      <c r="D4663">
        <v>5</v>
      </c>
      <c r="E4663" s="5">
        <f>Table4[[#This Row],[qty]]*(VLOOKUP(Table4[[#This Row],[item_sold]],Table1[],5,FALSE))</f>
        <v>50</v>
      </c>
      <c r="F4663" s="5">
        <f>(VLOOKUP(Table4[[#This Row],[item_sold]],Table1[],4,FALSE))*Table4[[#This Row],[qty]]</f>
        <v>45</v>
      </c>
      <c r="G4663">
        <f t="shared" si="630"/>
        <v>5</v>
      </c>
      <c r="H4663" t="s">
        <v>361</v>
      </c>
    </row>
    <row r="4664" spans="1:12" x14ac:dyDescent="0.25">
      <c r="A4664" s="1">
        <f t="shared" si="625"/>
        <v>45558</v>
      </c>
      <c r="B4664" s="31">
        <f t="shared" ref="B4664" si="636">TIME(20,17,0)</f>
        <v>0.84513888888888899</v>
      </c>
      <c r="C4664" t="str">
        <f>'Inventory as of 12th Aug 2024'!A107</f>
        <v>Match Box</v>
      </c>
      <c r="D4664">
        <v>1</v>
      </c>
      <c r="E4664" s="5">
        <f>Table4[[#This Row],[qty]]*(VLOOKUP(Table4[[#This Row],[item_sold]],Table1[],5,FALSE))</f>
        <v>5</v>
      </c>
      <c r="F4664" s="5">
        <f>(VLOOKUP(Table4[[#This Row],[item_sold]],Table1[],4,FALSE))*Table4[[#This Row],[qty]]</f>
        <v>2.3611111111111112</v>
      </c>
      <c r="G4664">
        <f t="shared" si="630"/>
        <v>2.6388888888888888</v>
      </c>
      <c r="H4664" t="s">
        <v>361</v>
      </c>
    </row>
    <row r="4665" spans="1:12" x14ac:dyDescent="0.25">
      <c r="A4665" s="1">
        <f t="shared" si="625"/>
        <v>45558</v>
      </c>
      <c r="B4665" s="31">
        <f>TIME(20,19,0)</f>
        <v>0.84652777777777777</v>
      </c>
      <c r="C4665" t="str">
        <f>'Inventory as of 12th Aug 2024'!A172</f>
        <v>Carrier bag small</v>
      </c>
      <c r="D4665">
        <v>1</v>
      </c>
      <c r="E4665" s="5">
        <f>Table4[[#This Row],[qty]]*(VLOOKUP(Table4[[#This Row],[item_sold]],Table1[],5,FALSE))</f>
        <v>10</v>
      </c>
      <c r="F4665" s="5">
        <f>(VLOOKUP(Table4[[#This Row],[item_sold]],Table1[],4,FALSE))*Table4[[#This Row],[qty]]</f>
        <v>3</v>
      </c>
      <c r="G4665">
        <f t="shared" si="630"/>
        <v>7</v>
      </c>
      <c r="H4665" t="s">
        <v>430</v>
      </c>
      <c r="I4665" t="s">
        <v>452</v>
      </c>
    </row>
    <row r="4666" spans="1:12" x14ac:dyDescent="0.25">
      <c r="A4666" s="1">
        <f t="shared" si="625"/>
        <v>45558</v>
      </c>
      <c r="B4666" s="31">
        <f>TIME(20,34,0)</f>
        <v>0.8569444444444444</v>
      </c>
      <c r="C4666" t="str">
        <f>'Inventory as of 12th Aug 2024'!A2</f>
        <v>Safaricom 20 Credit</v>
      </c>
      <c r="D4666">
        <v>1</v>
      </c>
      <c r="E4666" s="5">
        <f>Table4[[#This Row],[qty]]*(VLOOKUP(Table4[[#This Row],[item_sold]],Table1[],5,FALSE))</f>
        <v>20</v>
      </c>
      <c r="F4666" s="5">
        <f>(VLOOKUP(Table4[[#This Row],[item_sold]],Table1[],4,FALSE))*Table4[[#This Row],[qty]]</f>
        <v>18</v>
      </c>
      <c r="G4666">
        <f t="shared" si="630"/>
        <v>2</v>
      </c>
      <c r="H4666" t="s">
        <v>361</v>
      </c>
    </row>
    <row r="4667" spans="1:12" x14ac:dyDescent="0.25">
      <c r="A4667" s="1">
        <f t="shared" si="625"/>
        <v>45558</v>
      </c>
      <c r="B4667" s="31">
        <f>TIME(20,34,0)</f>
        <v>0.8569444444444444</v>
      </c>
      <c r="C4667" t="str">
        <f>'Inventory as of 12th Aug 2024'!A60</f>
        <v>kensalt 200g</v>
      </c>
      <c r="D4667">
        <v>1</v>
      </c>
      <c r="E4667" s="5">
        <f>Table4[[#This Row],[qty]]*(VLOOKUP(Table4[[#This Row],[item_sold]],Table1[],5,FALSE))</f>
        <v>15</v>
      </c>
      <c r="F4667" s="5">
        <f>(VLOOKUP(Table4[[#This Row],[item_sold]],Table1[],4,FALSE))*Table4[[#This Row],[qty]]</f>
        <v>5.5</v>
      </c>
      <c r="G4667">
        <f t="shared" si="630"/>
        <v>9.5</v>
      </c>
      <c r="H4667" t="s">
        <v>361</v>
      </c>
    </row>
    <row r="4668" spans="1:12" x14ac:dyDescent="0.25">
      <c r="A4668" s="1">
        <f>DATE(2024,9,24)</f>
        <v>45559</v>
      </c>
      <c r="B4668" s="31">
        <f>TIME(7,34,0)</f>
        <v>0.31527777777777777</v>
      </c>
      <c r="C4668" t="str">
        <f>'Inventory as of 12th Aug 2024'!A57</f>
        <v>Sportsman</v>
      </c>
      <c r="D4668">
        <v>1</v>
      </c>
      <c r="E4668" s="5">
        <f>Table4[[#This Row],[qty]]*(VLOOKUP(Table4[[#This Row],[item_sold]],Table1[],5,FALSE))</f>
        <v>20</v>
      </c>
      <c r="F4668" s="5">
        <f>(VLOOKUP(Table4[[#This Row],[item_sold]],Table1[],4,FALSE))*Table4[[#This Row],[qty]]</f>
        <v>13</v>
      </c>
      <c r="G4668">
        <f t="shared" si="630"/>
        <v>7</v>
      </c>
      <c r="H4668" t="s">
        <v>361</v>
      </c>
    </row>
    <row r="4669" spans="1:12" x14ac:dyDescent="0.25">
      <c r="A4669" s="1">
        <f t="shared" ref="A4669:A4727" si="637">DATE(2024,9,24)</f>
        <v>45559</v>
      </c>
      <c r="B4669" s="31">
        <f>TIME(8,0,0)</f>
        <v>0.33333333333333331</v>
      </c>
      <c r="C4669" t="str">
        <f>'Inventory as of 12th Aug 2024'!A8</f>
        <v>eggs</v>
      </c>
      <c r="D4669">
        <v>1</v>
      </c>
      <c r="E4669" s="5">
        <f>Table4[[#This Row],[qty]]*(VLOOKUP(Table4[[#This Row],[item_sold]],Table1[],5,FALSE))</f>
        <v>20</v>
      </c>
      <c r="F4669" s="5">
        <f>(VLOOKUP(Table4[[#This Row],[item_sold]],Table1[],4,FALSE))*Table4[[#This Row],[qty]]</f>
        <v>14.333333333333334</v>
      </c>
      <c r="G4669">
        <f t="shared" si="630"/>
        <v>5.6666666666666661</v>
      </c>
      <c r="H4669" t="s">
        <v>430</v>
      </c>
      <c r="I4669" t="s">
        <v>427</v>
      </c>
    </row>
    <row r="4670" spans="1:12" x14ac:dyDescent="0.25">
      <c r="A4670" s="1">
        <f t="shared" si="637"/>
        <v>45559</v>
      </c>
      <c r="B4670" s="31">
        <f>TIME(8,44,0)</f>
        <v>0.36388888888888887</v>
      </c>
      <c r="C4670" t="str">
        <f>'Inventory as of 12th Aug 2024'!A35</f>
        <v>Festive 600g</v>
      </c>
      <c r="D4670">
        <v>1</v>
      </c>
      <c r="E4670" s="5">
        <f>Table4[[#This Row],[qty]]*(VLOOKUP(Table4[[#This Row],[item_sold]],Table1[],5,FALSE))</f>
        <v>100</v>
      </c>
      <c r="F4670" s="5">
        <f>(VLOOKUP(Table4[[#This Row],[item_sold]],Table1[],4,FALSE))*Table4[[#This Row],[qty]]</f>
        <v>90</v>
      </c>
      <c r="G4670">
        <f t="shared" si="630"/>
        <v>10</v>
      </c>
      <c r="H4670" t="s">
        <v>430</v>
      </c>
      <c r="I4670" t="s">
        <v>385</v>
      </c>
    </row>
    <row r="4671" spans="1:12" x14ac:dyDescent="0.25">
      <c r="A4671" s="1">
        <f t="shared" si="637"/>
        <v>45559</v>
      </c>
      <c r="B4671" s="31">
        <f t="shared" ref="B4671" si="638">TIME(8,44,0)</f>
        <v>0.36388888888888887</v>
      </c>
      <c r="C4671" t="str">
        <f>'Inventory as of 12th Aug 2024'!A9</f>
        <v>Kinangop Fresh Milk 500ml</v>
      </c>
      <c r="D4671">
        <v>1</v>
      </c>
      <c r="E4671" s="5">
        <f>Table4[[#This Row],[qty]]*(VLOOKUP(Table4[[#This Row],[item_sold]],Table1[],5,FALSE))</f>
        <v>60</v>
      </c>
      <c r="F4671" s="5">
        <f>(VLOOKUP(Table4[[#This Row],[item_sold]],Table1[],4,FALSE))*Table4[[#This Row],[qty]]</f>
        <v>55</v>
      </c>
      <c r="G4671">
        <f t="shared" si="630"/>
        <v>5</v>
      </c>
      <c r="H4671" t="s">
        <v>430</v>
      </c>
      <c r="I4671" t="s">
        <v>385</v>
      </c>
    </row>
    <row r="4672" spans="1:12" x14ac:dyDescent="0.25">
      <c r="A4672" s="1">
        <f t="shared" si="637"/>
        <v>45559</v>
      </c>
      <c r="B4672" s="31">
        <f>TIME(9,44,0)</f>
        <v>0.4055555555555555</v>
      </c>
      <c r="C4672" t="str">
        <f>'Inventory as of 12th Aug 2024'!A50</f>
        <v>Pishori rice</v>
      </c>
      <c r="D4672">
        <v>0.5</v>
      </c>
      <c r="E4672" s="5">
        <f>Table4[[#This Row],[qty]]*(VLOOKUP(Table4[[#This Row],[item_sold]],Table1[],5,FALSE))</f>
        <v>110</v>
      </c>
      <c r="F4672" s="5">
        <f>(VLOOKUP(Table4[[#This Row],[item_sold]],Table1[],4,FALSE))*Table4[[#This Row],[qty]]</f>
        <v>90</v>
      </c>
      <c r="G4672">
        <f t="shared" si="630"/>
        <v>20</v>
      </c>
      <c r="H4672" t="s">
        <v>247</v>
      </c>
      <c r="I4672" t="s">
        <v>447</v>
      </c>
      <c r="J4672" t="s">
        <v>447</v>
      </c>
      <c r="K4672">
        <v>100</v>
      </c>
      <c r="L4672" t="s">
        <v>247</v>
      </c>
    </row>
    <row r="4673" spans="1:9" x14ac:dyDescent="0.25">
      <c r="A4673" s="1">
        <f t="shared" si="637"/>
        <v>45559</v>
      </c>
      <c r="B4673" s="31">
        <f t="shared" ref="B4673" si="639">TIME(9,44,0)</f>
        <v>0.4055555555555555</v>
      </c>
      <c r="C4673" t="str">
        <f>'Inventory as of 12th Aug 2024'!A91</f>
        <v>Tomatoes</v>
      </c>
      <c r="D4673">
        <v>2</v>
      </c>
      <c r="E4673" s="5">
        <f>Table4[[#This Row],[qty]]*(VLOOKUP(Table4[[#This Row],[item_sold]],Table1[],5,FALSE))</f>
        <v>20</v>
      </c>
      <c r="F4673" s="5">
        <f>(VLOOKUP(Table4[[#This Row],[item_sold]],Table1[],4,FALSE))*Table4[[#This Row],[qty]]</f>
        <v>10</v>
      </c>
      <c r="G4673">
        <f t="shared" si="630"/>
        <v>10</v>
      </c>
      <c r="H4673" t="s">
        <v>430</v>
      </c>
      <c r="I4673" t="s">
        <v>447</v>
      </c>
    </row>
    <row r="4674" spans="1:9" x14ac:dyDescent="0.25">
      <c r="A4674" s="1">
        <f t="shared" si="637"/>
        <v>45559</v>
      </c>
      <c r="B4674" s="31">
        <f>TIME(10,1,0)</f>
        <v>0.41736111111111113</v>
      </c>
      <c r="C4674" t="str">
        <f>'Inventory as of 12th Aug 2024'!A175</f>
        <v>Coconut Cakes</v>
      </c>
      <c r="D4674">
        <v>6</v>
      </c>
      <c r="E4674" s="5">
        <f>Table4[[#This Row],[qty]]*(VLOOKUP(Table4[[#This Row],[item_sold]],Table1[],5,FALSE))</f>
        <v>60</v>
      </c>
      <c r="F4674" s="5">
        <f>(VLOOKUP(Table4[[#This Row],[item_sold]],Table1[],4,FALSE))*Table4[[#This Row],[qty]]</f>
        <v>50</v>
      </c>
      <c r="G4674">
        <f t="shared" si="630"/>
        <v>10</v>
      </c>
      <c r="H4674" t="s">
        <v>361</v>
      </c>
    </row>
    <row r="4675" spans="1:9" x14ac:dyDescent="0.25">
      <c r="A4675" s="1">
        <f t="shared" si="637"/>
        <v>45559</v>
      </c>
      <c r="B4675" s="31">
        <f>TIME(11,2,0)</f>
        <v>0.4597222222222222</v>
      </c>
      <c r="C4675" t="str">
        <f>'Inventory as of 12th Aug 2024'!A146</f>
        <v>Black Shampoo</v>
      </c>
      <c r="D4675">
        <v>1</v>
      </c>
      <c r="E4675" s="5">
        <f>Table4[[#This Row],[qty]]*(VLOOKUP(Table4[[#This Row],[item_sold]],Table1[],5,FALSE))</f>
        <v>50</v>
      </c>
      <c r="F4675" s="5">
        <f>(VLOOKUP(Table4[[#This Row],[item_sold]],Table1[],4,FALSE))*Table4[[#This Row],[qty]]</f>
        <v>28</v>
      </c>
      <c r="G4675">
        <f t="shared" si="630"/>
        <v>22</v>
      </c>
      <c r="H4675" t="s">
        <v>361</v>
      </c>
    </row>
    <row r="4676" spans="1:9" x14ac:dyDescent="0.25">
      <c r="A4676" s="1">
        <f t="shared" si="637"/>
        <v>45559</v>
      </c>
      <c r="B4676" s="31">
        <f t="shared" ref="B4676:B4680" si="640">TIME(11,2,0)</f>
        <v>0.4597222222222222</v>
      </c>
      <c r="C4676" t="str">
        <f>'Inventory as of 12th Aug 2024'!A120</f>
        <v>Maramoja</v>
      </c>
      <c r="D4676">
        <v>4</v>
      </c>
      <c r="E4676" s="5">
        <f>Table4[[#This Row],[qty]]*(VLOOKUP(Table4[[#This Row],[item_sold]],Table1[],5,FALSE))</f>
        <v>40</v>
      </c>
      <c r="F4676" s="5">
        <f>(VLOOKUP(Table4[[#This Row],[item_sold]],Table1[],4,FALSE))*Table4[[#This Row],[qty]]</f>
        <v>28</v>
      </c>
      <c r="G4676">
        <f t="shared" si="630"/>
        <v>12</v>
      </c>
      <c r="H4676" t="s">
        <v>361</v>
      </c>
    </row>
    <row r="4677" spans="1:9" x14ac:dyDescent="0.25">
      <c r="A4677" s="1">
        <f t="shared" si="637"/>
        <v>45559</v>
      </c>
      <c r="B4677" s="31">
        <f t="shared" si="640"/>
        <v>0.4597222222222222</v>
      </c>
      <c r="C4677" t="str">
        <f>'Inventory as of 12th Aug 2024'!A177</f>
        <v>Ringoz Barbeque</v>
      </c>
      <c r="D4677">
        <v>1</v>
      </c>
      <c r="E4677" s="5">
        <f>Table4[[#This Row],[qty]]*(VLOOKUP(Table4[[#This Row],[item_sold]],Table1[],5,FALSE))</f>
        <v>15</v>
      </c>
      <c r="F4677" s="5">
        <f>(VLOOKUP(Table4[[#This Row],[item_sold]],Table1[],4,FALSE))*Table4[[#This Row],[qty]]</f>
        <v>8.6</v>
      </c>
      <c r="G4677">
        <f t="shared" si="630"/>
        <v>6.4</v>
      </c>
      <c r="H4677" t="s">
        <v>361</v>
      </c>
    </row>
    <row r="4678" spans="1:9" x14ac:dyDescent="0.25">
      <c r="A4678" s="1">
        <f t="shared" si="637"/>
        <v>45559</v>
      </c>
      <c r="B4678" s="31">
        <f t="shared" si="640"/>
        <v>0.4597222222222222</v>
      </c>
      <c r="C4678" t="str">
        <f>'Inventory as of 12th Aug 2024'!A75</f>
        <v>Cooking Oil Measured</v>
      </c>
      <c r="D4678">
        <v>0.25</v>
      </c>
      <c r="E4678" s="5">
        <f>Table4[[#This Row],[qty]]*(VLOOKUP(Table4[[#This Row],[item_sold]],Table1[],5,FALSE))</f>
        <v>70</v>
      </c>
      <c r="F4678" s="5">
        <f>(VLOOKUP(Table4[[#This Row],[item_sold]],Table1[],4,FALSE))*Table4[[#This Row],[qty]]</f>
        <v>50</v>
      </c>
      <c r="G4678">
        <f t="shared" si="630"/>
        <v>20</v>
      </c>
      <c r="H4678" t="s">
        <v>361</v>
      </c>
    </row>
    <row r="4679" spans="1:9" x14ac:dyDescent="0.25">
      <c r="A4679" s="1">
        <f t="shared" si="637"/>
        <v>45559</v>
      </c>
      <c r="B4679" s="31">
        <f t="shared" si="640"/>
        <v>0.4597222222222222</v>
      </c>
      <c r="C4679" t="str">
        <f>'Inventory as of 12th Aug 2024'!A243</f>
        <v>Ballon</v>
      </c>
      <c r="D4679">
        <v>1</v>
      </c>
      <c r="E4679" s="5">
        <f>Table4[[#This Row],[qty]]*(VLOOKUP(Table4[[#This Row],[item_sold]],Table1[],5,FALSE))</f>
        <v>10</v>
      </c>
      <c r="F4679" s="5">
        <f>(VLOOKUP(Table4[[#This Row],[item_sold]],Table1[],4,FALSE))*Table4[[#This Row],[qty]]</f>
        <v>7.5</v>
      </c>
      <c r="G4679">
        <f t="shared" si="630"/>
        <v>2.5</v>
      </c>
      <c r="H4679" t="s">
        <v>361</v>
      </c>
    </row>
    <row r="4680" spans="1:9" x14ac:dyDescent="0.25">
      <c r="A4680" s="1">
        <f t="shared" si="637"/>
        <v>45559</v>
      </c>
      <c r="B4680" s="31">
        <f t="shared" si="640"/>
        <v>0.4597222222222222</v>
      </c>
      <c r="C4680" t="str">
        <f>'Inventory as of 12th Aug 2024'!A175</f>
        <v>Coconut Cakes</v>
      </c>
      <c r="D4680">
        <v>6</v>
      </c>
      <c r="E4680" s="5">
        <f>Table4[[#This Row],[qty]]*(VLOOKUP(Table4[[#This Row],[item_sold]],Table1[],5,FALSE))</f>
        <v>60</v>
      </c>
      <c r="F4680" s="5">
        <f>(VLOOKUP(Table4[[#This Row],[item_sold]],Table1[],4,FALSE))*Table4[[#This Row],[qty]]</f>
        <v>50</v>
      </c>
      <c r="G4680">
        <f t="shared" si="630"/>
        <v>10</v>
      </c>
      <c r="H4680" t="s">
        <v>361</v>
      </c>
    </row>
    <row r="4681" spans="1:9" x14ac:dyDescent="0.25">
      <c r="A4681" s="1">
        <f t="shared" si="637"/>
        <v>45559</v>
      </c>
      <c r="B4681" s="31">
        <f>TIME(11,8,0)</f>
        <v>0.46388888888888885</v>
      </c>
      <c r="C4681" t="str">
        <f>'Inventory as of 12th Aug 2024'!A42</f>
        <v>Indomie chicken</v>
      </c>
      <c r="D4681">
        <v>1</v>
      </c>
      <c r="E4681" s="5">
        <f>Table4[[#This Row],[qty]]*(VLOOKUP(Table4[[#This Row],[item_sold]],Table1[],5,FALSE))</f>
        <v>50</v>
      </c>
      <c r="F4681" s="5">
        <f>(VLOOKUP(Table4[[#This Row],[item_sold]],Table1[],4,FALSE))*Table4[[#This Row],[qty]]</f>
        <v>37.5</v>
      </c>
      <c r="G4681">
        <f t="shared" si="630"/>
        <v>12.5</v>
      </c>
      <c r="H4681" t="s">
        <v>361</v>
      </c>
    </row>
    <row r="4682" spans="1:9" x14ac:dyDescent="0.25">
      <c r="A4682" s="1">
        <f t="shared" si="637"/>
        <v>45559</v>
      </c>
      <c r="B4682" s="31">
        <f>TIME(11,13,0)</f>
        <v>0.46736111111111112</v>
      </c>
      <c r="C4682" t="str">
        <f>'Inventory as of 12th Aug 2024'!A8</f>
        <v>eggs</v>
      </c>
      <c r="D4682">
        <v>2</v>
      </c>
      <c r="E4682" s="5">
        <f>Table4[[#This Row],[qty]]*(VLOOKUP(Table4[[#This Row],[item_sold]],Table1[],5,FALSE))</f>
        <v>40</v>
      </c>
      <c r="F4682" s="5">
        <f>(VLOOKUP(Table4[[#This Row],[item_sold]],Table1[],4,FALSE))*Table4[[#This Row],[qty]]</f>
        <v>28.666666666666668</v>
      </c>
      <c r="G4682">
        <f t="shared" si="630"/>
        <v>11.333333333333332</v>
      </c>
      <c r="H4682" t="s">
        <v>247</v>
      </c>
    </row>
    <row r="4683" spans="1:9" x14ac:dyDescent="0.25">
      <c r="A4683" s="1">
        <f t="shared" si="637"/>
        <v>45559</v>
      </c>
      <c r="B4683" s="31">
        <f>TIME(11,31,0)</f>
        <v>0.47986111111111113</v>
      </c>
      <c r="C4683" t="str">
        <f>'Inventory as of 12th Aug 2024'!A79</f>
        <v xml:space="preserve">Whitewash </v>
      </c>
      <c r="D4683">
        <v>1</v>
      </c>
      <c r="E4683" s="5">
        <f>Table4[[#This Row],[qty]]*(VLOOKUP(Table4[[#This Row],[item_sold]],Table1[],5,FALSE))</f>
        <v>50</v>
      </c>
      <c r="F4683" s="5">
        <f>(VLOOKUP(Table4[[#This Row],[item_sold]],Table1[],4,FALSE))*Table4[[#This Row],[qty]]</f>
        <v>33.75</v>
      </c>
      <c r="G4683">
        <f t="shared" si="630"/>
        <v>16.25</v>
      </c>
      <c r="H4683" t="s">
        <v>361</v>
      </c>
    </row>
    <row r="4684" spans="1:9" x14ac:dyDescent="0.25">
      <c r="A4684" s="1">
        <f t="shared" si="637"/>
        <v>45559</v>
      </c>
      <c r="B4684" s="31">
        <f t="shared" ref="B4684" si="641">TIME(11,31,0)</f>
        <v>0.47986111111111113</v>
      </c>
      <c r="C4684" t="str">
        <f>'Inventory as of 12th Aug 2024'!A9</f>
        <v>Kinangop Fresh Milk 500ml</v>
      </c>
      <c r="D4684">
        <v>1</v>
      </c>
      <c r="E4684" s="5">
        <f>Table4[[#This Row],[qty]]*(VLOOKUP(Table4[[#This Row],[item_sold]],Table1[],5,FALSE))</f>
        <v>60</v>
      </c>
      <c r="F4684" s="5">
        <f>(VLOOKUP(Table4[[#This Row],[item_sold]],Table1[],4,FALSE))*Table4[[#This Row],[qty]]</f>
        <v>55</v>
      </c>
      <c r="G4684">
        <f t="shared" si="630"/>
        <v>5</v>
      </c>
      <c r="H4684" t="s">
        <v>430</v>
      </c>
      <c r="I4684" t="s">
        <v>406</v>
      </c>
    </row>
    <row r="4685" spans="1:9" x14ac:dyDescent="0.25">
      <c r="A4685" s="1">
        <f t="shared" si="637"/>
        <v>45559</v>
      </c>
      <c r="B4685" s="31">
        <f>TIME(13,37,0)</f>
        <v>0.56736111111111109</v>
      </c>
      <c r="C4685" t="str">
        <f>'Inventory as of 12th Aug 2024'!A33</f>
        <v>BB Bread 400g</v>
      </c>
      <c r="D4685">
        <v>1</v>
      </c>
      <c r="E4685" s="5">
        <f>Table4[[#This Row],[qty]]*(VLOOKUP(Table4[[#This Row],[item_sold]],Table1[],5,FALSE))</f>
        <v>65</v>
      </c>
      <c r="F4685" s="5">
        <f>(VLOOKUP(Table4[[#This Row],[item_sold]],Table1[],4,FALSE))*Table4[[#This Row],[qty]]</f>
        <v>60</v>
      </c>
      <c r="G4685">
        <f t="shared" si="630"/>
        <v>5</v>
      </c>
      <c r="H4685" t="s">
        <v>361</v>
      </c>
    </row>
    <row r="4686" spans="1:9" x14ac:dyDescent="0.25">
      <c r="A4686" s="1">
        <f t="shared" si="637"/>
        <v>45559</v>
      </c>
      <c r="B4686" s="31">
        <f>TIME(15,46,0)</f>
        <v>0.65694444444444444</v>
      </c>
      <c r="C4686" t="str">
        <f>'Inventory as of 12th Aug 2024'!A205</f>
        <v xml:space="preserve"> soda 1.25lts</v>
      </c>
      <c r="D4686">
        <v>1</v>
      </c>
      <c r="E4686" s="5">
        <f>Table4[[#This Row],[qty]]*(VLOOKUP(Table4[[#This Row],[item_sold]],Table1[],5,FALSE))</f>
        <v>130</v>
      </c>
      <c r="F4686" s="5">
        <f>(VLOOKUP(Table4[[#This Row],[item_sold]],Table1[],4,FALSE))*Table4[[#This Row],[qty]]</f>
        <v>112.5</v>
      </c>
      <c r="G4686">
        <f t="shared" si="630"/>
        <v>17.5</v>
      </c>
      <c r="H4686" t="s">
        <v>361</v>
      </c>
    </row>
    <row r="4687" spans="1:9" x14ac:dyDescent="0.25">
      <c r="A4687" s="1">
        <f t="shared" si="637"/>
        <v>45559</v>
      </c>
      <c r="B4687" s="31">
        <f>TIME(16,7,0)</f>
        <v>0.67152777777777783</v>
      </c>
      <c r="C4687" t="str">
        <f>'Inventory as of 12th Aug 2024'!A212</f>
        <v>soda 300ml glass</v>
      </c>
      <c r="D4687">
        <v>1</v>
      </c>
      <c r="E4687" s="5">
        <f>Table4[[#This Row],[qty]]*(VLOOKUP(Table4[[#This Row],[item_sold]],Table1[],5,FALSE))</f>
        <v>40</v>
      </c>
      <c r="F4687" s="5">
        <f>(VLOOKUP(Table4[[#This Row],[item_sold]],Table1[],4,FALSE))*Table4[[#This Row],[qty]]</f>
        <v>32.5</v>
      </c>
      <c r="G4687">
        <f t="shared" si="630"/>
        <v>7.5</v>
      </c>
      <c r="H4687" t="s">
        <v>361</v>
      </c>
    </row>
    <row r="4688" spans="1:9" x14ac:dyDescent="0.25">
      <c r="A4688" s="1">
        <f t="shared" si="637"/>
        <v>45559</v>
      </c>
      <c r="B4688" s="31">
        <f>TIME(16,8,0)</f>
        <v>0.67222222222222217</v>
      </c>
      <c r="C4688" t="str">
        <f>'Inventory as of 12th Aug 2024'!A193</f>
        <v>Ginger Bisquit</v>
      </c>
      <c r="D4688">
        <v>4</v>
      </c>
      <c r="E4688" s="5">
        <f>Table4[[#This Row],[qty]]*(VLOOKUP(Table4[[#This Row],[item_sold]],Table1[],5,FALSE))</f>
        <v>20</v>
      </c>
      <c r="F4688" s="5">
        <f>(VLOOKUP(Table4[[#This Row],[item_sold]],Table1[],4,FALSE))*Table4[[#This Row],[qty]]</f>
        <v>17.333333333333332</v>
      </c>
      <c r="G4688">
        <f t="shared" si="630"/>
        <v>2.6666666666666679</v>
      </c>
      <c r="H4688" t="s">
        <v>361</v>
      </c>
    </row>
    <row r="4689" spans="1:9" x14ac:dyDescent="0.25">
      <c r="A4689" s="1">
        <f t="shared" si="637"/>
        <v>45559</v>
      </c>
      <c r="B4689" s="31">
        <f>TIME(17,15,0)</f>
        <v>0.71875</v>
      </c>
      <c r="C4689" t="str">
        <f>'Inventory as of 12th Aug 2024'!A240</f>
        <v>Bigboss</v>
      </c>
      <c r="D4689">
        <v>1</v>
      </c>
      <c r="E4689" s="5">
        <f>Table4[[#This Row],[qty]]*(VLOOKUP(Table4[[#This Row],[item_sold]],Table1[],5,FALSE))</f>
        <v>5</v>
      </c>
      <c r="F4689" s="5">
        <f>(VLOOKUP(Table4[[#This Row],[item_sold]],Table1[],4,FALSE))*Table4[[#This Row],[qty]]</f>
        <v>3.5</v>
      </c>
      <c r="G4689">
        <f t="shared" si="630"/>
        <v>1.5</v>
      </c>
      <c r="H4689" t="s">
        <v>247</v>
      </c>
    </row>
    <row r="4690" spans="1:9" x14ac:dyDescent="0.25">
      <c r="A4690" s="1">
        <f t="shared" si="637"/>
        <v>45559</v>
      </c>
      <c r="B4690" s="31">
        <f>TIME(17,6,0)</f>
        <v>0.71250000000000002</v>
      </c>
      <c r="C4690" t="str">
        <f>'Inventory as of 12th Aug 2024'!A42</f>
        <v>Indomie chicken</v>
      </c>
      <c r="D4690">
        <v>1</v>
      </c>
      <c r="E4690" s="5">
        <f>Table4[[#This Row],[qty]]*(VLOOKUP(Table4[[#This Row],[item_sold]],Table1[],5,FALSE))</f>
        <v>50</v>
      </c>
      <c r="F4690" s="5">
        <f>(VLOOKUP(Table4[[#This Row],[item_sold]],Table1[],4,FALSE))*Table4[[#This Row],[qty]]</f>
        <v>37.5</v>
      </c>
      <c r="G4690">
        <f t="shared" si="630"/>
        <v>12.5</v>
      </c>
      <c r="H4690" t="s">
        <v>361</v>
      </c>
    </row>
    <row r="4691" spans="1:9" x14ac:dyDescent="0.25">
      <c r="A4691" s="1">
        <f t="shared" si="637"/>
        <v>45559</v>
      </c>
      <c r="B4691" s="31">
        <f>TIME(17,25,0)</f>
        <v>0.72569444444444453</v>
      </c>
      <c r="C4691" t="str">
        <f>'Inventory as of 12th Aug 2024'!A91</f>
        <v>Tomatoes</v>
      </c>
      <c r="D4691">
        <v>1</v>
      </c>
      <c r="E4691" s="5">
        <f>Table4[[#This Row],[qty]]*(VLOOKUP(Table4[[#This Row],[item_sold]],Table1[],5,FALSE))</f>
        <v>10</v>
      </c>
      <c r="F4691" s="5">
        <f>(VLOOKUP(Table4[[#This Row],[item_sold]],Table1[],4,FALSE))*Table4[[#This Row],[qty]]</f>
        <v>5</v>
      </c>
      <c r="G4691">
        <f t="shared" si="630"/>
        <v>5</v>
      </c>
      <c r="H4691" t="s">
        <v>361</v>
      </c>
    </row>
    <row r="4692" spans="1:9" x14ac:dyDescent="0.25">
      <c r="A4692" s="1">
        <f t="shared" si="637"/>
        <v>45559</v>
      </c>
      <c r="B4692" s="31">
        <f t="shared" ref="B4692:B4693" si="642">TIME(17,25,0)</f>
        <v>0.72569444444444453</v>
      </c>
      <c r="C4692" t="str">
        <f>'Inventory as of 12th Aug 2024'!A191</f>
        <v>Nuvita Bisquit</v>
      </c>
      <c r="D4692">
        <v>2</v>
      </c>
      <c r="E4692" s="5">
        <f>Table4[[#This Row],[qty]]*(VLOOKUP(Table4[[#This Row],[item_sold]],Table1[],5,FALSE))</f>
        <v>10</v>
      </c>
      <c r="F4692" s="5">
        <f>(VLOOKUP(Table4[[#This Row],[item_sold]],Table1[],4,FALSE))*Table4[[#This Row],[qty]]</f>
        <v>8.3333333333333339</v>
      </c>
      <c r="G4692">
        <f t="shared" ref="G4692:G4719" si="643">E4692-F4692</f>
        <v>1.6666666666666661</v>
      </c>
      <c r="H4692" t="s">
        <v>361</v>
      </c>
    </row>
    <row r="4693" spans="1:9" x14ac:dyDescent="0.25">
      <c r="A4693" s="1">
        <f t="shared" si="637"/>
        <v>45559</v>
      </c>
      <c r="B4693" s="31">
        <f t="shared" si="642"/>
        <v>0.72569444444444453</v>
      </c>
      <c r="C4693" t="str">
        <f>'Inventory as of 12th Aug 2024'!A8</f>
        <v>eggs</v>
      </c>
      <c r="D4693">
        <v>1</v>
      </c>
      <c r="E4693" s="5">
        <f>Table4[[#This Row],[qty]]*(VLOOKUP(Table4[[#This Row],[item_sold]],Table1[],5,FALSE))</f>
        <v>20</v>
      </c>
      <c r="F4693" s="5">
        <f>(VLOOKUP(Table4[[#This Row],[item_sold]],Table1[],4,FALSE))*Table4[[#This Row],[qty]]</f>
        <v>14.333333333333334</v>
      </c>
      <c r="G4693">
        <f t="shared" si="643"/>
        <v>5.6666666666666661</v>
      </c>
      <c r="H4693" t="s">
        <v>361</v>
      </c>
    </row>
    <row r="4694" spans="1:9" x14ac:dyDescent="0.25">
      <c r="A4694" s="1">
        <f t="shared" si="637"/>
        <v>45559</v>
      </c>
      <c r="B4694" s="31">
        <f>TIME(17,47,0)</f>
        <v>0.74097222222222225</v>
      </c>
      <c r="C4694" t="str">
        <f>'Inventory as of 12th Aug 2024'!A41</f>
        <v>Indomie beef</v>
      </c>
      <c r="D4694">
        <v>1</v>
      </c>
      <c r="E4694" s="5">
        <f>Table4[[#This Row],[qty]]*(VLOOKUP(Table4[[#This Row],[item_sold]],Table1[],5,FALSE))</f>
        <v>50</v>
      </c>
      <c r="F4694" s="5">
        <f>(VLOOKUP(Table4[[#This Row],[item_sold]],Table1[],4,FALSE))*Table4[[#This Row],[qty]]</f>
        <v>38</v>
      </c>
      <c r="G4694">
        <f t="shared" si="643"/>
        <v>12</v>
      </c>
      <c r="H4694" t="s">
        <v>361</v>
      </c>
    </row>
    <row r="4695" spans="1:9" x14ac:dyDescent="0.25">
      <c r="A4695" s="1">
        <f t="shared" si="637"/>
        <v>45559</v>
      </c>
      <c r="B4695" s="31">
        <f>TIME(18,37,0)</f>
        <v>0.77569444444444446</v>
      </c>
      <c r="C4695" t="str">
        <f>'Inventory as of 12th Aug 2024'!A55</f>
        <v>familla porriedge</v>
      </c>
      <c r="D4695">
        <v>1</v>
      </c>
      <c r="E4695" s="5">
        <f>Table4[[#This Row],[qty]]*(VLOOKUP(Table4[[#This Row],[item_sold]],Table1[],5,FALSE))</f>
        <v>100</v>
      </c>
      <c r="F4695" s="5">
        <f>(VLOOKUP(Table4[[#This Row],[item_sold]],Table1[],4,FALSE))*Table4[[#This Row],[qty]]</f>
        <v>80</v>
      </c>
      <c r="G4695">
        <f t="shared" si="643"/>
        <v>20</v>
      </c>
      <c r="H4695" t="s">
        <v>430</v>
      </c>
      <c r="I4695" t="s">
        <v>404</v>
      </c>
    </row>
    <row r="4696" spans="1:9" x14ac:dyDescent="0.25">
      <c r="A4696" s="1">
        <f t="shared" si="637"/>
        <v>45559</v>
      </c>
      <c r="B4696" s="31">
        <f>TIME(18,37,0)</f>
        <v>0.77569444444444446</v>
      </c>
      <c r="C4696" t="str">
        <f>'Inventory as of 12th Aug 2024'!A134</f>
        <v>Hanaan Tissue</v>
      </c>
      <c r="D4696">
        <v>2</v>
      </c>
      <c r="E4696" s="5">
        <f>Table4[[#This Row],[qty]]*(VLOOKUP(Table4[[#This Row],[item_sold]],Table1[],5,FALSE))</f>
        <v>110</v>
      </c>
      <c r="F4696" s="5">
        <f>(VLOOKUP(Table4[[#This Row],[item_sold]],Table1[],4,FALSE))*Table4[[#This Row],[qty]]</f>
        <v>86</v>
      </c>
      <c r="G4696">
        <f t="shared" si="643"/>
        <v>24</v>
      </c>
      <c r="H4696" t="s">
        <v>430</v>
      </c>
      <c r="I4696" t="s">
        <v>404</v>
      </c>
    </row>
    <row r="4697" spans="1:9" x14ac:dyDescent="0.25">
      <c r="A4697" s="1">
        <f t="shared" si="637"/>
        <v>45559</v>
      </c>
      <c r="B4697" s="31">
        <f t="shared" ref="B4697:B4699" si="644">TIME(18,37,0)</f>
        <v>0.77569444444444446</v>
      </c>
      <c r="C4697" t="str">
        <f>'Inventory as of 12th Aug 2024'!A17</f>
        <v>Brookside milk 500ml</v>
      </c>
      <c r="D4697">
        <v>2</v>
      </c>
      <c r="E4697" s="5">
        <f>Table4[[#This Row],[qty]]*(VLOOKUP(Table4[[#This Row],[item_sold]],Table1[],5,FALSE))</f>
        <v>140</v>
      </c>
      <c r="F4697" s="5">
        <f>(VLOOKUP(Table4[[#This Row],[item_sold]],Table1[],4,FALSE))*Table4[[#This Row],[qty]]</f>
        <v>118</v>
      </c>
      <c r="G4697">
        <f t="shared" si="643"/>
        <v>22</v>
      </c>
      <c r="H4697" t="s">
        <v>430</v>
      </c>
      <c r="I4697" t="s">
        <v>404</v>
      </c>
    </row>
    <row r="4698" spans="1:9" x14ac:dyDescent="0.25">
      <c r="A4698" s="1">
        <f t="shared" si="637"/>
        <v>45559</v>
      </c>
      <c r="B4698" s="31">
        <f t="shared" si="644"/>
        <v>0.77569444444444446</v>
      </c>
      <c r="C4698" t="str">
        <f>'Inventory as of 12th Aug 2024'!A33</f>
        <v>BB Bread 400g</v>
      </c>
      <c r="D4698">
        <v>1</v>
      </c>
      <c r="E4698" s="5">
        <f>Table4[[#This Row],[qty]]*(VLOOKUP(Table4[[#This Row],[item_sold]],Table1[],5,FALSE))</f>
        <v>65</v>
      </c>
      <c r="F4698" s="5">
        <f>(VLOOKUP(Table4[[#This Row],[item_sold]],Table1[],4,FALSE))*Table4[[#This Row],[qty]]</f>
        <v>60</v>
      </c>
      <c r="G4698">
        <f t="shared" si="643"/>
        <v>5</v>
      </c>
      <c r="H4698" t="s">
        <v>430</v>
      </c>
      <c r="I4698" t="s">
        <v>404</v>
      </c>
    </row>
    <row r="4699" spans="1:9" x14ac:dyDescent="0.25">
      <c r="A4699" s="1">
        <f t="shared" si="637"/>
        <v>45559</v>
      </c>
      <c r="B4699" s="31">
        <f t="shared" si="644"/>
        <v>0.77569444444444446</v>
      </c>
      <c r="C4699" t="str">
        <f>'Inventory as of 12th Aug 2024'!A107</f>
        <v>Match Box</v>
      </c>
      <c r="D4699">
        <v>2</v>
      </c>
      <c r="E4699" s="5">
        <f>Table4[[#This Row],[qty]]*(VLOOKUP(Table4[[#This Row],[item_sold]],Table1[],5,FALSE))</f>
        <v>10</v>
      </c>
      <c r="F4699" s="5">
        <f>(VLOOKUP(Table4[[#This Row],[item_sold]],Table1[],4,FALSE))*Table4[[#This Row],[qty]]</f>
        <v>4.7222222222222223</v>
      </c>
      <c r="G4699">
        <f t="shared" si="643"/>
        <v>5.2777777777777777</v>
      </c>
      <c r="H4699" t="s">
        <v>430</v>
      </c>
      <c r="I4699" t="s">
        <v>404</v>
      </c>
    </row>
    <row r="4700" spans="1:9" x14ac:dyDescent="0.25">
      <c r="A4700" s="1">
        <f t="shared" si="637"/>
        <v>45559</v>
      </c>
      <c r="B4700" s="31">
        <f>TIME(18,39,0)</f>
        <v>0.77708333333333324</v>
      </c>
      <c r="C4700" t="str">
        <f>'Inventory as of 12th Aug 2024'!A16</f>
        <v>Mt kenya milk 500ml</v>
      </c>
      <c r="D4700">
        <v>1</v>
      </c>
      <c r="E4700" s="5">
        <f>Table4[[#This Row],[qty]]*(VLOOKUP(Table4[[#This Row],[item_sold]],Table1[],5,FALSE))</f>
        <v>65</v>
      </c>
      <c r="F4700" s="5">
        <f>(VLOOKUP(Table4[[#This Row],[item_sold]],Table1[],4,FALSE))*Table4[[#This Row],[qty]]</f>
        <v>48.333333333333336</v>
      </c>
      <c r="G4700">
        <f t="shared" si="643"/>
        <v>16.666666666666664</v>
      </c>
      <c r="H4700" t="s">
        <v>430</v>
      </c>
      <c r="I4700" t="s">
        <v>392</v>
      </c>
    </row>
    <row r="4701" spans="1:9" x14ac:dyDescent="0.25">
      <c r="A4701" s="1">
        <f t="shared" si="637"/>
        <v>45559</v>
      </c>
      <c r="B4701" s="31">
        <f t="shared" ref="B4701" si="645">TIME(18,39,0)</f>
        <v>0.77708333333333324</v>
      </c>
      <c r="C4701" t="str">
        <f>'Inventory as of 12th Aug 2024'!A33</f>
        <v>BB Bread 400g</v>
      </c>
      <c r="D4701">
        <v>1</v>
      </c>
      <c r="E4701" s="5">
        <f>Table4[[#This Row],[qty]]*(VLOOKUP(Table4[[#This Row],[item_sold]],Table1[],5,FALSE))</f>
        <v>65</v>
      </c>
      <c r="F4701" s="5">
        <f>(VLOOKUP(Table4[[#This Row],[item_sold]],Table1[],4,FALSE))*Table4[[#This Row],[qty]]</f>
        <v>60</v>
      </c>
      <c r="G4701">
        <f t="shared" si="643"/>
        <v>5</v>
      </c>
      <c r="H4701" t="s">
        <v>430</v>
      </c>
      <c r="I4701" t="s">
        <v>392</v>
      </c>
    </row>
    <row r="4702" spans="1:9" x14ac:dyDescent="0.25">
      <c r="A4702" s="1">
        <f t="shared" si="637"/>
        <v>45559</v>
      </c>
      <c r="B4702" s="31">
        <f>TIME(18,40,0)</f>
        <v>0.77777777777777779</v>
      </c>
      <c r="C4702" t="str">
        <f>'Inventory as of 12th Aug 2024'!A91</f>
        <v>Tomatoes</v>
      </c>
      <c r="D4702">
        <v>3</v>
      </c>
      <c r="E4702" s="5">
        <f>Table4[[#This Row],[qty]]*(VLOOKUP(Table4[[#This Row],[item_sold]],Table1[],5,FALSE))</f>
        <v>30</v>
      </c>
      <c r="F4702" s="5">
        <f>(VLOOKUP(Table4[[#This Row],[item_sold]],Table1[],4,FALSE))*Table4[[#This Row],[qty]]</f>
        <v>15</v>
      </c>
      <c r="G4702">
        <f t="shared" si="643"/>
        <v>15</v>
      </c>
      <c r="H4702" t="s">
        <v>430</v>
      </c>
      <c r="I4702" t="s">
        <v>456</v>
      </c>
    </row>
    <row r="4703" spans="1:9" x14ac:dyDescent="0.25">
      <c r="A4703" s="1">
        <f t="shared" si="637"/>
        <v>45559</v>
      </c>
      <c r="B4703" s="31">
        <f t="shared" ref="B4703" si="646">TIME(18,40,0)</f>
        <v>0.77777777777777779</v>
      </c>
      <c r="C4703" t="str">
        <f>'Inventory as of 12th Aug 2024'!A107</f>
        <v>Match Box</v>
      </c>
      <c r="D4703">
        <v>1</v>
      </c>
      <c r="E4703" s="5">
        <f>Table4[[#This Row],[qty]]*(VLOOKUP(Table4[[#This Row],[item_sold]],Table1[],5,FALSE))</f>
        <v>5</v>
      </c>
      <c r="F4703" s="5">
        <f>(VLOOKUP(Table4[[#This Row],[item_sold]],Table1[],4,FALSE))*Table4[[#This Row],[qty]]</f>
        <v>2.3611111111111112</v>
      </c>
      <c r="G4703">
        <f t="shared" si="643"/>
        <v>2.6388888888888888</v>
      </c>
      <c r="H4703" t="s">
        <v>430</v>
      </c>
      <c r="I4703" t="s">
        <v>456</v>
      </c>
    </row>
    <row r="4704" spans="1:9" x14ac:dyDescent="0.25">
      <c r="A4704" s="1">
        <f t="shared" si="637"/>
        <v>45559</v>
      </c>
      <c r="B4704" s="31">
        <f>TIME(18,46,0)</f>
        <v>0.78194444444444444</v>
      </c>
      <c r="C4704" t="str">
        <f>'Inventory as of 12th Aug 2024'!A33</f>
        <v>BB Bread 400g</v>
      </c>
      <c r="D4704">
        <v>1</v>
      </c>
      <c r="E4704" s="5">
        <f>Table4[[#This Row],[qty]]*(VLOOKUP(Table4[[#This Row],[item_sold]],Table1[],5,FALSE))</f>
        <v>65</v>
      </c>
      <c r="F4704" s="5">
        <f>(VLOOKUP(Table4[[#This Row],[item_sold]],Table1[],4,FALSE))*Table4[[#This Row],[qty]]</f>
        <v>60</v>
      </c>
      <c r="G4704">
        <f t="shared" si="643"/>
        <v>5</v>
      </c>
      <c r="H4704" t="s">
        <v>361</v>
      </c>
    </row>
    <row r="4705" spans="1:12" x14ac:dyDescent="0.25">
      <c r="A4705" s="1">
        <f t="shared" si="637"/>
        <v>45559</v>
      </c>
      <c r="B4705" s="31">
        <f t="shared" ref="B4705:B4708" si="647">TIME(18,46,0)</f>
        <v>0.78194444444444444</v>
      </c>
      <c r="C4705" t="str">
        <f>'Inventory as of 12th Aug 2024'!A16</f>
        <v>Mt kenya milk 500ml</v>
      </c>
      <c r="D4705">
        <v>1</v>
      </c>
      <c r="E4705" s="5">
        <f>Table4[[#This Row],[qty]]*(VLOOKUP(Table4[[#This Row],[item_sold]],Table1[],5,FALSE))</f>
        <v>65</v>
      </c>
      <c r="F4705" s="5">
        <f>(VLOOKUP(Table4[[#This Row],[item_sold]],Table1[],4,FALSE))*Table4[[#This Row],[qty]]</f>
        <v>48.333333333333336</v>
      </c>
      <c r="G4705">
        <f t="shared" si="643"/>
        <v>16.666666666666664</v>
      </c>
      <c r="H4705" t="s">
        <v>361</v>
      </c>
    </row>
    <row r="4706" spans="1:12" x14ac:dyDescent="0.25">
      <c r="A4706" s="1">
        <f t="shared" si="637"/>
        <v>45559</v>
      </c>
      <c r="B4706" s="31">
        <f t="shared" si="647"/>
        <v>0.78194444444444444</v>
      </c>
      <c r="C4706" t="str">
        <f>'Inventory as of 12th Aug 2024'!A29</f>
        <v>Fahari Tea 50g</v>
      </c>
      <c r="D4706">
        <v>1</v>
      </c>
      <c r="E4706" s="5">
        <f>Table4[[#This Row],[qty]]*(VLOOKUP(Table4[[#This Row],[item_sold]],Table1[],5,FALSE))</f>
        <v>30</v>
      </c>
      <c r="F4706" s="5">
        <f>(VLOOKUP(Table4[[#This Row],[item_sold]],Table1[],4,FALSE))*Table4[[#This Row],[qty]]</f>
        <v>17.5</v>
      </c>
      <c r="G4706">
        <f t="shared" si="643"/>
        <v>12.5</v>
      </c>
      <c r="H4706" t="s">
        <v>361</v>
      </c>
    </row>
    <row r="4707" spans="1:12" x14ac:dyDescent="0.25">
      <c r="A4707" s="1">
        <f t="shared" si="637"/>
        <v>45559</v>
      </c>
      <c r="B4707" s="31">
        <f t="shared" si="647"/>
        <v>0.78194444444444444</v>
      </c>
      <c r="C4707" t="str">
        <f>'Inventory as of 12th Aug 2024'!A59</f>
        <v>kabras sugar 1kg</v>
      </c>
      <c r="D4707">
        <v>1</v>
      </c>
      <c r="E4707" s="5">
        <f>Table4[[#This Row],[qty]]*(VLOOKUP(Table4[[#This Row],[item_sold]],Table1[],5,FALSE))</f>
        <v>180</v>
      </c>
      <c r="F4707" s="5">
        <f>(VLOOKUP(Table4[[#This Row],[item_sold]],Table1[],4,FALSE))*Table4[[#This Row],[qty]]</f>
        <v>140</v>
      </c>
      <c r="G4707">
        <f t="shared" si="643"/>
        <v>40</v>
      </c>
      <c r="H4707" t="s">
        <v>361</v>
      </c>
    </row>
    <row r="4708" spans="1:12" x14ac:dyDescent="0.25">
      <c r="A4708" s="1">
        <f t="shared" si="637"/>
        <v>45559</v>
      </c>
      <c r="B4708" s="31">
        <f t="shared" si="647"/>
        <v>0.78194444444444444</v>
      </c>
      <c r="C4708" t="str">
        <f>'Inventory as of 12th Aug 2024'!A216</f>
        <v>Blueband 500g</v>
      </c>
      <c r="D4708">
        <v>1</v>
      </c>
      <c r="E4708" s="5">
        <f>Table4[[#This Row],[qty]]*(VLOOKUP(Table4[[#This Row],[item_sold]],Table1[],5,FALSE))</f>
        <v>350</v>
      </c>
      <c r="F4708" s="5">
        <f>(VLOOKUP(Table4[[#This Row],[item_sold]],Table1[],4,FALSE))*Table4[[#This Row],[qty]]</f>
        <v>250</v>
      </c>
      <c r="G4708">
        <f t="shared" si="643"/>
        <v>100</v>
      </c>
      <c r="H4708" t="s">
        <v>361</v>
      </c>
      <c r="J4708" t="s">
        <v>586</v>
      </c>
      <c r="K4708">
        <v>20</v>
      </c>
      <c r="L4708" t="s">
        <v>247</v>
      </c>
    </row>
    <row r="4709" spans="1:12" x14ac:dyDescent="0.25">
      <c r="A4709" s="1">
        <f t="shared" si="637"/>
        <v>45559</v>
      </c>
      <c r="B4709" s="31">
        <f>TIME(18,45,0)</f>
        <v>0.78125</v>
      </c>
      <c r="C4709" t="str">
        <f>'Inventory as of 12th Aug 2024'!A175</f>
        <v>Coconut Cakes</v>
      </c>
      <c r="D4709">
        <v>2</v>
      </c>
      <c r="E4709" s="5">
        <f>Table4[[#This Row],[qty]]*(VLOOKUP(Table4[[#This Row],[item_sold]],Table1[],5,FALSE))</f>
        <v>20</v>
      </c>
      <c r="F4709" s="5">
        <f>(VLOOKUP(Table4[[#This Row],[item_sold]],Table1[],4,FALSE))*Table4[[#This Row],[qty]]</f>
        <v>16.666666666666668</v>
      </c>
      <c r="G4709">
        <f t="shared" si="643"/>
        <v>3.3333333333333321</v>
      </c>
      <c r="H4709" t="s">
        <v>247</v>
      </c>
    </row>
    <row r="4710" spans="1:12" x14ac:dyDescent="0.25">
      <c r="A4710" s="1">
        <f t="shared" si="637"/>
        <v>45559</v>
      </c>
      <c r="B4710" s="31">
        <f t="shared" ref="B4710:B4712" si="648">TIME(18,45,0)</f>
        <v>0.78125</v>
      </c>
      <c r="C4710" t="str">
        <f>'Inventory as of 12th Aug 2024'!A58</f>
        <v>Safari</v>
      </c>
      <c r="D4710">
        <v>3</v>
      </c>
      <c r="E4710" s="5">
        <f>Table4[[#This Row],[qty]]*(VLOOKUP(Table4[[#This Row],[item_sold]],Table1[],5,FALSE))</f>
        <v>45</v>
      </c>
      <c r="F4710" s="5">
        <f>(VLOOKUP(Table4[[#This Row],[item_sold]],Table1[],4,FALSE))*Table4[[#This Row],[qty]]</f>
        <v>25.5</v>
      </c>
      <c r="G4710">
        <f t="shared" si="643"/>
        <v>19.5</v>
      </c>
      <c r="H4710" t="s">
        <v>361</v>
      </c>
    </row>
    <row r="4711" spans="1:12" x14ac:dyDescent="0.25">
      <c r="A4711" s="1">
        <f t="shared" si="637"/>
        <v>45559</v>
      </c>
      <c r="B4711" s="31">
        <f t="shared" si="648"/>
        <v>0.78125</v>
      </c>
      <c r="C4711" t="str">
        <f>'Inventory as of 12th Aug 2024'!A153</f>
        <v>mosquito stick</v>
      </c>
      <c r="D4711">
        <v>1</v>
      </c>
      <c r="E4711" s="5">
        <f>Table4[[#This Row],[qty]]*(VLOOKUP(Table4[[#This Row],[item_sold]],Table1[],5,FALSE))</f>
        <v>10</v>
      </c>
      <c r="F4711" s="5">
        <f>(VLOOKUP(Table4[[#This Row],[item_sold]],Table1[],4,FALSE))*Table4[[#This Row],[qty]]</f>
        <v>9</v>
      </c>
      <c r="G4711">
        <f t="shared" si="643"/>
        <v>1</v>
      </c>
      <c r="H4711" t="s">
        <v>361</v>
      </c>
    </row>
    <row r="4712" spans="1:12" x14ac:dyDescent="0.25">
      <c r="A4712" s="1">
        <f t="shared" si="637"/>
        <v>45559</v>
      </c>
      <c r="B4712" s="31">
        <f t="shared" si="648"/>
        <v>0.78125</v>
      </c>
      <c r="C4712" t="str">
        <f>'Inventory as of 12th Aug 2024'!A138</f>
        <v>Softcare pads</v>
      </c>
      <c r="D4712">
        <v>1</v>
      </c>
      <c r="E4712" s="5">
        <f>Table4[[#This Row],[qty]]*(VLOOKUP(Table4[[#This Row],[item_sold]],Table1[],5,FALSE))</f>
        <v>85</v>
      </c>
      <c r="F4712" s="5">
        <f>(VLOOKUP(Table4[[#This Row],[item_sold]],Table1[],4,FALSE))*Table4[[#This Row],[qty]]</f>
        <v>66</v>
      </c>
      <c r="G4712">
        <f t="shared" si="643"/>
        <v>19</v>
      </c>
      <c r="H4712" t="s">
        <v>430</v>
      </c>
      <c r="I4712" t="s">
        <v>459</v>
      </c>
    </row>
    <row r="4713" spans="1:12" x14ac:dyDescent="0.25">
      <c r="A4713" s="1">
        <f t="shared" si="637"/>
        <v>45559</v>
      </c>
      <c r="B4713" s="31">
        <f>TIME(19,7,0)</f>
        <v>0.79652777777777783</v>
      </c>
      <c r="C4713" t="str">
        <f>'Inventory as of 12th Aug 2024'!A211</f>
        <v>predator</v>
      </c>
      <c r="D4713">
        <v>1</v>
      </c>
      <c r="E4713" s="5">
        <f>Table4[[#This Row],[qty]]*(VLOOKUP(Table4[[#This Row],[item_sold]],Table1[],5,FALSE))</f>
        <v>70</v>
      </c>
      <c r="F4713" s="5">
        <f>(VLOOKUP(Table4[[#This Row],[item_sold]],Table1[],4,FALSE))*Table4[[#This Row],[qty]]</f>
        <v>54.166666666666664</v>
      </c>
      <c r="G4713">
        <f t="shared" si="643"/>
        <v>15.833333333333336</v>
      </c>
      <c r="H4713" t="s">
        <v>361</v>
      </c>
      <c r="J4713" t="s">
        <v>392</v>
      </c>
      <c r="K4713">
        <v>130</v>
      </c>
      <c r="L4713" t="s">
        <v>361</v>
      </c>
    </row>
    <row r="4714" spans="1:12" x14ac:dyDescent="0.25">
      <c r="A4714" s="1">
        <f t="shared" si="637"/>
        <v>45559</v>
      </c>
      <c r="B4714" s="31">
        <f t="shared" ref="B4714:B4715" si="649">TIME(19,7,0)</f>
        <v>0.79652777777777783</v>
      </c>
      <c r="C4714" t="str">
        <f>'Inventory as of 12th Aug 2024'!A91</f>
        <v>Tomatoes</v>
      </c>
      <c r="D4714">
        <v>5</v>
      </c>
      <c r="E4714" s="5">
        <f>Table4[[#This Row],[qty]]*(VLOOKUP(Table4[[#This Row],[item_sold]],Table1[],5,FALSE))</f>
        <v>50</v>
      </c>
      <c r="F4714" s="5">
        <f>(VLOOKUP(Table4[[#This Row],[item_sold]],Table1[],4,FALSE))*Table4[[#This Row],[qty]]</f>
        <v>25</v>
      </c>
      <c r="G4714">
        <f t="shared" si="643"/>
        <v>25</v>
      </c>
      <c r="H4714" t="s">
        <v>430</v>
      </c>
      <c r="I4714" t="s">
        <v>443</v>
      </c>
    </row>
    <row r="4715" spans="1:12" x14ac:dyDescent="0.25">
      <c r="A4715" s="1">
        <f t="shared" si="637"/>
        <v>45559</v>
      </c>
      <c r="B4715" s="31">
        <f t="shared" si="649"/>
        <v>0.79652777777777783</v>
      </c>
      <c r="C4715" t="str">
        <f>'Inventory as of 12th Aug 2024'!A90</f>
        <v>Onion</v>
      </c>
      <c r="D4715">
        <v>5</v>
      </c>
      <c r="E4715" s="5">
        <f>Table4[[#This Row],[qty]]*(VLOOKUP(Table4[[#This Row],[item_sold]],Table1[],5,FALSE))</f>
        <v>50</v>
      </c>
      <c r="F4715" s="5">
        <f>(VLOOKUP(Table4[[#This Row],[item_sold]],Table1[],4,FALSE))*Table4[[#This Row],[qty]]</f>
        <v>40</v>
      </c>
      <c r="G4715">
        <f t="shared" si="643"/>
        <v>10</v>
      </c>
      <c r="H4715" t="s">
        <v>430</v>
      </c>
      <c r="I4715" t="s">
        <v>443</v>
      </c>
    </row>
    <row r="4716" spans="1:12" x14ac:dyDescent="0.25">
      <c r="A4716" s="1">
        <f t="shared" si="637"/>
        <v>45559</v>
      </c>
      <c r="B4716" s="31">
        <f>TIME(19,28,0)</f>
        <v>0.81111111111111101</v>
      </c>
      <c r="C4716" t="str">
        <f>'Inventory as of 12th Aug 2024'!A244</f>
        <v>5ltrs water</v>
      </c>
      <c r="D4716">
        <v>1</v>
      </c>
      <c r="E4716" s="5">
        <f>Table4[[#This Row],[qty]]*(VLOOKUP(Table4[[#This Row],[item_sold]],Table1[],5,FALSE))</f>
        <v>120</v>
      </c>
      <c r="F4716" s="5">
        <f>(VLOOKUP(Table4[[#This Row],[item_sold]],Table1[],4,FALSE))*Table4[[#This Row],[qty]]</f>
        <v>75</v>
      </c>
      <c r="G4716">
        <f t="shared" si="643"/>
        <v>45</v>
      </c>
      <c r="H4716" t="s">
        <v>430</v>
      </c>
      <c r="I4716" t="s">
        <v>456</v>
      </c>
    </row>
    <row r="4717" spans="1:12" x14ac:dyDescent="0.25">
      <c r="A4717" s="1">
        <f t="shared" si="637"/>
        <v>45559</v>
      </c>
      <c r="B4717" s="31">
        <f>TIME(19,38,0)</f>
        <v>0.81805555555555554</v>
      </c>
      <c r="C4717" t="str">
        <f>'Inventory as of 12th Aug 2024'!A120</f>
        <v>Maramoja</v>
      </c>
      <c r="D4717">
        <v>2</v>
      </c>
      <c r="E4717" s="5">
        <f>Table4[[#This Row],[qty]]*(VLOOKUP(Table4[[#This Row],[item_sold]],Table1[],5,FALSE))</f>
        <v>20</v>
      </c>
      <c r="F4717" s="5">
        <f>(VLOOKUP(Table4[[#This Row],[item_sold]],Table1[],4,FALSE))*Table4[[#This Row],[qty]]</f>
        <v>14</v>
      </c>
      <c r="G4717">
        <f t="shared" si="643"/>
        <v>6</v>
      </c>
      <c r="H4717" t="s">
        <v>247</v>
      </c>
    </row>
    <row r="4718" spans="1:12" x14ac:dyDescent="0.25">
      <c r="A4718" s="1">
        <f t="shared" si="637"/>
        <v>45559</v>
      </c>
      <c r="B4718" s="31">
        <f>TIME(19,46,0)</f>
        <v>0.82361111111111107</v>
      </c>
      <c r="C4718" t="str">
        <f>'Inventory as of 12th Aug 2024'!A58</f>
        <v>Safari</v>
      </c>
      <c r="D4718">
        <v>1</v>
      </c>
      <c r="E4718" s="5">
        <f>Table4[[#This Row],[qty]]*(VLOOKUP(Table4[[#This Row],[item_sold]],Table1[],5,FALSE))</f>
        <v>15</v>
      </c>
      <c r="F4718" s="5">
        <f>(VLOOKUP(Table4[[#This Row],[item_sold]],Table1[],4,FALSE))*Table4[[#This Row],[qty]]</f>
        <v>8.5</v>
      </c>
      <c r="G4718">
        <f t="shared" si="643"/>
        <v>6.5</v>
      </c>
      <c r="H4718" t="s">
        <v>247</v>
      </c>
      <c r="J4718" t="s">
        <v>447</v>
      </c>
      <c r="K4718">
        <v>30</v>
      </c>
      <c r="L4718" t="s">
        <v>247</v>
      </c>
    </row>
    <row r="4719" spans="1:12" x14ac:dyDescent="0.25">
      <c r="A4719" s="1">
        <f t="shared" si="637"/>
        <v>45559</v>
      </c>
      <c r="B4719" s="31">
        <f t="shared" ref="B4719" si="650">TIME(19,46,0)</f>
        <v>0.82361111111111107</v>
      </c>
      <c r="C4719" t="str">
        <f>'Inventory as of 12th Aug 2024'!A8</f>
        <v>eggs</v>
      </c>
      <c r="D4719">
        <v>1</v>
      </c>
      <c r="E4719" s="5">
        <f>Table4[[#This Row],[qty]]*(VLOOKUP(Table4[[#This Row],[item_sold]],Table1[],5,FALSE))</f>
        <v>20</v>
      </c>
      <c r="F4719" s="5">
        <f>(VLOOKUP(Table4[[#This Row],[item_sold]],Table1[],4,FALSE))*Table4[[#This Row],[qty]]</f>
        <v>14.333333333333334</v>
      </c>
      <c r="G4719">
        <f t="shared" si="643"/>
        <v>5.6666666666666661</v>
      </c>
      <c r="H4719" t="s">
        <v>430</v>
      </c>
      <c r="I4719" t="s">
        <v>447</v>
      </c>
      <c r="J4719" t="s">
        <v>447</v>
      </c>
      <c r="K4719">
        <v>5</v>
      </c>
      <c r="L4719" t="s">
        <v>247</v>
      </c>
    </row>
    <row r="4720" spans="1:12" x14ac:dyDescent="0.25">
      <c r="A4720" s="1">
        <f t="shared" si="637"/>
        <v>45559</v>
      </c>
      <c r="B4720" s="31">
        <f>TIME(19,54,0)</f>
        <v>0.82916666666666661</v>
      </c>
      <c r="C4720" t="str">
        <f>'Inventory as of 12th Aug 2024'!A246</f>
        <v>300ml water</v>
      </c>
      <c r="D4720">
        <v>1</v>
      </c>
      <c r="E4720" s="5">
        <f>Table4[[#This Row],[qty]]*(VLOOKUP(Table4[[#This Row],[item_sold]],Table1[],5,FALSE))</f>
        <v>30</v>
      </c>
      <c r="F4720" s="5">
        <f>(VLOOKUP(Table4[[#This Row],[item_sold]],Table1[],4,FALSE))*Table4[[#This Row],[qty]]</f>
        <v>12.5</v>
      </c>
      <c r="G4720">
        <f t="shared" ref="G4720:G4783" si="651">E4720-F4720</f>
        <v>17.5</v>
      </c>
      <c r="H4720" t="s">
        <v>430</v>
      </c>
      <c r="I4720" t="s">
        <v>456</v>
      </c>
    </row>
    <row r="4721" spans="1:12" x14ac:dyDescent="0.25">
      <c r="A4721" s="1">
        <f t="shared" si="637"/>
        <v>45559</v>
      </c>
      <c r="B4721" s="31">
        <f t="shared" ref="B4721:B4722" si="652">TIME(19,54,0)</f>
        <v>0.82916666666666661</v>
      </c>
      <c r="C4721" t="str">
        <f>'Inventory as of 12th Aug 2024'!A175</f>
        <v>Coconut Cakes</v>
      </c>
      <c r="D4721">
        <v>1</v>
      </c>
      <c r="E4721" s="5">
        <f>Table4[[#This Row],[qty]]*(VLOOKUP(Table4[[#This Row],[item_sold]],Table1[],5,FALSE))</f>
        <v>10</v>
      </c>
      <c r="F4721" s="5">
        <f>(VLOOKUP(Table4[[#This Row],[item_sold]],Table1[],4,FALSE))*Table4[[#This Row],[qty]]</f>
        <v>8.3333333333333339</v>
      </c>
      <c r="G4721">
        <f t="shared" si="651"/>
        <v>1.6666666666666661</v>
      </c>
      <c r="H4721" t="s">
        <v>247</v>
      </c>
      <c r="J4721" t="s">
        <v>404</v>
      </c>
      <c r="K4721">
        <v>1185</v>
      </c>
      <c r="L4721" t="s">
        <v>361</v>
      </c>
    </row>
    <row r="4722" spans="1:12" x14ac:dyDescent="0.25">
      <c r="A4722" s="1">
        <f t="shared" si="637"/>
        <v>45559</v>
      </c>
      <c r="B4722" s="31">
        <f t="shared" si="652"/>
        <v>0.82916666666666661</v>
      </c>
      <c r="C4722" t="str">
        <f>'Inventory as of 12th Aug 2024'!A9</f>
        <v>Kinangop Fresh Milk 500ml</v>
      </c>
      <c r="D4722">
        <v>1</v>
      </c>
      <c r="E4722" s="5">
        <f>Table4[[#This Row],[qty]]*(VLOOKUP(Table4[[#This Row],[item_sold]],Table1[],5,FALSE))</f>
        <v>60</v>
      </c>
      <c r="F4722" s="5">
        <f>(VLOOKUP(Table4[[#This Row],[item_sold]],Table1[],4,FALSE))*Table4[[#This Row],[qty]]</f>
        <v>55</v>
      </c>
      <c r="G4722">
        <f t="shared" si="651"/>
        <v>5</v>
      </c>
      <c r="H4722" t="s">
        <v>247</v>
      </c>
    </row>
    <row r="4723" spans="1:12" x14ac:dyDescent="0.25">
      <c r="A4723" s="1">
        <f t="shared" si="637"/>
        <v>45559</v>
      </c>
      <c r="B4723" s="31">
        <f>TIME(20,18,0)</f>
        <v>0.84583333333333333</v>
      </c>
      <c r="C4723" t="str">
        <f>'Inventory as of 12th Aug 2024'!A36</f>
        <v>Festive 800g</v>
      </c>
      <c r="D4723">
        <v>1</v>
      </c>
      <c r="E4723" s="5">
        <f>Table4[[#This Row],[qty]]*(VLOOKUP(Table4[[#This Row],[item_sold]],Table1[],5,FALSE))</f>
        <v>130</v>
      </c>
      <c r="F4723" s="5">
        <f>(VLOOKUP(Table4[[#This Row],[item_sold]],Table1[],4,FALSE))*Table4[[#This Row],[qty]]</f>
        <v>120</v>
      </c>
      <c r="G4723">
        <f t="shared" si="651"/>
        <v>10</v>
      </c>
      <c r="H4723" t="s">
        <v>361</v>
      </c>
    </row>
    <row r="4724" spans="1:12" x14ac:dyDescent="0.25">
      <c r="A4724" s="1">
        <f t="shared" si="637"/>
        <v>45559</v>
      </c>
      <c r="B4724" s="31">
        <f t="shared" ref="B4724:B4725" si="653">TIME(20,18,0)</f>
        <v>0.84583333333333333</v>
      </c>
      <c r="C4724" t="str">
        <f>'Inventory as of 12th Aug 2024'!A175</f>
        <v>Coconut Cakes</v>
      </c>
      <c r="D4724">
        <v>6</v>
      </c>
      <c r="E4724" s="5">
        <f>Table4[[#This Row],[qty]]*(VLOOKUP(Table4[[#This Row],[item_sold]],Table1[],5,FALSE))</f>
        <v>60</v>
      </c>
      <c r="F4724" s="5">
        <f>(VLOOKUP(Table4[[#This Row],[item_sold]],Table1[],4,FALSE))*Table4[[#This Row],[qty]]</f>
        <v>50</v>
      </c>
      <c r="G4724">
        <f t="shared" si="651"/>
        <v>10</v>
      </c>
      <c r="H4724" t="s">
        <v>361</v>
      </c>
    </row>
    <row r="4725" spans="1:12" x14ac:dyDescent="0.25">
      <c r="A4725" s="1">
        <f t="shared" si="637"/>
        <v>45559</v>
      </c>
      <c r="B4725" s="31">
        <f t="shared" si="653"/>
        <v>0.84583333333333333</v>
      </c>
      <c r="C4725" t="str">
        <f>'Inventory as of 12th Aug 2024'!A87</f>
        <v>Menengai Bar 1kg</v>
      </c>
      <c r="D4725">
        <v>0.2</v>
      </c>
      <c r="E4725" s="5">
        <f>Table4[[#This Row],[qty]]*(VLOOKUP(Table4[[#This Row],[item_sold]],Table1[],5,FALSE))</f>
        <v>50</v>
      </c>
      <c r="F4725" s="5">
        <f>(VLOOKUP(Table4[[#This Row],[item_sold]],Table1[],4,FALSE))*Table4[[#This Row],[qty]]</f>
        <v>38</v>
      </c>
      <c r="G4725">
        <f t="shared" si="651"/>
        <v>12</v>
      </c>
      <c r="H4725" t="s">
        <v>361</v>
      </c>
      <c r="J4725" t="s">
        <v>385</v>
      </c>
      <c r="K4725">
        <v>470</v>
      </c>
      <c r="L4725" t="s">
        <v>247</v>
      </c>
    </row>
    <row r="4726" spans="1:12" x14ac:dyDescent="0.25">
      <c r="A4726" s="1">
        <f t="shared" si="637"/>
        <v>45559</v>
      </c>
      <c r="B4726" s="31">
        <f>TIME(20,40,0)</f>
        <v>0.86111111111111116</v>
      </c>
      <c r="C4726" t="str">
        <f>'Inventory as of 12th Aug 2024'!A248</f>
        <v>Soko Maize meal</v>
      </c>
      <c r="D4726">
        <v>1</v>
      </c>
      <c r="E4726" s="5">
        <f>Table4[[#This Row],[qty]]*(VLOOKUP(Table4[[#This Row],[item_sold]],Table1[],5,FALSE))</f>
        <v>160</v>
      </c>
      <c r="F4726" s="5">
        <f>(VLOOKUP(Table4[[#This Row],[item_sold]],Table1[],4,FALSE))*Table4[[#This Row],[qty]]</f>
        <v>125</v>
      </c>
      <c r="G4726">
        <f t="shared" si="651"/>
        <v>35</v>
      </c>
      <c r="H4726" t="s">
        <v>361</v>
      </c>
      <c r="J4726" t="s">
        <v>587</v>
      </c>
      <c r="K4726">
        <v>10</v>
      </c>
      <c r="L4726" t="s">
        <v>361</v>
      </c>
    </row>
    <row r="4727" spans="1:12" x14ac:dyDescent="0.25">
      <c r="A4727" s="1">
        <f t="shared" si="637"/>
        <v>45559</v>
      </c>
      <c r="B4727" s="31">
        <f>TIME(20,40,0)</f>
        <v>0.86111111111111116</v>
      </c>
      <c r="C4727" t="str">
        <f>'Inventory as of 12th Aug 2024'!A8</f>
        <v>eggs</v>
      </c>
      <c r="D4727">
        <v>2</v>
      </c>
      <c r="E4727" s="5">
        <f>Table4[[#This Row],[qty]]*(VLOOKUP(Table4[[#This Row],[item_sold]],Table1[],5,FALSE))</f>
        <v>40</v>
      </c>
      <c r="F4727" s="5">
        <f>(VLOOKUP(Table4[[#This Row],[item_sold]],Table1[],4,FALSE))*Table4[[#This Row],[qty]]</f>
        <v>28.666666666666668</v>
      </c>
      <c r="G4727">
        <f t="shared" si="651"/>
        <v>11.333333333333332</v>
      </c>
      <c r="H4727" t="s">
        <v>247</v>
      </c>
    </row>
    <row r="4728" spans="1:12" x14ac:dyDescent="0.25">
      <c r="A4728" s="1">
        <f>DATE(2024,9,25)</f>
        <v>45560</v>
      </c>
      <c r="B4728" s="31">
        <f>TIME(8,11,0)</f>
        <v>0.34097222222222223</v>
      </c>
      <c r="C4728" t="str">
        <f>'Inventory as of 12th Aug 2024'!A8</f>
        <v>eggs</v>
      </c>
      <c r="D4728">
        <v>4</v>
      </c>
      <c r="E4728" s="5">
        <f>Table4[[#This Row],[qty]]*(VLOOKUP(Table4[[#This Row],[item_sold]],Table1[],5,FALSE))</f>
        <v>80</v>
      </c>
      <c r="F4728" s="5">
        <f>(VLOOKUP(Table4[[#This Row],[item_sold]],Table1[],4,FALSE))*Table4[[#This Row],[qty]]</f>
        <v>57.333333333333336</v>
      </c>
      <c r="G4728">
        <f t="shared" si="651"/>
        <v>22.666666666666664</v>
      </c>
      <c r="H4728" s="25" t="s">
        <v>247</v>
      </c>
    </row>
    <row r="4729" spans="1:12" x14ac:dyDescent="0.25">
      <c r="A4729" s="1">
        <f t="shared" ref="A4729:A4780" si="654">DATE(2024,9,25)</f>
        <v>45560</v>
      </c>
      <c r="B4729" s="31">
        <f>TIME(8,16,0)</f>
        <v>0.3444444444444445</v>
      </c>
      <c r="C4729" t="str">
        <f>'Inventory as of 12th Aug 2024'!A58</f>
        <v>Safari</v>
      </c>
      <c r="D4729">
        <v>1</v>
      </c>
      <c r="E4729" s="5">
        <f>Table4[[#This Row],[qty]]*(VLOOKUP(Table4[[#This Row],[item_sold]],Table1[],5,FALSE))</f>
        <v>15</v>
      </c>
      <c r="F4729" s="5">
        <f>(VLOOKUP(Table4[[#This Row],[item_sold]],Table1[],4,FALSE))*Table4[[#This Row],[qty]]</f>
        <v>8.5</v>
      </c>
      <c r="G4729">
        <f t="shared" si="651"/>
        <v>6.5</v>
      </c>
      <c r="H4729" t="s">
        <v>430</v>
      </c>
      <c r="I4729" t="s">
        <v>447</v>
      </c>
    </row>
    <row r="4730" spans="1:12" x14ac:dyDescent="0.25">
      <c r="A4730" s="1">
        <f t="shared" si="654"/>
        <v>45560</v>
      </c>
      <c r="B4730" s="31">
        <f>TIME(8,17,0)</f>
        <v>0.34513888888888888</v>
      </c>
      <c r="C4730" t="str">
        <f>'Inventory as of 12th Aug 2024'!A33</f>
        <v>BB Bread 400g</v>
      </c>
      <c r="D4730">
        <v>1</v>
      </c>
      <c r="E4730" s="5">
        <f>Table4[[#This Row],[qty]]*(VLOOKUP(Table4[[#This Row],[item_sold]],Table1[],5,FALSE))</f>
        <v>65</v>
      </c>
      <c r="F4730" s="5">
        <f>(VLOOKUP(Table4[[#This Row],[item_sold]],Table1[],4,FALSE))*Table4[[#This Row],[qty]]</f>
        <v>60</v>
      </c>
      <c r="G4730">
        <f t="shared" si="651"/>
        <v>5</v>
      </c>
      <c r="H4730" t="s">
        <v>361</v>
      </c>
    </row>
    <row r="4731" spans="1:12" x14ac:dyDescent="0.25">
      <c r="A4731" s="1">
        <f t="shared" si="654"/>
        <v>45560</v>
      </c>
      <c r="B4731" s="31">
        <f>TIME(9,4,0)</f>
        <v>0.37777777777777777</v>
      </c>
      <c r="C4731" t="str">
        <f>'Inventory as of 12th Aug 2024'!A57</f>
        <v>Sportsman</v>
      </c>
      <c r="D4731">
        <v>1</v>
      </c>
      <c r="E4731" s="5">
        <f>Table4[[#This Row],[qty]]*(VLOOKUP(Table4[[#This Row],[item_sold]],Table1[],5,FALSE))</f>
        <v>20</v>
      </c>
      <c r="F4731" s="5">
        <f>(VLOOKUP(Table4[[#This Row],[item_sold]],Table1[],4,FALSE))*Table4[[#This Row],[qty]]</f>
        <v>13</v>
      </c>
      <c r="G4731">
        <f t="shared" si="651"/>
        <v>7</v>
      </c>
      <c r="H4731" t="s">
        <v>247</v>
      </c>
    </row>
    <row r="4732" spans="1:12" x14ac:dyDescent="0.25">
      <c r="A4732" s="1">
        <f t="shared" si="654"/>
        <v>45560</v>
      </c>
      <c r="B4732" s="31">
        <f>TIME(9,54,0)</f>
        <v>0.41250000000000003</v>
      </c>
      <c r="C4732" t="str">
        <f>'Inventory as of 12th Aug 2024'!A151</f>
        <v>Arimis big</v>
      </c>
      <c r="D4732">
        <v>1</v>
      </c>
      <c r="E4732" s="5">
        <f>Table4[[#This Row],[qty]]*(VLOOKUP(Table4[[#This Row],[item_sold]],Table1[],5,FALSE))</f>
        <v>60</v>
      </c>
      <c r="F4732" s="5">
        <f>(VLOOKUP(Table4[[#This Row],[item_sold]],Table1[],4,FALSE))*Table4[[#This Row],[qty]]</f>
        <v>45.833333333333336</v>
      </c>
      <c r="G4732">
        <f t="shared" si="651"/>
        <v>14.166666666666664</v>
      </c>
      <c r="H4732" t="s">
        <v>247</v>
      </c>
    </row>
    <row r="4733" spans="1:12" x14ac:dyDescent="0.25">
      <c r="A4733" s="1">
        <f t="shared" si="654"/>
        <v>45560</v>
      </c>
      <c r="B4733" s="31">
        <f t="shared" ref="B4733:B4734" si="655">TIME(9,54,0)</f>
        <v>0.41250000000000003</v>
      </c>
      <c r="C4733" t="str">
        <f>'Inventory as of 12th Aug 2024'!A5</f>
        <v>Airtel 20 Credit</v>
      </c>
      <c r="D4733">
        <v>1</v>
      </c>
      <c r="E4733" s="5">
        <f>Table4[[#This Row],[qty]]*(VLOOKUP(Table4[[#This Row],[item_sold]],Table1[],5,FALSE))</f>
        <v>20</v>
      </c>
      <c r="F4733" s="5">
        <f>(VLOOKUP(Table4[[#This Row],[item_sold]],Table1[],4,FALSE))*Table4[[#This Row],[qty]]</f>
        <v>18</v>
      </c>
      <c r="G4733">
        <f t="shared" si="651"/>
        <v>2</v>
      </c>
      <c r="H4733" t="s">
        <v>247</v>
      </c>
    </row>
    <row r="4734" spans="1:12" x14ac:dyDescent="0.25">
      <c r="A4734" s="1">
        <f t="shared" si="654"/>
        <v>45560</v>
      </c>
      <c r="B4734" s="31">
        <f t="shared" si="655"/>
        <v>0.41250000000000003</v>
      </c>
      <c r="C4734" t="str">
        <f>'Inventory as of 12th Aug 2024'!A2</f>
        <v>Safaricom 20 Credit</v>
      </c>
      <c r="D4734">
        <v>1</v>
      </c>
      <c r="E4734" s="5">
        <f>Table4[[#This Row],[qty]]*(VLOOKUP(Table4[[#This Row],[item_sold]],Table1[],5,FALSE))</f>
        <v>20</v>
      </c>
      <c r="F4734" s="5">
        <f>(VLOOKUP(Table4[[#This Row],[item_sold]],Table1[],4,FALSE))*Table4[[#This Row],[qty]]</f>
        <v>18</v>
      </c>
      <c r="G4734">
        <f t="shared" si="651"/>
        <v>2</v>
      </c>
      <c r="H4734" t="s">
        <v>247</v>
      </c>
    </row>
    <row r="4735" spans="1:12" x14ac:dyDescent="0.25">
      <c r="A4735" s="1">
        <f t="shared" si="654"/>
        <v>45560</v>
      </c>
      <c r="B4735" s="31">
        <f>TIME(9,57,0)</f>
        <v>0.4145833333333333</v>
      </c>
      <c r="C4735" t="str">
        <f>'Inventory as of 12th Aug 2024'!A138</f>
        <v>Softcare pads</v>
      </c>
      <c r="D4735">
        <v>1</v>
      </c>
      <c r="E4735" s="5">
        <f>Table4[[#This Row],[qty]]*(VLOOKUP(Table4[[#This Row],[item_sold]],Table1[],5,FALSE))</f>
        <v>85</v>
      </c>
      <c r="F4735" s="5">
        <f>(VLOOKUP(Table4[[#This Row],[item_sold]],Table1[],4,FALSE))*Table4[[#This Row],[qty]]</f>
        <v>66</v>
      </c>
      <c r="G4735">
        <f t="shared" si="651"/>
        <v>19</v>
      </c>
      <c r="H4735" t="s">
        <v>430</v>
      </c>
      <c r="I4735" t="s">
        <v>452</v>
      </c>
    </row>
    <row r="4736" spans="1:12" x14ac:dyDescent="0.25">
      <c r="A4736" s="1">
        <f t="shared" si="654"/>
        <v>45560</v>
      </c>
      <c r="B4736" s="31">
        <f>TIME(11,27,0)</f>
        <v>0.4770833333333333</v>
      </c>
      <c r="C4736" t="str">
        <f>'Inventory as of 12th Aug 2024'!A91</f>
        <v>Tomatoes</v>
      </c>
      <c r="D4736">
        <v>1</v>
      </c>
      <c r="E4736" s="5">
        <f>Table4[[#This Row],[qty]]*(VLOOKUP(Table4[[#This Row],[item_sold]],Table1[],5,FALSE))</f>
        <v>10</v>
      </c>
      <c r="F4736" s="5">
        <f>(VLOOKUP(Table4[[#This Row],[item_sold]],Table1[],4,FALSE))*Table4[[#This Row],[qty]]</f>
        <v>5</v>
      </c>
      <c r="G4736">
        <f t="shared" si="651"/>
        <v>5</v>
      </c>
      <c r="H4736" t="s">
        <v>361</v>
      </c>
    </row>
    <row r="4737" spans="1:9" x14ac:dyDescent="0.25">
      <c r="A4737" s="1">
        <f t="shared" si="654"/>
        <v>45560</v>
      </c>
      <c r="B4737" s="31">
        <f t="shared" ref="B4737:B4739" si="656">TIME(11,27,0)</f>
        <v>0.4770833333333333</v>
      </c>
      <c r="C4737" t="str">
        <f>'Inventory as of 12th Aug 2024'!A5</f>
        <v>Airtel 20 Credit</v>
      </c>
      <c r="D4737">
        <v>1</v>
      </c>
      <c r="E4737" s="5">
        <f>Table4[[#This Row],[qty]]*(VLOOKUP(Table4[[#This Row],[item_sold]],Table1[],5,FALSE))</f>
        <v>20</v>
      </c>
      <c r="F4737" s="5">
        <f>(VLOOKUP(Table4[[#This Row],[item_sold]],Table1[],4,FALSE))*Table4[[#This Row],[qty]]</f>
        <v>18</v>
      </c>
      <c r="G4737">
        <f t="shared" si="651"/>
        <v>2</v>
      </c>
      <c r="H4737" t="s">
        <v>247</v>
      </c>
    </row>
    <row r="4738" spans="1:9" x14ac:dyDescent="0.25">
      <c r="A4738" s="1">
        <f t="shared" si="654"/>
        <v>45560</v>
      </c>
      <c r="B4738" s="31">
        <f t="shared" si="656"/>
        <v>0.4770833333333333</v>
      </c>
      <c r="C4738" t="str">
        <f>'Inventory as of 12th Aug 2024'!A6</f>
        <v>Airtel 10 Credit</v>
      </c>
      <c r="D4738">
        <v>1</v>
      </c>
      <c r="E4738" s="5">
        <f>Table4[[#This Row],[qty]]*(VLOOKUP(Table4[[#This Row],[item_sold]],Table1[],5,FALSE))</f>
        <v>10</v>
      </c>
      <c r="F4738" s="5">
        <f>(VLOOKUP(Table4[[#This Row],[item_sold]],Table1[],4,FALSE))*Table4[[#This Row],[qty]]</f>
        <v>9</v>
      </c>
      <c r="G4738">
        <f t="shared" si="651"/>
        <v>1</v>
      </c>
      <c r="H4738" t="s">
        <v>247</v>
      </c>
    </row>
    <row r="4739" spans="1:9" x14ac:dyDescent="0.25">
      <c r="A4739" s="1">
        <f t="shared" si="654"/>
        <v>45560</v>
      </c>
      <c r="B4739" s="31">
        <f t="shared" si="656"/>
        <v>0.4770833333333333</v>
      </c>
      <c r="C4739" t="str">
        <f>'Inventory as of 12th Aug 2024'!A240</f>
        <v>Bigboss</v>
      </c>
      <c r="D4739">
        <v>1</v>
      </c>
      <c r="E4739" s="5">
        <f>Table4[[#This Row],[qty]]*(VLOOKUP(Table4[[#This Row],[item_sold]],Table1[],5,FALSE))</f>
        <v>5</v>
      </c>
      <c r="F4739" s="5">
        <f>(VLOOKUP(Table4[[#This Row],[item_sold]],Table1[],4,FALSE))*Table4[[#This Row],[qty]]</f>
        <v>3.5</v>
      </c>
      <c r="G4739">
        <f t="shared" si="651"/>
        <v>1.5</v>
      </c>
      <c r="H4739" t="s">
        <v>247</v>
      </c>
    </row>
    <row r="4740" spans="1:9" x14ac:dyDescent="0.25">
      <c r="A4740" s="1">
        <f t="shared" si="654"/>
        <v>45560</v>
      </c>
      <c r="B4740" s="31">
        <f>TIME(11,30,0)</f>
        <v>0.47916666666666669</v>
      </c>
      <c r="C4740" t="str">
        <f>'Inventory as of 12th Aug 2024'!A58</f>
        <v>Safari</v>
      </c>
      <c r="D4740">
        <v>1</v>
      </c>
      <c r="E4740" s="5">
        <f>Table4[[#This Row],[qty]]*(VLOOKUP(Table4[[#This Row],[item_sold]],Table1[],5,FALSE))</f>
        <v>15</v>
      </c>
      <c r="F4740" s="5">
        <f>(VLOOKUP(Table4[[#This Row],[item_sold]],Table1[],4,FALSE))*Table4[[#This Row],[qty]]</f>
        <v>8.5</v>
      </c>
      <c r="G4740">
        <f t="shared" si="651"/>
        <v>6.5</v>
      </c>
      <c r="H4740" t="s">
        <v>430</v>
      </c>
      <c r="I4740" t="s">
        <v>447</v>
      </c>
    </row>
    <row r="4741" spans="1:9" x14ac:dyDescent="0.25">
      <c r="A4741" s="1">
        <f t="shared" si="654"/>
        <v>45560</v>
      </c>
      <c r="B4741" s="31">
        <f t="shared" ref="B4741" si="657">TIME(11,30,0)</f>
        <v>0.47916666666666669</v>
      </c>
      <c r="C4741" t="str">
        <f>'Inventory as of 12th Aug 2024'!A230</f>
        <v>Fresh Blue</v>
      </c>
      <c r="D4741">
        <v>1</v>
      </c>
      <c r="E4741" s="5">
        <f>Table4[[#This Row],[qty]]*(VLOOKUP(Table4[[#This Row],[item_sold]],Table1[],5,FALSE))</f>
        <v>10</v>
      </c>
      <c r="F4741" s="5">
        <f>(VLOOKUP(Table4[[#This Row],[item_sold]],Table1[],4,FALSE))*Table4[[#This Row],[qty]]</f>
        <v>5</v>
      </c>
      <c r="G4741">
        <f t="shared" si="651"/>
        <v>5</v>
      </c>
      <c r="H4741" t="s">
        <v>247</v>
      </c>
    </row>
    <row r="4742" spans="1:9" x14ac:dyDescent="0.25">
      <c r="A4742" s="1">
        <f t="shared" si="654"/>
        <v>45560</v>
      </c>
      <c r="B4742" s="31">
        <f>TIME(12,27,0)</f>
        <v>0.51874999999999993</v>
      </c>
      <c r="C4742" t="str">
        <f>'Inventory as of 12th Aug 2024'!A58</f>
        <v>Safari</v>
      </c>
      <c r="D4742">
        <v>6</v>
      </c>
      <c r="E4742" s="5">
        <f>Table4[[#This Row],[qty]]*(VLOOKUP(Table4[[#This Row],[item_sold]],Table1[],5,FALSE))</f>
        <v>90</v>
      </c>
      <c r="F4742" s="5">
        <f>(VLOOKUP(Table4[[#This Row],[item_sold]],Table1[],4,FALSE))*Table4[[#This Row],[qty]]</f>
        <v>51</v>
      </c>
      <c r="G4742">
        <f t="shared" si="651"/>
        <v>39</v>
      </c>
      <c r="H4742" t="s">
        <v>361</v>
      </c>
    </row>
    <row r="4743" spans="1:9" x14ac:dyDescent="0.25">
      <c r="A4743" s="1">
        <f t="shared" si="654"/>
        <v>45560</v>
      </c>
      <c r="B4743" s="31">
        <f t="shared" ref="B4743:B4745" si="658">TIME(12,27,0)</f>
        <v>0.51874999999999993</v>
      </c>
      <c r="C4743" t="str">
        <f>'Inventory as of 12th Aug 2024'!A6</f>
        <v>Airtel 10 Credit</v>
      </c>
      <c r="D4743">
        <v>1</v>
      </c>
      <c r="E4743" s="5">
        <f>Table4[[#This Row],[qty]]*(VLOOKUP(Table4[[#This Row],[item_sold]],Table1[],5,FALSE))</f>
        <v>10</v>
      </c>
      <c r="F4743" s="5">
        <f>(VLOOKUP(Table4[[#This Row],[item_sold]],Table1[],4,FALSE))*Table4[[#This Row],[qty]]</f>
        <v>9</v>
      </c>
      <c r="G4743">
        <f t="shared" si="651"/>
        <v>1</v>
      </c>
      <c r="H4743" t="s">
        <v>247</v>
      </c>
    </row>
    <row r="4744" spans="1:9" x14ac:dyDescent="0.25">
      <c r="A4744" s="1">
        <f t="shared" si="654"/>
        <v>45560</v>
      </c>
      <c r="B4744" s="31">
        <f t="shared" si="658"/>
        <v>0.51874999999999993</v>
      </c>
      <c r="C4744" t="str">
        <f>'Inventory as of 12th Aug 2024'!A212</f>
        <v>soda 300ml glass</v>
      </c>
      <c r="D4744">
        <v>1</v>
      </c>
      <c r="E4744" s="5">
        <f>Table4[[#This Row],[qty]]*(VLOOKUP(Table4[[#This Row],[item_sold]],Table1[],5,FALSE))</f>
        <v>40</v>
      </c>
      <c r="F4744" s="5">
        <f>(VLOOKUP(Table4[[#This Row],[item_sold]],Table1[],4,FALSE))*Table4[[#This Row],[qty]]</f>
        <v>32.5</v>
      </c>
      <c r="G4744">
        <f t="shared" si="651"/>
        <v>7.5</v>
      </c>
      <c r="H4744" t="s">
        <v>247</v>
      </c>
    </row>
    <row r="4745" spans="1:9" x14ac:dyDescent="0.25">
      <c r="A4745" s="1">
        <f t="shared" si="654"/>
        <v>45560</v>
      </c>
      <c r="B4745" s="31">
        <f t="shared" si="658"/>
        <v>0.51874999999999993</v>
      </c>
      <c r="C4745" t="str">
        <f>'Inventory as of 12th Aug 2024'!A199</f>
        <v>Kdf</v>
      </c>
      <c r="D4745">
        <v>3</v>
      </c>
      <c r="E4745" s="5">
        <f>Table4[[#This Row],[qty]]*(VLOOKUP(Table4[[#This Row],[item_sold]],Table1[],5,FALSE))</f>
        <v>30</v>
      </c>
      <c r="F4745" s="5">
        <f>(VLOOKUP(Table4[[#This Row],[item_sold]],Table1[],4,FALSE))*Table4[[#This Row],[qty]]</f>
        <v>25</v>
      </c>
      <c r="G4745">
        <f t="shared" si="651"/>
        <v>5</v>
      </c>
      <c r="H4745" t="s">
        <v>247</v>
      </c>
    </row>
    <row r="4746" spans="1:9" x14ac:dyDescent="0.25">
      <c r="A4746" s="1">
        <f t="shared" si="654"/>
        <v>45560</v>
      </c>
      <c r="B4746" s="31">
        <f>TIME(12,51,0)</f>
        <v>0.53541666666666665</v>
      </c>
      <c r="C4746" t="str">
        <f>'Inventory as of 12th Aug 2024'!A58</f>
        <v>Safari</v>
      </c>
      <c r="D4746">
        <v>1</v>
      </c>
      <c r="E4746" s="5">
        <f>Table4[[#This Row],[qty]]*(VLOOKUP(Table4[[#This Row],[item_sold]],Table1[],5,FALSE))</f>
        <v>15</v>
      </c>
      <c r="F4746" s="5">
        <f>(VLOOKUP(Table4[[#This Row],[item_sold]],Table1[],4,FALSE))*Table4[[#This Row],[qty]]</f>
        <v>8.5</v>
      </c>
      <c r="G4746">
        <f t="shared" si="651"/>
        <v>6.5</v>
      </c>
      <c r="H4746" t="s">
        <v>247</v>
      </c>
    </row>
    <row r="4747" spans="1:9" x14ac:dyDescent="0.25">
      <c r="A4747" s="1">
        <f t="shared" si="654"/>
        <v>45560</v>
      </c>
      <c r="B4747" s="31">
        <f>TIME(13,15,0)</f>
        <v>0.55208333333333337</v>
      </c>
      <c r="C4747" t="str">
        <f>'Inventory as of 12th Aug 2024'!A8</f>
        <v>eggs</v>
      </c>
      <c r="D4747">
        <v>6</v>
      </c>
      <c r="E4747" s="5">
        <f>Table4[[#This Row],[qty]]*(VLOOKUP(Table4[[#This Row],[item_sold]],Table1[],5,FALSE))</f>
        <v>120</v>
      </c>
      <c r="F4747" s="5">
        <f>(VLOOKUP(Table4[[#This Row],[item_sold]],Table1[],4,FALSE))*Table4[[#This Row],[qty]]</f>
        <v>86</v>
      </c>
      <c r="G4747">
        <f t="shared" si="651"/>
        <v>34</v>
      </c>
      <c r="H4747" t="s">
        <v>430</v>
      </c>
      <c r="I4747" t="s">
        <v>404</v>
      </c>
    </row>
    <row r="4748" spans="1:9" x14ac:dyDescent="0.25">
      <c r="A4748" s="1">
        <f t="shared" si="654"/>
        <v>45560</v>
      </c>
      <c r="B4748" s="31">
        <f>TIME(13,21,0)</f>
        <v>0.55625000000000002</v>
      </c>
      <c r="C4748" t="str">
        <f>'Inventory as of 12th Aug 2024'!A37</f>
        <v>Festive Bread 400g</v>
      </c>
      <c r="D4748">
        <v>1</v>
      </c>
      <c r="E4748" s="5">
        <f>Table4[[#This Row],[qty]]*(VLOOKUP(Table4[[#This Row],[item_sold]],Table1[],5,FALSE))</f>
        <v>65</v>
      </c>
      <c r="F4748" s="5">
        <f>(VLOOKUP(Table4[[#This Row],[item_sold]],Table1[],4,FALSE))*Table4[[#This Row],[qty]]</f>
        <v>60</v>
      </c>
      <c r="G4748">
        <f t="shared" si="651"/>
        <v>5</v>
      </c>
      <c r="H4748" t="s">
        <v>361</v>
      </c>
    </row>
    <row r="4749" spans="1:9" x14ac:dyDescent="0.25">
      <c r="A4749" s="1">
        <f t="shared" si="654"/>
        <v>45560</v>
      </c>
      <c r="B4749" s="31">
        <f>TIME(13,21,0)</f>
        <v>0.55625000000000002</v>
      </c>
      <c r="C4749" t="str">
        <f>'Inventory as of 12th Aug 2024'!A10</f>
        <v>Mt Kenya milk 200ml</v>
      </c>
      <c r="D4749">
        <v>2</v>
      </c>
      <c r="E4749" s="5">
        <f>Table4[[#This Row],[qty]]*(VLOOKUP(Table4[[#This Row],[item_sold]],Table1[],5,FALSE))</f>
        <v>70</v>
      </c>
      <c r="F4749" s="5">
        <f>(VLOOKUP(Table4[[#This Row],[item_sold]],Table1[],4,FALSE))*Table4[[#This Row],[qty]]</f>
        <v>48.571428571428569</v>
      </c>
      <c r="G4749">
        <f t="shared" si="651"/>
        <v>21.428571428571431</v>
      </c>
      <c r="H4749" t="s">
        <v>361</v>
      </c>
    </row>
    <row r="4750" spans="1:9" x14ac:dyDescent="0.25">
      <c r="A4750" s="1">
        <f t="shared" si="654"/>
        <v>45560</v>
      </c>
      <c r="B4750" s="31">
        <f>TIME(14,25,0)</f>
        <v>0.60069444444444442</v>
      </c>
      <c r="C4750" t="str">
        <f>'Inventory as of 12th Aug 2024'!A87</f>
        <v>Menengai Bar 1kg</v>
      </c>
      <c r="D4750">
        <v>0.2</v>
      </c>
      <c r="E4750" s="5">
        <f>Table4[[#This Row],[qty]]*(VLOOKUP(Table4[[#This Row],[item_sold]],Table1[],5,FALSE))</f>
        <v>50</v>
      </c>
      <c r="F4750" s="5">
        <f>(VLOOKUP(Table4[[#This Row],[item_sold]],Table1[],4,FALSE))*Table4[[#This Row],[qty]]</f>
        <v>38</v>
      </c>
      <c r="G4750">
        <f t="shared" si="651"/>
        <v>12</v>
      </c>
      <c r="H4750" t="s">
        <v>247</v>
      </c>
    </row>
    <row r="4751" spans="1:9" x14ac:dyDescent="0.25">
      <c r="A4751" s="1">
        <f t="shared" si="654"/>
        <v>45560</v>
      </c>
      <c r="B4751" s="31">
        <f>TIME(14,41,0)</f>
        <v>0.6118055555555556</v>
      </c>
      <c r="C4751" t="str">
        <f>'Inventory as of 12th Aug 2024'!A46</f>
        <v>Tukuza 1kg</v>
      </c>
      <c r="D4751">
        <v>1</v>
      </c>
      <c r="E4751" s="5">
        <f>Table4[[#This Row],[qty]]*(VLOOKUP(Table4[[#This Row],[item_sold]],Table1[],5,FALSE))</f>
        <v>90</v>
      </c>
      <c r="F4751" s="5">
        <f>(VLOOKUP(Table4[[#This Row],[item_sold]],Table1[],4,FALSE))*Table4[[#This Row],[qty]]</f>
        <v>61.25</v>
      </c>
      <c r="G4751">
        <f t="shared" si="651"/>
        <v>28.75</v>
      </c>
      <c r="H4751" t="s">
        <v>361</v>
      </c>
    </row>
    <row r="4752" spans="1:9" x14ac:dyDescent="0.25">
      <c r="A4752" s="1">
        <f t="shared" si="654"/>
        <v>45560</v>
      </c>
      <c r="B4752" s="31">
        <f>TIME(14,41,0)</f>
        <v>0.6118055555555556</v>
      </c>
      <c r="C4752" t="str">
        <f>'Inventory as of 12th Aug 2024'!A67</f>
        <v>Magadi</v>
      </c>
      <c r="D4752">
        <v>1</v>
      </c>
      <c r="E4752" s="5">
        <f>Table4[[#This Row],[qty]]*(VLOOKUP(Table4[[#This Row],[item_sold]],Table1[],5,FALSE))</f>
        <v>10</v>
      </c>
      <c r="F4752" s="5">
        <f>(VLOOKUP(Table4[[#This Row],[item_sold]],Table1[],4,FALSE))*Table4[[#This Row],[qty]]</f>
        <v>5</v>
      </c>
      <c r="G4752">
        <f t="shared" si="651"/>
        <v>5</v>
      </c>
      <c r="H4752" t="s">
        <v>361</v>
      </c>
    </row>
    <row r="4753" spans="1:9" x14ac:dyDescent="0.25">
      <c r="A4753" s="1">
        <f t="shared" si="654"/>
        <v>45560</v>
      </c>
      <c r="B4753" s="31">
        <f>TIME(14,43,0)</f>
        <v>0.61319444444444449</v>
      </c>
      <c r="C4753" t="str">
        <f>'Inventory as of 12th Aug 2024'!A58</f>
        <v>Safari</v>
      </c>
      <c r="D4753">
        <v>1</v>
      </c>
      <c r="E4753" s="5">
        <f>Table4[[#This Row],[qty]]*(VLOOKUP(Table4[[#This Row],[item_sold]],Table1[],5,FALSE))</f>
        <v>15</v>
      </c>
      <c r="F4753" s="5">
        <f>(VLOOKUP(Table4[[#This Row],[item_sold]],Table1[],4,FALSE))*Table4[[#This Row],[qty]]</f>
        <v>8.5</v>
      </c>
      <c r="G4753">
        <f t="shared" si="651"/>
        <v>6.5</v>
      </c>
      <c r="H4753" t="s">
        <v>361</v>
      </c>
    </row>
    <row r="4754" spans="1:9" x14ac:dyDescent="0.25">
      <c r="A4754" s="1">
        <f t="shared" si="654"/>
        <v>45560</v>
      </c>
      <c r="B4754" s="31">
        <f>TIME(14,47,0)</f>
        <v>0.61597222222222225</v>
      </c>
      <c r="C4754" t="str">
        <f>'Inventory as of 12th Aug 2024'!A37</f>
        <v>Festive Bread 400g</v>
      </c>
      <c r="D4754">
        <v>1</v>
      </c>
      <c r="E4754" s="5">
        <f>Table4[[#This Row],[qty]]*(VLOOKUP(Table4[[#This Row],[item_sold]],Table1[],5,FALSE))</f>
        <v>65</v>
      </c>
      <c r="F4754" s="5">
        <f>(VLOOKUP(Table4[[#This Row],[item_sold]],Table1[],4,FALSE))*Table4[[#This Row],[qty]]</f>
        <v>60</v>
      </c>
      <c r="G4754">
        <f t="shared" si="651"/>
        <v>5</v>
      </c>
      <c r="H4754" t="s">
        <v>430</v>
      </c>
      <c r="I4754" t="s">
        <v>390</v>
      </c>
    </row>
    <row r="4755" spans="1:9" x14ac:dyDescent="0.25">
      <c r="A4755" s="1">
        <f t="shared" si="654"/>
        <v>45560</v>
      </c>
      <c r="B4755" s="31">
        <f>TIME(14,42,0)</f>
        <v>0.61249999999999993</v>
      </c>
      <c r="C4755" t="str">
        <f>'Inventory as of 12th Aug 2024'!A42</f>
        <v>Indomie chicken</v>
      </c>
      <c r="D4755">
        <v>1</v>
      </c>
      <c r="E4755" s="5">
        <f>Table4[[#This Row],[qty]]*(VLOOKUP(Table4[[#This Row],[item_sold]],Table1[],5,FALSE))</f>
        <v>50</v>
      </c>
      <c r="F4755" s="5">
        <f>(VLOOKUP(Table4[[#This Row],[item_sold]],Table1[],4,FALSE))*Table4[[#This Row],[qty]]</f>
        <v>37.5</v>
      </c>
      <c r="G4755">
        <f t="shared" si="651"/>
        <v>12.5</v>
      </c>
      <c r="H4755" t="s">
        <v>361</v>
      </c>
    </row>
    <row r="4756" spans="1:9" x14ac:dyDescent="0.25">
      <c r="A4756" s="1">
        <f t="shared" si="654"/>
        <v>45560</v>
      </c>
      <c r="B4756" s="31">
        <f>TIME(16,22,0)</f>
        <v>0.68194444444444446</v>
      </c>
      <c r="C4756" t="str">
        <f>'Inventory as of 12th Aug 2024'!A260</f>
        <v>Pampers</v>
      </c>
      <c r="D4756">
        <v>10</v>
      </c>
      <c r="E4756" s="5">
        <f>Table4[[#This Row],[qty]]*(VLOOKUP(Table4[[#This Row],[item_sold]],Table1[],5,FALSE))</f>
        <v>200</v>
      </c>
      <c r="F4756" s="5">
        <f>(VLOOKUP(Table4[[#This Row],[item_sold]],Table1[],4,FALSE))*Table4[[#This Row],[qty]]</f>
        <v>124</v>
      </c>
      <c r="G4756">
        <f t="shared" si="651"/>
        <v>76</v>
      </c>
      <c r="H4756" t="s">
        <v>430</v>
      </c>
      <c r="I4756" t="s">
        <v>404</v>
      </c>
    </row>
    <row r="4757" spans="1:9" x14ac:dyDescent="0.25">
      <c r="A4757" s="1">
        <f t="shared" si="654"/>
        <v>45560</v>
      </c>
      <c r="B4757" s="31">
        <f>TIME(16,22,0)</f>
        <v>0.68194444444444446</v>
      </c>
      <c r="C4757" t="str">
        <f>'Inventory as of 12th Aug 2024'!A138</f>
        <v>Softcare pads</v>
      </c>
      <c r="D4757">
        <v>1</v>
      </c>
      <c r="E4757" s="5">
        <f>Table4[[#This Row],[qty]]*(VLOOKUP(Table4[[#This Row],[item_sold]],Table1[],5,FALSE))</f>
        <v>85</v>
      </c>
      <c r="F4757" s="5">
        <f>(VLOOKUP(Table4[[#This Row],[item_sold]],Table1[],4,FALSE))*Table4[[#This Row],[qty]]</f>
        <v>66</v>
      </c>
      <c r="G4757">
        <f t="shared" si="651"/>
        <v>19</v>
      </c>
      <c r="H4757" t="s">
        <v>430</v>
      </c>
      <c r="I4757" t="s">
        <v>404</v>
      </c>
    </row>
    <row r="4758" spans="1:9" x14ac:dyDescent="0.25">
      <c r="A4758" s="1">
        <f t="shared" si="654"/>
        <v>45560</v>
      </c>
      <c r="B4758" s="31">
        <f>TIME(16,23,0)</f>
        <v>0.68263888888888891</v>
      </c>
      <c r="C4758" t="str">
        <f>'Inventory as of 12th Aug 2024'!A213</f>
        <v>soda 500ml glass</v>
      </c>
      <c r="D4758">
        <v>1</v>
      </c>
      <c r="E4758" s="5">
        <f>Table4[[#This Row],[qty]]*(VLOOKUP(Table4[[#This Row],[item_sold]],Table1[],5,FALSE))</f>
        <v>55</v>
      </c>
      <c r="F4758" s="5">
        <f>(VLOOKUP(Table4[[#This Row],[item_sold]],Table1[],4,FALSE))*Table4[[#This Row],[qty]]</f>
        <v>50</v>
      </c>
      <c r="G4758">
        <f t="shared" si="651"/>
        <v>5</v>
      </c>
      <c r="H4758" t="s">
        <v>361</v>
      </c>
    </row>
    <row r="4759" spans="1:9" x14ac:dyDescent="0.25">
      <c r="A4759" s="1">
        <f t="shared" si="654"/>
        <v>45560</v>
      </c>
      <c r="B4759" s="31">
        <f t="shared" ref="B4759" si="659">TIME(16,23,0)</f>
        <v>0.68263888888888891</v>
      </c>
      <c r="C4759" t="str">
        <f>'Inventory as of 12th Aug 2024'!A198</f>
        <v>Mandazi</v>
      </c>
      <c r="D4759">
        <v>3</v>
      </c>
      <c r="E4759" s="5">
        <f>Table4[[#This Row],[qty]]*(VLOOKUP(Table4[[#This Row],[item_sold]],Table1[],5,FALSE))</f>
        <v>15</v>
      </c>
      <c r="F4759" s="5">
        <f>(VLOOKUP(Table4[[#This Row],[item_sold]],Table1[],4,FALSE))*Table4[[#This Row],[qty]]</f>
        <v>12.5</v>
      </c>
      <c r="G4759">
        <f t="shared" si="651"/>
        <v>2.5</v>
      </c>
      <c r="H4759" t="s">
        <v>361</v>
      </c>
    </row>
    <row r="4760" spans="1:9" x14ac:dyDescent="0.25">
      <c r="A4760" s="1">
        <f t="shared" si="654"/>
        <v>45560</v>
      </c>
      <c r="B4760" s="31">
        <f>TIME(16,24,0)</f>
        <v>0.68333333333333324</v>
      </c>
      <c r="C4760" t="str">
        <f>'Inventory as of 12th Aug 2024'!A246</f>
        <v>300ml water</v>
      </c>
      <c r="D4760">
        <v>1</v>
      </c>
      <c r="E4760" s="5">
        <f>Table4[[#This Row],[qty]]*(VLOOKUP(Table4[[#This Row],[item_sold]],Table1[],5,FALSE))</f>
        <v>30</v>
      </c>
      <c r="F4760" s="5">
        <f>(VLOOKUP(Table4[[#This Row],[item_sold]],Table1[],4,FALSE))*Table4[[#This Row],[qty]]</f>
        <v>12.5</v>
      </c>
      <c r="G4760">
        <f t="shared" si="651"/>
        <v>17.5</v>
      </c>
      <c r="H4760" t="s">
        <v>247</v>
      </c>
    </row>
    <row r="4761" spans="1:9" x14ac:dyDescent="0.25">
      <c r="A4761" s="1">
        <f t="shared" si="654"/>
        <v>45560</v>
      </c>
      <c r="B4761" s="31">
        <f>TIME(16,50,0)</f>
        <v>0.70138888888888884</v>
      </c>
      <c r="C4761" t="str">
        <f>'Inventory as of 12th Aug 2024'!A91</f>
        <v>Tomatoes</v>
      </c>
      <c r="D4761">
        <v>1</v>
      </c>
      <c r="E4761" s="5">
        <f>Table4[[#This Row],[qty]]*(VLOOKUP(Table4[[#This Row],[item_sold]],Table1[],5,FALSE))</f>
        <v>10</v>
      </c>
      <c r="F4761" s="5">
        <f>(VLOOKUP(Table4[[#This Row],[item_sold]],Table1[],4,FALSE))*Table4[[#This Row],[qty]]</f>
        <v>5</v>
      </c>
      <c r="G4761">
        <f t="shared" si="651"/>
        <v>5</v>
      </c>
      <c r="H4761" t="s">
        <v>247</v>
      </c>
    </row>
    <row r="4762" spans="1:9" x14ac:dyDescent="0.25">
      <c r="A4762" s="1">
        <f t="shared" si="654"/>
        <v>45560</v>
      </c>
      <c r="B4762" s="31">
        <f t="shared" ref="B4762" si="660">TIME(16,50,0)</f>
        <v>0.70138888888888884</v>
      </c>
      <c r="C4762" t="str">
        <f>'Inventory as of 12th Aug 2024'!A191</f>
        <v>Nuvita Bisquit</v>
      </c>
      <c r="D4762">
        <v>2</v>
      </c>
      <c r="E4762" s="5">
        <f>Table4[[#This Row],[qty]]*(VLOOKUP(Table4[[#This Row],[item_sold]],Table1[],5,FALSE))</f>
        <v>10</v>
      </c>
      <c r="F4762" s="5">
        <f>(VLOOKUP(Table4[[#This Row],[item_sold]],Table1[],4,FALSE))*Table4[[#This Row],[qty]]</f>
        <v>8.3333333333333339</v>
      </c>
      <c r="G4762">
        <f t="shared" si="651"/>
        <v>1.6666666666666661</v>
      </c>
      <c r="H4762" t="s">
        <v>247</v>
      </c>
    </row>
    <row r="4763" spans="1:9" x14ac:dyDescent="0.25">
      <c r="A4763" s="1">
        <f t="shared" si="654"/>
        <v>45560</v>
      </c>
      <c r="B4763" s="31">
        <f>TIME(18,0,0)</f>
        <v>0.75</v>
      </c>
      <c r="C4763" t="str">
        <f>'Inventory as of 12th Aug 2024'!A199</f>
        <v>Kdf</v>
      </c>
      <c r="D4763">
        <v>2</v>
      </c>
      <c r="E4763" s="5">
        <f>Table4[[#This Row],[qty]]*(VLOOKUP(Table4[[#This Row],[item_sold]],Table1[],5,FALSE))</f>
        <v>20</v>
      </c>
      <c r="F4763" s="5">
        <f>(VLOOKUP(Table4[[#This Row],[item_sold]],Table1[],4,FALSE))*Table4[[#This Row],[qty]]</f>
        <v>16.666666666666668</v>
      </c>
      <c r="G4763">
        <f t="shared" si="651"/>
        <v>3.3333333333333321</v>
      </c>
      <c r="H4763" t="s">
        <v>247</v>
      </c>
    </row>
    <row r="4764" spans="1:9" x14ac:dyDescent="0.25">
      <c r="A4764" s="1">
        <f t="shared" si="654"/>
        <v>45560</v>
      </c>
      <c r="B4764" s="31">
        <f t="shared" ref="B4764:B4765" si="661">TIME(18,0,0)</f>
        <v>0.75</v>
      </c>
      <c r="C4764" t="str">
        <f>'Inventory as of 12th Aug 2024'!A16</f>
        <v>Mt kenya milk 500ml</v>
      </c>
      <c r="D4764">
        <v>1</v>
      </c>
      <c r="E4764" s="5">
        <f>Table4[[#This Row],[qty]]*(VLOOKUP(Table4[[#This Row],[item_sold]],Table1[],5,FALSE))</f>
        <v>65</v>
      </c>
      <c r="F4764" s="5">
        <f>(VLOOKUP(Table4[[#This Row],[item_sold]],Table1[],4,FALSE))*Table4[[#This Row],[qty]]</f>
        <v>48.333333333333336</v>
      </c>
      <c r="G4764">
        <f t="shared" si="651"/>
        <v>16.666666666666664</v>
      </c>
      <c r="H4764" t="s">
        <v>247</v>
      </c>
    </row>
    <row r="4765" spans="1:9" x14ac:dyDescent="0.25">
      <c r="A4765" s="1">
        <f t="shared" si="654"/>
        <v>45560</v>
      </c>
      <c r="B4765" s="31">
        <f t="shared" si="661"/>
        <v>0.75</v>
      </c>
      <c r="C4765" t="str">
        <f>'Inventory as of 12th Aug 2024'!A256</f>
        <v>Family bisquit</v>
      </c>
      <c r="D4765">
        <v>1</v>
      </c>
      <c r="E4765" s="5">
        <f>Table4[[#This Row],[qty]]*(VLOOKUP(Table4[[#This Row],[item_sold]],Table1[],5,FALSE))</f>
        <v>35</v>
      </c>
      <c r="F4765" s="5">
        <f>(VLOOKUP(Table4[[#This Row],[item_sold]],Table1[],4,FALSE))*Table4[[#This Row],[qty]]</f>
        <v>23.333333333333332</v>
      </c>
      <c r="G4765">
        <f t="shared" si="651"/>
        <v>11.666666666666668</v>
      </c>
      <c r="H4765" t="s">
        <v>247</v>
      </c>
    </row>
    <row r="4766" spans="1:9" x14ac:dyDescent="0.25">
      <c r="A4766" s="1">
        <f t="shared" si="654"/>
        <v>45560</v>
      </c>
      <c r="B4766" s="31">
        <f>TIME(18,10,0)</f>
        <v>0.75694444444444453</v>
      </c>
      <c r="C4766" t="str">
        <f>'Inventory as of 12th Aug 2024'!A182</f>
        <v>T.Heat Potato crisps salted 25g</v>
      </c>
      <c r="D4766">
        <v>2</v>
      </c>
      <c r="E4766" s="5">
        <f>Table4[[#This Row],[qty]]*(VLOOKUP(Table4[[#This Row],[item_sold]],Table1[],5,FALSE))</f>
        <v>60</v>
      </c>
      <c r="F4766" s="5">
        <f>(VLOOKUP(Table4[[#This Row],[item_sold]],Table1[],4,FALSE))*Table4[[#This Row],[qty]]</f>
        <v>45.833333333333336</v>
      </c>
      <c r="G4766">
        <f t="shared" si="651"/>
        <v>14.166666666666664</v>
      </c>
      <c r="H4766" t="s">
        <v>247</v>
      </c>
    </row>
    <row r="4767" spans="1:9" x14ac:dyDescent="0.25">
      <c r="A4767" s="1">
        <f t="shared" si="654"/>
        <v>45560</v>
      </c>
      <c r="B4767" s="31">
        <f t="shared" ref="B4767:B4768" si="662">TIME(18,10,0)</f>
        <v>0.75694444444444453</v>
      </c>
      <c r="C4767" t="str">
        <f>'Inventory as of 12th Aug 2024'!A9</f>
        <v>Kinangop Fresh Milk 500ml</v>
      </c>
      <c r="D4767">
        <v>1</v>
      </c>
      <c r="E4767" s="5">
        <f>Table4[[#This Row],[qty]]*(VLOOKUP(Table4[[#This Row],[item_sold]],Table1[],5,FALSE))</f>
        <v>60</v>
      </c>
      <c r="F4767" s="5">
        <f>(VLOOKUP(Table4[[#This Row],[item_sold]],Table1[],4,FALSE))*Table4[[#This Row],[qty]]</f>
        <v>55</v>
      </c>
      <c r="G4767">
        <f t="shared" si="651"/>
        <v>5</v>
      </c>
      <c r="H4767" t="s">
        <v>247</v>
      </c>
    </row>
    <row r="4768" spans="1:9" x14ac:dyDescent="0.25">
      <c r="A4768" s="1">
        <f t="shared" si="654"/>
        <v>45560</v>
      </c>
      <c r="B4768" s="31">
        <f t="shared" si="662"/>
        <v>0.75694444444444453</v>
      </c>
      <c r="C4768" t="str">
        <f>'Inventory as of 12th Aug 2024'!A199</f>
        <v>Kdf</v>
      </c>
      <c r="D4768">
        <v>3</v>
      </c>
      <c r="E4768" s="5">
        <f>Table4[[#This Row],[qty]]*(VLOOKUP(Table4[[#This Row],[item_sold]],Table1[],5,FALSE))</f>
        <v>30</v>
      </c>
      <c r="F4768" s="5">
        <f>(VLOOKUP(Table4[[#This Row],[item_sold]],Table1[],4,FALSE))*Table4[[#This Row],[qty]]</f>
        <v>25</v>
      </c>
      <c r="G4768">
        <f t="shared" si="651"/>
        <v>5</v>
      </c>
      <c r="H4768" t="s">
        <v>247</v>
      </c>
    </row>
    <row r="4769" spans="1:12" x14ac:dyDescent="0.25">
      <c r="A4769" s="1">
        <f t="shared" si="654"/>
        <v>45560</v>
      </c>
      <c r="B4769" s="31">
        <f>TIME(18,34,0)</f>
        <v>0.77361111111111114</v>
      </c>
      <c r="C4769" t="str">
        <f>'Inventory as of 12th Aug 2024'!A58</f>
        <v>Safari</v>
      </c>
      <c r="D4769">
        <v>1</v>
      </c>
      <c r="E4769" s="5">
        <f>Table4[[#This Row],[qty]]*(VLOOKUP(Table4[[#This Row],[item_sold]],Table1[],5,FALSE))</f>
        <v>15</v>
      </c>
      <c r="F4769" s="5">
        <f>(VLOOKUP(Table4[[#This Row],[item_sold]],Table1[],4,FALSE))*Table4[[#This Row],[qty]]</f>
        <v>8.5</v>
      </c>
      <c r="G4769">
        <f t="shared" si="651"/>
        <v>6.5</v>
      </c>
      <c r="H4769" t="s">
        <v>361</v>
      </c>
    </row>
    <row r="4770" spans="1:12" x14ac:dyDescent="0.25">
      <c r="A4770" s="1">
        <f t="shared" si="654"/>
        <v>45560</v>
      </c>
      <c r="B4770" s="31">
        <f>TIME(18,34,0)</f>
        <v>0.77361111111111114</v>
      </c>
      <c r="C4770" t="str">
        <f>'Inventory as of 12th Aug 2024'!A91</f>
        <v>Tomatoes</v>
      </c>
      <c r="D4770">
        <v>1</v>
      </c>
      <c r="E4770" s="5">
        <f>Table4[[#This Row],[qty]]*(VLOOKUP(Table4[[#This Row],[item_sold]],Table1[],5,FALSE))</f>
        <v>10</v>
      </c>
      <c r="F4770" s="5">
        <f>(VLOOKUP(Table4[[#This Row],[item_sold]],Table1[],4,FALSE))*Table4[[#This Row],[qty]]</f>
        <v>5</v>
      </c>
      <c r="G4770">
        <f t="shared" si="651"/>
        <v>5</v>
      </c>
      <c r="H4770" t="s">
        <v>361</v>
      </c>
    </row>
    <row r="4771" spans="1:12" x14ac:dyDescent="0.25">
      <c r="A4771" s="1">
        <f t="shared" si="654"/>
        <v>45560</v>
      </c>
      <c r="B4771" s="31">
        <f>TIME(18,38,0)</f>
        <v>0.77638888888888891</v>
      </c>
      <c r="C4771" t="str">
        <f>'Inventory as of 12th Aug 2024'!A199</f>
        <v>Kdf</v>
      </c>
      <c r="D4771">
        <v>1</v>
      </c>
      <c r="E4771" s="5">
        <f>Table4[[#This Row],[qty]]*(VLOOKUP(Table4[[#This Row],[item_sold]],Table1[],5,FALSE))</f>
        <v>10</v>
      </c>
      <c r="F4771" s="5">
        <f>(VLOOKUP(Table4[[#This Row],[item_sold]],Table1[],4,FALSE))*Table4[[#This Row],[qty]]</f>
        <v>8.3333333333333339</v>
      </c>
      <c r="G4771">
        <f t="shared" si="651"/>
        <v>1.6666666666666661</v>
      </c>
      <c r="H4771" t="s">
        <v>361</v>
      </c>
    </row>
    <row r="4772" spans="1:12" x14ac:dyDescent="0.25">
      <c r="A4772" s="1">
        <f t="shared" si="654"/>
        <v>45560</v>
      </c>
      <c r="B4772" s="31">
        <f>TIME(18,44,0)</f>
        <v>0.78055555555555556</v>
      </c>
      <c r="C4772" t="str">
        <f>'Inventory as of 12th Aug 2024'!A207</f>
        <v>soda 350ml plastic</v>
      </c>
      <c r="D4772">
        <v>1</v>
      </c>
      <c r="E4772" s="5">
        <f>Table4[[#This Row],[qty]]*(VLOOKUP(Table4[[#This Row],[item_sold]],Table1[],5,FALSE))</f>
        <v>50</v>
      </c>
      <c r="F4772" s="5">
        <f>(VLOOKUP(Table4[[#This Row],[item_sold]],Table1[],4,FALSE))*Table4[[#This Row],[qty]]</f>
        <v>41.666666666666664</v>
      </c>
      <c r="G4772">
        <f t="shared" si="651"/>
        <v>8.3333333333333357</v>
      </c>
      <c r="H4772" t="s">
        <v>361</v>
      </c>
    </row>
    <row r="4773" spans="1:12" x14ac:dyDescent="0.25">
      <c r="A4773" s="1">
        <f t="shared" si="654"/>
        <v>45560</v>
      </c>
      <c r="B4773" s="31">
        <f>TIME(18,45,0)</f>
        <v>0.78125</v>
      </c>
      <c r="C4773" t="str">
        <f>'Inventory as of 12th Aug 2024'!A75</f>
        <v>Cooking Oil Measured</v>
      </c>
      <c r="D4773">
        <v>0.25</v>
      </c>
      <c r="E4773" s="5">
        <f>Table4[[#This Row],[qty]]*(VLOOKUP(Table4[[#This Row],[item_sold]],Table1[],5,FALSE))</f>
        <v>70</v>
      </c>
      <c r="F4773" s="5">
        <f>(VLOOKUP(Table4[[#This Row],[item_sold]],Table1[],4,FALSE))*Table4[[#This Row],[qty]]</f>
        <v>50</v>
      </c>
      <c r="G4773">
        <f t="shared" si="651"/>
        <v>20</v>
      </c>
      <c r="H4773" t="s">
        <v>361</v>
      </c>
    </row>
    <row r="4774" spans="1:12" x14ac:dyDescent="0.25">
      <c r="A4774" s="1">
        <f t="shared" si="654"/>
        <v>45560</v>
      </c>
      <c r="B4774" s="31">
        <f t="shared" ref="B4774" si="663">TIME(18,45,0)</f>
        <v>0.78125</v>
      </c>
      <c r="C4774" t="str">
        <f>'Inventory as of 12th Aug 2024'!A135</f>
        <v>Bella Tissue</v>
      </c>
      <c r="D4774">
        <v>1</v>
      </c>
      <c r="E4774" s="5">
        <f>Table4[[#This Row],[qty]]*(VLOOKUP(Table4[[#This Row],[item_sold]],Table1[],5,FALSE))</f>
        <v>50</v>
      </c>
      <c r="F4774" s="5">
        <f>(VLOOKUP(Table4[[#This Row],[item_sold]],Table1[],4,FALSE))*Table4[[#This Row],[qty]]</f>
        <v>35</v>
      </c>
      <c r="G4774">
        <f t="shared" si="651"/>
        <v>15</v>
      </c>
      <c r="H4774" t="s">
        <v>361</v>
      </c>
    </row>
    <row r="4775" spans="1:12" x14ac:dyDescent="0.25">
      <c r="A4775" s="1">
        <f t="shared" si="654"/>
        <v>45560</v>
      </c>
      <c r="B4775" s="31">
        <f>TIME(18,51,0)</f>
        <v>0.78541666666666676</v>
      </c>
      <c r="C4775" t="str">
        <f>'Inventory as of 12th Aug 2024'!A33</f>
        <v>BB Bread 400g</v>
      </c>
      <c r="D4775">
        <v>1</v>
      </c>
      <c r="E4775" s="5">
        <f>Table4[[#This Row],[qty]]*(VLOOKUP(Table4[[#This Row],[item_sold]],Table1[],5,FALSE))</f>
        <v>65</v>
      </c>
      <c r="F4775" s="5">
        <f>(VLOOKUP(Table4[[#This Row],[item_sold]],Table1[],4,FALSE))*Table4[[#This Row],[qty]]</f>
        <v>60</v>
      </c>
      <c r="G4775">
        <f t="shared" si="651"/>
        <v>5</v>
      </c>
      <c r="H4775" t="s">
        <v>247</v>
      </c>
      <c r="I4775" t="s">
        <v>455</v>
      </c>
      <c r="J4775" t="s">
        <v>455</v>
      </c>
      <c r="K4775">
        <v>60</v>
      </c>
      <c r="L4775" t="s">
        <v>247</v>
      </c>
    </row>
    <row r="4776" spans="1:12" x14ac:dyDescent="0.25">
      <c r="A4776" s="1">
        <f t="shared" si="654"/>
        <v>45560</v>
      </c>
      <c r="B4776" s="31">
        <f>TIME(19,36,0)</f>
        <v>0.81666666666666676</v>
      </c>
      <c r="C4776" t="str">
        <f>'Inventory as of 12th Aug 2024'!A211</f>
        <v>predator</v>
      </c>
      <c r="D4776">
        <v>1</v>
      </c>
      <c r="E4776" s="5">
        <f>Table4[[#This Row],[qty]]*(VLOOKUP(Table4[[#This Row],[item_sold]],Table1[],5,FALSE))</f>
        <v>70</v>
      </c>
      <c r="F4776" s="5">
        <f>(VLOOKUP(Table4[[#This Row],[item_sold]],Table1[],4,FALSE))*Table4[[#This Row],[qty]]</f>
        <v>54.166666666666664</v>
      </c>
      <c r="G4776">
        <f t="shared" si="651"/>
        <v>15.833333333333336</v>
      </c>
      <c r="H4776" t="s">
        <v>361</v>
      </c>
    </row>
    <row r="4777" spans="1:12" x14ac:dyDescent="0.25">
      <c r="A4777" s="1">
        <f t="shared" si="654"/>
        <v>45560</v>
      </c>
      <c r="B4777" s="31">
        <f t="shared" ref="B4777" si="664">TIME(19,36,0)</f>
        <v>0.81666666666666676</v>
      </c>
      <c r="C4777" t="str">
        <f>'Inventory as of 12th Aug 2024'!A58</f>
        <v>Safari</v>
      </c>
      <c r="D4777">
        <v>1</v>
      </c>
      <c r="E4777" s="5">
        <f>Table4[[#This Row],[qty]]*(VLOOKUP(Table4[[#This Row],[item_sold]],Table1[],5,FALSE))</f>
        <v>15</v>
      </c>
      <c r="F4777" s="5">
        <f>(VLOOKUP(Table4[[#This Row],[item_sold]],Table1[],4,FALSE))*Table4[[#This Row],[qty]]</f>
        <v>8.5</v>
      </c>
      <c r="G4777">
        <f t="shared" si="651"/>
        <v>6.5</v>
      </c>
      <c r="H4777" t="s">
        <v>430</v>
      </c>
      <c r="I4777" t="s">
        <v>447</v>
      </c>
    </row>
    <row r="4778" spans="1:12" x14ac:dyDescent="0.25">
      <c r="A4778" s="1">
        <f t="shared" si="654"/>
        <v>45560</v>
      </c>
      <c r="B4778" s="31">
        <f>TIME(20,40,0)</f>
        <v>0.86111111111111116</v>
      </c>
      <c r="C4778" t="str">
        <f>'Inventory as of 12th Aug 2024'!A193</f>
        <v>Ginger Bisquit</v>
      </c>
      <c r="D4778">
        <v>3</v>
      </c>
      <c r="E4778" s="5">
        <f>Table4[[#This Row],[qty]]*(VLOOKUP(Table4[[#This Row],[item_sold]],Table1[],5,FALSE))</f>
        <v>15</v>
      </c>
      <c r="F4778" s="5">
        <f>(VLOOKUP(Table4[[#This Row],[item_sold]],Table1[],4,FALSE))*Table4[[#This Row],[qty]]</f>
        <v>13</v>
      </c>
      <c r="G4778">
        <f t="shared" si="651"/>
        <v>2</v>
      </c>
      <c r="H4778" t="s">
        <v>247</v>
      </c>
      <c r="J4778" t="s">
        <v>428</v>
      </c>
      <c r="K4778">
        <v>85</v>
      </c>
      <c r="L4778" t="s">
        <v>361</v>
      </c>
    </row>
    <row r="4779" spans="1:12" x14ac:dyDescent="0.25">
      <c r="A4779" s="1">
        <f t="shared" si="654"/>
        <v>45560</v>
      </c>
      <c r="B4779" s="31">
        <f>TIME(20,40,0)</f>
        <v>0.86111111111111116</v>
      </c>
      <c r="C4779" t="str">
        <f>'Inventory as of 12th Aug 2024'!A192</f>
        <v>Lemon Bisquit</v>
      </c>
      <c r="D4779">
        <v>3</v>
      </c>
      <c r="E4779" s="5">
        <f>Table4[[#This Row],[qty]]*(VLOOKUP(Table4[[#This Row],[item_sold]],Table1[],5,FALSE))</f>
        <v>15</v>
      </c>
      <c r="F4779" s="5">
        <f>(VLOOKUP(Table4[[#This Row],[item_sold]],Table1[],4,FALSE))*Table4[[#This Row],[qty]]</f>
        <v>13</v>
      </c>
      <c r="G4779">
        <f t="shared" si="651"/>
        <v>2</v>
      </c>
      <c r="H4779" t="s">
        <v>361</v>
      </c>
    </row>
    <row r="4780" spans="1:12" x14ac:dyDescent="0.25">
      <c r="A4780" s="1">
        <f t="shared" si="654"/>
        <v>45560</v>
      </c>
      <c r="B4780" s="31">
        <f>TIME(11,27,0)</f>
        <v>0.4770833333333333</v>
      </c>
      <c r="C4780" t="str">
        <f>'Inventory as of 12th Aug 2024'!A88</f>
        <v>Sunlight 400g</v>
      </c>
      <c r="D4780">
        <v>1</v>
      </c>
      <c r="E4780" s="5">
        <f>Table4[[#This Row],[qty]]*(VLOOKUP(Table4[[#This Row],[item_sold]],Table1[],5,FALSE))</f>
        <v>200</v>
      </c>
      <c r="F4780" s="5">
        <f>(VLOOKUP(Table4[[#This Row],[item_sold]],Table1[],4,FALSE))*Table4[[#This Row],[qty]]</f>
        <v>145</v>
      </c>
      <c r="G4780">
        <f t="shared" si="651"/>
        <v>55</v>
      </c>
      <c r="H4780" t="s">
        <v>247</v>
      </c>
    </row>
    <row r="4781" spans="1:12" x14ac:dyDescent="0.25">
      <c r="A4781" s="1">
        <f t="shared" ref="A4781:A4844" si="665">DATE(2024,9,26)</f>
        <v>45561</v>
      </c>
      <c r="B4781" s="31">
        <f>TIME(7,34,0)</f>
        <v>0.31527777777777777</v>
      </c>
      <c r="C4781" t="str">
        <f>'Inventory as of 12th Aug 2024'!A175</f>
        <v>Coconut Cakes</v>
      </c>
      <c r="D4781">
        <v>4</v>
      </c>
      <c r="E4781" s="5">
        <f>Table4[[#This Row],[qty]]*(VLOOKUP(Table4[[#This Row],[item_sold]],Table1[],5,FALSE))</f>
        <v>40</v>
      </c>
      <c r="F4781" s="5">
        <f>(VLOOKUP(Table4[[#This Row],[item_sold]],Table1[],4,FALSE))*Table4[[#This Row],[qty]]</f>
        <v>33.333333333333336</v>
      </c>
      <c r="G4781">
        <f t="shared" si="651"/>
        <v>6.6666666666666643</v>
      </c>
      <c r="H4781" t="s">
        <v>247</v>
      </c>
    </row>
    <row r="4782" spans="1:12" x14ac:dyDescent="0.25">
      <c r="A4782" s="1">
        <f t="shared" si="665"/>
        <v>45561</v>
      </c>
      <c r="B4782" s="31">
        <f>TIME(7,34,0)</f>
        <v>0.31527777777777777</v>
      </c>
      <c r="C4782" t="str">
        <f>'Inventory as of 12th Aug 2024'!A4</f>
        <v>Safaricom 50 Credit</v>
      </c>
      <c r="D4782">
        <v>1</v>
      </c>
      <c r="E4782" s="5">
        <f>Table4[[#This Row],[qty]]*(VLOOKUP(Table4[[#This Row],[item_sold]],Table1[],5,FALSE))</f>
        <v>50</v>
      </c>
      <c r="F4782" s="5">
        <f>(VLOOKUP(Table4[[#This Row],[item_sold]],Table1[],4,FALSE))*Table4[[#This Row],[qty]]</f>
        <v>47</v>
      </c>
      <c r="G4782">
        <f t="shared" si="651"/>
        <v>3</v>
      </c>
      <c r="H4782" t="s">
        <v>247</v>
      </c>
    </row>
    <row r="4783" spans="1:12" x14ac:dyDescent="0.25">
      <c r="A4783" s="1">
        <f t="shared" si="665"/>
        <v>45561</v>
      </c>
      <c r="B4783" s="31">
        <f>TIME(7,56,0)</f>
        <v>0.33055555555555555</v>
      </c>
      <c r="C4783" t="str">
        <f>'Inventory as of 12th Aug 2024'!A58</f>
        <v>Safari</v>
      </c>
      <c r="D4783">
        <v>6</v>
      </c>
      <c r="E4783" s="5">
        <f>Table4[[#This Row],[qty]]*(VLOOKUP(Table4[[#This Row],[item_sold]],Table1[],5,FALSE))</f>
        <v>90</v>
      </c>
      <c r="F4783" s="5">
        <f>(VLOOKUP(Table4[[#This Row],[item_sold]],Table1[],4,FALSE))*Table4[[#This Row],[qty]]</f>
        <v>51</v>
      </c>
      <c r="G4783">
        <f t="shared" si="651"/>
        <v>39</v>
      </c>
      <c r="H4783" t="s">
        <v>361</v>
      </c>
    </row>
    <row r="4784" spans="1:12" x14ac:dyDescent="0.25">
      <c r="A4784" s="1">
        <f t="shared" si="665"/>
        <v>45561</v>
      </c>
      <c r="B4784" s="31">
        <f t="shared" ref="B4784:B4786" si="666">TIME(7,56,0)</f>
        <v>0.33055555555555555</v>
      </c>
      <c r="C4784" t="str">
        <f>'Inventory as of 12th Aug 2024'!A4</f>
        <v>Safaricom 50 Credit</v>
      </c>
      <c r="D4784">
        <v>1</v>
      </c>
      <c r="E4784" s="5">
        <f>Table4[[#This Row],[qty]]*(VLOOKUP(Table4[[#This Row],[item_sold]],Table1[],5,FALSE))</f>
        <v>50</v>
      </c>
      <c r="F4784" s="5">
        <f>(VLOOKUP(Table4[[#This Row],[item_sold]],Table1[],4,FALSE))*Table4[[#This Row],[qty]]</f>
        <v>47</v>
      </c>
      <c r="G4784">
        <f t="shared" ref="G4784:G4847" si="667">E4784-F4784</f>
        <v>3</v>
      </c>
      <c r="H4784" t="s">
        <v>361</v>
      </c>
    </row>
    <row r="4785" spans="1:12" x14ac:dyDescent="0.25">
      <c r="A4785" s="1">
        <f t="shared" si="665"/>
        <v>45561</v>
      </c>
      <c r="B4785" s="31">
        <f t="shared" si="666"/>
        <v>0.33055555555555555</v>
      </c>
      <c r="C4785" t="str">
        <f>'Inventory as of 12th Aug 2024'!A58</f>
        <v>Safari</v>
      </c>
      <c r="D4785">
        <v>1</v>
      </c>
      <c r="E4785" s="5">
        <f>Table4[[#This Row],[qty]]*(VLOOKUP(Table4[[#This Row],[item_sold]],Table1[],5,FALSE))</f>
        <v>15</v>
      </c>
      <c r="F4785" s="5">
        <f>(VLOOKUP(Table4[[#This Row],[item_sold]],Table1[],4,FALSE))*Table4[[#This Row],[qty]]</f>
        <v>8.5</v>
      </c>
      <c r="G4785">
        <f t="shared" si="667"/>
        <v>6.5</v>
      </c>
      <c r="H4785" t="s">
        <v>430</v>
      </c>
      <c r="I4785" t="s">
        <v>447</v>
      </c>
    </row>
    <row r="4786" spans="1:12" x14ac:dyDescent="0.25">
      <c r="A4786" s="1">
        <f t="shared" si="665"/>
        <v>45561</v>
      </c>
      <c r="B4786" s="31">
        <f t="shared" si="666"/>
        <v>0.33055555555555555</v>
      </c>
      <c r="C4786" t="str">
        <f>'Inventory as of 12th Aug 2024'!A33</f>
        <v>BB Bread 400g</v>
      </c>
      <c r="D4786">
        <v>1</v>
      </c>
      <c r="E4786" s="5">
        <f>Table4[[#This Row],[qty]]*(VLOOKUP(Table4[[#This Row],[item_sold]],Table1[],5,FALSE))</f>
        <v>65</v>
      </c>
      <c r="F4786" s="5">
        <f>(VLOOKUP(Table4[[#This Row],[item_sold]],Table1[],4,FALSE))*Table4[[#This Row],[qty]]</f>
        <v>60</v>
      </c>
      <c r="G4786">
        <f t="shared" si="667"/>
        <v>5</v>
      </c>
      <c r="H4786" t="s">
        <v>430</v>
      </c>
      <c r="I4786" t="s">
        <v>390</v>
      </c>
    </row>
    <row r="4787" spans="1:12" x14ac:dyDescent="0.25">
      <c r="A4787" s="1">
        <f t="shared" si="665"/>
        <v>45561</v>
      </c>
      <c r="B4787" s="31">
        <f>TIME(8,52,0)</f>
        <v>0.36944444444444446</v>
      </c>
      <c r="C4787" t="str">
        <f>'Inventory as of 12th Aug 2024'!A36</f>
        <v>Festive 800g</v>
      </c>
      <c r="D4787">
        <v>1</v>
      </c>
      <c r="E4787" s="5">
        <f>Table4[[#This Row],[qty]]*(VLOOKUP(Table4[[#This Row],[item_sold]],Table1[],5,FALSE))</f>
        <v>130</v>
      </c>
      <c r="F4787" s="5">
        <f>(VLOOKUP(Table4[[#This Row],[item_sold]],Table1[],4,FALSE))*Table4[[#This Row],[qty]]</f>
        <v>120</v>
      </c>
      <c r="G4787">
        <f t="shared" si="667"/>
        <v>10</v>
      </c>
      <c r="H4787" t="s">
        <v>430</v>
      </c>
      <c r="I4787" t="s">
        <v>385</v>
      </c>
    </row>
    <row r="4788" spans="1:12" x14ac:dyDescent="0.25">
      <c r="A4788" s="1">
        <f t="shared" si="665"/>
        <v>45561</v>
      </c>
      <c r="B4788" s="31">
        <f>TIME(8,59,0)</f>
        <v>0.3743055555555555</v>
      </c>
      <c r="C4788" t="str">
        <f>'Inventory as of 12th Aug 2024'!A33</f>
        <v>BB Bread 400g</v>
      </c>
      <c r="D4788">
        <v>1</v>
      </c>
      <c r="E4788" s="5">
        <f>Table4[[#This Row],[qty]]*(VLOOKUP(Table4[[#This Row],[item_sold]],Table1[],5,FALSE))</f>
        <v>65</v>
      </c>
      <c r="F4788" s="5">
        <f>(VLOOKUP(Table4[[#This Row],[item_sold]],Table1[],4,FALSE))*Table4[[#This Row],[qty]]</f>
        <v>60</v>
      </c>
      <c r="G4788">
        <f t="shared" si="667"/>
        <v>5</v>
      </c>
      <c r="H4788" t="s">
        <v>430</v>
      </c>
      <c r="I4788" t="s">
        <v>412</v>
      </c>
    </row>
    <row r="4789" spans="1:12" x14ac:dyDescent="0.25">
      <c r="A4789" s="1">
        <f t="shared" si="665"/>
        <v>45561</v>
      </c>
      <c r="B4789" s="31">
        <f t="shared" ref="B4789" si="668">TIME(8,59,0)</f>
        <v>0.3743055555555555</v>
      </c>
      <c r="C4789" t="str">
        <f>'Inventory as of 12th Aug 2024'!A16</f>
        <v>Mt kenya milk 500ml</v>
      </c>
      <c r="D4789">
        <v>1</v>
      </c>
      <c r="E4789" s="5">
        <f>Table4[[#This Row],[qty]]*(VLOOKUP(Table4[[#This Row],[item_sold]],Table1[],5,FALSE))</f>
        <v>65</v>
      </c>
      <c r="F4789" s="5">
        <f>(VLOOKUP(Table4[[#This Row],[item_sold]],Table1[],4,FALSE))*Table4[[#This Row],[qty]]</f>
        <v>48.333333333333336</v>
      </c>
      <c r="G4789">
        <f t="shared" si="667"/>
        <v>16.666666666666664</v>
      </c>
      <c r="H4789" t="s">
        <v>430</v>
      </c>
      <c r="I4789" t="s">
        <v>412</v>
      </c>
    </row>
    <row r="4790" spans="1:12" x14ac:dyDescent="0.25">
      <c r="A4790" s="1">
        <f t="shared" si="665"/>
        <v>45561</v>
      </c>
      <c r="B4790" s="31">
        <f>TIME(9,11,0)</f>
        <v>0.38263888888888892</v>
      </c>
      <c r="C4790" t="str">
        <f>'Inventory as of 12th Aug 2024'!A81</f>
        <v>ariel 75g</v>
      </c>
      <c r="D4790">
        <v>1</v>
      </c>
      <c r="E4790" s="5">
        <f>Table4[[#This Row],[qty]]*(VLOOKUP(Table4[[#This Row],[item_sold]],Table1[],5,FALSE))</f>
        <v>35</v>
      </c>
      <c r="F4790" s="5">
        <f>(VLOOKUP(Table4[[#This Row],[item_sold]],Table1[],4,FALSE))*Table4[[#This Row],[qty]]</f>
        <v>27.5</v>
      </c>
      <c r="G4790">
        <f t="shared" si="667"/>
        <v>7.5</v>
      </c>
      <c r="H4790" t="s">
        <v>361</v>
      </c>
    </row>
    <row r="4791" spans="1:12" x14ac:dyDescent="0.25">
      <c r="A4791" s="1">
        <f t="shared" si="665"/>
        <v>45561</v>
      </c>
      <c r="B4791" s="31">
        <f>TIME(9,25,0)</f>
        <v>0.3923611111111111</v>
      </c>
      <c r="C4791" t="str">
        <f>'Inventory as of 12th Aug 2024'!A87</f>
        <v>Menengai Bar 1kg</v>
      </c>
      <c r="D4791">
        <v>1</v>
      </c>
      <c r="E4791" s="5">
        <f>Table4[[#This Row],[qty]]*(VLOOKUP(Table4[[#This Row],[item_sold]],Table1[],5,FALSE))</f>
        <v>250</v>
      </c>
      <c r="F4791" s="5">
        <f>(VLOOKUP(Table4[[#This Row],[item_sold]],Table1[],4,FALSE))*Table4[[#This Row],[qty]]</f>
        <v>190</v>
      </c>
      <c r="G4791">
        <f t="shared" si="667"/>
        <v>60</v>
      </c>
      <c r="H4791" t="s">
        <v>361</v>
      </c>
    </row>
    <row r="4792" spans="1:12" x14ac:dyDescent="0.25">
      <c r="A4792" s="1">
        <f t="shared" si="665"/>
        <v>45561</v>
      </c>
      <c r="B4792" s="31">
        <f>TIME(9,51,0)</f>
        <v>0.41041666666666665</v>
      </c>
      <c r="C4792" t="str">
        <f>'Inventory as of 12th Aug 2024'!A141</f>
        <v>Colgate 35g</v>
      </c>
      <c r="D4792">
        <v>1</v>
      </c>
      <c r="E4792" s="5">
        <f>Table4[[#This Row],[qty]]*(VLOOKUP(Table4[[#This Row],[item_sold]],Table1[],5,FALSE))</f>
        <v>80</v>
      </c>
      <c r="F4792" s="5">
        <f>(VLOOKUP(Table4[[#This Row],[item_sold]],Table1[],4,FALSE))*Table4[[#This Row],[qty]]</f>
        <v>62.5</v>
      </c>
      <c r="G4792">
        <f t="shared" si="667"/>
        <v>17.5</v>
      </c>
      <c r="H4792" t="s">
        <v>361</v>
      </c>
    </row>
    <row r="4793" spans="1:12" x14ac:dyDescent="0.25">
      <c r="A4793" s="1">
        <f t="shared" si="665"/>
        <v>45561</v>
      </c>
      <c r="B4793" s="31">
        <f>TIME(9,53,0)</f>
        <v>0.41180555555555554</v>
      </c>
      <c r="C4793" t="str">
        <f>'Inventory as of 12th Aug 2024'!A16</f>
        <v>Mt kenya milk 500ml</v>
      </c>
      <c r="D4793">
        <v>1</v>
      </c>
      <c r="E4793" s="5">
        <f>Table4[[#This Row],[qty]]*(VLOOKUP(Table4[[#This Row],[item_sold]],Table1[],5,FALSE))</f>
        <v>65</v>
      </c>
      <c r="F4793" s="5">
        <f>(VLOOKUP(Table4[[#This Row],[item_sold]],Table1[],4,FALSE))*Table4[[#This Row],[qty]]</f>
        <v>48.333333333333336</v>
      </c>
      <c r="G4793">
        <f t="shared" si="667"/>
        <v>16.666666666666664</v>
      </c>
      <c r="H4793" t="s">
        <v>361</v>
      </c>
      <c r="J4793" t="s">
        <v>412</v>
      </c>
      <c r="K4793">
        <v>130</v>
      </c>
      <c r="L4793" t="s">
        <v>361</v>
      </c>
    </row>
    <row r="4794" spans="1:12" x14ac:dyDescent="0.25">
      <c r="A4794" s="1">
        <f t="shared" si="665"/>
        <v>45561</v>
      </c>
      <c r="B4794" s="31">
        <f>TIME(9,53,0)</f>
        <v>0.41180555555555554</v>
      </c>
      <c r="C4794" t="str">
        <f>'Inventory as of 12th Aug 2024'!A199</f>
        <v>Kdf</v>
      </c>
      <c r="D4794">
        <v>4</v>
      </c>
      <c r="E4794" s="5">
        <f>Table4[[#This Row],[qty]]*(VLOOKUP(Table4[[#This Row],[item_sold]],Table1[],5,FALSE))</f>
        <v>40</v>
      </c>
      <c r="F4794" s="5">
        <f>(VLOOKUP(Table4[[#This Row],[item_sold]],Table1[],4,FALSE))*Table4[[#This Row],[qty]]</f>
        <v>33.333333333333336</v>
      </c>
      <c r="G4794">
        <f t="shared" si="667"/>
        <v>6.6666666666666643</v>
      </c>
      <c r="H4794" t="s">
        <v>247</v>
      </c>
    </row>
    <row r="4795" spans="1:12" x14ac:dyDescent="0.25">
      <c r="A4795" s="1">
        <f t="shared" si="665"/>
        <v>45561</v>
      </c>
      <c r="B4795" s="31">
        <f>TIME(9,54,0)</f>
        <v>0.41250000000000003</v>
      </c>
      <c r="C4795" t="str">
        <f>'Inventory as of 12th Aug 2024'!A58</f>
        <v>Safari</v>
      </c>
      <c r="D4795">
        <v>1</v>
      </c>
      <c r="E4795" s="5">
        <f>Table4[[#This Row],[qty]]*(VLOOKUP(Table4[[#This Row],[item_sold]],Table1[],5,FALSE))</f>
        <v>15</v>
      </c>
      <c r="F4795" s="5">
        <f>(VLOOKUP(Table4[[#This Row],[item_sold]],Table1[],4,FALSE))*Table4[[#This Row],[qty]]</f>
        <v>8.5</v>
      </c>
      <c r="G4795">
        <f t="shared" si="667"/>
        <v>6.5</v>
      </c>
      <c r="H4795" t="s">
        <v>430</v>
      </c>
      <c r="I4795" t="s">
        <v>447</v>
      </c>
      <c r="J4795" t="s">
        <v>447</v>
      </c>
      <c r="K4795">
        <v>25</v>
      </c>
      <c r="L4795" t="s">
        <v>361</v>
      </c>
    </row>
    <row r="4796" spans="1:12" x14ac:dyDescent="0.25">
      <c r="A4796" s="1">
        <f t="shared" si="665"/>
        <v>45561</v>
      </c>
      <c r="B4796" s="31">
        <f>TIME(10,15,0)</f>
        <v>0.42708333333333331</v>
      </c>
      <c r="C4796" t="str">
        <f>'Inventory as of 12th Aug 2024'!A37</f>
        <v>Festive Bread 400g</v>
      </c>
      <c r="D4796">
        <v>1</v>
      </c>
      <c r="E4796" s="5">
        <f>Table4[[#This Row],[qty]]*(VLOOKUP(Table4[[#This Row],[item_sold]],Table1[],5,FALSE))</f>
        <v>65</v>
      </c>
      <c r="F4796" s="5">
        <f>(VLOOKUP(Table4[[#This Row],[item_sold]],Table1[],4,FALSE))*Table4[[#This Row],[qty]]</f>
        <v>60</v>
      </c>
      <c r="G4796">
        <f t="shared" si="667"/>
        <v>5</v>
      </c>
      <c r="H4796" t="s">
        <v>361</v>
      </c>
    </row>
    <row r="4797" spans="1:12" x14ac:dyDescent="0.25">
      <c r="A4797" s="1">
        <f t="shared" si="665"/>
        <v>45561</v>
      </c>
      <c r="B4797" s="31">
        <f t="shared" ref="B4797:B4799" si="669">TIME(10,15,0)</f>
        <v>0.42708333333333331</v>
      </c>
      <c r="C4797" t="str">
        <f>'Inventory as of 12th Aug 2024'!A178</f>
        <v>Ringoz Paprika</v>
      </c>
      <c r="D4797">
        <v>1</v>
      </c>
      <c r="E4797" s="5">
        <f>Table4[[#This Row],[qty]]*(VLOOKUP(Table4[[#This Row],[item_sold]],Table1[],5,FALSE))</f>
        <v>15</v>
      </c>
      <c r="F4797" s="5">
        <f>(VLOOKUP(Table4[[#This Row],[item_sold]],Table1[],4,FALSE))*Table4[[#This Row],[qty]]</f>
        <v>8.8000000000000007</v>
      </c>
      <c r="G4797">
        <f t="shared" si="667"/>
        <v>6.1999999999999993</v>
      </c>
      <c r="H4797" t="s">
        <v>361</v>
      </c>
    </row>
    <row r="4798" spans="1:12" x14ac:dyDescent="0.25">
      <c r="A4798" s="1">
        <f t="shared" si="665"/>
        <v>45561</v>
      </c>
      <c r="B4798" s="31">
        <f t="shared" si="669"/>
        <v>0.42708333333333331</v>
      </c>
      <c r="C4798" t="str">
        <f>'Inventory as of 12th Aug 2024'!A179</f>
        <v>Bitez</v>
      </c>
      <c r="D4798">
        <v>1</v>
      </c>
      <c r="E4798" s="5">
        <f>Table4[[#This Row],[qty]]*(VLOOKUP(Table4[[#This Row],[item_sold]],Table1[],5,FALSE))</f>
        <v>15</v>
      </c>
      <c r="F4798" s="5">
        <f>(VLOOKUP(Table4[[#This Row],[item_sold]],Table1[],4,FALSE))*Table4[[#This Row],[qty]]</f>
        <v>8.8000000000000007</v>
      </c>
      <c r="G4798">
        <f t="shared" si="667"/>
        <v>6.1999999999999993</v>
      </c>
      <c r="H4798" t="s">
        <v>361</v>
      </c>
    </row>
    <row r="4799" spans="1:12" x14ac:dyDescent="0.25">
      <c r="A4799" s="1">
        <f t="shared" si="665"/>
        <v>45561</v>
      </c>
      <c r="B4799" s="31">
        <f t="shared" si="669"/>
        <v>0.42708333333333331</v>
      </c>
      <c r="C4799" t="str">
        <f>'Inventory as of 12th Aug 2024'!A192</f>
        <v>Lemon Bisquit</v>
      </c>
      <c r="D4799">
        <v>1</v>
      </c>
      <c r="E4799" s="5">
        <f>Table4[[#This Row],[qty]]*(VLOOKUP(Table4[[#This Row],[item_sold]],Table1[],5,FALSE))</f>
        <v>5</v>
      </c>
      <c r="F4799" s="5">
        <f>(VLOOKUP(Table4[[#This Row],[item_sold]],Table1[],4,FALSE))*Table4[[#This Row],[qty]]</f>
        <v>4.333333333333333</v>
      </c>
      <c r="G4799">
        <f t="shared" si="667"/>
        <v>0.66666666666666696</v>
      </c>
      <c r="H4799" t="s">
        <v>361</v>
      </c>
    </row>
    <row r="4800" spans="1:12" x14ac:dyDescent="0.25">
      <c r="A4800" s="1">
        <f t="shared" si="665"/>
        <v>45561</v>
      </c>
      <c r="B4800" s="31">
        <f>TIME(9,53,0)</f>
        <v>0.41180555555555554</v>
      </c>
      <c r="C4800" t="str">
        <f>'Inventory as of 12th Aug 2024'!A175</f>
        <v>Coconut Cakes</v>
      </c>
      <c r="D4800">
        <v>3</v>
      </c>
      <c r="E4800" s="5">
        <f>Table4[[#This Row],[qty]]*(VLOOKUP(Table4[[#This Row],[item_sold]],Table1[],5,FALSE))</f>
        <v>30</v>
      </c>
      <c r="F4800" s="5">
        <f>(VLOOKUP(Table4[[#This Row],[item_sold]],Table1[],4,FALSE))*Table4[[#This Row],[qty]]</f>
        <v>25</v>
      </c>
      <c r="G4800">
        <f t="shared" si="667"/>
        <v>5</v>
      </c>
      <c r="H4800" t="s">
        <v>247</v>
      </c>
    </row>
    <row r="4801" spans="1:8" x14ac:dyDescent="0.25">
      <c r="A4801" s="1">
        <f t="shared" si="665"/>
        <v>45561</v>
      </c>
      <c r="B4801" s="31">
        <f>TIME(10,22,0)</f>
        <v>0.43194444444444446</v>
      </c>
      <c r="C4801" t="str">
        <f>'Inventory as of 12th Aug 2024'!A16</f>
        <v>Mt kenya milk 500ml</v>
      </c>
      <c r="D4801">
        <v>2</v>
      </c>
      <c r="E4801" s="5">
        <f>Table4[[#This Row],[qty]]*(VLOOKUP(Table4[[#This Row],[item_sold]],Table1[],5,FALSE))</f>
        <v>130</v>
      </c>
      <c r="F4801" s="5">
        <f>(VLOOKUP(Table4[[#This Row],[item_sold]],Table1[],4,FALSE))*Table4[[#This Row],[qty]]</f>
        <v>96.666666666666671</v>
      </c>
      <c r="G4801">
        <f t="shared" si="667"/>
        <v>33.333333333333329</v>
      </c>
      <c r="H4801" t="s">
        <v>247</v>
      </c>
    </row>
    <row r="4802" spans="1:8" x14ac:dyDescent="0.25">
      <c r="A4802" s="1">
        <f t="shared" si="665"/>
        <v>45561</v>
      </c>
      <c r="B4802" s="31">
        <f t="shared" ref="B4802:B4804" si="670">TIME(10,22,0)</f>
        <v>0.43194444444444446</v>
      </c>
      <c r="C4802" t="str">
        <f>'Inventory as of 12th Aug 2024'!A33</f>
        <v>BB Bread 400g</v>
      </c>
      <c r="D4802">
        <v>1</v>
      </c>
      <c r="E4802" s="5">
        <f>Table4[[#This Row],[qty]]*(VLOOKUP(Table4[[#This Row],[item_sold]],Table1[],5,FALSE))</f>
        <v>65</v>
      </c>
      <c r="F4802" s="5">
        <f>(VLOOKUP(Table4[[#This Row],[item_sold]],Table1[],4,FALSE))*Table4[[#This Row],[qty]]</f>
        <v>60</v>
      </c>
      <c r="G4802">
        <f t="shared" si="667"/>
        <v>5</v>
      </c>
      <c r="H4802" t="s">
        <v>247</v>
      </c>
    </row>
    <row r="4803" spans="1:8" x14ac:dyDescent="0.25">
      <c r="A4803" s="1">
        <f t="shared" si="665"/>
        <v>45561</v>
      </c>
      <c r="B4803" s="31">
        <f t="shared" si="670"/>
        <v>0.43194444444444446</v>
      </c>
      <c r="C4803" t="str">
        <f>'Inventory as of 12th Aug 2024'!A204</f>
        <v>soda 2lts</v>
      </c>
      <c r="D4803">
        <v>1</v>
      </c>
      <c r="E4803" s="5">
        <f>Table4[[#This Row],[qty]]*(VLOOKUP(Table4[[#This Row],[item_sold]],Table1[],5,FALSE))</f>
        <v>200</v>
      </c>
      <c r="F4803" s="5">
        <f>(VLOOKUP(Table4[[#This Row],[item_sold]],Table1[],4,FALSE))*Table4[[#This Row],[qty]]</f>
        <v>176.66666666666666</v>
      </c>
      <c r="G4803">
        <f t="shared" si="667"/>
        <v>23.333333333333343</v>
      </c>
      <c r="H4803" t="s">
        <v>247</v>
      </c>
    </row>
    <row r="4804" spans="1:8" x14ac:dyDescent="0.25">
      <c r="A4804" s="1">
        <f t="shared" si="665"/>
        <v>45561</v>
      </c>
      <c r="B4804" s="31">
        <f t="shared" si="670"/>
        <v>0.43194444444444446</v>
      </c>
      <c r="C4804" t="str">
        <f>'Inventory as of 12th Aug 2024'!A78</f>
        <v>Toss 500g</v>
      </c>
      <c r="D4804">
        <v>1</v>
      </c>
      <c r="E4804" s="5">
        <f>Table4[[#This Row],[qty]]*(VLOOKUP(Table4[[#This Row],[item_sold]],Table1[],5,FALSE))</f>
        <v>250</v>
      </c>
      <c r="F4804" s="5">
        <f>(VLOOKUP(Table4[[#This Row],[item_sold]],Table1[],4,FALSE))*Table4[[#This Row],[qty]]</f>
        <v>175</v>
      </c>
      <c r="G4804">
        <f t="shared" si="667"/>
        <v>75</v>
      </c>
      <c r="H4804" t="s">
        <v>247</v>
      </c>
    </row>
    <row r="4805" spans="1:8" x14ac:dyDescent="0.25">
      <c r="A4805" s="1">
        <f t="shared" si="665"/>
        <v>45561</v>
      </c>
      <c r="B4805" s="31">
        <f>TIME(11,7,0)</f>
        <v>0.46319444444444446</v>
      </c>
      <c r="C4805" t="str">
        <f>'Inventory as of 12th Aug 2024'!A234</f>
        <v>Bigdaddy</v>
      </c>
      <c r="D4805">
        <v>2</v>
      </c>
      <c r="E4805" s="5">
        <f>Table4[[#This Row],[qty]]*(VLOOKUP(Table4[[#This Row],[item_sold]],Table1[],5,FALSE))</f>
        <v>20</v>
      </c>
      <c r="F4805" s="5">
        <f>(VLOOKUP(Table4[[#This Row],[item_sold]],Table1[],4,FALSE))*Table4[[#This Row],[qty]]</f>
        <v>12</v>
      </c>
      <c r="G4805">
        <f t="shared" si="667"/>
        <v>8</v>
      </c>
      <c r="H4805" t="s">
        <v>247</v>
      </c>
    </row>
    <row r="4806" spans="1:8" x14ac:dyDescent="0.25">
      <c r="A4806" s="1">
        <f t="shared" si="665"/>
        <v>45561</v>
      </c>
      <c r="B4806" s="31">
        <f>TIME(10,58,0)</f>
        <v>0.45694444444444443</v>
      </c>
      <c r="C4806" t="str">
        <f>'Inventory as of 12th Aug 2024'!A126</f>
        <v>action</v>
      </c>
      <c r="D4806">
        <v>1</v>
      </c>
      <c r="E4806" s="5">
        <f>Table4[[#This Row],[qty]]*(VLOOKUP(Table4[[#This Row],[item_sold]],Table1[],5,FALSE))</f>
        <v>10</v>
      </c>
      <c r="F4806" s="5">
        <f>(VLOOKUP(Table4[[#This Row],[item_sold]],Table1[],4,FALSE))*Table4[[#This Row],[qty]]</f>
        <v>6</v>
      </c>
      <c r="G4806">
        <f t="shared" si="667"/>
        <v>4</v>
      </c>
      <c r="H4806" t="s">
        <v>361</v>
      </c>
    </row>
    <row r="4807" spans="1:8" x14ac:dyDescent="0.25">
      <c r="A4807" s="1">
        <f t="shared" si="665"/>
        <v>45561</v>
      </c>
      <c r="B4807" s="31">
        <f t="shared" ref="B4807" si="671">TIME(10,58,0)</f>
        <v>0.45694444444444443</v>
      </c>
      <c r="C4807" t="str">
        <f>'Inventory as of 12th Aug 2024'!A240</f>
        <v>Bigboss</v>
      </c>
      <c r="D4807">
        <v>2</v>
      </c>
      <c r="E4807" s="5">
        <f>Table4[[#This Row],[qty]]*(VLOOKUP(Table4[[#This Row],[item_sold]],Table1[],5,FALSE))</f>
        <v>10</v>
      </c>
      <c r="F4807" s="5">
        <f>(VLOOKUP(Table4[[#This Row],[item_sold]],Table1[],4,FALSE))*Table4[[#This Row],[qty]]</f>
        <v>7</v>
      </c>
      <c r="G4807">
        <f t="shared" si="667"/>
        <v>3</v>
      </c>
      <c r="H4807" t="s">
        <v>361</v>
      </c>
    </row>
    <row r="4808" spans="1:8" x14ac:dyDescent="0.25">
      <c r="A4808" s="1">
        <f t="shared" si="665"/>
        <v>45561</v>
      </c>
      <c r="B4808" s="31">
        <f>TIME(11,33,0)</f>
        <v>0.48125000000000001</v>
      </c>
      <c r="C4808" t="str">
        <f>'Inventory as of 12th Aug 2024'!A50</f>
        <v>Pishori rice</v>
      </c>
      <c r="D4808">
        <v>0.5</v>
      </c>
      <c r="E4808" s="5">
        <f>Table4[[#This Row],[qty]]*(VLOOKUP(Table4[[#This Row],[item_sold]],Table1[],5,FALSE))</f>
        <v>110</v>
      </c>
      <c r="F4808" s="5">
        <f>(VLOOKUP(Table4[[#This Row],[item_sold]],Table1[],4,FALSE))*Table4[[#This Row],[qty]]</f>
        <v>90</v>
      </c>
      <c r="G4808">
        <f t="shared" si="667"/>
        <v>20</v>
      </c>
      <c r="H4808" t="s">
        <v>247</v>
      </c>
    </row>
    <row r="4809" spans="1:8" x14ac:dyDescent="0.25">
      <c r="A4809" s="1">
        <f t="shared" si="665"/>
        <v>45561</v>
      </c>
      <c r="B4809" s="31">
        <f>TIME(12,7,0)</f>
        <v>0.50486111111111109</v>
      </c>
      <c r="C4809" t="str">
        <f>'Inventory as of 12th Aug 2024'!A213</f>
        <v>soda 500ml glass</v>
      </c>
      <c r="D4809">
        <v>1</v>
      </c>
      <c r="E4809" s="5">
        <f>Table4[[#This Row],[qty]]*(VLOOKUP(Table4[[#This Row],[item_sold]],Table1[],5,FALSE))</f>
        <v>55</v>
      </c>
      <c r="F4809" s="5">
        <f>(VLOOKUP(Table4[[#This Row],[item_sold]],Table1[],4,FALSE))*Table4[[#This Row],[qty]]</f>
        <v>50</v>
      </c>
      <c r="G4809">
        <f t="shared" si="667"/>
        <v>5</v>
      </c>
      <c r="H4809" t="s">
        <v>247</v>
      </c>
    </row>
    <row r="4810" spans="1:8" x14ac:dyDescent="0.25">
      <c r="A4810" s="1">
        <f t="shared" si="665"/>
        <v>45561</v>
      </c>
      <c r="B4810" s="31">
        <f>TIME(12,37,0)</f>
        <v>0.52569444444444446</v>
      </c>
      <c r="C4810" t="str">
        <f>'Inventory as of 12th Aug 2024'!A121</f>
        <v>Panadol Extra</v>
      </c>
      <c r="D4810">
        <v>2</v>
      </c>
      <c r="E4810" s="5">
        <f>Table4[[#This Row],[qty]]*(VLOOKUP(Table4[[#This Row],[item_sold]],Table1[],5,FALSE))</f>
        <v>40</v>
      </c>
      <c r="F4810" s="5">
        <f>(VLOOKUP(Table4[[#This Row],[item_sold]],Table1[],4,FALSE))*Table4[[#This Row],[qty]]</f>
        <v>26</v>
      </c>
      <c r="G4810">
        <f t="shared" si="667"/>
        <v>14</v>
      </c>
      <c r="H4810" t="s">
        <v>361</v>
      </c>
    </row>
    <row r="4811" spans="1:8" x14ac:dyDescent="0.25">
      <c r="A4811" s="1">
        <f t="shared" si="665"/>
        <v>45561</v>
      </c>
      <c r="B4811" s="31">
        <f t="shared" ref="B4811:B4812" si="672">TIME(12,37,0)</f>
        <v>0.52569444444444446</v>
      </c>
      <c r="C4811" t="str">
        <f>'Inventory as of 12th Aug 2024'!A42</f>
        <v>Indomie chicken</v>
      </c>
      <c r="D4811">
        <v>1</v>
      </c>
      <c r="E4811" s="5">
        <f>Table4[[#This Row],[qty]]*(VLOOKUP(Table4[[#This Row],[item_sold]],Table1[],5,FALSE))</f>
        <v>50</v>
      </c>
      <c r="F4811" s="5">
        <f>(VLOOKUP(Table4[[#This Row],[item_sold]],Table1[],4,FALSE))*Table4[[#This Row],[qty]]</f>
        <v>37.5</v>
      </c>
      <c r="G4811">
        <f t="shared" si="667"/>
        <v>12.5</v>
      </c>
      <c r="H4811" t="s">
        <v>361</v>
      </c>
    </row>
    <row r="4812" spans="1:8" x14ac:dyDescent="0.25">
      <c r="A4812" s="1">
        <f t="shared" si="665"/>
        <v>45561</v>
      </c>
      <c r="B4812" s="31">
        <f t="shared" si="672"/>
        <v>0.52569444444444446</v>
      </c>
      <c r="C4812" t="str">
        <f>'Inventory as of 12th Aug 2024'!A8</f>
        <v>eggs</v>
      </c>
      <c r="D4812">
        <v>2</v>
      </c>
      <c r="E4812" s="5">
        <f>Table4[[#This Row],[qty]]*(VLOOKUP(Table4[[#This Row],[item_sold]],Table1[],5,FALSE))</f>
        <v>40</v>
      </c>
      <c r="F4812" s="5">
        <f>(VLOOKUP(Table4[[#This Row],[item_sold]],Table1[],4,FALSE))*Table4[[#This Row],[qty]]</f>
        <v>28.666666666666668</v>
      </c>
      <c r="G4812">
        <f t="shared" si="667"/>
        <v>11.333333333333332</v>
      </c>
      <c r="H4812" t="s">
        <v>361</v>
      </c>
    </row>
    <row r="4813" spans="1:8" x14ac:dyDescent="0.25">
      <c r="A4813" s="1">
        <f t="shared" si="665"/>
        <v>45561</v>
      </c>
      <c r="B4813" s="31">
        <f>TIME(12,40,0)</f>
        <v>0.52777777777777779</v>
      </c>
      <c r="C4813" t="str">
        <f>'Inventory as of 12th Aug 2024'!A206</f>
        <v>soda 500ml plastic</v>
      </c>
      <c r="D4813">
        <v>1</v>
      </c>
      <c r="E4813" s="5">
        <f>Table4[[#This Row],[qty]]*(VLOOKUP(Table4[[#This Row],[item_sold]],Table1[],5,FALSE))</f>
        <v>70</v>
      </c>
      <c r="F4813" s="5">
        <f>(VLOOKUP(Table4[[#This Row],[item_sold]],Table1[],4,FALSE))*Table4[[#This Row],[qty]]</f>
        <v>60.416666666666664</v>
      </c>
      <c r="G4813">
        <f t="shared" si="667"/>
        <v>9.5833333333333357</v>
      </c>
      <c r="H4813" t="s">
        <v>361</v>
      </c>
    </row>
    <row r="4814" spans="1:8" x14ac:dyDescent="0.25">
      <c r="A4814" s="1">
        <f t="shared" si="665"/>
        <v>45561</v>
      </c>
      <c r="B4814" s="31">
        <f>TIME(12,46,0)</f>
        <v>0.53194444444444444</v>
      </c>
      <c r="C4814" t="str">
        <f>'Inventory as of 12th Aug 2024'!A192</f>
        <v>Lemon Bisquit</v>
      </c>
      <c r="D4814">
        <v>2</v>
      </c>
      <c r="E4814" s="5">
        <f>Table4[[#This Row],[qty]]*(VLOOKUP(Table4[[#This Row],[item_sold]],Table1[],5,FALSE))</f>
        <v>10</v>
      </c>
      <c r="F4814" s="5">
        <f>(VLOOKUP(Table4[[#This Row],[item_sold]],Table1[],4,FALSE))*Table4[[#This Row],[qty]]</f>
        <v>8.6666666666666661</v>
      </c>
      <c r="G4814">
        <f t="shared" si="667"/>
        <v>1.3333333333333339</v>
      </c>
      <c r="H4814" t="s">
        <v>361</v>
      </c>
    </row>
    <row r="4815" spans="1:8" x14ac:dyDescent="0.25">
      <c r="A4815" s="1">
        <f t="shared" si="665"/>
        <v>45561</v>
      </c>
      <c r="B4815" s="31">
        <f t="shared" ref="B4815" si="673">TIME(12,46,0)</f>
        <v>0.53194444444444444</v>
      </c>
      <c r="C4815" t="str">
        <f>'Inventory as of 12th Aug 2024'!A2</f>
        <v>Safaricom 20 Credit</v>
      </c>
      <c r="D4815">
        <v>1</v>
      </c>
      <c r="E4815" s="5">
        <f>Table4[[#This Row],[qty]]*(VLOOKUP(Table4[[#This Row],[item_sold]],Table1[],5,FALSE))</f>
        <v>20</v>
      </c>
      <c r="F4815" s="5">
        <f>(VLOOKUP(Table4[[#This Row],[item_sold]],Table1[],4,FALSE))*Table4[[#This Row],[qty]]</f>
        <v>18</v>
      </c>
      <c r="G4815">
        <f t="shared" si="667"/>
        <v>2</v>
      </c>
      <c r="H4815" t="s">
        <v>361</v>
      </c>
    </row>
    <row r="4816" spans="1:8" x14ac:dyDescent="0.25">
      <c r="A4816" s="1">
        <f t="shared" si="665"/>
        <v>45561</v>
      </c>
      <c r="B4816" s="31">
        <f>TIME(12,55,0)</f>
        <v>0.53819444444444442</v>
      </c>
      <c r="C4816" t="str">
        <f>'Inventory as of 12th Aug 2024'!A10</f>
        <v>Mt Kenya milk 200ml</v>
      </c>
      <c r="D4816">
        <v>1</v>
      </c>
      <c r="E4816" s="5">
        <f>Table4[[#This Row],[qty]]*(VLOOKUP(Table4[[#This Row],[item_sold]],Table1[],5,FALSE))</f>
        <v>35</v>
      </c>
      <c r="F4816" s="5">
        <f>(VLOOKUP(Table4[[#This Row],[item_sold]],Table1[],4,FALSE))*Table4[[#This Row],[qty]]</f>
        <v>24.285714285714285</v>
      </c>
      <c r="G4816">
        <f t="shared" si="667"/>
        <v>10.714285714285715</v>
      </c>
      <c r="H4816" t="s">
        <v>247</v>
      </c>
    </row>
    <row r="4817" spans="1:9" x14ac:dyDescent="0.25">
      <c r="A4817" s="1">
        <f t="shared" si="665"/>
        <v>45561</v>
      </c>
      <c r="B4817" s="31">
        <f>TIME(13,55,0)</f>
        <v>0.57986111111111105</v>
      </c>
      <c r="C4817" t="str">
        <f>'Inventory as of 12th Aug 2024'!A213</f>
        <v>soda 500ml glass</v>
      </c>
      <c r="D4817">
        <v>1</v>
      </c>
      <c r="E4817" s="5">
        <f>Table4[[#This Row],[qty]]*(VLOOKUP(Table4[[#This Row],[item_sold]],Table1[],5,FALSE))</f>
        <v>55</v>
      </c>
      <c r="F4817" s="5">
        <f>(VLOOKUP(Table4[[#This Row],[item_sold]],Table1[],4,FALSE))*Table4[[#This Row],[qty]]</f>
        <v>50</v>
      </c>
      <c r="G4817">
        <f t="shared" si="667"/>
        <v>5</v>
      </c>
      <c r="H4817" t="s">
        <v>361</v>
      </c>
    </row>
    <row r="4818" spans="1:9" x14ac:dyDescent="0.25">
      <c r="A4818" s="1">
        <f t="shared" si="665"/>
        <v>45561</v>
      </c>
      <c r="B4818" s="31">
        <f t="shared" ref="B4818:B4819" si="674">TIME(13,55,0)</f>
        <v>0.57986111111111105</v>
      </c>
      <c r="C4818" t="str">
        <f>'Inventory as of 12th Aug 2024'!A33</f>
        <v>BB Bread 400g</v>
      </c>
      <c r="D4818">
        <v>1</v>
      </c>
      <c r="E4818" s="5">
        <f>Table4[[#This Row],[qty]]*(VLOOKUP(Table4[[#This Row],[item_sold]],Table1[],5,FALSE))</f>
        <v>65</v>
      </c>
      <c r="F4818" s="5">
        <f>(VLOOKUP(Table4[[#This Row],[item_sold]],Table1[],4,FALSE))*Table4[[#This Row],[qty]]</f>
        <v>60</v>
      </c>
      <c r="G4818">
        <f t="shared" si="667"/>
        <v>5</v>
      </c>
      <c r="H4818" t="s">
        <v>361</v>
      </c>
    </row>
    <row r="4819" spans="1:9" x14ac:dyDescent="0.25">
      <c r="A4819" s="1">
        <f t="shared" si="665"/>
        <v>45561</v>
      </c>
      <c r="B4819" s="31">
        <f t="shared" si="674"/>
        <v>0.57986111111111105</v>
      </c>
      <c r="C4819" t="str">
        <f>'Inventory as of 12th Aug 2024'!A10</f>
        <v>Mt Kenya milk 200ml</v>
      </c>
      <c r="D4819">
        <v>2</v>
      </c>
      <c r="E4819" s="5">
        <f>Table4[[#This Row],[qty]]*(VLOOKUP(Table4[[#This Row],[item_sold]],Table1[],5,FALSE))</f>
        <v>70</v>
      </c>
      <c r="F4819" s="5">
        <f>(VLOOKUP(Table4[[#This Row],[item_sold]],Table1[],4,FALSE))*Table4[[#This Row],[qty]]</f>
        <v>48.571428571428569</v>
      </c>
      <c r="G4819">
        <f t="shared" si="667"/>
        <v>21.428571428571431</v>
      </c>
      <c r="H4819" t="s">
        <v>361</v>
      </c>
    </row>
    <row r="4820" spans="1:9" x14ac:dyDescent="0.25">
      <c r="A4820" s="1">
        <f t="shared" si="665"/>
        <v>45561</v>
      </c>
      <c r="B4820" s="31">
        <f>TIME(12,7,0)</f>
        <v>0.50486111111111109</v>
      </c>
      <c r="C4820" t="str">
        <f>'Inventory as of 12th Aug 2024'!A199</f>
        <v>Kdf</v>
      </c>
      <c r="D4820">
        <v>4</v>
      </c>
      <c r="E4820" s="5">
        <f>Table4[[#This Row],[qty]]*(VLOOKUP(Table4[[#This Row],[item_sold]],Table1[],5,FALSE))</f>
        <v>40</v>
      </c>
      <c r="F4820" s="5">
        <f>(VLOOKUP(Table4[[#This Row],[item_sold]],Table1[],4,FALSE))*Table4[[#This Row],[qty]]</f>
        <v>33.333333333333336</v>
      </c>
      <c r="G4820">
        <f t="shared" si="667"/>
        <v>6.6666666666666643</v>
      </c>
      <c r="H4820" t="s">
        <v>247</v>
      </c>
    </row>
    <row r="4821" spans="1:9" x14ac:dyDescent="0.25">
      <c r="A4821" s="1">
        <f t="shared" si="665"/>
        <v>45561</v>
      </c>
      <c r="B4821" s="31">
        <f>TIME(1,35,0)</f>
        <v>6.5972222222222224E-2</v>
      </c>
      <c r="C4821" t="str">
        <f>'Inventory as of 12th Aug 2024'!A175</f>
        <v>Coconut Cakes</v>
      </c>
      <c r="D4821">
        <v>2</v>
      </c>
      <c r="E4821" s="5">
        <f>Table4[[#This Row],[qty]]*(VLOOKUP(Table4[[#This Row],[item_sold]],Table1[],5,FALSE))</f>
        <v>20</v>
      </c>
      <c r="F4821" s="5">
        <f>(VLOOKUP(Table4[[#This Row],[item_sold]],Table1[],4,FALSE))*Table4[[#This Row],[qty]]</f>
        <v>16.666666666666668</v>
      </c>
      <c r="G4821">
        <f t="shared" si="667"/>
        <v>3.3333333333333321</v>
      </c>
      <c r="H4821" t="s">
        <v>247</v>
      </c>
    </row>
    <row r="4822" spans="1:9" x14ac:dyDescent="0.25">
      <c r="A4822" s="1">
        <f t="shared" si="665"/>
        <v>45561</v>
      </c>
      <c r="B4822" s="31">
        <f t="shared" ref="B4822:B4823" si="675">TIME(1,35,0)</f>
        <v>6.5972222222222224E-2</v>
      </c>
      <c r="C4822" t="str">
        <f>'Inventory as of 12th Aug 2024'!A198</f>
        <v>Mandazi</v>
      </c>
      <c r="D4822">
        <v>8</v>
      </c>
      <c r="E4822" s="5">
        <f>Table4[[#This Row],[qty]]*(VLOOKUP(Table4[[#This Row],[item_sold]],Table1[],5,FALSE))</f>
        <v>40</v>
      </c>
      <c r="F4822" s="5">
        <f>(VLOOKUP(Table4[[#This Row],[item_sold]],Table1[],4,FALSE))*Table4[[#This Row],[qty]]</f>
        <v>33.333333333333336</v>
      </c>
      <c r="G4822">
        <f t="shared" si="667"/>
        <v>6.6666666666666643</v>
      </c>
      <c r="H4822" t="s">
        <v>247</v>
      </c>
    </row>
    <row r="4823" spans="1:9" x14ac:dyDescent="0.25">
      <c r="A4823" s="1">
        <f t="shared" si="665"/>
        <v>45561</v>
      </c>
      <c r="B4823" s="31">
        <f t="shared" si="675"/>
        <v>6.5972222222222224E-2</v>
      </c>
      <c r="C4823" t="str">
        <f>'Inventory as of 12th Aug 2024'!A42</f>
        <v>Indomie chicken</v>
      </c>
      <c r="D4823">
        <v>2</v>
      </c>
      <c r="E4823" s="5">
        <f>Table4[[#This Row],[qty]]*(VLOOKUP(Table4[[#This Row],[item_sold]],Table1[],5,FALSE))</f>
        <v>100</v>
      </c>
      <c r="F4823" s="5">
        <f>(VLOOKUP(Table4[[#This Row],[item_sold]],Table1[],4,FALSE))*Table4[[#This Row],[qty]]</f>
        <v>75</v>
      </c>
      <c r="G4823">
        <f t="shared" si="667"/>
        <v>25</v>
      </c>
      <c r="H4823" t="s">
        <v>247</v>
      </c>
    </row>
    <row r="4824" spans="1:9" x14ac:dyDescent="0.25">
      <c r="A4824" s="1">
        <f t="shared" si="665"/>
        <v>45561</v>
      </c>
      <c r="B4824" s="31">
        <f>TIME(1,38,0)</f>
        <v>6.805555555555555E-2</v>
      </c>
      <c r="C4824" t="str">
        <f>'Inventory as of 12th Aug 2024'!A10</f>
        <v>Mt Kenya milk 200ml</v>
      </c>
      <c r="D4824">
        <v>1</v>
      </c>
      <c r="E4824" s="5">
        <f>Table4[[#This Row],[qty]]*(VLOOKUP(Table4[[#This Row],[item_sold]],Table1[],5,FALSE))</f>
        <v>35</v>
      </c>
      <c r="F4824" s="5">
        <f>(VLOOKUP(Table4[[#This Row],[item_sold]],Table1[],4,FALSE))*Table4[[#This Row],[qty]]</f>
        <v>24.285714285714285</v>
      </c>
      <c r="G4824">
        <f t="shared" si="667"/>
        <v>10.714285714285715</v>
      </c>
      <c r="H4824" t="s">
        <v>361</v>
      </c>
    </row>
    <row r="4825" spans="1:9" x14ac:dyDescent="0.25">
      <c r="A4825" s="1">
        <f t="shared" si="665"/>
        <v>45561</v>
      </c>
      <c r="B4825" s="31">
        <f>TIME(15,9,0)</f>
        <v>0.63124999999999998</v>
      </c>
      <c r="C4825" t="str">
        <f>'Inventory as of 12th Aug 2024'!A198</f>
        <v>Mandazi</v>
      </c>
      <c r="D4825">
        <v>10</v>
      </c>
      <c r="E4825" s="5">
        <f>Table4[[#This Row],[qty]]*(VLOOKUP(Table4[[#This Row],[item_sold]],Table1[],5,FALSE))</f>
        <v>50</v>
      </c>
      <c r="F4825" s="5">
        <f>(VLOOKUP(Table4[[#This Row],[item_sold]],Table1[],4,FALSE))*Table4[[#This Row],[qty]]</f>
        <v>41.666666666666671</v>
      </c>
      <c r="G4825">
        <f t="shared" si="667"/>
        <v>8.3333333333333286</v>
      </c>
      <c r="H4825" t="s">
        <v>402</v>
      </c>
    </row>
    <row r="4826" spans="1:9" x14ac:dyDescent="0.25">
      <c r="A4826" s="1">
        <f t="shared" si="665"/>
        <v>45561</v>
      </c>
      <c r="B4826" s="31">
        <f t="shared" ref="B4826:B4828" si="676">TIME(15,9,0)</f>
        <v>0.63124999999999998</v>
      </c>
      <c r="C4826" t="str">
        <f>'Inventory as of 12th Aug 2024'!A51</f>
        <v>Sindano rice</v>
      </c>
      <c r="D4826">
        <v>0.2</v>
      </c>
      <c r="E4826" s="5">
        <f>Table4[[#This Row],[qty]]*(VLOOKUP(Table4[[#This Row],[item_sold]],Table1[],5,FALSE))</f>
        <v>30</v>
      </c>
      <c r="F4826" s="5">
        <f>(VLOOKUP(Table4[[#This Row],[item_sold]],Table1[],4,FALSE))*Table4[[#This Row],[qty]]</f>
        <v>24</v>
      </c>
      <c r="G4826">
        <f t="shared" si="667"/>
        <v>6</v>
      </c>
      <c r="H4826" t="s">
        <v>402</v>
      </c>
    </row>
    <row r="4827" spans="1:9" x14ac:dyDescent="0.25">
      <c r="A4827" s="1">
        <f t="shared" si="665"/>
        <v>45561</v>
      </c>
      <c r="B4827" s="31">
        <f t="shared" si="676"/>
        <v>0.63124999999999998</v>
      </c>
      <c r="C4827" t="str">
        <f>'Inventory as of 12th Aug 2024'!A91</f>
        <v>Tomatoes</v>
      </c>
      <c r="D4827">
        <v>1</v>
      </c>
      <c r="E4827" s="5">
        <f>Table4[[#This Row],[qty]]*(VLOOKUP(Table4[[#This Row],[item_sold]],Table1[],5,FALSE))</f>
        <v>10</v>
      </c>
      <c r="F4827" s="5">
        <f>(VLOOKUP(Table4[[#This Row],[item_sold]],Table1[],4,FALSE))*Table4[[#This Row],[qty]]</f>
        <v>5</v>
      </c>
      <c r="G4827">
        <f t="shared" si="667"/>
        <v>5</v>
      </c>
      <c r="H4827" t="s">
        <v>402</v>
      </c>
    </row>
    <row r="4828" spans="1:9" x14ac:dyDescent="0.25">
      <c r="A4828" s="1">
        <f t="shared" si="665"/>
        <v>45561</v>
      </c>
      <c r="B4828" s="31">
        <f t="shared" si="676"/>
        <v>0.63124999999999998</v>
      </c>
      <c r="C4828" t="str">
        <f>'Inventory as of 12th Aug 2024'!A234</f>
        <v>Bigdaddy</v>
      </c>
      <c r="D4828">
        <v>1</v>
      </c>
      <c r="E4828" s="5">
        <f>Table4[[#This Row],[qty]]*(VLOOKUP(Table4[[#This Row],[item_sold]],Table1[],5,FALSE))</f>
        <v>10</v>
      </c>
      <c r="F4828" s="5">
        <f>(VLOOKUP(Table4[[#This Row],[item_sold]],Table1[],4,FALSE))*Table4[[#This Row],[qty]]</f>
        <v>6</v>
      </c>
      <c r="G4828">
        <f t="shared" si="667"/>
        <v>4</v>
      </c>
      <c r="H4828" t="s">
        <v>402</v>
      </c>
    </row>
    <row r="4829" spans="1:9" x14ac:dyDescent="0.25">
      <c r="A4829" s="1">
        <f t="shared" si="665"/>
        <v>45561</v>
      </c>
      <c r="B4829" s="31">
        <f>TIME(16,29,0)</f>
        <v>0.68680555555555556</v>
      </c>
      <c r="C4829" t="str">
        <f>'Inventory as of 12th Aug 2024'!A120</f>
        <v>Maramoja</v>
      </c>
      <c r="D4829">
        <v>1</v>
      </c>
      <c r="E4829" s="5">
        <f>Table4[[#This Row],[qty]]*(VLOOKUP(Table4[[#This Row],[item_sold]],Table1[],5,FALSE))</f>
        <v>10</v>
      </c>
      <c r="F4829" s="5">
        <f>(VLOOKUP(Table4[[#This Row],[item_sold]],Table1[],4,FALSE))*Table4[[#This Row],[qty]]</f>
        <v>7</v>
      </c>
      <c r="G4829">
        <f t="shared" si="667"/>
        <v>3</v>
      </c>
      <c r="H4829" t="s">
        <v>361</v>
      </c>
    </row>
    <row r="4830" spans="1:9" x14ac:dyDescent="0.25">
      <c r="A4830" s="1">
        <f t="shared" si="665"/>
        <v>45561</v>
      </c>
      <c r="B4830" s="31">
        <f t="shared" ref="B4830" si="677">TIME(16,29,0)</f>
        <v>0.68680555555555556</v>
      </c>
      <c r="C4830" t="str">
        <f>'Inventory as of 12th Aug 2024'!A58</f>
        <v>Safari</v>
      </c>
      <c r="D4830">
        <v>6</v>
      </c>
      <c r="E4830" s="5">
        <f>Table4[[#This Row],[qty]]*(VLOOKUP(Table4[[#This Row],[item_sold]],Table1[],5,FALSE))</f>
        <v>90</v>
      </c>
      <c r="F4830" s="5">
        <f>(VLOOKUP(Table4[[#This Row],[item_sold]],Table1[],4,FALSE))*Table4[[#This Row],[qty]]</f>
        <v>51</v>
      </c>
      <c r="G4830">
        <f t="shared" si="667"/>
        <v>39</v>
      </c>
      <c r="H4830" t="s">
        <v>361</v>
      </c>
    </row>
    <row r="4831" spans="1:9" x14ac:dyDescent="0.25">
      <c r="A4831" s="1">
        <f t="shared" si="665"/>
        <v>45561</v>
      </c>
      <c r="B4831" s="31">
        <f>TIME(17,6,0)</f>
        <v>0.71250000000000002</v>
      </c>
      <c r="C4831" t="str">
        <f>'Inventory as of 12th Aug 2024'!A199</f>
        <v>Kdf</v>
      </c>
      <c r="D4831">
        <v>1</v>
      </c>
      <c r="E4831" s="5">
        <f>Table4[[#This Row],[qty]]*(VLOOKUP(Table4[[#This Row],[item_sold]],Table1[],5,FALSE))</f>
        <v>10</v>
      </c>
      <c r="F4831" s="5">
        <f>(VLOOKUP(Table4[[#This Row],[item_sold]],Table1[],4,FALSE))*Table4[[#This Row],[qty]]</f>
        <v>8.3333333333333339</v>
      </c>
      <c r="G4831">
        <f t="shared" si="667"/>
        <v>1.6666666666666661</v>
      </c>
      <c r="H4831" t="s">
        <v>247</v>
      </c>
    </row>
    <row r="4832" spans="1:9" x14ac:dyDescent="0.25">
      <c r="A4832" s="1">
        <f t="shared" si="665"/>
        <v>45561</v>
      </c>
      <c r="B4832" s="31">
        <f>TIME(17,45,0)</f>
        <v>0.73958333333333337</v>
      </c>
      <c r="C4832" t="str">
        <f>'Inventory as of 12th Aug 2024'!A58</f>
        <v>Safari</v>
      </c>
      <c r="D4832">
        <v>1</v>
      </c>
      <c r="E4832" s="5">
        <f>Table4[[#This Row],[qty]]*(VLOOKUP(Table4[[#This Row],[item_sold]],Table1[],5,FALSE))</f>
        <v>15</v>
      </c>
      <c r="F4832" s="5">
        <f>(VLOOKUP(Table4[[#This Row],[item_sold]],Table1[],4,FALSE))*Table4[[#This Row],[qty]]</f>
        <v>8.5</v>
      </c>
      <c r="G4832">
        <f t="shared" si="667"/>
        <v>6.5</v>
      </c>
      <c r="H4832" t="s">
        <v>430</v>
      </c>
      <c r="I4832" t="s">
        <v>447</v>
      </c>
    </row>
    <row r="4833" spans="1:12" x14ac:dyDescent="0.25">
      <c r="A4833" s="1">
        <f t="shared" si="665"/>
        <v>45561</v>
      </c>
      <c r="B4833" s="31">
        <f>TIME(17,46,0)</f>
        <v>0.7402777777777777</v>
      </c>
      <c r="C4833" t="str">
        <f>'Inventory as of 12th Aug 2024'!A107</f>
        <v>Match Box</v>
      </c>
      <c r="D4833">
        <v>1</v>
      </c>
      <c r="E4833" s="5">
        <f>Table4[[#This Row],[qty]]*(VLOOKUP(Table4[[#This Row],[item_sold]],Table1[],5,FALSE))</f>
        <v>5</v>
      </c>
      <c r="F4833" s="5">
        <f>(VLOOKUP(Table4[[#This Row],[item_sold]],Table1[],4,FALSE))*Table4[[#This Row],[qty]]</f>
        <v>2.3611111111111112</v>
      </c>
      <c r="G4833">
        <f t="shared" si="667"/>
        <v>2.6388888888888888</v>
      </c>
      <c r="H4833" t="s">
        <v>361</v>
      </c>
    </row>
    <row r="4834" spans="1:12" x14ac:dyDescent="0.25">
      <c r="A4834" s="1">
        <f t="shared" si="665"/>
        <v>45561</v>
      </c>
      <c r="B4834" s="31">
        <f>TIME(17,47,0)</f>
        <v>0.74097222222222225</v>
      </c>
      <c r="C4834" t="str">
        <f>'Inventory as of 12th Aug 2024'!A212</f>
        <v>soda 300ml glass</v>
      </c>
      <c r="D4834">
        <v>2</v>
      </c>
      <c r="E4834" s="5">
        <f>Table4[[#This Row],[qty]]*(VLOOKUP(Table4[[#This Row],[item_sold]],Table1[],5,FALSE))</f>
        <v>80</v>
      </c>
      <c r="F4834" s="5">
        <f>(VLOOKUP(Table4[[#This Row],[item_sold]],Table1[],4,FALSE))*Table4[[#This Row],[qty]]</f>
        <v>65</v>
      </c>
      <c r="G4834">
        <f t="shared" si="667"/>
        <v>15</v>
      </c>
      <c r="H4834" t="s">
        <v>430</v>
      </c>
      <c r="I4834" t="s">
        <v>395</v>
      </c>
      <c r="J4834" t="s">
        <v>395</v>
      </c>
      <c r="K4834">
        <v>100</v>
      </c>
      <c r="L4834" t="s">
        <v>247</v>
      </c>
    </row>
    <row r="4835" spans="1:12" x14ac:dyDescent="0.25">
      <c r="A4835" s="1">
        <f t="shared" si="665"/>
        <v>45561</v>
      </c>
      <c r="B4835" s="31">
        <f>TIME(18,39,0)</f>
        <v>0.77708333333333324</v>
      </c>
      <c r="C4835" t="str">
        <f>'Inventory as of 12th Aug 2024'!A35</f>
        <v>Festive 600g</v>
      </c>
      <c r="D4835">
        <v>2</v>
      </c>
      <c r="E4835" s="5">
        <f>Table4[[#This Row],[qty]]*(VLOOKUP(Table4[[#This Row],[item_sold]],Table1[],5,FALSE))</f>
        <v>200</v>
      </c>
      <c r="F4835" s="5">
        <f>(VLOOKUP(Table4[[#This Row],[item_sold]],Table1[],4,FALSE))*Table4[[#This Row],[qty]]</f>
        <v>180</v>
      </c>
      <c r="G4835">
        <f t="shared" si="667"/>
        <v>20</v>
      </c>
      <c r="H4835" t="s">
        <v>361</v>
      </c>
    </row>
    <row r="4836" spans="1:12" x14ac:dyDescent="0.25">
      <c r="A4836" s="1">
        <f t="shared" si="665"/>
        <v>45561</v>
      </c>
      <c r="B4836" s="31">
        <f>TIME(18,42,0)</f>
        <v>0.77916666666666667</v>
      </c>
      <c r="C4836" t="str">
        <f>'Inventory as of 12th Aug 2024'!A18</f>
        <v>Crown Gold Milk 500ml</v>
      </c>
      <c r="D4836">
        <v>1</v>
      </c>
      <c r="E4836" s="5">
        <f>Table4[[#This Row],[qty]]*(VLOOKUP(Table4[[#This Row],[item_sold]],Table1[],5,FALSE))</f>
        <v>65</v>
      </c>
      <c r="F4836" s="5">
        <f>(VLOOKUP(Table4[[#This Row],[item_sold]],Table1[],4,FALSE))*Table4[[#This Row],[qty]]</f>
        <v>54.166666666666664</v>
      </c>
      <c r="G4836">
        <f t="shared" si="667"/>
        <v>10.833333333333336</v>
      </c>
      <c r="H4836" t="s">
        <v>247</v>
      </c>
    </row>
    <row r="4837" spans="1:12" x14ac:dyDescent="0.25">
      <c r="A4837" s="1">
        <f t="shared" si="665"/>
        <v>45561</v>
      </c>
      <c r="B4837" s="31">
        <f t="shared" ref="B4837" si="678">TIME(18,42,0)</f>
        <v>0.77916666666666667</v>
      </c>
      <c r="C4837" t="str">
        <f>'Inventory as of 12th Aug 2024'!A192</f>
        <v>Lemon Bisquit</v>
      </c>
      <c r="D4837">
        <v>1</v>
      </c>
      <c r="E4837" s="5">
        <f>Table4[[#This Row],[qty]]*(VLOOKUP(Table4[[#This Row],[item_sold]],Table1[],5,FALSE))</f>
        <v>5</v>
      </c>
      <c r="F4837" s="5">
        <f>(VLOOKUP(Table4[[#This Row],[item_sold]],Table1[],4,FALSE))*Table4[[#This Row],[qty]]</f>
        <v>4.333333333333333</v>
      </c>
      <c r="G4837">
        <f t="shared" si="667"/>
        <v>0.66666666666666696</v>
      </c>
      <c r="H4837" t="s">
        <v>247</v>
      </c>
    </row>
    <row r="4838" spans="1:12" x14ac:dyDescent="0.25">
      <c r="A4838" s="1">
        <f t="shared" si="665"/>
        <v>45561</v>
      </c>
      <c r="B4838" s="31">
        <f>TIME(18,46,0)</f>
        <v>0.78194444444444444</v>
      </c>
      <c r="C4838" t="str">
        <f>'Inventory as of 12th Aug 2024'!A153</f>
        <v>mosquito stick</v>
      </c>
      <c r="D4838">
        <v>1</v>
      </c>
      <c r="E4838" s="5">
        <f>Table4[[#This Row],[qty]]*(VLOOKUP(Table4[[#This Row],[item_sold]],Table1[],5,FALSE))</f>
        <v>10</v>
      </c>
      <c r="F4838" s="5">
        <f>(VLOOKUP(Table4[[#This Row],[item_sold]],Table1[],4,FALSE))*Table4[[#This Row],[qty]]</f>
        <v>9</v>
      </c>
      <c r="G4838">
        <f t="shared" si="667"/>
        <v>1</v>
      </c>
      <c r="H4838" t="s">
        <v>247</v>
      </c>
    </row>
    <row r="4839" spans="1:12" x14ac:dyDescent="0.25">
      <c r="A4839" s="1">
        <f t="shared" si="665"/>
        <v>45561</v>
      </c>
      <c r="B4839" s="31">
        <f>TIME(18,46,0)</f>
        <v>0.78194444444444444</v>
      </c>
      <c r="C4839" t="str">
        <f>'Inventory as of 12th Aug 2024'!A198</f>
        <v>Mandazi</v>
      </c>
      <c r="D4839">
        <v>4</v>
      </c>
      <c r="E4839" s="5">
        <f>Table4[[#This Row],[qty]]*(VLOOKUP(Table4[[#This Row],[item_sold]],Table1[],5,FALSE))</f>
        <v>20</v>
      </c>
      <c r="F4839" s="5">
        <f>(VLOOKUP(Table4[[#This Row],[item_sold]],Table1[],4,FALSE))*Table4[[#This Row],[qty]]</f>
        <v>16.666666666666668</v>
      </c>
      <c r="G4839">
        <f t="shared" si="667"/>
        <v>3.3333333333333321</v>
      </c>
      <c r="H4839" t="s">
        <v>247</v>
      </c>
    </row>
    <row r="4840" spans="1:12" x14ac:dyDescent="0.25">
      <c r="A4840" s="1">
        <f t="shared" si="665"/>
        <v>45561</v>
      </c>
      <c r="B4840" s="31">
        <f>TIME(19,17,0)</f>
        <v>0.80347222222222225</v>
      </c>
      <c r="C4840" t="str">
        <f>'Inventory as of 12th Aug 2024'!A120</f>
        <v>Maramoja</v>
      </c>
      <c r="D4840">
        <v>1</v>
      </c>
      <c r="E4840" s="5">
        <f>Table4[[#This Row],[qty]]*(VLOOKUP(Table4[[#This Row],[item_sold]],Table1[],5,FALSE))</f>
        <v>10</v>
      </c>
      <c r="F4840" s="5">
        <f>(VLOOKUP(Table4[[#This Row],[item_sold]],Table1[],4,FALSE))*Table4[[#This Row],[qty]]</f>
        <v>7</v>
      </c>
      <c r="G4840">
        <f t="shared" si="667"/>
        <v>3</v>
      </c>
      <c r="H4840" t="s">
        <v>247</v>
      </c>
    </row>
    <row r="4841" spans="1:12" x14ac:dyDescent="0.25">
      <c r="A4841" s="1">
        <f t="shared" si="665"/>
        <v>45561</v>
      </c>
      <c r="B4841" s="31">
        <f>TIME(19,28,0)</f>
        <v>0.81111111111111101</v>
      </c>
      <c r="C4841" t="str">
        <f>'Inventory as of 12th Aug 2024'!A230</f>
        <v>Fresh Blue</v>
      </c>
      <c r="D4841">
        <v>1</v>
      </c>
      <c r="E4841" s="5">
        <f>Table4[[#This Row],[qty]]*(VLOOKUP(Table4[[#This Row],[item_sold]],Table1[],5,FALSE))</f>
        <v>10</v>
      </c>
      <c r="F4841" s="5">
        <f>(VLOOKUP(Table4[[#This Row],[item_sold]],Table1[],4,FALSE))*Table4[[#This Row],[qty]]</f>
        <v>5</v>
      </c>
      <c r="G4841">
        <f t="shared" si="667"/>
        <v>5</v>
      </c>
      <c r="H4841" s="25" t="s">
        <v>247</v>
      </c>
    </row>
    <row r="4842" spans="1:12" x14ac:dyDescent="0.25">
      <c r="A4842" s="1">
        <f t="shared" si="665"/>
        <v>45561</v>
      </c>
      <c r="B4842" s="31">
        <f>TIME(20,10,0)</f>
        <v>0.84027777777777779</v>
      </c>
      <c r="C4842" t="str">
        <f>'Inventory as of 12th Aug 2024'!A153</f>
        <v>mosquito stick</v>
      </c>
      <c r="D4842">
        <v>1</v>
      </c>
      <c r="E4842" s="5">
        <f>Table4[[#This Row],[qty]]*(VLOOKUP(Table4[[#This Row],[item_sold]],Table1[],5,FALSE))</f>
        <v>10</v>
      </c>
      <c r="F4842" s="5">
        <f>(VLOOKUP(Table4[[#This Row],[item_sold]],Table1[],4,FALSE))*Table4[[#This Row],[qty]]</f>
        <v>9</v>
      </c>
      <c r="G4842">
        <f t="shared" si="667"/>
        <v>1</v>
      </c>
      <c r="H4842" t="s">
        <v>361</v>
      </c>
    </row>
    <row r="4843" spans="1:12" x14ac:dyDescent="0.25">
      <c r="A4843" s="1">
        <f t="shared" si="665"/>
        <v>45561</v>
      </c>
      <c r="B4843" s="31">
        <f>TIME(20,12,0)</f>
        <v>0.84166666666666667</v>
      </c>
      <c r="C4843" t="str">
        <f>'Inventory as of 12th Aug 2024'!A47</f>
        <v>Pembe 2kg</v>
      </c>
      <c r="D4843">
        <v>1</v>
      </c>
      <c r="E4843" s="5">
        <f>Table4[[#This Row],[qty]]*(VLOOKUP(Table4[[#This Row],[item_sold]],Table1[],5,FALSE))</f>
        <v>160</v>
      </c>
      <c r="F4843" s="5">
        <f>(VLOOKUP(Table4[[#This Row],[item_sold]],Table1[],4,FALSE))*Table4[[#This Row],[qty]]</f>
        <v>123.33333333333333</v>
      </c>
      <c r="G4843">
        <f t="shared" si="667"/>
        <v>36.666666666666671</v>
      </c>
      <c r="H4843" t="s">
        <v>361</v>
      </c>
    </row>
    <row r="4844" spans="1:12" x14ac:dyDescent="0.25">
      <c r="A4844" s="1">
        <f t="shared" si="665"/>
        <v>45561</v>
      </c>
      <c r="B4844" s="31">
        <f t="shared" ref="B4844" si="679">TIME(20,12,0)</f>
        <v>0.84166666666666667</v>
      </c>
      <c r="C4844" t="str">
        <f>'Inventory as of 12th Aug 2024'!A60</f>
        <v>kensalt 200g</v>
      </c>
      <c r="D4844">
        <v>1</v>
      </c>
      <c r="E4844" s="5">
        <f>Table4[[#This Row],[qty]]*(VLOOKUP(Table4[[#This Row],[item_sold]],Table1[],5,FALSE))</f>
        <v>15</v>
      </c>
      <c r="F4844" s="5">
        <f>(VLOOKUP(Table4[[#This Row],[item_sold]],Table1[],4,FALSE))*Table4[[#This Row],[qty]]</f>
        <v>5.5</v>
      </c>
      <c r="G4844">
        <f t="shared" si="667"/>
        <v>9.5</v>
      </c>
      <c r="H4844" t="s">
        <v>361</v>
      </c>
    </row>
    <row r="4845" spans="1:12" x14ac:dyDescent="0.25">
      <c r="A4845" s="1">
        <f t="shared" ref="A4845:A4850" si="680">DATE(2024,9,26)</f>
        <v>45561</v>
      </c>
      <c r="B4845" s="31">
        <f>TIME(20,22,0)</f>
        <v>0.84861111111111109</v>
      </c>
      <c r="C4845" t="str">
        <f>'Inventory as of 12th Aug 2024'!A8</f>
        <v>eggs</v>
      </c>
      <c r="D4845">
        <v>4</v>
      </c>
      <c r="E4845" s="5">
        <f>Table4[[#This Row],[qty]]*(VLOOKUP(Table4[[#This Row],[item_sold]],Table1[],5,FALSE))</f>
        <v>80</v>
      </c>
      <c r="F4845" s="5">
        <f>(VLOOKUP(Table4[[#This Row],[item_sold]],Table1[],4,FALSE))*Table4[[#This Row],[qty]]</f>
        <v>57.333333333333336</v>
      </c>
      <c r="G4845">
        <f t="shared" si="667"/>
        <v>22.666666666666664</v>
      </c>
      <c r="H4845" t="s">
        <v>430</v>
      </c>
      <c r="I4845" t="s">
        <v>391</v>
      </c>
    </row>
    <row r="4846" spans="1:12" x14ac:dyDescent="0.25">
      <c r="A4846" s="1">
        <f t="shared" si="680"/>
        <v>45561</v>
      </c>
      <c r="B4846" s="31">
        <f t="shared" ref="B4846:B4850" si="681">TIME(20,22,0)</f>
        <v>0.84861111111111109</v>
      </c>
      <c r="C4846" t="str">
        <f>'Inventory as of 12th Aug 2024'!A91</f>
        <v>Tomatoes</v>
      </c>
      <c r="D4846">
        <v>2</v>
      </c>
      <c r="E4846" s="5">
        <f>Table4[[#This Row],[qty]]*(VLOOKUP(Table4[[#This Row],[item_sold]],Table1[],5,FALSE))</f>
        <v>20</v>
      </c>
      <c r="F4846" s="5">
        <f>(VLOOKUP(Table4[[#This Row],[item_sold]],Table1[],4,FALSE))*Table4[[#This Row],[qty]]</f>
        <v>10</v>
      </c>
      <c r="G4846">
        <f t="shared" si="667"/>
        <v>10</v>
      </c>
      <c r="H4846" t="s">
        <v>430</v>
      </c>
      <c r="I4846" t="s">
        <v>391</v>
      </c>
    </row>
    <row r="4847" spans="1:12" x14ac:dyDescent="0.25">
      <c r="A4847" s="1">
        <f t="shared" si="680"/>
        <v>45561</v>
      </c>
      <c r="B4847" s="31">
        <f t="shared" si="681"/>
        <v>0.84861111111111109</v>
      </c>
      <c r="C4847" t="str">
        <f>'Inventory as of 12th Aug 2024'!A90</f>
        <v>Onion</v>
      </c>
      <c r="D4847">
        <v>1</v>
      </c>
      <c r="E4847" s="5">
        <f>Table4[[#This Row],[qty]]*(VLOOKUP(Table4[[#This Row],[item_sold]],Table1[],5,FALSE))</f>
        <v>10</v>
      </c>
      <c r="F4847" s="5">
        <f>(VLOOKUP(Table4[[#This Row],[item_sold]],Table1[],4,FALSE))*Table4[[#This Row],[qty]]</f>
        <v>8</v>
      </c>
      <c r="G4847">
        <f t="shared" si="667"/>
        <v>2</v>
      </c>
      <c r="H4847" t="s">
        <v>430</v>
      </c>
      <c r="I4847" t="s">
        <v>391</v>
      </c>
    </row>
    <row r="4848" spans="1:12" x14ac:dyDescent="0.25">
      <c r="A4848" s="1">
        <f t="shared" si="680"/>
        <v>45561</v>
      </c>
      <c r="B4848" s="31">
        <f t="shared" si="681"/>
        <v>0.84861111111111109</v>
      </c>
      <c r="C4848" t="str">
        <f>'Inventory as of 12th Aug 2024'!A37</f>
        <v>Festive Bread 400g</v>
      </c>
      <c r="D4848">
        <v>1</v>
      </c>
      <c r="E4848" s="5">
        <f>Table4[[#This Row],[qty]]*(VLOOKUP(Table4[[#This Row],[item_sold]],Table1[],5,FALSE))</f>
        <v>65</v>
      </c>
      <c r="F4848" s="5">
        <f>(VLOOKUP(Table4[[#This Row],[item_sold]],Table1[],4,FALSE))*Table4[[#This Row],[qty]]</f>
        <v>60</v>
      </c>
      <c r="G4848">
        <f t="shared" ref="G4848:G4911" si="682">E4848-F4848</f>
        <v>5</v>
      </c>
      <c r="H4848" t="s">
        <v>430</v>
      </c>
      <c r="I4848" t="s">
        <v>391</v>
      </c>
    </row>
    <row r="4849" spans="1:9" x14ac:dyDescent="0.25">
      <c r="A4849" s="1">
        <f t="shared" si="680"/>
        <v>45561</v>
      </c>
      <c r="B4849" s="31">
        <f t="shared" si="681"/>
        <v>0.84861111111111109</v>
      </c>
      <c r="C4849" t="str">
        <f>'Inventory as of 12th Aug 2024'!A10</f>
        <v>Mt Kenya milk 200ml</v>
      </c>
      <c r="D4849">
        <v>1</v>
      </c>
      <c r="E4849" s="5">
        <f>Table4[[#This Row],[qty]]*(VLOOKUP(Table4[[#This Row],[item_sold]],Table1[],5,FALSE))</f>
        <v>35</v>
      </c>
      <c r="F4849" s="5">
        <f>(VLOOKUP(Table4[[#This Row],[item_sold]],Table1[],4,FALSE))*Table4[[#This Row],[qty]]</f>
        <v>24.285714285714285</v>
      </c>
      <c r="G4849">
        <f t="shared" si="682"/>
        <v>10.714285714285715</v>
      </c>
      <c r="H4849" t="s">
        <v>430</v>
      </c>
      <c r="I4849" t="s">
        <v>391</v>
      </c>
    </row>
    <row r="4850" spans="1:9" x14ac:dyDescent="0.25">
      <c r="A4850" s="1">
        <f t="shared" si="680"/>
        <v>45561</v>
      </c>
      <c r="B4850" s="31">
        <f t="shared" si="681"/>
        <v>0.84861111111111109</v>
      </c>
      <c r="C4850" t="str">
        <f>'Inventory as of 12th Aug 2024'!A91</f>
        <v>Tomatoes</v>
      </c>
      <c r="D4850">
        <v>2</v>
      </c>
      <c r="E4850" s="5">
        <f>Table4[[#This Row],[qty]]*(VLOOKUP(Table4[[#This Row],[item_sold]],Table1[],5,FALSE))</f>
        <v>20</v>
      </c>
      <c r="F4850" s="5">
        <f>(VLOOKUP(Table4[[#This Row],[item_sold]],Table1[],4,FALSE))*Table4[[#This Row],[qty]]</f>
        <v>10</v>
      </c>
      <c r="G4850">
        <f t="shared" si="682"/>
        <v>10</v>
      </c>
      <c r="H4850" t="s">
        <v>247</v>
      </c>
    </row>
    <row r="4851" spans="1:9" x14ac:dyDescent="0.25">
      <c r="A4851" s="1">
        <f>DATE(2024,9,27)</f>
        <v>45562</v>
      </c>
      <c r="B4851" s="31">
        <f>TIME(8,8,0)</f>
        <v>0.33888888888888885</v>
      </c>
      <c r="C4851" t="str">
        <f>'Inventory as of 12th Aug 2024'!A198</f>
        <v>Mandazi</v>
      </c>
      <c r="D4851">
        <v>2</v>
      </c>
      <c r="E4851" s="5">
        <f>Table4[[#This Row],[qty]]*(VLOOKUP(Table4[[#This Row],[item_sold]],Table1[],5,FALSE))</f>
        <v>10</v>
      </c>
      <c r="F4851" s="5">
        <f>(VLOOKUP(Table4[[#This Row],[item_sold]],Table1[],4,FALSE))*Table4[[#This Row],[qty]]</f>
        <v>8.3333333333333339</v>
      </c>
      <c r="G4851">
        <f t="shared" si="682"/>
        <v>1.6666666666666661</v>
      </c>
      <c r="H4851" t="s">
        <v>247</v>
      </c>
    </row>
    <row r="4852" spans="1:9" x14ac:dyDescent="0.25">
      <c r="A4852" s="1">
        <f t="shared" ref="A4852:A4885" si="683">DATE(2024,9,27)</f>
        <v>45562</v>
      </c>
      <c r="B4852" s="31">
        <f>TIME(9,0,0)</f>
        <v>0.375</v>
      </c>
      <c r="C4852" t="str">
        <f>'Inventory as of 12th Aug 2024'!A57</f>
        <v>Sportsman</v>
      </c>
      <c r="D4852">
        <v>1</v>
      </c>
      <c r="E4852" s="5">
        <f>Table4[[#This Row],[qty]]*(VLOOKUP(Table4[[#This Row],[item_sold]],Table1[],5,FALSE))</f>
        <v>20</v>
      </c>
      <c r="F4852" s="5">
        <f>(VLOOKUP(Table4[[#This Row],[item_sold]],Table1[],4,FALSE))*Table4[[#This Row],[qty]]</f>
        <v>13</v>
      </c>
      <c r="G4852">
        <f t="shared" si="682"/>
        <v>7</v>
      </c>
      <c r="H4852" t="s">
        <v>247</v>
      </c>
    </row>
    <row r="4853" spans="1:9" x14ac:dyDescent="0.25">
      <c r="A4853" s="1">
        <f t="shared" si="683"/>
        <v>45562</v>
      </c>
      <c r="B4853" s="31">
        <f>TIME(9,8,0)</f>
        <v>0.38055555555555554</v>
      </c>
      <c r="C4853" s="25" t="str">
        <f>'Inventory as of 12th Aug 2024'!A31</f>
        <v>Drinking Chocolate 20g</v>
      </c>
      <c r="D4853">
        <v>1</v>
      </c>
      <c r="E4853" s="5">
        <f>Table4[[#This Row],[qty]]*(VLOOKUP(Table4[[#This Row],[item_sold]],Table1[],5,FALSE))</f>
        <v>20</v>
      </c>
      <c r="F4853" s="5">
        <f>(VLOOKUP(Table4[[#This Row],[item_sold]],Table1[],4,FALSE))*Table4[[#This Row],[qty]]</f>
        <v>10.416666666666666</v>
      </c>
      <c r="G4853">
        <f t="shared" si="682"/>
        <v>9.5833333333333339</v>
      </c>
      <c r="H4853" t="s">
        <v>247</v>
      </c>
    </row>
    <row r="4854" spans="1:9" x14ac:dyDescent="0.25">
      <c r="A4854" s="1">
        <f t="shared" si="683"/>
        <v>45562</v>
      </c>
      <c r="B4854" s="31">
        <f>TIME(9,10,0)</f>
        <v>0.38194444444444442</v>
      </c>
      <c r="C4854" t="str">
        <f>'Inventory as of 12th Aug 2024'!A7</f>
        <v>Airtel 50 Credit</v>
      </c>
      <c r="D4854">
        <v>1</v>
      </c>
      <c r="E4854" s="5">
        <f>Table4[[#This Row],[qty]]*(VLOOKUP(Table4[[#This Row],[item_sold]],Table1[],5,FALSE))</f>
        <v>50</v>
      </c>
      <c r="F4854" s="5">
        <f>(VLOOKUP(Table4[[#This Row],[item_sold]],Table1[],4,FALSE))*Table4[[#This Row],[qty]]</f>
        <v>47</v>
      </c>
      <c r="G4854">
        <f t="shared" si="682"/>
        <v>3</v>
      </c>
      <c r="H4854" t="s">
        <v>247</v>
      </c>
    </row>
    <row r="4855" spans="1:9" x14ac:dyDescent="0.25">
      <c r="A4855" s="1">
        <f t="shared" si="683"/>
        <v>45562</v>
      </c>
      <c r="B4855" s="31">
        <f>TIME(9,33,0)</f>
        <v>0.3979166666666667</v>
      </c>
      <c r="C4855" t="str">
        <f>'Inventory as of 12th Aug 2024'!A84</f>
        <v>omo 20g</v>
      </c>
      <c r="D4855">
        <v>1</v>
      </c>
      <c r="E4855" s="5">
        <f>Table4[[#This Row],[qty]]*(VLOOKUP(Table4[[#This Row],[item_sold]],Table1[],5,FALSE))</f>
        <v>15</v>
      </c>
      <c r="F4855" s="5">
        <f>(VLOOKUP(Table4[[#This Row],[item_sold]],Table1[],4,FALSE))*Table4[[#This Row],[qty]]</f>
        <v>9.1666666666666661</v>
      </c>
      <c r="G4855">
        <f t="shared" si="682"/>
        <v>5.8333333333333339</v>
      </c>
      <c r="H4855" t="s">
        <v>247</v>
      </c>
    </row>
    <row r="4856" spans="1:9" x14ac:dyDescent="0.25">
      <c r="A4856" s="1">
        <f t="shared" si="683"/>
        <v>45562</v>
      </c>
      <c r="B4856" s="31">
        <f t="shared" ref="B4856:B4857" si="684">TIME(9,33,0)</f>
        <v>0.3979166666666667</v>
      </c>
      <c r="C4856" t="str">
        <f>'Inventory as of 12th Aug 2024'!A59</f>
        <v>kabras sugar 1kg</v>
      </c>
      <c r="D4856">
        <v>1</v>
      </c>
      <c r="E4856" s="5">
        <f>Table4[[#This Row],[qty]]*(VLOOKUP(Table4[[#This Row],[item_sold]],Table1[],5,FALSE))</f>
        <v>180</v>
      </c>
      <c r="F4856" s="5">
        <f>(VLOOKUP(Table4[[#This Row],[item_sold]],Table1[],4,FALSE))*Table4[[#This Row],[qty]]</f>
        <v>140</v>
      </c>
      <c r="G4856">
        <f t="shared" si="682"/>
        <v>40</v>
      </c>
      <c r="H4856" t="s">
        <v>430</v>
      </c>
      <c r="I4856" t="s">
        <v>456</v>
      </c>
    </row>
    <row r="4857" spans="1:9" x14ac:dyDescent="0.25">
      <c r="A4857" s="1">
        <f t="shared" si="683"/>
        <v>45562</v>
      </c>
      <c r="B4857" s="31">
        <f t="shared" si="684"/>
        <v>0.3979166666666667</v>
      </c>
      <c r="C4857" t="str">
        <f>'Inventory as of 12th Aug 2024'!A177</f>
        <v>Ringoz Barbeque</v>
      </c>
      <c r="D4857">
        <v>1</v>
      </c>
      <c r="E4857" s="5">
        <f>Table4[[#This Row],[qty]]*(VLOOKUP(Table4[[#This Row],[item_sold]],Table1[],5,FALSE))</f>
        <v>15</v>
      </c>
      <c r="F4857" s="5">
        <f>(VLOOKUP(Table4[[#This Row],[item_sold]],Table1[],4,FALSE))*Table4[[#This Row],[qty]]</f>
        <v>8.6</v>
      </c>
      <c r="G4857">
        <f t="shared" si="682"/>
        <v>6.4</v>
      </c>
      <c r="H4857" t="s">
        <v>430</v>
      </c>
      <c r="I4857" t="s">
        <v>456</v>
      </c>
    </row>
    <row r="4858" spans="1:9" x14ac:dyDescent="0.25">
      <c r="A4858" s="1">
        <f t="shared" si="683"/>
        <v>45562</v>
      </c>
      <c r="B4858" s="31">
        <f>TIME(12,7,0)</f>
        <v>0.50486111111111109</v>
      </c>
      <c r="C4858" t="str">
        <f>'Inventory as of 12th Aug 2024'!A10</f>
        <v>Mt Kenya milk 200ml</v>
      </c>
      <c r="D4858">
        <v>1</v>
      </c>
      <c r="E4858" s="5">
        <f>Table4[[#This Row],[qty]]*(VLOOKUP(Table4[[#This Row],[item_sold]],Table1[],5,FALSE))</f>
        <v>35</v>
      </c>
      <c r="F4858" s="5">
        <f>(VLOOKUP(Table4[[#This Row],[item_sold]],Table1[],4,FALSE))*Table4[[#This Row],[qty]]</f>
        <v>24.285714285714285</v>
      </c>
      <c r="G4858">
        <f t="shared" si="682"/>
        <v>10.714285714285715</v>
      </c>
      <c r="H4858" t="s">
        <v>247</v>
      </c>
    </row>
    <row r="4859" spans="1:9" x14ac:dyDescent="0.25">
      <c r="A4859" s="1">
        <f t="shared" si="683"/>
        <v>45562</v>
      </c>
      <c r="B4859" s="31">
        <f>TIME(13,29,0)</f>
        <v>0.56180555555555556</v>
      </c>
      <c r="C4859" t="str">
        <f>'Inventory as of 12th Aug 2024'!A58</f>
        <v>Safari</v>
      </c>
      <c r="D4859">
        <v>1</v>
      </c>
      <c r="E4859" s="5">
        <f>Table4[[#This Row],[qty]]*(VLOOKUP(Table4[[#This Row],[item_sold]],Table1[],5,FALSE))</f>
        <v>15</v>
      </c>
      <c r="F4859" s="5">
        <f>(VLOOKUP(Table4[[#This Row],[item_sold]],Table1[],4,FALSE))*Table4[[#This Row],[qty]]</f>
        <v>8.5</v>
      </c>
      <c r="G4859">
        <f t="shared" si="682"/>
        <v>6.5</v>
      </c>
      <c r="H4859" t="s">
        <v>247</v>
      </c>
    </row>
    <row r="4860" spans="1:9" x14ac:dyDescent="0.25">
      <c r="A4860" s="1">
        <f t="shared" si="683"/>
        <v>45562</v>
      </c>
      <c r="B4860" s="31">
        <f t="shared" ref="B4860:B4861" si="685">TIME(13,29,0)</f>
        <v>0.56180555555555556</v>
      </c>
      <c r="C4860" t="str">
        <f>'Inventory as of 12th Aug 2024'!A212</f>
        <v>soda 300ml glass</v>
      </c>
      <c r="D4860">
        <v>1</v>
      </c>
      <c r="E4860" s="5">
        <f>Table4[[#This Row],[qty]]*(VLOOKUP(Table4[[#This Row],[item_sold]],Table1[],5,FALSE))</f>
        <v>40</v>
      </c>
      <c r="F4860" s="5">
        <f>(VLOOKUP(Table4[[#This Row],[item_sold]],Table1[],4,FALSE))*Table4[[#This Row],[qty]]</f>
        <v>32.5</v>
      </c>
      <c r="G4860">
        <f t="shared" si="682"/>
        <v>7.5</v>
      </c>
      <c r="H4860" t="s">
        <v>247</v>
      </c>
    </row>
    <row r="4861" spans="1:9" x14ac:dyDescent="0.25">
      <c r="A4861" s="1">
        <f t="shared" si="683"/>
        <v>45562</v>
      </c>
      <c r="B4861" s="31">
        <f t="shared" si="685"/>
        <v>0.56180555555555556</v>
      </c>
      <c r="C4861" t="str">
        <f>'Inventory as of 12th Aug 2024'!A198</f>
        <v>Mandazi</v>
      </c>
      <c r="D4861">
        <v>2</v>
      </c>
      <c r="E4861" s="5">
        <f>Table4[[#This Row],[qty]]*(VLOOKUP(Table4[[#This Row],[item_sold]],Table1[],5,FALSE))</f>
        <v>10</v>
      </c>
      <c r="F4861" s="5">
        <f>(VLOOKUP(Table4[[#This Row],[item_sold]],Table1[],4,FALSE))*Table4[[#This Row],[qty]]</f>
        <v>8.3333333333333339</v>
      </c>
      <c r="G4861">
        <f t="shared" si="682"/>
        <v>1.6666666666666661</v>
      </c>
      <c r="H4861" t="s">
        <v>247</v>
      </c>
    </row>
    <row r="4862" spans="1:9" x14ac:dyDescent="0.25">
      <c r="A4862" s="1">
        <f t="shared" si="683"/>
        <v>45562</v>
      </c>
      <c r="B4862" s="31">
        <f>TIME(13,39,0)</f>
        <v>0.56874999999999998</v>
      </c>
      <c r="C4862" t="str">
        <f>'Inventory as of 12th Aug 2024'!A58</f>
        <v>Safari</v>
      </c>
      <c r="D4862">
        <v>6</v>
      </c>
      <c r="E4862" s="5">
        <f>Table4[[#This Row],[qty]]*(VLOOKUP(Table4[[#This Row],[item_sold]],Table1[],5,FALSE))</f>
        <v>90</v>
      </c>
      <c r="F4862" s="5">
        <f>(VLOOKUP(Table4[[#This Row],[item_sold]],Table1[],4,FALSE))*Table4[[#This Row],[qty]]</f>
        <v>51</v>
      </c>
      <c r="G4862">
        <f t="shared" si="682"/>
        <v>39</v>
      </c>
      <c r="H4862" t="s">
        <v>361</v>
      </c>
    </row>
    <row r="4863" spans="1:9" x14ac:dyDescent="0.25">
      <c r="A4863" s="1">
        <f t="shared" si="683"/>
        <v>45562</v>
      </c>
      <c r="B4863" s="31">
        <f t="shared" ref="B4863" si="686">TIME(13,39,0)</f>
        <v>0.56874999999999998</v>
      </c>
      <c r="C4863" t="str">
        <f>'Inventory as of 12th Aug 2024'!A213</f>
        <v>soda 500ml glass</v>
      </c>
      <c r="D4863">
        <v>1</v>
      </c>
      <c r="E4863" s="5">
        <f>Table4[[#This Row],[qty]]*(VLOOKUP(Table4[[#This Row],[item_sold]],Table1[],5,FALSE))</f>
        <v>55</v>
      </c>
      <c r="F4863" s="5">
        <f>(VLOOKUP(Table4[[#This Row],[item_sold]],Table1[],4,FALSE))*Table4[[#This Row],[qty]]</f>
        <v>50</v>
      </c>
      <c r="G4863">
        <f t="shared" si="682"/>
        <v>5</v>
      </c>
      <c r="H4863" t="s">
        <v>247</v>
      </c>
    </row>
    <row r="4864" spans="1:9" x14ac:dyDescent="0.25">
      <c r="A4864" s="1">
        <f t="shared" si="683"/>
        <v>45562</v>
      </c>
      <c r="B4864" s="31">
        <f>TIME(14,13,0)</f>
        <v>0.59236111111111112</v>
      </c>
      <c r="C4864" t="str">
        <f>'Inventory as of 12th Aug 2024'!A96</f>
        <v>Ndimu</v>
      </c>
      <c r="D4864">
        <v>1</v>
      </c>
      <c r="E4864" s="5">
        <f>Table4[[#This Row],[qty]]*(VLOOKUP(Table4[[#This Row],[item_sold]],Table1[],5,FALSE))</f>
        <v>20</v>
      </c>
      <c r="F4864" s="5">
        <f>(VLOOKUP(Table4[[#This Row],[item_sold]],Table1[],4,FALSE))*Table4[[#This Row],[qty]]</f>
        <v>8.3333333333333339</v>
      </c>
      <c r="G4864">
        <f t="shared" si="682"/>
        <v>11.666666666666666</v>
      </c>
      <c r="H4864" t="s">
        <v>247</v>
      </c>
    </row>
    <row r="4865" spans="1:12" x14ac:dyDescent="0.25">
      <c r="A4865" s="1">
        <f t="shared" si="683"/>
        <v>45562</v>
      </c>
      <c r="B4865" s="31">
        <f t="shared" ref="B4865:B4868" si="687">TIME(14,13,0)</f>
        <v>0.59236111111111112</v>
      </c>
      <c r="C4865" t="str">
        <f>'Inventory as of 12th Aug 2024'!A87</f>
        <v>Menengai Bar 1kg</v>
      </c>
      <c r="D4865">
        <v>0.2</v>
      </c>
      <c r="E4865" s="5">
        <f>Table4[[#This Row],[qty]]*(VLOOKUP(Table4[[#This Row],[item_sold]],Table1[],5,FALSE))</f>
        <v>50</v>
      </c>
      <c r="F4865" s="5">
        <f>(VLOOKUP(Table4[[#This Row],[item_sold]],Table1[],4,FALSE))*Table4[[#This Row],[qty]]</f>
        <v>38</v>
      </c>
      <c r="G4865">
        <f t="shared" si="682"/>
        <v>12</v>
      </c>
      <c r="H4865" t="s">
        <v>247</v>
      </c>
      <c r="J4865" t="s">
        <v>447</v>
      </c>
      <c r="K4865">
        <v>70</v>
      </c>
      <c r="L4865" t="s">
        <v>361</v>
      </c>
    </row>
    <row r="4866" spans="1:12" x14ac:dyDescent="0.25">
      <c r="A4866" s="1">
        <f t="shared" si="683"/>
        <v>45562</v>
      </c>
      <c r="B4866" s="31">
        <f t="shared" si="687"/>
        <v>0.59236111111111112</v>
      </c>
      <c r="C4866" t="str">
        <f>'Inventory as of 12th Aug 2024'!A16</f>
        <v>Mt kenya milk 500ml</v>
      </c>
      <c r="D4866">
        <v>6</v>
      </c>
      <c r="E4866" s="5">
        <f>Table4[[#This Row],[qty]]*(VLOOKUP(Table4[[#This Row],[item_sold]],Table1[],5,FALSE))</f>
        <v>390</v>
      </c>
      <c r="F4866" s="5">
        <f>(VLOOKUP(Table4[[#This Row],[item_sold]],Table1[],4,FALSE))*Table4[[#This Row],[qty]]</f>
        <v>290</v>
      </c>
      <c r="G4866">
        <f t="shared" si="682"/>
        <v>100</v>
      </c>
      <c r="H4866" t="s">
        <v>430</v>
      </c>
      <c r="I4866" t="s">
        <v>588</v>
      </c>
    </row>
    <row r="4867" spans="1:12" x14ac:dyDescent="0.25">
      <c r="A4867" s="1">
        <f t="shared" si="683"/>
        <v>45562</v>
      </c>
      <c r="B4867" s="31">
        <f t="shared" si="687"/>
        <v>0.59236111111111112</v>
      </c>
      <c r="C4867" t="str">
        <f>'Inventory as of 12th Aug 2024'!A35</f>
        <v>Festive 600g</v>
      </c>
      <c r="D4867">
        <v>1</v>
      </c>
      <c r="E4867" s="5">
        <f>Table4[[#This Row],[qty]]*(VLOOKUP(Table4[[#This Row],[item_sold]],Table1[],5,FALSE))</f>
        <v>100</v>
      </c>
      <c r="F4867" s="5">
        <f>(VLOOKUP(Table4[[#This Row],[item_sold]],Table1[],4,FALSE))*Table4[[#This Row],[qty]]</f>
        <v>90</v>
      </c>
      <c r="G4867">
        <f t="shared" si="682"/>
        <v>10</v>
      </c>
      <c r="H4867" t="s">
        <v>430</v>
      </c>
      <c r="I4867" t="s">
        <v>588</v>
      </c>
    </row>
    <row r="4868" spans="1:12" x14ac:dyDescent="0.25">
      <c r="A4868" s="1">
        <f t="shared" si="683"/>
        <v>45562</v>
      </c>
      <c r="B4868" s="31">
        <f t="shared" si="687"/>
        <v>0.59236111111111112</v>
      </c>
      <c r="C4868" t="str">
        <f>'Inventory as of 12th Aug 2024'!A216</f>
        <v>Blueband 500g</v>
      </c>
      <c r="D4868">
        <v>1</v>
      </c>
      <c r="E4868" s="5">
        <f>Table4[[#This Row],[qty]]*(VLOOKUP(Table4[[#This Row],[item_sold]],Table1[],5,FALSE))</f>
        <v>350</v>
      </c>
      <c r="F4868" s="5">
        <f>(VLOOKUP(Table4[[#This Row],[item_sold]],Table1[],4,FALSE))*Table4[[#This Row],[qty]]</f>
        <v>250</v>
      </c>
      <c r="G4868">
        <f t="shared" si="682"/>
        <v>100</v>
      </c>
      <c r="H4868" t="s">
        <v>430</v>
      </c>
      <c r="I4868" t="s">
        <v>588</v>
      </c>
    </row>
    <row r="4869" spans="1:12" x14ac:dyDescent="0.25">
      <c r="A4869" s="1">
        <f t="shared" si="683"/>
        <v>45562</v>
      </c>
      <c r="B4869" s="31">
        <f>TIME(17,0,0)</f>
        <v>0.70833333333333337</v>
      </c>
      <c r="C4869" t="str">
        <f>'Inventory as of 12th Aug 2024'!A41</f>
        <v>Indomie beef</v>
      </c>
      <c r="D4869">
        <v>1</v>
      </c>
      <c r="E4869" s="5">
        <f>Table4[[#This Row],[qty]]*(VLOOKUP(Table4[[#This Row],[item_sold]],Table1[],5,FALSE))</f>
        <v>50</v>
      </c>
      <c r="F4869" s="5">
        <f>(VLOOKUP(Table4[[#This Row],[item_sold]],Table1[],4,FALSE))*Table4[[#This Row],[qty]]</f>
        <v>38</v>
      </c>
      <c r="G4869">
        <f t="shared" si="682"/>
        <v>12</v>
      </c>
      <c r="H4869" t="s">
        <v>361</v>
      </c>
    </row>
    <row r="4870" spans="1:12" x14ac:dyDescent="0.25">
      <c r="A4870" s="1">
        <f t="shared" si="683"/>
        <v>45562</v>
      </c>
      <c r="B4870" s="31">
        <f t="shared" ref="B4870:B4875" si="688">TIME(17,0,0)</f>
        <v>0.70833333333333337</v>
      </c>
      <c r="C4870" t="str">
        <f>'Inventory as of 12th Aug 2024'!A2</f>
        <v>Safaricom 20 Credit</v>
      </c>
      <c r="D4870">
        <v>1</v>
      </c>
      <c r="E4870" s="5">
        <f>Table4[[#This Row],[qty]]*(VLOOKUP(Table4[[#This Row],[item_sold]],Table1[],5,FALSE))</f>
        <v>20</v>
      </c>
      <c r="F4870" s="5">
        <f>(VLOOKUP(Table4[[#This Row],[item_sold]],Table1[],4,FALSE))*Table4[[#This Row],[qty]]</f>
        <v>18</v>
      </c>
      <c r="G4870">
        <f t="shared" si="682"/>
        <v>2</v>
      </c>
      <c r="H4870" t="s">
        <v>247</v>
      </c>
    </row>
    <row r="4871" spans="1:12" x14ac:dyDescent="0.25">
      <c r="A4871" s="1">
        <f t="shared" si="683"/>
        <v>45562</v>
      </c>
      <c r="B4871" s="31">
        <f t="shared" si="688"/>
        <v>0.70833333333333337</v>
      </c>
      <c r="C4871" t="str">
        <f>'Inventory as of 12th Aug 2024'!A3</f>
        <v>Safaricom 10 Credit</v>
      </c>
      <c r="D4871">
        <v>1</v>
      </c>
      <c r="E4871" s="5">
        <f>Table4[[#This Row],[qty]]*(VLOOKUP(Table4[[#This Row],[item_sold]],Table1[],5,FALSE))</f>
        <v>10</v>
      </c>
      <c r="F4871" s="5">
        <f>(VLOOKUP(Table4[[#This Row],[item_sold]],Table1[],4,FALSE))*Table4[[#This Row],[qty]]</f>
        <v>9</v>
      </c>
      <c r="G4871">
        <f t="shared" si="682"/>
        <v>1</v>
      </c>
      <c r="H4871" t="s">
        <v>247</v>
      </c>
    </row>
    <row r="4872" spans="1:12" x14ac:dyDescent="0.25">
      <c r="A4872" s="1">
        <f t="shared" si="683"/>
        <v>45562</v>
      </c>
      <c r="B4872" s="31">
        <f t="shared" si="688"/>
        <v>0.70833333333333337</v>
      </c>
      <c r="C4872" t="str">
        <f>'Inventory as of 12th Aug 2024'!A179</f>
        <v>Bitez</v>
      </c>
      <c r="D4872">
        <v>1</v>
      </c>
      <c r="E4872" s="5">
        <f>Table4[[#This Row],[qty]]*(VLOOKUP(Table4[[#This Row],[item_sold]],Table1[],5,FALSE))</f>
        <v>15</v>
      </c>
      <c r="F4872" s="5">
        <f>(VLOOKUP(Table4[[#This Row],[item_sold]],Table1[],4,FALSE))*Table4[[#This Row],[qty]]</f>
        <v>8.8000000000000007</v>
      </c>
      <c r="G4872">
        <f t="shared" si="682"/>
        <v>6.1999999999999993</v>
      </c>
      <c r="H4872" t="s">
        <v>247</v>
      </c>
    </row>
    <row r="4873" spans="1:12" x14ac:dyDescent="0.25">
      <c r="A4873" s="1">
        <f t="shared" si="683"/>
        <v>45562</v>
      </c>
      <c r="B4873" s="31">
        <f t="shared" si="688"/>
        <v>0.70833333333333337</v>
      </c>
      <c r="C4873" t="str">
        <f>'Inventory as of 12th Aug 2024'!A120</f>
        <v>Maramoja</v>
      </c>
      <c r="D4873">
        <v>1</v>
      </c>
      <c r="E4873" s="5">
        <f>Table4[[#This Row],[qty]]*(VLOOKUP(Table4[[#This Row],[item_sold]],Table1[],5,FALSE))</f>
        <v>10</v>
      </c>
      <c r="F4873" s="5">
        <f>(VLOOKUP(Table4[[#This Row],[item_sold]],Table1[],4,FALSE))*Table4[[#This Row],[qty]]</f>
        <v>7</v>
      </c>
      <c r="G4873">
        <f t="shared" si="682"/>
        <v>3</v>
      </c>
      <c r="H4873" t="s">
        <v>247</v>
      </c>
    </row>
    <row r="4874" spans="1:12" x14ac:dyDescent="0.25">
      <c r="A4874" s="1">
        <f t="shared" si="683"/>
        <v>45562</v>
      </c>
      <c r="B4874" s="31">
        <f t="shared" si="688"/>
        <v>0.70833333333333337</v>
      </c>
      <c r="C4874" t="str">
        <f>'Inventory as of 12th Aug 2024'!A126</f>
        <v>action</v>
      </c>
      <c r="D4874">
        <v>2</v>
      </c>
      <c r="E4874" s="5">
        <f>Table4[[#This Row],[qty]]*(VLOOKUP(Table4[[#This Row],[item_sold]],Table1[],5,FALSE))</f>
        <v>20</v>
      </c>
      <c r="F4874" s="5">
        <f>(VLOOKUP(Table4[[#This Row],[item_sold]],Table1[],4,FALSE))*Table4[[#This Row],[qty]]</f>
        <v>12</v>
      </c>
      <c r="G4874">
        <f t="shared" si="682"/>
        <v>8</v>
      </c>
      <c r="H4874" t="s">
        <v>247</v>
      </c>
    </row>
    <row r="4875" spans="1:12" x14ac:dyDescent="0.25">
      <c r="A4875" s="1">
        <f t="shared" si="683"/>
        <v>45562</v>
      </c>
      <c r="B4875" s="31">
        <f t="shared" si="688"/>
        <v>0.70833333333333337</v>
      </c>
      <c r="C4875" t="str">
        <f>'Inventory as of 12th Aug 2024'!A193</f>
        <v>Ginger Bisquit</v>
      </c>
      <c r="D4875">
        <v>4</v>
      </c>
      <c r="E4875" s="5">
        <f>Table4[[#This Row],[qty]]*(VLOOKUP(Table4[[#This Row],[item_sold]],Table1[],5,FALSE))</f>
        <v>20</v>
      </c>
      <c r="F4875" s="5">
        <f>(VLOOKUP(Table4[[#This Row],[item_sold]],Table1[],4,FALSE))*Table4[[#This Row],[qty]]</f>
        <v>17.333333333333332</v>
      </c>
      <c r="G4875">
        <f t="shared" si="682"/>
        <v>2.6666666666666679</v>
      </c>
      <c r="H4875" t="s">
        <v>247</v>
      </c>
    </row>
    <row r="4876" spans="1:12" x14ac:dyDescent="0.25">
      <c r="A4876" s="1">
        <f t="shared" si="683"/>
        <v>45562</v>
      </c>
      <c r="B4876" s="31">
        <f>TIME(17,30,0)</f>
        <v>0.72916666666666663</v>
      </c>
      <c r="C4876" t="str">
        <f>'Inventory as of 12th Aug 2024'!A37</f>
        <v>Festive Bread 400g</v>
      </c>
      <c r="D4876">
        <v>1</v>
      </c>
      <c r="E4876" s="5">
        <f>Table4[[#This Row],[qty]]*(VLOOKUP(Table4[[#This Row],[item_sold]],Table1[],5,FALSE))</f>
        <v>65</v>
      </c>
      <c r="F4876" s="5">
        <f>(VLOOKUP(Table4[[#This Row],[item_sold]],Table1[],4,FALSE))*Table4[[#This Row],[qty]]</f>
        <v>60</v>
      </c>
      <c r="G4876">
        <f t="shared" si="682"/>
        <v>5</v>
      </c>
      <c r="H4876" t="s">
        <v>247</v>
      </c>
    </row>
    <row r="4877" spans="1:12" x14ac:dyDescent="0.25">
      <c r="A4877" s="1">
        <f t="shared" si="683"/>
        <v>45562</v>
      </c>
      <c r="B4877" s="31">
        <f t="shared" ref="B4877" si="689">TIME(17,30,0)</f>
        <v>0.72916666666666663</v>
      </c>
      <c r="C4877" t="str">
        <f>'Inventory as of 12th Aug 2024'!A242</f>
        <v>Icepop</v>
      </c>
      <c r="D4877">
        <v>1</v>
      </c>
      <c r="E4877" s="5">
        <f>Table4[[#This Row],[qty]]*(VLOOKUP(Table4[[#This Row],[item_sold]],Table1[],5,FALSE))</f>
        <v>15</v>
      </c>
      <c r="F4877" s="5">
        <f>(VLOOKUP(Table4[[#This Row],[item_sold]],Table1[],4,FALSE))*Table4[[#This Row],[qty]]</f>
        <v>7.5</v>
      </c>
      <c r="G4877">
        <f t="shared" si="682"/>
        <v>7.5</v>
      </c>
      <c r="H4877" t="s">
        <v>247</v>
      </c>
    </row>
    <row r="4878" spans="1:12" x14ac:dyDescent="0.25">
      <c r="A4878" s="1">
        <f t="shared" si="683"/>
        <v>45562</v>
      </c>
      <c r="B4878" s="31">
        <f>TIME(17,46,0)</f>
        <v>0.7402777777777777</v>
      </c>
      <c r="C4878" t="str">
        <f>'Inventory as of 12th Aug 2024'!A195</f>
        <v>Ring Cake</v>
      </c>
      <c r="D4878">
        <v>1</v>
      </c>
      <c r="E4878" s="5">
        <f>Table4[[#This Row],[qty]]*(VLOOKUP(Table4[[#This Row],[item_sold]],Table1[],5,FALSE))</f>
        <v>50</v>
      </c>
      <c r="F4878" s="5">
        <f>(VLOOKUP(Table4[[#This Row],[item_sold]],Table1[],4,FALSE))*Table4[[#This Row],[qty]]</f>
        <v>45</v>
      </c>
      <c r="G4878">
        <f t="shared" si="682"/>
        <v>5</v>
      </c>
      <c r="H4878" t="s">
        <v>247</v>
      </c>
    </row>
    <row r="4879" spans="1:12" x14ac:dyDescent="0.25">
      <c r="A4879" s="1">
        <f t="shared" si="683"/>
        <v>45562</v>
      </c>
      <c r="B4879" s="31">
        <f t="shared" ref="B4879:B4882" si="690">TIME(17,46,0)</f>
        <v>0.7402777777777777</v>
      </c>
      <c r="C4879" t="str">
        <f>'Inventory as of 12th Aug 2024'!A257</f>
        <v>Jamaa soap</v>
      </c>
      <c r="D4879">
        <v>0.2</v>
      </c>
      <c r="E4879" s="5">
        <f>Table4[[#This Row],[qty]]*(VLOOKUP(Table4[[#This Row],[item_sold]],Table1[],5,FALSE))</f>
        <v>50</v>
      </c>
      <c r="F4879" s="5">
        <f>(VLOOKUP(Table4[[#This Row],[item_sold]],Table1[],4,FALSE))*Table4[[#This Row],[qty]]</f>
        <v>36</v>
      </c>
      <c r="G4879">
        <f t="shared" si="682"/>
        <v>14</v>
      </c>
      <c r="H4879" t="s">
        <v>247</v>
      </c>
    </row>
    <row r="4880" spans="1:12" x14ac:dyDescent="0.25">
      <c r="A4880" s="1">
        <f t="shared" si="683"/>
        <v>45562</v>
      </c>
      <c r="B4880" s="31">
        <f t="shared" si="690"/>
        <v>0.7402777777777777</v>
      </c>
      <c r="C4880" t="str">
        <f>'Inventory as of 12th Aug 2024'!A35</f>
        <v>Festive 600g</v>
      </c>
      <c r="D4880">
        <v>1</v>
      </c>
      <c r="E4880" s="5">
        <f>Table4[[#This Row],[qty]]*(VLOOKUP(Table4[[#This Row],[item_sold]],Table1[],5,FALSE))</f>
        <v>100</v>
      </c>
      <c r="F4880" s="5">
        <f>(VLOOKUP(Table4[[#This Row],[item_sold]],Table1[],4,FALSE))*Table4[[#This Row],[qty]]</f>
        <v>90</v>
      </c>
      <c r="G4880">
        <f t="shared" si="682"/>
        <v>10</v>
      </c>
      <c r="H4880" t="s">
        <v>247</v>
      </c>
    </row>
    <row r="4881" spans="1:12" x14ac:dyDescent="0.25">
      <c r="A4881" s="1">
        <f t="shared" si="683"/>
        <v>45562</v>
      </c>
      <c r="B4881" s="31">
        <f t="shared" si="690"/>
        <v>0.7402777777777777</v>
      </c>
      <c r="C4881" t="str">
        <f>'Inventory as of 12th Aug 2024'!A16</f>
        <v>Mt kenya milk 500ml</v>
      </c>
      <c r="D4881">
        <v>1</v>
      </c>
      <c r="E4881" s="5">
        <f>Table4[[#This Row],[qty]]*(VLOOKUP(Table4[[#This Row],[item_sold]],Table1[],5,FALSE))</f>
        <v>65</v>
      </c>
      <c r="F4881" s="5">
        <f>(VLOOKUP(Table4[[#This Row],[item_sold]],Table1[],4,FALSE))*Table4[[#This Row],[qty]]</f>
        <v>48.333333333333336</v>
      </c>
      <c r="G4881">
        <f t="shared" si="682"/>
        <v>16.666666666666664</v>
      </c>
      <c r="H4881" t="s">
        <v>247</v>
      </c>
    </row>
    <row r="4882" spans="1:12" x14ac:dyDescent="0.25">
      <c r="A4882" s="1">
        <f t="shared" si="683"/>
        <v>45562</v>
      </c>
      <c r="B4882" s="31">
        <f t="shared" si="690"/>
        <v>0.7402777777777777</v>
      </c>
      <c r="C4882" t="str">
        <f>'Inventory as of 12th Aug 2024'!A246</f>
        <v>300ml water</v>
      </c>
      <c r="D4882">
        <v>2</v>
      </c>
      <c r="E4882" s="5">
        <f>Table4[[#This Row],[qty]]*(VLOOKUP(Table4[[#This Row],[item_sold]],Table1[],5,FALSE))</f>
        <v>60</v>
      </c>
      <c r="F4882" s="5">
        <f>(VLOOKUP(Table4[[#This Row],[item_sold]],Table1[],4,FALSE))*Table4[[#This Row],[qty]]</f>
        <v>25</v>
      </c>
      <c r="G4882">
        <f t="shared" si="682"/>
        <v>35</v>
      </c>
      <c r="H4882" t="s">
        <v>430</v>
      </c>
      <c r="I4882" t="s">
        <v>386</v>
      </c>
    </row>
    <row r="4883" spans="1:12" x14ac:dyDescent="0.25">
      <c r="A4883" s="1">
        <f t="shared" si="683"/>
        <v>45562</v>
      </c>
      <c r="B4883" s="31">
        <f>TIME(19,20,0)</f>
        <v>0.80555555555555547</v>
      </c>
      <c r="C4883" t="str">
        <f>'Inventory as of 12th Aug 2024'!A248</f>
        <v>Soko Maize meal</v>
      </c>
      <c r="D4883">
        <v>1</v>
      </c>
      <c r="E4883" s="5">
        <f>Table4[[#This Row],[qty]]*(VLOOKUP(Table4[[#This Row],[item_sold]],Table1[],5,FALSE))</f>
        <v>160</v>
      </c>
      <c r="F4883" s="5">
        <f>(VLOOKUP(Table4[[#This Row],[item_sold]],Table1[],4,FALSE))*Table4[[#This Row],[qty]]</f>
        <v>125</v>
      </c>
      <c r="G4883">
        <f t="shared" si="682"/>
        <v>35</v>
      </c>
      <c r="H4883" t="s">
        <v>430</v>
      </c>
      <c r="I4883" t="s">
        <v>456</v>
      </c>
    </row>
    <row r="4884" spans="1:12" x14ac:dyDescent="0.25">
      <c r="A4884" s="1">
        <f t="shared" si="683"/>
        <v>45562</v>
      </c>
      <c r="B4884" s="31">
        <f>TIME(19,42,0)</f>
        <v>0.8208333333333333</v>
      </c>
      <c r="C4884" t="str">
        <f>'Inventory as of 12th Aug 2024'!A16</f>
        <v>Mt kenya milk 500ml</v>
      </c>
      <c r="D4884">
        <v>1</v>
      </c>
      <c r="E4884" s="5">
        <f>Table4[[#This Row],[qty]]*(VLOOKUP(Table4[[#This Row],[item_sold]],Table1[],5,FALSE))</f>
        <v>65</v>
      </c>
      <c r="F4884" s="5">
        <f>(VLOOKUP(Table4[[#This Row],[item_sold]],Table1[],4,FALSE))*Table4[[#This Row],[qty]]</f>
        <v>48.333333333333336</v>
      </c>
      <c r="G4884">
        <f t="shared" si="682"/>
        <v>16.666666666666664</v>
      </c>
      <c r="H4884" t="s">
        <v>247</v>
      </c>
      <c r="J4884" t="s">
        <v>404</v>
      </c>
      <c r="K4884">
        <v>810</v>
      </c>
      <c r="L4884" t="s">
        <v>361</v>
      </c>
    </row>
    <row r="4885" spans="1:12" x14ac:dyDescent="0.25">
      <c r="A4885" s="1">
        <f t="shared" si="683"/>
        <v>45562</v>
      </c>
      <c r="B4885" s="31">
        <f>TIME(20,10,0)</f>
        <v>0.84027777777777779</v>
      </c>
      <c r="C4885" t="str">
        <f>'Inventory as of 12th Aug 2024'!A153</f>
        <v>mosquito stick</v>
      </c>
      <c r="D4885">
        <v>2</v>
      </c>
      <c r="E4885" s="5">
        <f>Table4[[#This Row],[qty]]*(VLOOKUP(Table4[[#This Row],[item_sold]],Table1[],5,FALSE))</f>
        <v>20</v>
      </c>
      <c r="F4885" s="5">
        <f>(VLOOKUP(Table4[[#This Row],[item_sold]],Table1[],4,FALSE))*Table4[[#This Row],[qty]]</f>
        <v>18</v>
      </c>
      <c r="G4885">
        <f t="shared" si="682"/>
        <v>2</v>
      </c>
      <c r="H4885" t="s">
        <v>361</v>
      </c>
    </row>
    <row r="4886" spans="1:12" x14ac:dyDescent="0.25">
      <c r="A4886" s="1">
        <f>DATE(2024,9,28)</f>
        <v>45563</v>
      </c>
      <c r="B4886" s="31">
        <f>TIME(7,15,0)</f>
        <v>0.30208333333333331</v>
      </c>
      <c r="C4886" t="str">
        <f>'Inventory as of 12th Aug 2024'!A37</f>
        <v>Festive Bread 400g</v>
      </c>
      <c r="D4886">
        <v>1</v>
      </c>
      <c r="E4886" s="5">
        <f>Table4[[#This Row],[qty]]*(VLOOKUP(Table4[[#This Row],[item_sold]],Table1[],5,FALSE))</f>
        <v>65</v>
      </c>
      <c r="F4886" s="5">
        <f>(VLOOKUP(Table4[[#This Row],[item_sold]],Table1[],4,FALSE))*Table4[[#This Row],[qty]]</f>
        <v>60</v>
      </c>
      <c r="G4886">
        <f t="shared" si="682"/>
        <v>5</v>
      </c>
      <c r="H4886" t="s">
        <v>430</v>
      </c>
      <c r="I4886" t="s">
        <v>392</v>
      </c>
    </row>
    <row r="4887" spans="1:12" x14ac:dyDescent="0.25">
      <c r="A4887" s="1">
        <f t="shared" ref="A4887:A4950" si="691">DATE(2024,9,28)</f>
        <v>45563</v>
      </c>
      <c r="B4887" s="31">
        <f t="shared" ref="B4887:B4888" si="692">TIME(7,15,0)</f>
        <v>0.30208333333333331</v>
      </c>
      <c r="C4887" t="str">
        <f>'Inventory as of 12th Aug 2024'!A9</f>
        <v>Kinangop Fresh Milk 500ml</v>
      </c>
      <c r="D4887">
        <v>1</v>
      </c>
      <c r="E4887" s="5">
        <f>Table4[[#This Row],[qty]]*(VLOOKUP(Table4[[#This Row],[item_sold]],Table1[],5,FALSE))</f>
        <v>60</v>
      </c>
      <c r="F4887" s="5">
        <f>(VLOOKUP(Table4[[#This Row],[item_sold]],Table1[],4,FALSE))*Table4[[#This Row],[qty]]</f>
        <v>55</v>
      </c>
      <c r="G4887">
        <f t="shared" si="682"/>
        <v>5</v>
      </c>
      <c r="H4887" t="s">
        <v>361</v>
      </c>
    </row>
    <row r="4888" spans="1:12" x14ac:dyDescent="0.25">
      <c r="A4888" s="1">
        <f t="shared" si="691"/>
        <v>45563</v>
      </c>
      <c r="B4888" s="31">
        <f t="shared" si="692"/>
        <v>0.30208333333333331</v>
      </c>
      <c r="C4888" t="str">
        <f>'Inventory as of 12th Aug 2024'!A37</f>
        <v>Festive Bread 400g</v>
      </c>
      <c r="D4888">
        <v>1</v>
      </c>
      <c r="E4888" s="5">
        <f>Table4[[#This Row],[qty]]*(VLOOKUP(Table4[[#This Row],[item_sold]],Table1[],5,FALSE))</f>
        <v>65</v>
      </c>
      <c r="F4888" s="5">
        <f>(VLOOKUP(Table4[[#This Row],[item_sold]],Table1[],4,FALSE))*Table4[[#This Row],[qty]]</f>
        <v>60</v>
      </c>
      <c r="G4888">
        <f t="shared" si="682"/>
        <v>5</v>
      </c>
      <c r="H4888" t="s">
        <v>361</v>
      </c>
    </row>
    <row r="4889" spans="1:12" x14ac:dyDescent="0.25">
      <c r="A4889" s="1">
        <f t="shared" si="691"/>
        <v>45563</v>
      </c>
      <c r="B4889" s="31">
        <f>TIME(8,20,0)</f>
        <v>0.34722222222222227</v>
      </c>
      <c r="C4889" t="str">
        <f>'Inventory as of 12th Aug 2024'!A16</f>
        <v>Mt kenya milk 500ml</v>
      </c>
      <c r="D4889">
        <v>2</v>
      </c>
      <c r="E4889" s="5">
        <f>Table4[[#This Row],[qty]]*(VLOOKUP(Table4[[#This Row],[item_sold]],Table1[],5,FALSE))</f>
        <v>130</v>
      </c>
      <c r="F4889" s="5">
        <f>(VLOOKUP(Table4[[#This Row],[item_sold]],Table1[],4,FALSE))*Table4[[#This Row],[qty]]</f>
        <v>96.666666666666671</v>
      </c>
      <c r="G4889">
        <f t="shared" si="682"/>
        <v>33.333333333333329</v>
      </c>
      <c r="H4889" t="s">
        <v>247</v>
      </c>
    </row>
    <row r="4890" spans="1:12" x14ac:dyDescent="0.25">
      <c r="A4890" s="1">
        <f t="shared" si="691"/>
        <v>45563</v>
      </c>
      <c r="B4890" s="31">
        <f t="shared" ref="B4890:B4891" si="693">TIME(8,20,0)</f>
        <v>0.34722222222222227</v>
      </c>
      <c r="C4890" t="str">
        <f>'Inventory as of 12th Aug 2024'!A37</f>
        <v>Festive Bread 400g</v>
      </c>
      <c r="D4890">
        <v>1</v>
      </c>
      <c r="E4890" s="5">
        <f>Table4[[#This Row],[qty]]*(VLOOKUP(Table4[[#This Row],[item_sold]],Table1[],5,FALSE))</f>
        <v>65</v>
      </c>
      <c r="F4890" s="5">
        <f>(VLOOKUP(Table4[[#This Row],[item_sold]],Table1[],4,FALSE))*Table4[[#This Row],[qty]]</f>
        <v>60</v>
      </c>
      <c r="G4890">
        <f t="shared" si="682"/>
        <v>5</v>
      </c>
      <c r="H4890" t="s">
        <v>247</v>
      </c>
    </row>
    <row r="4891" spans="1:12" x14ac:dyDescent="0.25">
      <c r="A4891" s="1">
        <f t="shared" si="691"/>
        <v>45563</v>
      </c>
      <c r="B4891" s="31">
        <f t="shared" si="693"/>
        <v>0.34722222222222227</v>
      </c>
      <c r="C4891" t="str">
        <f>'Inventory as of 12th Aug 2024'!A233</f>
        <v>Lollipop</v>
      </c>
      <c r="D4891">
        <v>1</v>
      </c>
      <c r="E4891" s="5">
        <f>Table4[[#This Row],[qty]]*(VLOOKUP(Table4[[#This Row],[item_sold]],Table1[],5,FALSE))</f>
        <v>5</v>
      </c>
      <c r="F4891" s="5">
        <f>(VLOOKUP(Table4[[#This Row],[item_sold]],Table1[],4,FALSE))*Table4[[#This Row],[qty]]</f>
        <v>2.4</v>
      </c>
      <c r="G4891">
        <f t="shared" si="682"/>
        <v>2.6</v>
      </c>
      <c r="H4891" t="s">
        <v>247</v>
      </c>
    </row>
    <row r="4892" spans="1:12" x14ac:dyDescent="0.25">
      <c r="A4892" s="1">
        <f t="shared" si="691"/>
        <v>45563</v>
      </c>
      <c r="B4892" s="31">
        <f>TIME(8,21,0)</f>
        <v>0.34791666666666665</v>
      </c>
      <c r="C4892" t="str">
        <f>'Inventory as of 12th Aug 2024'!A133</f>
        <v>Medium Colgate Toothbrush</v>
      </c>
      <c r="D4892">
        <v>1</v>
      </c>
      <c r="E4892" s="5">
        <f>Table4[[#This Row],[qty]]*(VLOOKUP(Table4[[#This Row],[item_sold]],Table1[],5,FALSE))</f>
        <v>40</v>
      </c>
      <c r="F4892" s="5">
        <f>(VLOOKUP(Table4[[#This Row],[item_sold]],Table1[],4,FALSE))*Table4[[#This Row],[qty]]</f>
        <v>25</v>
      </c>
      <c r="G4892">
        <f t="shared" si="682"/>
        <v>15</v>
      </c>
      <c r="H4892" t="s">
        <v>247</v>
      </c>
    </row>
    <row r="4893" spans="1:12" x14ac:dyDescent="0.25">
      <c r="A4893" s="1">
        <f t="shared" si="691"/>
        <v>45563</v>
      </c>
      <c r="B4893" s="31">
        <f>TIME(8,33,0)</f>
        <v>0.35625000000000001</v>
      </c>
      <c r="C4893" t="str">
        <f>'Inventory as of 12th Aug 2024'!A33</f>
        <v>BB Bread 400g</v>
      </c>
      <c r="D4893">
        <v>1</v>
      </c>
      <c r="E4893" s="5">
        <f>Table4[[#This Row],[qty]]*(VLOOKUP(Table4[[#This Row],[item_sold]],Table1[],5,FALSE))</f>
        <v>65</v>
      </c>
      <c r="F4893" s="5">
        <f>(VLOOKUP(Table4[[#This Row],[item_sold]],Table1[],4,FALSE))*Table4[[#This Row],[qty]]</f>
        <v>60</v>
      </c>
      <c r="G4893">
        <f t="shared" si="682"/>
        <v>5</v>
      </c>
      <c r="H4893" t="s">
        <v>361</v>
      </c>
    </row>
    <row r="4894" spans="1:12" x14ac:dyDescent="0.25">
      <c r="A4894" s="1">
        <f t="shared" si="691"/>
        <v>45563</v>
      </c>
      <c r="B4894" s="31">
        <f t="shared" ref="B4894" si="694">TIME(8,33,0)</f>
        <v>0.35625000000000001</v>
      </c>
      <c r="C4894" t="str">
        <f>'Inventory as of 12th Aug 2024'!A191</f>
        <v>Nuvita Bisquit</v>
      </c>
      <c r="D4894">
        <v>1</v>
      </c>
      <c r="E4894" s="5">
        <f>Table4[[#This Row],[qty]]*(VLOOKUP(Table4[[#This Row],[item_sold]],Table1[],5,FALSE))</f>
        <v>5</v>
      </c>
      <c r="F4894" s="5">
        <f>(VLOOKUP(Table4[[#This Row],[item_sold]],Table1[],4,FALSE))*Table4[[#This Row],[qty]]</f>
        <v>4.166666666666667</v>
      </c>
      <c r="G4894">
        <f t="shared" si="682"/>
        <v>0.83333333333333304</v>
      </c>
      <c r="H4894" t="s">
        <v>361</v>
      </c>
    </row>
    <row r="4895" spans="1:12" x14ac:dyDescent="0.25">
      <c r="A4895" s="1">
        <f t="shared" si="691"/>
        <v>45563</v>
      </c>
      <c r="B4895" s="31">
        <f>TIME(8,46,0)</f>
        <v>0.36527777777777781</v>
      </c>
      <c r="C4895" t="str">
        <f>'Inventory as of 12th Aug 2024'!A58</f>
        <v>Safari</v>
      </c>
      <c r="D4895">
        <v>1</v>
      </c>
      <c r="E4895" s="5">
        <f>Table4[[#This Row],[qty]]*(VLOOKUP(Table4[[#This Row],[item_sold]],Table1[],5,FALSE))</f>
        <v>15</v>
      </c>
      <c r="F4895" s="5">
        <f>(VLOOKUP(Table4[[#This Row],[item_sold]],Table1[],4,FALSE))*Table4[[#This Row],[qty]]</f>
        <v>8.5</v>
      </c>
      <c r="G4895">
        <f t="shared" si="682"/>
        <v>6.5</v>
      </c>
      <c r="H4895" t="s">
        <v>247</v>
      </c>
    </row>
    <row r="4896" spans="1:12" x14ac:dyDescent="0.25">
      <c r="A4896" s="1">
        <f t="shared" si="691"/>
        <v>45563</v>
      </c>
      <c r="B4896" s="31">
        <f t="shared" ref="B4896:B4898" si="695">TIME(8,46,0)</f>
        <v>0.36527777777777781</v>
      </c>
      <c r="C4896" t="str">
        <f>'Inventory as of 12th Aug 2024'!A58</f>
        <v>Safari</v>
      </c>
      <c r="D4896">
        <v>1</v>
      </c>
      <c r="E4896" s="5">
        <f>Table4[[#This Row],[qty]]*(VLOOKUP(Table4[[#This Row],[item_sold]],Table1[],5,FALSE))</f>
        <v>15</v>
      </c>
      <c r="F4896" s="5">
        <f>(VLOOKUP(Table4[[#This Row],[item_sold]],Table1[],4,FALSE))*Table4[[#This Row],[qty]]</f>
        <v>8.5</v>
      </c>
      <c r="G4896">
        <f t="shared" si="682"/>
        <v>6.5</v>
      </c>
      <c r="H4896" t="s">
        <v>247</v>
      </c>
    </row>
    <row r="4897" spans="1:9" x14ac:dyDescent="0.25">
      <c r="A4897" s="1">
        <f t="shared" si="691"/>
        <v>45563</v>
      </c>
      <c r="B4897" s="31">
        <f t="shared" si="695"/>
        <v>0.36527777777777781</v>
      </c>
      <c r="C4897" t="str">
        <f>'Inventory as of 12th Aug 2024'!A193</f>
        <v>Ginger Bisquit</v>
      </c>
      <c r="D4897">
        <v>1</v>
      </c>
      <c r="E4897" s="5">
        <f>Table4[[#This Row],[qty]]*(VLOOKUP(Table4[[#This Row],[item_sold]],Table1[],5,FALSE))</f>
        <v>5</v>
      </c>
      <c r="F4897" s="5">
        <f>(VLOOKUP(Table4[[#This Row],[item_sold]],Table1[],4,FALSE))*Table4[[#This Row],[qty]]</f>
        <v>4.333333333333333</v>
      </c>
      <c r="G4897">
        <f t="shared" si="682"/>
        <v>0.66666666666666696</v>
      </c>
      <c r="H4897" t="s">
        <v>247</v>
      </c>
    </row>
    <row r="4898" spans="1:9" x14ac:dyDescent="0.25">
      <c r="A4898" s="1">
        <f t="shared" si="691"/>
        <v>45563</v>
      </c>
      <c r="B4898" s="31">
        <f t="shared" si="695"/>
        <v>0.36527777777777781</v>
      </c>
      <c r="C4898" t="str">
        <f>'Inventory as of 12th Aug 2024'!A37</f>
        <v>Festive Bread 400g</v>
      </c>
      <c r="D4898">
        <v>1</v>
      </c>
      <c r="E4898" s="5">
        <f>Table4[[#This Row],[qty]]*(VLOOKUP(Table4[[#This Row],[item_sold]],Table1[],5,FALSE))</f>
        <v>65</v>
      </c>
      <c r="F4898" s="5">
        <f>(VLOOKUP(Table4[[#This Row],[item_sold]],Table1[],4,FALSE))*Table4[[#This Row],[qty]]</f>
        <v>60</v>
      </c>
      <c r="G4898">
        <f t="shared" si="682"/>
        <v>5</v>
      </c>
      <c r="H4898" t="s">
        <v>430</v>
      </c>
      <c r="I4898" t="s">
        <v>391</v>
      </c>
    </row>
    <row r="4899" spans="1:9" x14ac:dyDescent="0.25">
      <c r="A4899" s="1">
        <f t="shared" si="691"/>
        <v>45563</v>
      </c>
      <c r="B4899" s="31">
        <f>TIME(9,2,0)</f>
        <v>0.37638888888888888</v>
      </c>
      <c r="C4899" t="str">
        <f>'Inventory as of 12th Aug 2024'!A57</f>
        <v>Sportsman</v>
      </c>
      <c r="D4899">
        <v>1</v>
      </c>
      <c r="E4899" s="5">
        <f>Table4[[#This Row],[qty]]*(VLOOKUP(Table4[[#This Row],[item_sold]],Table1[],5,FALSE))</f>
        <v>20</v>
      </c>
      <c r="F4899" s="5">
        <f>(VLOOKUP(Table4[[#This Row],[item_sold]],Table1[],4,FALSE))*Table4[[#This Row],[qty]]</f>
        <v>13</v>
      </c>
      <c r="G4899">
        <f t="shared" si="682"/>
        <v>7</v>
      </c>
      <c r="H4899" t="s">
        <v>247</v>
      </c>
    </row>
    <row r="4900" spans="1:9" x14ac:dyDescent="0.25">
      <c r="A4900" s="1">
        <f t="shared" si="691"/>
        <v>45563</v>
      </c>
      <c r="B4900" s="31">
        <f>TIME(9,6,0)</f>
        <v>0.37916666666666665</v>
      </c>
      <c r="C4900" t="str">
        <f>'Inventory as of 12th Aug 2024'!A5</f>
        <v>Airtel 20 Credit</v>
      </c>
      <c r="D4900">
        <v>1</v>
      </c>
      <c r="E4900" s="5">
        <f>Table4[[#This Row],[qty]]*(VLOOKUP(Table4[[#This Row],[item_sold]],Table1[],5,FALSE))</f>
        <v>20</v>
      </c>
      <c r="F4900" s="5">
        <f>(VLOOKUP(Table4[[#This Row],[item_sold]],Table1[],4,FALSE))*Table4[[#This Row],[qty]]</f>
        <v>18</v>
      </c>
      <c r="G4900">
        <f t="shared" si="682"/>
        <v>2</v>
      </c>
      <c r="H4900" t="s">
        <v>247</v>
      </c>
    </row>
    <row r="4901" spans="1:9" x14ac:dyDescent="0.25">
      <c r="A4901" s="1">
        <f t="shared" si="691"/>
        <v>45563</v>
      </c>
      <c r="B4901" s="31">
        <f t="shared" ref="B4901" si="696">TIME(9,6,0)</f>
        <v>0.37916666666666665</v>
      </c>
      <c r="C4901" t="str">
        <f>'Inventory as of 12th Aug 2024'!A138</f>
        <v>Softcare pads</v>
      </c>
      <c r="D4901">
        <v>1</v>
      </c>
      <c r="E4901" s="5">
        <f>Table4[[#This Row],[qty]]*(VLOOKUP(Table4[[#This Row],[item_sold]],Table1[],5,FALSE))</f>
        <v>85</v>
      </c>
      <c r="F4901" s="5">
        <f>(VLOOKUP(Table4[[#This Row],[item_sold]],Table1[],4,FALSE))*Table4[[#This Row],[qty]]</f>
        <v>66</v>
      </c>
      <c r="G4901">
        <f t="shared" si="682"/>
        <v>19</v>
      </c>
      <c r="H4901" t="s">
        <v>361</v>
      </c>
    </row>
    <row r="4902" spans="1:9" x14ac:dyDescent="0.25">
      <c r="A4902" s="1">
        <f t="shared" si="691"/>
        <v>45563</v>
      </c>
      <c r="B4902" s="31">
        <f>TIME(9,17,0)</f>
        <v>0.38680555555555557</v>
      </c>
      <c r="C4902" t="str">
        <f>'Inventory as of 12th Aug 2024'!A45</f>
        <v>Ajab 1kg</v>
      </c>
      <c r="D4902">
        <v>1</v>
      </c>
      <c r="E4902" s="5">
        <f>Table4[[#This Row],[qty]]*(VLOOKUP(Table4[[#This Row],[item_sold]],Table1[],5,FALSE))</f>
        <v>120</v>
      </c>
      <c r="F4902" s="5">
        <f>(VLOOKUP(Table4[[#This Row],[item_sold]],Table1[],4,FALSE))*Table4[[#This Row],[qty]]</f>
        <v>87.5</v>
      </c>
      <c r="G4902">
        <f t="shared" si="682"/>
        <v>32.5</v>
      </c>
      <c r="H4902" t="s">
        <v>361</v>
      </c>
    </row>
    <row r="4903" spans="1:9" x14ac:dyDescent="0.25">
      <c r="A4903" s="1">
        <f t="shared" si="691"/>
        <v>45563</v>
      </c>
      <c r="B4903" s="31">
        <f t="shared" ref="B4903:B4904" si="697">TIME(9,17,0)</f>
        <v>0.38680555555555557</v>
      </c>
      <c r="C4903" t="str">
        <f>'Inventory as of 12th Aug 2024'!A195</f>
        <v>Ring Cake</v>
      </c>
      <c r="D4903">
        <v>1</v>
      </c>
      <c r="E4903" s="5">
        <f>Table4[[#This Row],[qty]]*(VLOOKUP(Table4[[#This Row],[item_sold]],Table1[],5,FALSE))</f>
        <v>50</v>
      </c>
      <c r="F4903" s="5">
        <f>(VLOOKUP(Table4[[#This Row],[item_sold]],Table1[],4,FALSE))*Table4[[#This Row],[qty]]</f>
        <v>45</v>
      </c>
      <c r="G4903">
        <f t="shared" si="682"/>
        <v>5</v>
      </c>
      <c r="H4903" t="s">
        <v>247</v>
      </c>
    </row>
    <row r="4904" spans="1:9" x14ac:dyDescent="0.25">
      <c r="A4904" s="1">
        <f t="shared" si="691"/>
        <v>45563</v>
      </c>
      <c r="B4904" s="31">
        <f t="shared" si="697"/>
        <v>0.38680555555555557</v>
      </c>
      <c r="C4904" t="str">
        <f>'Inventory as of 12th Aug 2024'!A16</f>
        <v>Mt kenya milk 500ml</v>
      </c>
      <c r="D4904">
        <v>2</v>
      </c>
      <c r="E4904" s="5">
        <f>Table4[[#This Row],[qty]]*(VLOOKUP(Table4[[#This Row],[item_sold]],Table1[],5,FALSE))</f>
        <v>130</v>
      </c>
      <c r="F4904" s="5">
        <f>(VLOOKUP(Table4[[#This Row],[item_sold]],Table1[],4,FALSE))*Table4[[#This Row],[qty]]</f>
        <v>96.666666666666671</v>
      </c>
      <c r="G4904">
        <f t="shared" si="682"/>
        <v>33.333333333333329</v>
      </c>
      <c r="H4904" s="25"/>
      <c r="I4904" t="s">
        <v>451</v>
      </c>
    </row>
    <row r="4905" spans="1:9" x14ac:dyDescent="0.25">
      <c r="A4905" s="1">
        <f t="shared" si="691"/>
        <v>45563</v>
      </c>
      <c r="B4905" s="31">
        <f>TIME(9,33,0)</f>
        <v>0.3979166666666667</v>
      </c>
      <c r="C4905" t="str">
        <f>'Inventory as of 12th Aug 2024'!A10</f>
        <v>Mt Kenya milk 200ml</v>
      </c>
      <c r="D4905">
        <v>1</v>
      </c>
      <c r="E4905" s="5">
        <f>Table4[[#This Row],[qty]]*(VLOOKUP(Table4[[#This Row],[item_sold]],Table1[],5,FALSE))</f>
        <v>35</v>
      </c>
      <c r="F4905" s="5">
        <f>(VLOOKUP(Table4[[#This Row],[item_sold]],Table1[],4,FALSE))*Table4[[#This Row],[qty]]</f>
        <v>24.285714285714285</v>
      </c>
      <c r="G4905">
        <f t="shared" si="682"/>
        <v>10.714285714285715</v>
      </c>
      <c r="H4905" t="s">
        <v>247</v>
      </c>
    </row>
    <row r="4906" spans="1:9" x14ac:dyDescent="0.25">
      <c r="A4906" s="1">
        <f t="shared" si="691"/>
        <v>45563</v>
      </c>
      <c r="B4906" s="31">
        <f>TIME(9,49,0)</f>
        <v>0.40902777777777777</v>
      </c>
      <c r="C4906" t="str">
        <f>'Inventory as of 12th Aug 2024'!A191</f>
        <v>Nuvita Bisquit</v>
      </c>
      <c r="D4906">
        <v>3</v>
      </c>
      <c r="E4906" s="5">
        <f>Table4[[#This Row],[qty]]*(VLOOKUP(Table4[[#This Row],[item_sold]],Table1[],5,FALSE))</f>
        <v>15</v>
      </c>
      <c r="F4906" s="5">
        <f>(VLOOKUP(Table4[[#This Row],[item_sold]],Table1[],4,FALSE))*Table4[[#This Row],[qty]]</f>
        <v>12.5</v>
      </c>
      <c r="G4906">
        <f t="shared" si="682"/>
        <v>2.5</v>
      </c>
      <c r="H4906" t="s">
        <v>247</v>
      </c>
    </row>
    <row r="4907" spans="1:9" x14ac:dyDescent="0.25">
      <c r="A4907" s="1">
        <f t="shared" si="691"/>
        <v>45563</v>
      </c>
      <c r="B4907" s="31">
        <f t="shared" ref="B4907:B4908" si="698">TIME(9,49,0)</f>
        <v>0.40902777777777777</v>
      </c>
      <c r="C4907" t="str">
        <f>'Inventory as of 12th Aug 2024'!A10</f>
        <v>Mt Kenya milk 200ml</v>
      </c>
      <c r="D4907">
        <v>1</v>
      </c>
      <c r="E4907" s="5">
        <f>Table4[[#This Row],[qty]]*(VLOOKUP(Table4[[#This Row],[item_sold]],Table1[],5,FALSE))</f>
        <v>35</v>
      </c>
      <c r="F4907" s="5">
        <f>(VLOOKUP(Table4[[#This Row],[item_sold]],Table1[],4,FALSE))*Table4[[#This Row],[qty]]</f>
        <v>24.285714285714285</v>
      </c>
      <c r="G4907">
        <f t="shared" si="682"/>
        <v>10.714285714285715</v>
      </c>
      <c r="H4907" s="25" t="s">
        <v>361</v>
      </c>
    </row>
    <row r="4908" spans="1:9" x14ac:dyDescent="0.25">
      <c r="A4908" s="1">
        <f t="shared" si="691"/>
        <v>45563</v>
      </c>
      <c r="B4908" s="31">
        <f t="shared" si="698"/>
        <v>0.40902777777777777</v>
      </c>
      <c r="C4908" t="str">
        <f>'Inventory as of 12th Aug 2024'!A261</f>
        <v>Black Tape</v>
      </c>
      <c r="D4908">
        <v>1</v>
      </c>
      <c r="E4908" s="5">
        <f>Table4[[#This Row],[qty]]*(VLOOKUP(Table4[[#This Row],[item_sold]],Table1[],5,FALSE))</f>
        <v>50</v>
      </c>
      <c r="F4908" s="5">
        <f>(VLOOKUP(Table4[[#This Row],[item_sold]],Table1[],4,FALSE))*Table4[[#This Row],[qty]]</f>
        <v>28</v>
      </c>
      <c r="G4908">
        <f t="shared" si="682"/>
        <v>22</v>
      </c>
      <c r="H4908" t="s">
        <v>247</v>
      </c>
    </row>
    <row r="4909" spans="1:9" x14ac:dyDescent="0.25">
      <c r="A4909" s="1">
        <f t="shared" si="691"/>
        <v>45563</v>
      </c>
      <c r="B4909" s="31">
        <f>TIME(10,19,0)</f>
        <v>0.42986111111111108</v>
      </c>
      <c r="C4909" t="str">
        <f>'Inventory as of 12th Aug 2024'!A16</f>
        <v>Mt kenya milk 500ml</v>
      </c>
      <c r="D4909">
        <v>2</v>
      </c>
      <c r="E4909" s="5">
        <f>Table4[[#This Row],[qty]]*(VLOOKUP(Table4[[#This Row],[item_sold]],Table1[],5,FALSE))</f>
        <v>130</v>
      </c>
      <c r="F4909" s="5">
        <f>(VLOOKUP(Table4[[#This Row],[item_sold]],Table1[],4,FALSE))*Table4[[#This Row],[qty]]</f>
        <v>96.666666666666671</v>
      </c>
      <c r="G4909">
        <f t="shared" si="682"/>
        <v>33.333333333333329</v>
      </c>
      <c r="H4909" t="s">
        <v>247</v>
      </c>
    </row>
    <row r="4910" spans="1:9" x14ac:dyDescent="0.25">
      <c r="A4910" s="1">
        <f t="shared" si="691"/>
        <v>45563</v>
      </c>
      <c r="B4910" s="31">
        <f t="shared" ref="B4910:B4913" si="699">TIME(10,19,0)</f>
        <v>0.42986111111111108</v>
      </c>
      <c r="C4910" t="str">
        <f>'Inventory as of 12th Aug 2024'!A179</f>
        <v>Bitez</v>
      </c>
      <c r="D4910">
        <v>3</v>
      </c>
      <c r="E4910" s="5">
        <f>Table4[[#This Row],[qty]]*(VLOOKUP(Table4[[#This Row],[item_sold]],Table1[],5,FALSE))</f>
        <v>45</v>
      </c>
      <c r="F4910" s="5">
        <f>(VLOOKUP(Table4[[#This Row],[item_sold]],Table1[],4,FALSE))*Table4[[#This Row],[qty]]</f>
        <v>26.400000000000002</v>
      </c>
      <c r="G4910">
        <f t="shared" si="682"/>
        <v>18.599999999999998</v>
      </c>
      <c r="H4910" t="s">
        <v>247</v>
      </c>
    </row>
    <row r="4911" spans="1:9" x14ac:dyDescent="0.25">
      <c r="A4911" s="1">
        <f t="shared" si="691"/>
        <v>45563</v>
      </c>
      <c r="B4911" s="31">
        <f t="shared" si="699"/>
        <v>0.42986111111111108</v>
      </c>
      <c r="C4911" t="str">
        <f>'Inventory as of 12th Aug 2024'!A242</f>
        <v>Icepop</v>
      </c>
      <c r="D4911">
        <v>1</v>
      </c>
      <c r="E4911" s="5">
        <f>Table4[[#This Row],[qty]]*(VLOOKUP(Table4[[#This Row],[item_sold]],Table1[],5,FALSE))</f>
        <v>15</v>
      </c>
      <c r="F4911" s="5">
        <f>(VLOOKUP(Table4[[#This Row],[item_sold]],Table1[],4,FALSE))*Table4[[#This Row],[qty]]</f>
        <v>7.5</v>
      </c>
      <c r="G4911">
        <f t="shared" si="682"/>
        <v>7.5</v>
      </c>
      <c r="H4911" t="s">
        <v>247</v>
      </c>
    </row>
    <row r="4912" spans="1:9" x14ac:dyDescent="0.25">
      <c r="A4912" s="1">
        <f t="shared" si="691"/>
        <v>45563</v>
      </c>
      <c r="B4912" s="31">
        <f t="shared" si="699"/>
        <v>0.42986111111111108</v>
      </c>
      <c r="C4912" t="str">
        <f>'Inventory as of 12th Aug 2024'!A233</f>
        <v>Lollipop</v>
      </c>
      <c r="D4912">
        <v>1</v>
      </c>
      <c r="E4912" s="5">
        <f>Table4[[#This Row],[qty]]*(VLOOKUP(Table4[[#This Row],[item_sold]],Table1[],5,FALSE))</f>
        <v>5</v>
      </c>
      <c r="F4912" s="5">
        <f>(VLOOKUP(Table4[[#This Row],[item_sold]],Table1[],4,FALSE))*Table4[[#This Row],[qty]]</f>
        <v>2.4</v>
      </c>
      <c r="G4912">
        <f t="shared" ref="G4912:G4947" si="700">E4912-F4912</f>
        <v>2.6</v>
      </c>
      <c r="H4912" t="s">
        <v>247</v>
      </c>
    </row>
    <row r="4913" spans="1:9" x14ac:dyDescent="0.25">
      <c r="A4913" s="1">
        <f t="shared" si="691"/>
        <v>45563</v>
      </c>
      <c r="B4913" s="31">
        <f t="shared" si="699"/>
        <v>0.42986111111111108</v>
      </c>
      <c r="C4913" t="str">
        <f>'Inventory as of 12th Aug 2024'!A4</f>
        <v>Safaricom 50 Credit</v>
      </c>
      <c r="D4913">
        <v>1</v>
      </c>
      <c r="E4913" s="5">
        <f>Table4[[#This Row],[qty]]*(VLOOKUP(Table4[[#This Row],[item_sold]],Table1[],5,FALSE))</f>
        <v>50</v>
      </c>
      <c r="F4913" s="5">
        <f>(VLOOKUP(Table4[[#This Row],[item_sold]],Table1[],4,FALSE))*Table4[[#This Row],[qty]]</f>
        <v>47</v>
      </c>
      <c r="G4913">
        <f t="shared" si="700"/>
        <v>3</v>
      </c>
      <c r="H4913" t="s">
        <v>247</v>
      </c>
    </row>
    <row r="4914" spans="1:9" x14ac:dyDescent="0.25">
      <c r="A4914" s="1">
        <f t="shared" si="691"/>
        <v>45563</v>
      </c>
      <c r="B4914" s="31">
        <f>TIME(10,22,0)</f>
        <v>0.43194444444444446</v>
      </c>
      <c r="C4914" t="str">
        <f>'Inventory as of 12th Aug 2024'!A35</f>
        <v>Festive 600g</v>
      </c>
      <c r="D4914">
        <v>1</v>
      </c>
      <c r="E4914" s="5">
        <f>Table4[[#This Row],[qty]]*(VLOOKUP(Table4[[#This Row],[item_sold]],Table1[],5,FALSE))</f>
        <v>100</v>
      </c>
      <c r="F4914" s="5">
        <f>(VLOOKUP(Table4[[#This Row],[item_sold]],Table1[],4,FALSE))*Table4[[#This Row],[qty]]</f>
        <v>90</v>
      </c>
      <c r="G4914">
        <f t="shared" si="700"/>
        <v>10</v>
      </c>
      <c r="H4914" t="s">
        <v>361</v>
      </c>
    </row>
    <row r="4915" spans="1:9" x14ac:dyDescent="0.25">
      <c r="A4915" s="1">
        <f t="shared" si="691"/>
        <v>45563</v>
      </c>
      <c r="B4915" s="31">
        <f>TIME(11,9,0)</f>
        <v>0.46458333333333335</v>
      </c>
      <c r="C4915" t="str">
        <f>'Inventory as of 12th Aug 2024'!A10</f>
        <v>Mt Kenya milk 200ml</v>
      </c>
      <c r="D4915">
        <v>1</v>
      </c>
      <c r="E4915" s="5">
        <f>Table4[[#This Row],[qty]]*(VLOOKUP(Table4[[#This Row],[item_sold]],Table1[],5,FALSE))</f>
        <v>35</v>
      </c>
      <c r="F4915" s="5">
        <f>(VLOOKUP(Table4[[#This Row],[item_sold]],Table1[],4,FALSE))*Table4[[#This Row],[qty]]</f>
        <v>24.285714285714285</v>
      </c>
      <c r="G4915">
        <f t="shared" si="700"/>
        <v>10.714285714285715</v>
      </c>
      <c r="H4915" t="s">
        <v>361</v>
      </c>
    </row>
    <row r="4916" spans="1:9" x14ac:dyDescent="0.25">
      <c r="A4916" s="1">
        <f t="shared" si="691"/>
        <v>45563</v>
      </c>
      <c r="B4916" s="31">
        <f t="shared" ref="B4916" si="701">TIME(11,9,0)</f>
        <v>0.46458333333333335</v>
      </c>
      <c r="C4916" t="str">
        <f>'Inventory as of 12th Aug 2024'!A92</f>
        <v>Banana</v>
      </c>
      <c r="D4916">
        <v>2</v>
      </c>
      <c r="E4916" s="5">
        <f>Table4[[#This Row],[qty]]*(VLOOKUP(Table4[[#This Row],[item_sold]],Table1[],5,FALSE))</f>
        <v>20</v>
      </c>
      <c r="F4916" s="5">
        <f>(VLOOKUP(Table4[[#This Row],[item_sold]],Table1[],4,FALSE))*Table4[[#This Row],[qty]]</f>
        <v>16.666666666666668</v>
      </c>
      <c r="G4916">
        <f t="shared" si="700"/>
        <v>3.3333333333333321</v>
      </c>
      <c r="H4916" t="s">
        <v>361</v>
      </c>
    </row>
    <row r="4917" spans="1:9" x14ac:dyDescent="0.25">
      <c r="A4917" s="1">
        <f t="shared" si="691"/>
        <v>45563</v>
      </c>
      <c r="B4917" s="31">
        <f>TIME(12,11,0)</f>
        <v>0.50763888888888886</v>
      </c>
      <c r="C4917" t="str">
        <f>'Inventory as of 12th Aug 2024'!A58</f>
        <v>Safari</v>
      </c>
      <c r="D4917">
        <v>1</v>
      </c>
      <c r="E4917" s="5">
        <f>Table4[[#This Row],[qty]]*(VLOOKUP(Table4[[#This Row],[item_sold]],Table1[],5,FALSE))</f>
        <v>15</v>
      </c>
      <c r="F4917" s="5">
        <f>(VLOOKUP(Table4[[#This Row],[item_sold]],Table1[],4,FALSE))*Table4[[#This Row],[qty]]</f>
        <v>8.5</v>
      </c>
      <c r="G4917">
        <f t="shared" si="700"/>
        <v>6.5</v>
      </c>
      <c r="H4917" t="s">
        <v>247</v>
      </c>
    </row>
    <row r="4918" spans="1:9" x14ac:dyDescent="0.25">
      <c r="A4918" s="1">
        <f t="shared" si="691"/>
        <v>45563</v>
      </c>
      <c r="B4918" s="31">
        <f t="shared" ref="B4918" si="702">TIME(12,11,0)</f>
        <v>0.50763888888888886</v>
      </c>
      <c r="C4918" t="str">
        <f>'Inventory as of 12th Aug 2024'!A236</f>
        <v>Gomba</v>
      </c>
      <c r="D4918">
        <v>2</v>
      </c>
      <c r="E4918" s="5">
        <f>Table4[[#This Row],[qty]]*(VLOOKUP(Table4[[#This Row],[item_sold]],Table1[],5,FALSE))</f>
        <v>5</v>
      </c>
      <c r="F4918" s="5">
        <f>(VLOOKUP(Table4[[#This Row],[item_sold]],Table1[],4,FALSE))*Table4[[#This Row],[qty]]</f>
        <v>3.6</v>
      </c>
      <c r="G4918">
        <f t="shared" si="700"/>
        <v>1.4</v>
      </c>
      <c r="H4918" t="s">
        <v>247</v>
      </c>
    </row>
    <row r="4919" spans="1:9" x14ac:dyDescent="0.25">
      <c r="A4919" s="1">
        <f t="shared" si="691"/>
        <v>45563</v>
      </c>
      <c r="B4919" s="31">
        <f>TIME(12,50,0)</f>
        <v>0.53472222222222221</v>
      </c>
      <c r="C4919" t="str">
        <f>'Inventory as of 12th Aug 2024'!A213</f>
        <v>soda 500ml glass</v>
      </c>
      <c r="D4919">
        <v>2</v>
      </c>
      <c r="E4919" s="5">
        <f>Table4[[#This Row],[qty]]*(VLOOKUP(Table4[[#This Row],[item_sold]],Table1[],5,FALSE))</f>
        <v>110</v>
      </c>
      <c r="F4919" s="5">
        <f>(VLOOKUP(Table4[[#This Row],[item_sold]],Table1[],4,FALSE))*Table4[[#This Row],[qty]]</f>
        <v>100</v>
      </c>
      <c r="G4919">
        <f t="shared" si="700"/>
        <v>10</v>
      </c>
      <c r="H4919" t="s">
        <v>430</v>
      </c>
      <c r="I4919" t="s">
        <v>386</v>
      </c>
    </row>
    <row r="4920" spans="1:9" x14ac:dyDescent="0.25">
      <c r="A4920" s="1">
        <f t="shared" si="691"/>
        <v>45563</v>
      </c>
      <c r="B4920" s="31">
        <f t="shared" ref="B4920" si="703">TIME(12,50,0)</f>
        <v>0.53472222222222221</v>
      </c>
      <c r="C4920" t="str">
        <f>'Inventory as of 12th Aug 2024'!A256</f>
        <v>Family bisquit</v>
      </c>
      <c r="D4920">
        <v>2</v>
      </c>
      <c r="E4920" s="5">
        <f>Table4[[#This Row],[qty]]*(VLOOKUP(Table4[[#This Row],[item_sold]],Table1[],5,FALSE))</f>
        <v>70</v>
      </c>
      <c r="F4920" s="5">
        <f>(VLOOKUP(Table4[[#This Row],[item_sold]],Table1[],4,FALSE))*Table4[[#This Row],[qty]]</f>
        <v>46.666666666666664</v>
      </c>
      <c r="G4920">
        <f t="shared" si="700"/>
        <v>23.333333333333336</v>
      </c>
      <c r="H4920" t="s">
        <v>430</v>
      </c>
      <c r="I4920" t="s">
        <v>386</v>
      </c>
    </row>
    <row r="4921" spans="1:9" x14ac:dyDescent="0.25">
      <c r="A4921" s="1">
        <f t="shared" si="691"/>
        <v>45563</v>
      </c>
      <c r="B4921" s="31">
        <f>TIME(12,59,0)</f>
        <v>0.54097222222222219</v>
      </c>
      <c r="C4921" t="str">
        <f>'Inventory as of 12th Aug 2024'!A213</f>
        <v>soda 500ml glass</v>
      </c>
      <c r="D4921">
        <v>1</v>
      </c>
      <c r="E4921" s="5">
        <f>Table4[[#This Row],[qty]]*(VLOOKUP(Table4[[#This Row],[item_sold]],Table1[],5,FALSE))</f>
        <v>55</v>
      </c>
      <c r="F4921" s="5">
        <f>(VLOOKUP(Table4[[#This Row],[item_sold]],Table1[],4,FALSE))*Table4[[#This Row],[qty]]</f>
        <v>50</v>
      </c>
      <c r="G4921">
        <f t="shared" si="700"/>
        <v>5</v>
      </c>
      <c r="H4921" t="s">
        <v>430</v>
      </c>
      <c r="I4921" t="s">
        <v>419</v>
      </c>
    </row>
    <row r="4922" spans="1:9" x14ac:dyDescent="0.25">
      <c r="A4922" s="1">
        <f t="shared" si="691"/>
        <v>45563</v>
      </c>
      <c r="B4922" s="31">
        <f>TIME(12,59,0)</f>
        <v>0.54097222222222219</v>
      </c>
      <c r="C4922" t="str">
        <f>'Inventory as of 12th Aug 2024'!A191</f>
        <v>Nuvita Bisquit</v>
      </c>
      <c r="D4922">
        <v>4</v>
      </c>
      <c r="E4922" s="5">
        <f>Table4[[#This Row],[qty]]*(VLOOKUP(Table4[[#This Row],[item_sold]],Table1[],5,FALSE))</f>
        <v>20</v>
      </c>
      <c r="F4922" s="5">
        <f>(VLOOKUP(Table4[[#This Row],[item_sold]],Table1[],4,FALSE))*Table4[[#This Row],[qty]]</f>
        <v>16.666666666666668</v>
      </c>
      <c r="G4922">
        <f t="shared" si="700"/>
        <v>3.3333333333333321</v>
      </c>
      <c r="H4922" t="s">
        <v>430</v>
      </c>
      <c r="I4922" t="s">
        <v>419</v>
      </c>
    </row>
    <row r="4923" spans="1:9" x14ac:dyDescent="0.25">
      <c r="A4923" s="1">
        <f t="shared" si="691"/>
        <v>45563</v>
      </c>
      <c r="B4923" s="31">
        <f>TIME(13,39,0)</f>
        <v>0.56874999999999998</v>
      </c>
      <c r="C4923" t="str">
        <f>'Inventory as of 12th Aug 2024'!A9</f>
        <v>Kinangop Fresh Milk 500ml</v>
      </c>
      <c r="D4923">
        <v>1</v>
      </c>
      <c r="E4923" s="5">
        <f>Table4[[#This Row],[qty]]*(VLOOKUP(Table4[[#This Row],[item_sold]],Table1[],5,FALSE))</f>
        <v>60</v>
      </c>
      <c r="F4923" s="5">
        <f>(VLOOKUP(Table4[[#This Row],[item_sold]],Table1[],4,FALSE))*Table4[[#This Row],[qty]]</f>
        <v>55</v>
      </c>
      <c r="G4923">
        <f t="shared" si="700"/>
        <v>5</v>
      </c>
      <c r="H4923" t="s">
        <v>361</v>
      </c>
    </row>
    <row r="4924" spans="1:9" x14ac:dyDescent="0.25">
      <c r="A4924" s="1">
        <f t="shared" si="691"/>
        <v>45563</v>
      </c>
      <c r="B4924" s="31">
        <f>TIME(13,39,0)</f>
        <v>0.56874999999999998</v>
      </c>
      <c r="C4924" t="str">
        <f>'Inventory as of 12th Aug 2024'!A33</f>
        <v>BB Bread 400g</v>
      </c>
      <c r="D4924">
        <v>1</v>
      </c>
      <c r="E4924" s="5">
        <f>Table4[[#This Row],[qty]]*(VLOOKUP(Table4[[#This Row],[item_sold]],Table1[],5,FALSE))</f>
        <v>65</v>
      </c>
      <c r="F4924" s="5">
        <f>(VLOOKUP(Table4[[#This Row],[item_sold]],Table1[],4,FALSE))*Table4[[#This Row],[qty]]</f>
        <v>60</v>
      </c>
      <c r="G4924">
        <f t="shared" si="700"/>
        <v>5</v>
      </c>
      <c r="H4924" t="s">
        <v>361</v>
      </c>
    </row>
    <row r="4925" spans="1:9" x14ac:dyDescent="0.25">
      <c r="A4925" s="1">
        <f t="shared" si="691"/>
        <v>45563</v>
      </c>
      <c r="B4925" s="31">
        <f>TIME(13,41,0)</f>
        <v>0.57013888888888886</v>
      </c>
      <c r="C4925" t="str">
        <f>'Inventory as of 12th Aug 2024'!A213</f>
        <v>soda 500ml glass</v>
      </c>
      <c r="D4925">
        <v>1</v>
      </c>
      <c r="E4925" s="5">
        <f>Table4[[#This Row],[qty]]*(VLOOKUP(Table4[[#This Row],[item_sold]],Table1[],5,FALSE))</f>
        <v>55</v>
      </c>
      <c r="F4925" s="5">
        <f>(VLOOKUP(Table4[[#This Row],[item_sold]],Table1[],4,FALSE))*Table4[[#This Row],[qty]]</f>
        <v>50</v>
      </c>
      <c r="G4925">
        <f t="shared" si="700"/>
        <v>5</v>
      </c>
      <c r="H4925" t="s">
        <v>361</v>
      </c>
    </row>
    <row r="4926" spans="1:9" x14ac:dyDescent="0.25">
      <c r="A4926" s="1">
        <f t="shared" si="691"/>
        <v>45563</v>
      </c>
      <c r="B4926" s="31">
        <f t="shared" ref="B4926:B4927" si="704">TIME(13,41,0)</f>
        <v>0.57013888888888886</v>
      </c>
      <c r="C4926" t="str">
        <f>'Inventory as of 12th Aug 2024'!A206</f>
        <v>soda 500ml plastic</v>
      </c>
      <c r="D4926">
        <v>1</v>
      </c>
      <c r="E4926" s="5">
        <f>Table4[[#This Row],[qty]]*(VLOOKUP(Table4[[#This Row],[item_sold]],Table1[],5,FALSE))</f>
        <v>70</v>
      </c>
      <c r="F4926" s="5">
        <f>(VLOOKUP(Table4[[#This Row],[item_sold]],Table1[],4,FALSE))*Table4[[#This Row],[qty]]</f>
        <v>60.416666666666664</v>
      </c>
      <c r="G4926">
        <f t="shared" si="700"/>
        <v>9.5833333333333357</v>
      </c>
      <c r="H4926" t="s">
        <v>361</v>
      </c>
    </row>
    <row r="4927" spans="1:9" x14ac:dyDescent="0.25">
      <c r="A4927" s="1">
        <f t="shared" si="691"/>
        <v>45563</v>
      </c>
      <c r="B4927" s="31">
        <f t="shared" si="704"/>
        <v>0.57013888888888886</v>
      </c>
      <c r="C4927" t="str">
        <f>'Inventory as of 12th Aug 2024'!A256</f>
        <v>Family bisquit</v>
      </c>
      <c r="D4927">
        <v>1</v>
      </c>
      <c r="E4927" s="5">
        <f>Table4[[#This Row],[qty]]*(VLOOKUP(Table4[[#This Row],[item_sold]],Table1[],5,FALSE))</f>
        <v>35</v>
      </c>
      <c r="F4927" s="5">
        <f>(VLOOKUP(Table4[[#This Row],[item_sold]],Table1[],4,FALSE))*Table4[[#This Row],[qty]]</f>
        <v>23.333333333333332</v>
      </c>
      <c r="G4927">
        <f t="shared" si="700"/>
        <v>11.666666666666668</v>
      </c>
      <c r="H4927" t="s">
        <v>361</v>
      </c>
    </row>
    <row r="4928" spans="1:9" x14ac:dyDescent="0.25">
      <c r="A4928" s="1">
        <f t="shared" si="691"/>
        <v>45563</v>
      </c>
      <c r="B4928" s="31">
        <f>TIME(13,43,0)</f>
        <v>0.57152777777777775</v>
      </c>
      <c r="C4928" t="str">
        <f>'Inventory as of 12th Aug 2024'!A16</f>
        <v>Mt kenya milk 500ml</v>
      </c>
      <c r="D4928">
        <v>1</v>
      </c>
      <c r="E4928" s="5">
        <f>Table4[[#This Row],[qty]]*(VLOOKUP(Table4[[#This Row],[item_sold]],Table1[],5,FALSE))</f>
        <v>65</v>
      </c>
      <c r="F4928" s="5">
        <f>(VLOOKUP(Table4[[#This Row],[item_sold]],Table1[],4,FALSE))*Table4[[#This Row],[qty]]</f>
        <v>48.333333333333336</v>
      </c>
      <c r="G4928">
        <f t="shared" si="700"/>
        <v>16.666666666666664</v>
      </c>
      <c r="H4928" t="s">
        <v>247</v>
      </c>
    </row>
    <row r="4929" spans="1:12" x14ac:dyDescent="0.25">
      <c r="A4929" s="1">
        <f t="shared" si="691"/>
        <v>45563</v>
      </c>
      <c r="B4929" s="31">
        <f t="shared" ref="B4929" si="705">TIME(13,43,0)</f>
        <v>0.57152777777777775</v>
      </c>
      <c r="C4929" t="str">
        <f>'Inventory as of 12th Aug 2024'!A33</f>
        <v>BB Bread 400g</v>
      </c>
      <c r="D4929">
        <v>1</v>
      </c>
      <c r="E4929" s="5">
        <f>Table4[[#This Row],[qty]]*(VLOOKUP(Table4[[#This Row],[item_sold]],Table1[],5,FALSE))</f>
        <v>65</v>
      </c>
      <c r="F4929" s="5">
        <f>(VLOOKUP(Table4[[#This Row],[item_sold]],Table1[],4,FALSE))*Table4[[#This Row],[qty]]</f>
        <v>60</v>
      </c>
      <c r="G4929">
        <f t="shared" si="700"/>
        <v>5</v>
      </c>
      <c r="H4929" t="s">
        <v>247</v>
      </c>
    </row>
    <row r="4930" spans="1:12" x14ac:dyDescent="0.25">
      <c r="A4930" s="1">
        <f t="shared" si="691"/>
        <v>45563</v>
      </c>
      <c r="B4930" s="31">
        <f>TIME(13,50,0)</f>
        <v>0.57638888888888895</v>
      </c>
      <c r="C4930" t="str">
        <f>'Inventory as of 12th Aug 2024'!A10</f>
        <v>Mt Kenya milk 200ml</v>
      </c>
      <c r="D4930">
        <v>1</v>
      </c>
      <c r="E4930" s="5">
        <f>Table4[[#This Row],[qty]]*(VLOOKUP(Table4[[#This Row],[item_sold]],Table1[],5,FALSE))</f>
        <v>35</v>
      </c>
      <c r="F4930" s="5">
        <f>(VLOOKUP(Table4[[#This Row],[item_sold]],Table1[],4,FALSE))*Table4[[#This Row],[qty]]</f>
        <v>24.285714285714285</v>
      </c>
      <c r="G4930">
        <f t="shared" si="700"/>
        <v>10.714285714285715</v>
      </c>
      <c r="H4930" t="s">
        <v>247</v>
      </c>
    </row>
    <row r="4931" spans="1:12" x14ac:dyDescent="0.25">
      <c r="A4931" s="1">
        <f t="shared" si="691"/>
        <v>45563</v>
      </c>
      <c r="B4931" s="31">
        <f t="shared" ref="B4931:B4932" si="706">TIME(13,50,0)</f>
        <v>0.57638888888888895</v>
      </c>
      <c r="C4931" t="str">
        <f>'Inventory as of 12th Aug 2024'!A177</f>
        <v>Ringoz Barbeque</v>
      </c>
      <c r="D4931">
        <v>1</v>
      </c>
      <c r="E4931" s="5">
        <f>Table4[[#This Row],[qty]]*(VLOOKUP(Table4[[#This Row],[item_sold]],Table1[],5,FALSE))</f>
        <v>15</v>
      </c>
      <c r="F4931" s="5">
        <f>(VLOOKUP(Table4[[#This Row],[item_sold]],Table1[],4,FALSE))*Table4[[#This Row],[qty]]</f>
        <v>8.6</v>
      </c>
      <c r="G4931">
        <f t="shared" si="700"/>
        <v>6.4</v>
      </c>
      <c r="H4931" t="s">
        <v>247</v>
      </c>
    </row>
    <row r="4932" spans="1:12" x14ac:dyDescent="0.25">
      <c r="A4932" s="1">
        <f t="shared" si="691"/>
        <v>45563</v>
      </c>
      <c r="B4932" s="31">
        <f t="shared" si="706"/>
        <v>0.57638888888888895</v>
      </c>
      <c r="C4932" t="str">
        <f>'Inventory as of 12th Aug 2024'!A242</f>
        <v>Icepop</v>
      </c>
      <c r="D4932">
        <v>1</v>
      </c>
      <c r="E4932" s="5">
        <f>Table4[[#This Row],[qty]]*(VLOOKUP(Table4[[#This Row],[item_sold]],Table1[],5,FALSE))</f>
        <v>15</v>
      </c>
      <c r="F4932" s="5">
        <f>(VLOOKUP(Table4[[#This Row],[item_sold]],Table1[],4,FALSE))*Table4[[#This Row],[qty]]</f>
        <v>7.5</v>
      </c>
      <c r="G4932">
        <f t="shared" si="700"/>
        <v>7.5</v>
      </c>
      <c r="H4932" t="s">
        <v>247</v>
      </c>
    </row>
    <row r="4933" spans="1:12" x14ac:dyDescent="0.25">
      <c r="A4933" s="1">
        <f t="shared" si="691"/>
        <v>45563</v>
      </c>
      <c r="B4933" s="31">
        <f>TIME(14,59,0)</f>
        <v>0.62430555555555556</v>
      </c>
      <c r="C4933" t="str">
        <f>'Inventory as of 12th Aug 2024'!A240</f>
        <v>Bigboss</v>
      </c>
      <c r="D4933">
        <v>5</v>
      </c>
      <c r="E4933" s="5">
        <f>Table4[[#This Row],[qty]]*(VLOOKUP(Table4[[#This Row],[item_sold]],Table1[],5,FALSE))</f>
        <v>25</v>
      </c>
      <c r="F4933" s="5">
        <f>(VLOOKUP(Table4[[#This Row],[item_sold]],Table1[],4,FALSE))*Table4[[#This Row],[qty]]</f>
        <v>17.5</v>
      </c>
      <c r="G4933">
        <f t="shared" si="700"/>
        <v>7.5</v>
      </c>
      <c r="H4933" t="s">
        <v>247</v>
      </c>
    </row>
    <row r="4934" spans="1:12" x14ac:dyDescent="0.25">
      <c r="A4934" s="1">
        <f t="shared" si="691"/>
        <v>45563</v>
      </c>
      <c r="B4934" s="31">
        <f t="shared" ref="B4934" si="707">TIME(14,59,0)</f>
        <v>0.62430555555555556</v>
      </c>
      <c r="C4934" t="str">
        <f>'Inventory as of 12th Aug 2024'!A234</f>
        <v>Bigdaddy</v>
      </c>
      <c r="D4934">
        <v>5</v>
      </c>
      <c r="E4934" s="5">
        <f>Table4[[#This Row],[qty]]*(VLOOKUP(Table4[[#This Row],[item_sold]],Table1[],5,FALSE))</f>
        <v>50</v>
      </c>
      <c r="F4934" s="5">
        <f>(VLOOKUP(Table4[[#This Row],[item_sold]],Table1[],4,FALSE))*Table4[[#This Row],[qty]]</f>
        <v>30</v>
      </c>
      <c r="G4934">
        <f t="shared" si="700"/>
        <v>20</v>
      </c>
      <c r="H4934" t="s">
        <v>247</v>
      </c>
    </row>
    <row r="4935" spans="1:12" x14ac:dyDescent="0.25">
      <c r="A4935" s="1">
        <f t="shared" si="691"/>
        <v>45563</v>
      </c>
      <c r="B4935" s="31">
        <f>TIME(15,5,0)</f>
        <v>0.62847222222222221</v>
      </c>
      <c r="C4935" t="str">
        <f>'Inventory as of 12th Aug 2024'!A209</f>
        <v>afia 500ml</v>
      </c>
      <c r="D4935">
        <v>1</v>
      </c>
      <c r="E4935" s="5">
        <f>Table4[[#This Row],[qty]]*(VLOOKUP(Table4[[#This Row],[item_sold]],Table1[],5,FALSE))</f>
        <v>85</v>
      </c>
      <c r="F4935" s="5">
        <f>(VLOOKUP(Table4[[#This Row],[item_sold]],Table1[],4,FALSE))*Table4[[#This Row],[qty]]</f>
        <v>70.833333333333329</v>
      </c>
      <c r="G4935">
        <f t="shared" si="700"/>
        <v>14.166666666666671</v>
      </c>
      <c r="H4935" t="s">
        <v>361</v>
      </c>
    </row>
    <row r="4936" spans="1:12" x14ac:dyDescent="0.25">
      <c r="A4936" s="1">
        <f t="shared" si="691"/>
        <v>45563</v>
      </c>
      <c r="B4936" s="31">
        <f>TIME(15,5,0)</f>
        <v>0.62847222222222221</v>
      </c>
      <c r="C4936" t="str">
        <f>'Inventory as of 12th Aug 2024'!A192</f>
        <v>Lemon Bisquit</v>
      </c>
      <c r="D4936">
        <v>5</v>
      </c>
      <c r="E4936" s="5">
        <f>Table4[[#This Row],[qty]]*(VLOOKUP(Table4[[#This Row],[item_sold]],Table1[],5,FALSE))</f>
        <v>25</v>
      </c>
      <c r="F4936" s="5">
        <f>(VLOOKUP(Table4[[#This Row],[item_sold]],Table1[],4,FALSE))*Table4[[#This Row],[qty]]</f>
        <v>21.666666666666664</v>
      </c>
      <c r="G4936">
        <f t="shared" si="700"/>
        <v>3.3333333333333357</v>
      </c>
      <c r="H4936" t="s">
        <v>361</v>
      </c>
      <c r="J4936" t="s">
        <v>403</v>
      </c>
      <c r="K4936">
        <v>210</v>
      </c>
      <c r="L4936" t="s">
        <v>361</v>
      </c>
    </row>
    <row r="4937" spans="1:12" x14ac:dyDescent="0.25">
      <c r="A4937" s="1">
        <f t="shared" si="691"/>
        <v>45563</v>
      </c>
      <c r="B4937" s="31">
        <f>TIME(18,6,0)</f>
        <v>0.75416666666666676</v>
      </c>
      <c r="C4937" t="str">
        <f>'Inventory as of 12th Aug 2024'!A248</f>
        <v>Soko Maize meal</v>
      </c>
      <c r="D4937">
        <v>1</v>
      </c>
      <c r="E4937" s="5">
        <f>Table4[[#This Row],[qty]]*(VLOOKUP(Table4[[#This Row],[item_sold]],Table1[],5,FALSE))</f>
        <v>160</v>
      </c>
      <c r="F4937" s="5">
        <f>(VLOOKUP(Table4[[#This Row],[item_sold]],Table1[],4,FALSE))*Table4[[#This Row],[qty]]</f>
        <v>125</v>
      </c>
      <c r="G4937">
        <f t="shared" si="700"/>
        <v>35</v>
      </c>
      <c r="H4937" t="s">
        <v>430</v>
      </c>
      <c r="I4937" t="s">
        <v>427</v>
      </c>
    </row>
    <row r="4938" spans="1:12" x14ac:dyDescent="0.25">
      <c r="A4938" s="1">
        <f t="shared" si="691"/>
        <v>45563</v>
      </c>
      <c r="B4938" s="31">
        <f>TIME(18,26,0)</f>
        <v>0.7680555555555556</v>
      </c>
      <c r="C4938" t="str">
        <f>'Inventory as of 12th Aug 2024'!A208</f>
        <v>minutemaid 400ml</v>
      </c>
      <c r="D4938">
        <v>1</v>
      </c>
      <c r="E4938" s="5">
        <f>Table4[[#This Row],[qty]]*(VLOOKUP(Table4[[#This Row],[item_sold]],Table1[],5,FALSE))</f>
        <v>85</v>
      </c>
      <c r="F4938" s="5">
        <f>(VLOOKUP(Table4[[#This Row],[item_sold]],Table1[],4,FALSE))*Table4[[#This Row],[qty]]</f>
        <v>62.5</v>
      </c>
      <c r="G4938">
        <f t="shared" si="700"/>
        <v>22.5</v>
      </c>
      <c r="H4938" t="s">
        <v>361</v>
      </c>
    </row>
    <row r="4939" spans="1:12" x14ac:dyDescent="0.25">
      <c r="A4939" s="1">
        <f t="shared" si="691"/>
        <v>45563</v>
      </c>
      <c r="B4939" s="31">
        <f t="shared" ref="B4939" si="708">TIME(18,26,0)</f>
        <v>0.7680555555555556</v>
      </c>
      <c r="C4939" s="25"/>
      <c r="D4939">
        <v>1</v>
      </c>
      <c r="E4939" s="5" t="e">
        <f>Table4[[#This Row],[qty]]*(VLOOKUP(Table4[[#This Row],[item_sold]],Table1[],5,FALSE))</f>
        <v>#N/A</v>
      </c>
      <c r="F4939" s="5" t="e">
        <f>(VLOOKUP(Table4[[#This Row],[item_sold]],Table1[],4,FALSE))*Table4[[#This Row],[qty]]</f>
        <v>#N/A</v>
      </c>
      <c r="G4939" t="e">
        <f t="shared" si="700"/>
        <v>#N/A</v>
      </c>
      <c r="H4939" t="s">
        <v>361</v>
      </c>
    </row>
    <row r="4940" spans="1:12" x14ac:dyDescent="0.25">
      <c r="A4940" s="1">
        <f t="shared" si="691"/>
        <v>45563</v>
      </c>
      <c r="B4940" s="31">
        <f>TIME(18,48,0)</f>
        <v>0.78333333333333333</v>
      </c>
      <c r="C4940" t="str">
        <f>'Inventory as of 12th Aug 2024'!A8</f>
        <v>eggs</v>
      </c>
      <c r="D4940">
        <v>3</v>
      </c>
      <c r="E4940" s="5">
        <f>Table4[[#This Row],[qty]]*(VLOOKUP(Table4[[#This Row],[item_sold]],Table1[],5,FALSE))</f>
        <v>60</v>
      </c>
      <c r="F4940" s="5">
        <f>(VLOOKUP(Table4[[#This Row],[item_sold]],Table1[],4,FALSE))*Table4[[#This Row],[qty]]</f>
        <v>43</v>
      </c>
      <c r="G4940">
        <f t="shared" si="700"/>
        <v>17</v>
      </c>
      <c r="H4940" t="s">
        <v>247</v>
      </c>
    </row>
    <row r="4941" spans="1:12" x14ac:dyDescent="0.25">
      <c r="A4941" s="1">
        <f t="shared" si="691"/>
        <v>45563</v>
      </c>
      <c r="B4941" s="31">
        <f>TIME(18,48,0)</f>
        <v>0.78333333333333333</v>
      </c>
      <c r="C4941" t="str">
        <f>'Inventory as of 12th Aug 2024'!A33</f>
        <v>BB Bread 400g</v>
      </c>
      <c r="D4941">
        <v>1</v>
      </c>
      <c r="E4941" s="5">
        <f>Table4[[#This Row],[qty]]*(VLOOKUP(Table4[[#This Row],[item_sold]],Table1[],5,FALSE))</f>
        <v>65</v>
      </c>
      <c r="F4941" s="5">
        <f>(VLOOKUP(Table4[[#This Row],[item_sold]],Table1[],4,FALSE))*Table4[[#This Row],[qty]]</f>
        <v>60</v>
      </c>
      <c r="G4941">
        <f t="shared" si="700"/>
        <v>5</v>
      </c>
      <c r="H4941" t="s">
        <v>247</v>
      </c>
    </row>
    <row r="4942" spans="1:12" x14ac:dyDescent="0.25">
      <c r="A4942" s="1">
        <f t="shared" si="691"/>
        <v>45563</v>
      </c>
      <c r="B4942" s="31">
        <f>TIME(18,54,0)</f>
        <v>0.78749999999999998</v>
      </c>
      <c r="C4942" t="str">
        <f>'Inventory as of 12th Aug 2024'!A120</f>
        <v>Maramoja</v>
      </c>
      <c r="D4942">
        <v>2</v>
      </c>
      <c r="E4942" s="5">
        <f>Table4[[#This Row],[qty]]*(VLOOKUP(Table4[[#This Row],[item_sold]],Table1[],5,FALSE))</f>
        <v>20</v>
      </c>
      <c r="F4942" s="5">
        <f>(VLOOKUP(Table4[[#This Row],[item_sold]],Table1[],4,FALSE))*Table4[[#This Row],[qty]]</f>
        <v>14</v>
      </c>
      <c r="G4942">
        <f t="shared" si="700"/>
        <v>6</v>
      </c>
      <c r="H4942" t="s">
        <v>247</v>
      </c>
    </row>
    <row r="4943" spans="1:12" x14ac:dyDescent="0.25">
      <c r="A4943" s="1">
        <f t="shared" si="691"/>
        <v>45563</v>
      </c>
      <c r="B4943" s="31">
        <f>TIME(19,13,0)</f>
        <v>0.80069444444444438</v>
      </c>
      <c r="C4943" t="str">
        <f>'Inventory as of 12th Aug 2024'!A12</f>
        <v>Kienyeji  Eggs</v>
      </c>
      <c r="D4943">
        <v>3</v>
      </c>
      <c r="E4943" s="5">
        <f>Table4[[#This Row],[qty]]*(VLOOKUP(Table4[[#This Row],[item_sold]],Table1[],5,FALSE))</f>
        <v>90</v>
      </c>
      <c r="F4943" s="5">
        <f>(VLOOKUP(Table4[[#This Row],[item_sold]],Table1[],4,FALSE))*Table4[[#This Row],[qty]]</f>
        <v>60</v>
      </c>
      <c r="G4943">
        <f t="shared" si="700"/>
        <v>30</v>
      </c>
      <c r="H4943" t="s">
        <v>361</v>
      </c>
      <c r="J4943" t="s">
        <v>447</v>
      </c>
      <c r="K4943">
        <v>55</v>
      </c>
      <c r="L4943" t="s">
        <v>361</v>
      </c>
    </row>
    <row r="4944" spans="1:12" x14ac:dyDescent="0.25">
      <c r="A4944" s="1">
        <f t="shared" si="691"/>
        <v>45563</v>
      </c>
      <c r="B4944" s="31">
        <f>TIME(19,18,0)</f>
        <v>0.8041666666666667</v>
      </c>
      <c r="C4944" t="str">
        <f>'Inventory as of 12th Aug 2024'!A129</f>
        <v>Eno</v>
      </c>
      <c r="D4944">
        <v>1</v>
      </c>
      <c r="E4944" s="5">
        <f>Table4[[#This Row],[qty]]*(VLOOKUP(Table4[[#This Row],[item_sold]],Table1[],5,FALSE))</f>
        <v>20</v>
      </c>
      <c r="F4944" s="5">
        <f>(VLOOKUP(Table4[[#This Row],[item_sold]],Table1[],4,FALSE))*Table4[[#This Row],[qty]]</f>
        <v>11</v>
      </c>
      <c r="G4944">
        <f t="shared" si="700"/>
        <v>9</v>
      </c>
      <c r="H4944" t="s">
        <v>430</v>
      </c>
      <c r="I4944" t="s">
        <v>406</v>
      </c>
    </row>
    <row r="4945" spans="1:12" x14ac:dyDescent="0.25">
      <c r="A4945" s="1">
        <f t="shared" si="691"/>
        <v>45563</v>
      </c>
      <c r="B4945" s="31">
        <f t="shared" ref="B4945" si="709">TIME(19,18,0)</f>
        <v>0.8041666666666667</v>
      </c>
      <c r="C4945" t="str">
        <f>'Inventory as of 12th Aug 2024'!A96</f>
        <v>Ndimu</v>
      </c>
      <c r="D4945">
        <v>1</v>
      </c>
      <c r="E4945" s="5">
        <f>Table4[[#This Row],[qty]]*(VLOOKUP(Table4[[#This Row],[item_sold]],Table1[],5,FALSE))</f>
        <v>20</v>
      </c>
      <c r="F4945" s="5">
        <f>(VLOOKUP(Table4[[#This Row],[item_sold]],Table1[],4,FALSE))*Table4[[#This Row],[qty]]</f>
        <v>8.3333333333333339</v>
      </c>
      <c r="G4945">
        <f t="shared" si="700"/>
        <v>11.666666666666666</v>
      </c>
      <c r="H4945" t="s">
        <v>430</v>
      </c>
      <c r="I4945" t="s">
        <v>406</v>
      </c>
    </row>
    <row r="4946" spans="1:12" x14ac:dyDescent="0.25">
      <c r="A4946" s="1">
        <f t="shared" si="691"/>
        <v>45563</v>
      </c>
      <c r="B4946" s="31">
        <f>TIME(20,5,0)</f>
        <v>0.83680555555555547</v>
      </c>
      <c r="C4946" t="str">
        <f>'Inventory as of 12th Aug 2024'!A33</f>
        <v>BB Bread 400g</v>
      </c>
      <c r="D4946">
        <v>1</v>
      </c>
      <c r="E4946" s="5">
        <f>Table4[[#This Row],[qty]]*(VLOOKUP(Table4[[#This Row],[item_sold]],Table1[],5,FALSE))</f>
        <v>65</v>
      </c>
      <c r="F4946" s="5">
        <f>(VLOOKUP(Table4[[#This Row],[item_sold]],Table1[],4,FALSE))*Table4[[#This Row],[qty]]</f>
        <v>60</v>
      </c>
      <c r="G4946">
        <f t="shared" si="700"/>
        <v>5</v>
      </c>
      <c r="H4946" t="s">
        <v>430</v>
      </c>
      <c r="I4946" t="s">
        <v>398</v>
      </c>
    </row>
    <row r="4947" spans="1:12" x14ac:dyDescent="0.25">
      <c r="A4947" s="1">
        <f t="shared" si="691"/>
        <v>45563</v>
      </c>
      <c r="B4947" s="31">
        <f t="shared" ref="B4947:B4948" si="710">TIME(20,5,0)</f>
        <v>0.83680555555555547</v>
      </c>
      <c r="C4947" t="str">
        <f>'Inventory as of 12th Aug 2024'!A8</f>
        <v>eggs</v>
      </c>
      <c r="D4947">
        <v>2</v>
      </c>
      <c r="E4947" s="5">
        <f>Table4[[#This Row],[qty]]*(VLOOKUP(Table4[[#This Row],[item_sold]],Table1[],5,FALSE))</f>
        <v>40</v>
      </c>
      <c r="F4947" s="5">
        <f>(VLOOKUP(Table4[[#This Row],[item_sold]],Table1[],4,FALSE))*Table4[[#This Row],[qty]]</f>
        <v>28.666666666666668</v>
      </c>
      <c r="G4947">
        <f t="shared" si="700"/>
        <v>11.333333333333332</v>
      </c>
      <c r="H4947" t="s">
        <v>430</v>
      </c>
      <c r="I4947" t="s">
        <v>398</v>
      </c>
    </row>
    <row r="4948" spans="1:12" x14ac:dyDescent="0.25">
      <c r="A4948" s="1">
        <f t="shared" si="691"/>
        <v>45563</v>
      </c>
      <c r="B4948" s="31">
        <f t="shared" si="710"/>
        <v>0.83680555555555547</v>
      </c>
      <c r="C4948" t="str">
        <f>'Inventory as of 12th Aug 2024'!A203</f>
        <v>Tropical heat crisps 50g</v>
      </c>
      <c r="D4948">
        <v>1</v>
      </c>
      <c r="E4948" s="5">
        <f>Table4[[#This Row],[qty]]*(VLOOKUP(Table4[[#This Row],[item_sold]],Table1[],5,FALSE))</f>
        <v>70</v>
      </c>
      <c r="F4948" s="5">
        <f>(VLOOKUP(Table4[[#This Row],[item_sold]],Table1[],4,FALSE))*Table4[[#This Row],[qty]]</f>
        <v>50</v>
      </c>
      <c r="G4948">
        <f t="shared" ref="G4948:G5011" si="711">E4948-F4948</f>
        <v>20</v>
      </c>
      <c r="H4948" t="s">
        <v>430</v>
      </c>
      <c r="I4948" t="s">
        <v>398</v>
      </c>
    </row>
    <row r="4949" spans="1:12" x14ac:dyDescent="0.25">
      <c r="A4949" s="1">
        <f t="shared" si="691"/>
        <v>45563</v>
      </c>
      <c r="B4949" s="31">
        <f>TIME(20,14,0)</f>
        <v>0.84305555555555556</v>
      </c>
      <c r="C4949" t="str">
        <f>'Inventory as of 12th Aug 2024'!A9</f>
        <v>Kinangop Fresh Milk 500ml</v>
      </c>
      <c r="D4949">
        <v>1</v>
      </c>
      <c r="E4949" s="5">
        <f>Table4[[#This Row],[qty]]*(VLOOKUP(Table4[[#This Row],[item_sold]],Table1[],5,FALSE))</f>
        <v>60</v>
      </c>
      <c r="F4949" s="5">
        <f>(VLOOKUP(Table4[[#This Row],[item_sold]],Table1[],4,FALSE))*Table4[[#This Row],[qty]]</f>
        <v>55</v>
      </c>
      <c r="G4949">
        <f t="shared" si="711"/>
        <v>5</v>
      </c>
      <c r="H4949" t="s">
        <v>247</v>
      </c>
    </row>
    <row r="4950" spans="1:12" x14ac:dyDescent="0.25">
      <c r="A4950" s="1">
        <f t="shared" si="691"/>
        <v>45563</v>
      </c>
      <c r="B4950" s="31">
        <f t="shared" ref="B4950:B4951" si="712">TIME(20,14,0)</f>
        <v>0.84305555555555556</v>
      </c>
      <c r="C4950" t="str">
        <f>'Inventory as of 12th Aug 2024'!A191</f>
        <v>Nuvita Bisquit</v>
      </c>
      <c r="D4950">
        <v>4</v>
      </c>
      <c r="E4950" s="5">
        <f>Table4[[#This Row],[qty]]*(VLOOKUP(Table4[[#This Row],[item_sold]],Table1[],5,FALSE))</f>
        <v>20</v>
      </c>
      <c r="F4950" s="5">
        <f>(VLOOKUP(Table4[[#This Row],[item_sold]],Table1[],4,FALSE))*Table4[[#This Row],[qty]]</f>
        <v>16.666666666666668</v>
      </c>
      <c r="G4950">
        <f t="shared" si="711"/>
        <v>3.3333333333333321</v>
      </c>
      <c r="H4950" t="s">
        <v>247</v>
      </c>
    </row>
    <row r="4951" spans="1:12" x14ac:dyDescent="0.25">
      <c r="A4951" s="1">
        <f t="shared" ref="A4951:A4956" si="713">DATE(2024,9,28)</f>
        <v>45563</v>
      </c>
      <c r="B4951" s="31">
        <f t="shared" si="712"/>
        <v>0.84305555555555556</v>
      </c>
      <c r="C4951" t="str">
        <f>'Inventory as of 12th Aug 2024'!A229</f>
        <v>Fresh green</v>
      </c>
      <c r="D4951">
        <v>2</v>
      </c>
      <c r="E4951" s="5">
        <f>Table4[[#This Row],[qty]]*(VLOOKUP(Table4[[#This Row],[item_sold]],Table1[],5,FALSE))</f>
        <v>20</v>
      </c>
      <c r="F4951" s="5">
        <f>(VLOOKUP(Table4[[#This Row],[item_sold]],Table1[],4,FALSE))*Table4[[#This Row],[qty]]</f>
        <v>10</v>
      </c>
      <c r="G4951">
        <f t="shared" si="711"/>
        <v>10</v>
      </c>
      <c r="H4951" t="s">
        <v>361</v>
      </c>
      <c r="J4951" t="s">
        <v>462</v>
      </c>
      <c r="K4951">
        <v>130</v>
      </c>
      <c r="L4951" t="s">
        <v>247</v>
      </c>
    </row>
    <row r="4952" spans="1:12" x14ac:dyDescent="0.25">
      <c r="A4952" s="1">
        <f t="shared" si="713"/>
        <v>45563</v>
      </c>
      <c r="B4952" s="31">
        <f>TIME(13,54,0)</f>
        <v>0.57916666666666672</v>
      </c>
      <c r="C4952" t="str">
        <f>'Inventory as of 12th Aug 2024'!A75</f>
        <v>Cooking Oil Measured</v>
      </c>
      <c r="D4952">
        <v>0.2</v>
      </c>
      <c r="E4952" s="5">
        <f>Table4[[#This Row],[qty]]*(VLOOKUP(Table4[[#This Row],[item_sold]],Table1[],5,FALSE))</f>
        <v>56</v>
      </c>
      <c r="F4952" s="5">
        <f>(VLOOKUP(Table4[[#This Row],[item_sold]],Table1[],4,FALSE))*Table4[[#This Row],[qty]]</f>
        <v>40</v>
      </c>
      <c r="G4952">
        <f t="shared" si="711"/>
        <v>16</v>
      </c>
      <c r="H4952" t="s">
        <v>361</v>
      </c>
    </row>
    <row r="4953" spans="1:12" x14ac:dyDescent="0.25">
      <c r="A4953" s="1">
        <f t="shared" si="713"/>
        <v>45563</v>
      </c>
      <c r="B4953" s="31">
        <f>TIME(20,4,0)</f>
        <v>0.83611111111111114</v>
      </c>
      <c r="C4953" t="str">
        <f>'Inventory as of 12th Aug 2024'!A256</f>
        <v>Family bisquit</v>
      </c>
      <c r="D4953">
        <v>2</v>
      </c>
      <c r="E4953" s="5">
        <f>Table4[[#This Row],[qty]]*(VLOOKUP(Table4[[#This Row],[item_sold]],Table1[],5,FALSE))</f>
        <v>70</v>
      </c>
      <c r="F4953" s="5">
        <f>(VLOOKUP(Table4[[#This Row],[item_sold]],Table1[],4,FALSE))*Table4[[#This Row],[qty]]</f>
        <v>46.666666666666664</v>
      </c>
      <c r="G4953">
        <f t="shared" si="711"/>
        <v>23.333333333333336</v>
      </c>
      <c r="H4953" t="s">
        <v>361</v>
      </c>
    </row>
    <row r="4954" spans="1:12" x14ac:dyDescent="0.25">
      <c r="A4954" s="1">
        <f t="shared" si="713"/>
        <v>45563</v>
      </c>
      <c r="B4954" s="31">
        <f>TIME(20,20,0)</f>
        <v>0.84722222222222221</v>
      </c>
      <c r="C4954" t="str">
        <f>'Inventory as of 12th Aug 2024'!A58</f>
        <v>Safari</v>
      </c>
      <c r="D4954">
        <v>2</v>
      </c>
      <c r="E4954" s="5">
        <f>Table4[[#This Row],[qty]]*(VLOOKUP(Table4[[#This Row],[item_sold]],Table1[],5,FALSE))</f>
        <v>30</v>
      </c>
      <c r="F4954" s="5">
        <f>(VLOOKUP(Table4[[#This Row],[item_sold]],Table1[],4,FALSE))*Table4[[#This Row],[qty]]</f>
        <v>17</v>
      </c>
      <c r="G4954">
        <f t="shared" si="711"/>
        <v>13</v>
      </c>
      <c r="H4954" t="s">
        <v>361</v>
      </c>
    </row>
    <row r="4955" spans="1:12" x14ac:dyDescent="0.25">
      <c r="A4955" s="1">
        <f t="shared" si="713"/>
        <v>45563</v>
      </c>
      <c r="B4955" s="31">
        <f>TIME(21,0,0)</f>
        <v>0.875</v>
      </c>
      <c r="C4955" t="str">
        <f>'Inventory as of 12th Aug 2024'!A9</f>
        <v>Kinangop Fresh Milk 500ml</v>
      </c>
      <c r="D4955">
        <v>1</v>
      </c>
      <c r="E4955" s="5">
        <f>Table4[[#This Row],[qty]]*(VLOOKUP(Table4[[#This Row],[item_sold]],Table1[],5,FALSE))</f>
        <v>60</v>
      </c>
      <c r="F4955" s="5">
        <f>(VLOOKUP(Table4[[#This Row],[item_sold]],Table1[],4,FALSE))*Table4[[#This Row],[qty]]</f>
        <v>55</v>
      </c>
      <c r="G4955">
        <f t="shared" si="711"/>
        <v>5</v>
      </c>
      <c r="H4955" t="s">
        <v>361</v>
      </c>
    </row>
    <row r="4956" spans="1:12" x14ac:dyDescent="0.25">
      <c r="A4956" s="1">
        <f t="shared" si="713"/>
        <v>45563</v>
      </c>
      <c r="B4956" s="31">
        <f>TIME(21,3,0)</f>
        <v>0.87708333333333333</v>
      </c>
      <c r="C4956" t="str">
        <f>'Inventory as of 12th Aug 2024'!A92</f>
        <v>Banana</v>
      </c>
      <c r="D4956">
        <v>5</v>
      </c>
      <c r="E4956" s="5">
        <f>Table4[[#This Row],[qty]]*(VLOOKUP(Table4[[#This Row],[item_sold]],Table1[],5,FALSE))</f>
        <v>50</v>
      </c>
      <c r="F4956" s="5">
        <f>(VLOOKUP(Table4[[#This Row],[item_sold]],Table1[],4,FALSE))*Table4[[#This Row],[qty]]</f>
        <v>41.666666666666671</v>
      </c>
      <c r="G4956">
        <f t="shared" si="711"/>
        <v>8.3333333333333286</v>
      </c>
      <c r="H4956" t="s">
        <v>361</v>
      </c>
    </row>
    <row r="4957" spans="1:12" x14ac:dyDescent="0.25">
      <c r="A4957" s="1">
        <f>DATE(2024,9,29)</f>
        <v>45564</v>
      </c>
      <c r="B4957" s="31">
        <f>TIME(8,36,0)</f>
        <v>0.35833333333333334</v>
      </c>
      <c r="C4957" t="str">
        <f>'Inventory as of 12th Aug 2024'!A58</f>
        <v>Safari</v>
      </c>
      <c r="D4957">
        <v>6</v>
      </c>
      <c r="E4957" s="5">
        <f>Table4[[#This Row],[qty]]*(VLOOKUP(Table4[[#This Row],[item_sold]],Table1[],5,FALSE))</f>
        <v>90</v>
      </c>
      <c r="F4957" s="5">
        <f>(VLOOKUP(Table4[[#This Row],[item_sold]],Table1[],4,FALSE))*Table4[[#This Row],[qty]]</f>
        <v>51</v>
      </c>
      <c r="G4957">
        <f t="shared" si="711"/>
        <v>39</v>
      </c>
      <c r="H4957" t="s">
        <v>361</v>
      </c>
    </row>
    <row r="4958" spans="1:12" x14ac:dyDescent="0.25">
      <c r="A4958" s="1">
        <f t="shared" ref="A4958:A5021" si="714">DATE(2024,9,29)</f>
        <v>45564</v>
      </c>
      <c r="B4958" s="31">
        <f t="shared" ref="B4958" si="715">TIME(8,36,0)</f>
        <v>0.35833333333333334</v>
      </c>
      <c r="C4958" t="str">
        <f>'Inventory as of 12th Aug 2024'!A129</f>
        <v>Eno</v>
      </c>
      <c r="D4958">
        <v>1</v>
      </c>
      <c r="E4958" s="5">
        <f>Table4[[#This Row],[qty]]*(VLOOKUP(Table4[[#This Row],[item_sold]],Table1[],5,FALSE))</f>
        <v>20</v>
      </c>
      <c r="F4958" s="5">
        <f>(VLOOKUP(Table4[[#This Row],[item_sold]],Table1[],4,FALSE))*Table4[[#This Row],[qty]]</f>
        <v>11</v>
      </c>
      <c r="G4958">
        <f t="shared" si="711"/>
        <v>9</v>
      </c>
      <c r="H4958" t="s">
        <v>361</v>
      </c>
    </row>
    <row r="4959" spans="1:12" x14ac:dyDescent="0.25">
      <c r="A4959" s="1">
        <f t="shared" si="714"/>
        <v>45564</v>
      </c>
      <c r="B4959" s="31">
        <f>TIME(9,3,0)</f>
        <v>0.37708333333333338</v>
      </c>
      <c r="C4959" t="str">
        <f>'Inventory as of 12th Aug 2024'!A58</f>
        <v>Safari</v>
      </c>
      <c r="D4959">
        <v>1</v>
      </c>
      <c r="E4959" s="5">
        <f>Table4[[#This Row],[qty]]*(VLOOKUP(Table4[[#This Row],[item_sold]],Table1[],5,FALSE))</f>
        <v>15</v>
      </c>
      <c r="F4959" s="5">
        <f>(VLOOKUP(Table4[[#This Row],[item_sold]],Table1[],4,FALSE))*Table4[[#This Row],[qty]]</f>
        <v>8.5</v>
      </c>
      <c r="G4959">
        <f t="shared" si="711"/>
        <v>6.5</v>
      </c>
      <c r="H4959" t="s">
        <v>361</v>
      </c>
    </row>
    <row r="4960" spans="1:12" x14ac:dyDescent="0.25">
      <c r="A4960" s="1">
        <f t="shared" si="714"/>
        <v>45564</v>
      </c>
      <c r="B4960" s="31">
        <f>TIME(9,11,0)</f>
        <v>0.38263888888888892</v>
      </c>
      <c r="C4960" t="str">
        <f>'Inventory as of 12th Aug 2024'!A120</f>
        <v>Maramoja</v>
      </c>
      <c r="D4960">
        <v>1</v>
      </c>
      <c r="E4960" s="5">
        <f>Table4[[#This Row],[qty]]*(VLOOKUP(Table4[[#This Row],[item_sold]],Table1[],5,FALSE))</f>
        <v>10</v>
      </c>
      <c r="F4960" s="5">
        <f>(VLOOKUP(Table4[[#This Row],[item_sold]],Table1[],4,FALSE))*Table4[[#This Row],[qty]]</f>
        <v>7</v>
      </c>
      <c r="G4960">
        <f t="shared" si="711"/>
        <v>3</v>
      </c>
      <c r="H4960" t="s">
        <v>247</v>
      </c>
    </row>
    <row r="4961" spans="1:9" x14ac:dyDescent="0.25">
      <c r="A4961" s="1">
        <f t="shared" si="714"/>
        <v>45564</v>
      </c>
      <c r="B4961" s="31">
        <f>TIME(9,26,0)</f>
        <v>0.39305555555555555</v>
      </c>
      <c r="C4961" t="str">
        <f>'Inventory as of 12th Aug 2024'!A85</f>
        <v>Downy lavender</v>
      </c>
      <c r="D4961">
        <v>1</v>
      </c>
      <c r="E4961" s="5">
        <f>Table4[[#This Row],[qty]]*(VLOOKUP(Table4[[#This Row],[item_sold]],Table1[],5,FALSE))</f>
        <v>20</v>
      </c>
      <c r="F4961" s="5">
        <f>(VLOOKUP(Table4[[#This Row],[item_sold]],Table1[],4,FALSE))*Table4[[#This Row],[qty]]</f>
        <v>17.333333333333332</v>
      </c>
      <c r="G4961">
        <f t="shared" si="711"/>
        <v>2.6666666666666679</v>
      </c>
      <c r="H4961" t="s">
        <v>430</v>
      </c>
      <c r="I4961" t="s">
        <v>398</v>
      </c>
    </row>
    <row r="4962" spans="1:9" x14ac:dyDescent="0.25">
      <c r="A4962" s="1">
        <f t="shared" si="714"/>
        <v>45564</v>
      </c>
      <c r="B4962" s="31">
        <f>TIME(9,34,0)</f>
        <v>0.39861111111111108</v>
      </c>
      <c r="C4962" t="str">
        <f>'Inventory as of 12th Aug 2024'!A37</f>
        <v>Festive Bread 400g</v>
      </c>
      <c r="D4962">
        <v>1</v>
      </c>
      <c r="E4962" s="5">
        <f>Table4[[#This Row],[qty]]*(VLOOKUP(Table4[[#This Row],[item_sold]],Table1[],5,FALSE))</f>
        <v>65</v>
      </c>
      <c r="F4962" s="5">
        <f>(VLOOKUP(Table4[[#This Row],[item_sold]],Table1[],4,FALSE))*Table4[[#This Row],[qty]]</f>
        <v>60</v>
      </c>
      <c r="G4962">
        <f t="shared" si="711"/>
        <v>5</v>
      </c>
      <c r="H4962" t="s">
        <v>247</v>
      </c>
    </row>
    <row r="4963" spans="1:9" x14ac:dyDescent="0.25">
      <c r="A4963" s="1">
        <f t="shared" si="714"/>
        <v>45564</v>
      </c>
      <c r="B4963" s="31">
        <f>TIME(9,36,0)</f>
        <v>0.39999999999999997</v>
      </c>
      <c r="C4963" t="str">
        <f>'Inventory as of 12th Aug 2024'!A5</f>
        <v>Airtel 20 Credit</v>
      </c>
      <c r="D4963">
        <v>1</v>
      </c>
      <c r="E4963" s="5">
        <f>Table4[[#This Row],[qty]]*(VLOOKUP(Table4[[#This Row],[item_sold]],Table1[],5,FALSE))</f>
        <v>20</v>
      </c>
      <c r="F4963" s="5">
        <f>(VLOOKUP(Table4[[#This Row],[item_sold]],Table1[],4,FALSE))*Table4[[#This Row],[qty]]</f>
        <v>18</v>
      </c>
      <c r="G4963">
        <f t="shared" si="711"/>
        <v>2</v>
      </c>
      <c r="H4963" t="s">
        <v>361</v>
      </c>
    </row>
    <row r="4964" spans="1:9" x14ac:dyDescent="0.25">
      <c r="A4964" s="1">
        <f t="shared" si="714"/>
        <v>45564</v>
      </c>
      <c r="B4964" s="31">
        <f t="shared" ref="B4964:B4965" si="716">TIME(9,36,0)</f>
        <v>0.39999999999999997</v>
      </c>
      <c r="C4964" t="str">
        <f>'Inventory as of 12th Aug 2024'!A33</f>
        <v>BB Bread 400g</v>
      </c>
      <c r="D4964">
        <v>1</v>
      </c>
      <c r="E4964" s="5">
        <f>Table4[[#This Row],[qty]]*(VLOOKUP(Table4[[#This Row],[item_sold]],Table1[],5,FALSE))</f>
        <v>65</v>
      </c>
      <c r="F4964" s="5">
        <f>(VLOOKUP(Table4[[#This Row],[item_sold]],Table1[],4,FALSE))*Table4[[#This Row],[qty]]</f>
        <v>60</v>
      </c>
      <c r="G4964">
        <f t="shared" si="711"/>
        <v>5</v>
      </c>
      <c r="H4964" t="s">
        <v>361</v>
      </c>
    </row>
    <row r="4965" spans="1:9" x14ac:dyDescent="0.25">
      <c r="A4965" s="1">
        <f t="shared" si="714"/>
        <v>45564</v>
      </c>
      <c r="B4965" s="31">
        <f t="shared" si="716"/>
        <v>0.39999999999999997</v>
      </c>
      <c r="C4965" t="str">
        <f>'Inventory as of 12th Aug 2024'!A191</f>
        <v>Nuvita Bisquit</v>
      </c>
      <c r="D4965">
        <v>1</v>
      </c>
      <c r="E4965" s="5">
        <f>Table4[[#This Row],[qty]]*(VLOOKUP(Table4[[#This Row],[item_sold]],Table1[],5,FALSE))</f>
        <v>5</v>
      </c>
      <c r="F4965" s="5">
        <f>(VLOOKUP(Table4[[#This Row],[item_sold]],Table1[],4,FALSE))*Table4[[#This Row],[qty]]</f>
        <v>4.166666666666667</v>
      </c>
      <c r="G4965">
        <f t="shared" si="711"/>
        <v>0.83333333333333304</v>
      </c>
      <c r="H4965" t="s">
        <v>361</v>
      </c>
    </row>
    <row r="4966" spans="1:9" x14ac:dyDescent="0.25">
      <c r="A4966" s="1">
        <f t="shared" si="714"/>
        <v>45564</v>
      </c>
      <c r="B4966" s="31">
        <f>TIME(10,29,0)</f>
        <v>0.4368055555555555</v>
      </c>
      <c r="C4966" t="str">
        <f>'Inventory as of 12th Aug 2024'!A234</f>
        <v>Bigdaddy</v>
      </c>
      <c r="D4966">
        <v>2</v>
      </c>
      <c r="E4966" s="5">
        <f>Table4[[#This Row],[qty]]*(VLOOKUP(Table4[[#This Row],[item_sold]],Table1[],5,FALSE))</f>
        <v>20</v>
      </c>
      <c r="F4966" s="5">
        <f>(VLOOKUP(Table4[[#This Row],[item_sold]],Table1[],4,FALSE))*Table4[[#This Row],[qty]]</f>
        <v>12</v>
      </c>
      <c r="G4966">
        <f t="shared" si="711"/>
        <v>8</v>
      </c>
      <c r="H4966" t="s">
        <v>247</v>
      </c>
    </row>
    <row r="4967" spans="1:9" x14ac:dyDescent="0.25">
      <c r="A4967" s="1">
        <f t="shared" si="714"/>
        <v>45564</v>
      </c>
      <c r="B4967" s="31">
        <f t="shared" ref="B4967:B4968" si="717">TIME(10,29,0)</f>
        <v>0.4368055555555555</v>
      </c>
      <c r="C4967" t="str">
        <f>'Inventory as of 12th Aug 2024'!A179</f>
        <v>Bitez</v>
      </c>
      <c r="D4967">
        <v>1</v>
      </c>
      <c r="E4967" s="5">
        <f>Table4[[#This Row],[qty]]*(VLOOKUP(Table4[[#This Row],[item_sold]],Table1[],5,FALSE))</f>
        <v>15</v>
      </c>
      <c r="F4967" s="5">
        <f>(VLOOKUP(Table4[[#This Row],[item_sold]],Table1[],4,FALSE))*Table4[[#This Row],[qty]]</f>
        <v>8.8000000000000007</v>
      </c>
      <c r="G4967">
        <f t="shared" si="711"/>
        <v>6.1999999999999993</v>
      </c>
      <c r="H4967" t="s">
        <v>247</v>
      </c>
    </row>
    <row r="4968" spans="1:9" x14ac:dyDescent="0.25">
      <c r="A4968" s="1">
        <f t="shared" si="714"/>
        <v>45564</v>
      </c>
      <c r="B4968" s="31">
        <f t="shared" si="717"/>
        <v>0.4368055555555555</v>
      </c>
      <c r="C4968" t="str">
        <f>'Inventory as of 12th Aug 2024'!A242</f>
        <v>Icepop</v>
      </c>
      <c r="D4968">
        <v>2</v>
      </c>
      <c r="E4968" s="5">
        <f>Table4[[#This Row],[qty]]*(VLOOKUP(Table4[[#This Row],[item_sold]],Table1[],5,FALSE))</f>
        <v>30</v>
      </c>
      <c r="F4968" s="5">
        <f>(VLOOKUP(Table4[[#This Row],[item_sold]],Table1[],4,FALSE))*Table4[[#This Row],[qty]]</f>
        <v>15</v>
      </c>
      <c r="G4968">
        <f t="shared" si="711"/>
        <v>15</v>
      </c>
      <c r="H4968" t="s">
        <v>247</v>
      </c>
    </row>
    <row r="4969" spans="1:9" x14ac:dyDescent="0.25">
      <c r="A4969" s="1">
        <f t="shared" si="714"/>
        <v>45564</v>
      </c>
      <c r="B4969" s="31">
        <f>TIME(11,10,0)</f>
        <v>0.46527777777777773</v>
      </c>
      <c r="C4969" t="str">
        <f>'Inventory as of 12th Aug 2024'!A45</f>
        <v>Ajab 1kg</v>
      </c>
      <c r="D4969">
        <v>1</v>
      </c>
      <c r="E4969" s="5">
        <f>Table4[[#This Row],[qty]]*(VLOOKUP(Table4[[#This Row],[item_sold]],Table1[],5,FALSE))</f>
        <v>120</v>
      </c>
      <c r="F4969" s="5">
        <f>(VLOOKUP(Table4[[#This Row],[item_sold]],Table1[],4,FALSE))*Table4[[#This Row],[qty]]</f>
        <v>87.5</v>
      </c>
      <c r="G4969">
        <f t="shared" si="711"/>
        <v>32.5</v>
      </c>
      <c r="H4969" t="s">
        <v>247</v>
      </c>
    </row>
    <row r="4970" spans="1:9" x14ac:dyDescent="0.25">
      <c r="A4970" s="1">
        <f t="shared" si="714"/>
        <v>45564</v>
      </c>
      <c r="B4970" s="31">
        <f>TIME(11,11,0)</f>
        <v>0.46597222222222223</v>
      </c>
      <c r="C4970" t="str">
        <f>'Inventory as of 12th Aug 2024'!A8</f>
        <v>eggs</v>
      </c>
      <c r="D4970">
        <v>2</v>
      </c>
      <c r="E4970" s="5">
        <f>Table4[[#This Row],[qty]]*(VLOOKUP(Table4[[#This Row],[item_sold]],Table1[],5,FALSE))</f>
        <v>40</v>
      </c>
      <c r="F4970" s="5">
        <f>(VLOOKUP(Table4[[#This Row],[item_sold]],Table1[],4,FALSE))*Table4[[#This Row],[qty]]</f>
        <v>28.666666666666668</v>
      </c>
      <c r="G4970">
        <f t="shared" si="711"/>
        <v>11.333333333333332</v>
      </c>
      <c r="H4970" t="s">
        <v>247</v>
      </c>
    </row>
    <row r="4971" spans="1:9" x14ac:dyDescent="0.25">
      <c r="A4971" s="1">
        <f t="shared" si="714"/>
        <v>45564</v>
      </c>
      <c r="B4971" s="31">
        <f>TIME(11,13,0)</f>
        <v>0.46736111111111112</v>
      </c>
      <c r="C4971" t="str">
        <f>'Inventory as of 12th Aug 2024'!A37</f>
        <v>Festive Bread 400g</v>
      </c>
      <c r="D4971">
        <v>1</v>
      </c>
      <c r="E4971" s="5">
        <f>Table4[[#This Row],[qty]]*(VLOOKUP(Table4[[#This Row],[item_sold]],Table1[],5,FALSE))</f>
        <v>65</v>
      </c>
      <c r="F4971" s="5">
        <f>(VLOOKUP(Table4[[#This Row],[item_sold]],Table1[],4,FALSE))*Table4[[#This Row],[qty]]</f>
        <v>60</v>
      </c>
      <c r="G4971">
        <f t="shared" si="711"/>
        <v>5</v>
      </c>
      <c r="H4971" t="s">
        <v>361</v>
      </c>
    </row>
    <row r="4972" spans="1:9" x14ac:dyDescent="0.25">
      <c r="A4972" s="1">
        <f t="shared" si="714"/>
        <v>45564</v>
      </c>
      <c r="B4972" s="31">
        <f>TIME(11,38,0)</f>
        <v>0.48472222222222222</v>
      </c>
      <c r="C4972" t="str">
        <f>'Inventory as of 12th Aug 2024'!A243</f>
        <v>Ballon</v>
      </c>
      <c r="D4972">
        <v>1</v>
      </c>
      <c r="E4972" s="5">
        <f>Table4[[#This Row],[qty]]*(VLOOKUP(Table4[[#This Row],[item_sold]],Table1[],5,FALSE))</f>
        <v>10</v>
      </c>
      <c r="F4972" s="5">
        <f>(VLOOKUP(Table4[[#This Row],[item_sold]],Table1[],4,FALSE))*Table4[[#This Row],[qty]]</f>
        <v>7.5</v>
      </c>
      <c r="G4972">
        <f t="shared" si="711"/>
        <v>2.5</v>
      </c>
      <c r="H4972" t="s">
        <v>247</v>
      </c>
    </row>
    <row r="4973" spans="1:9" x14ac:dyDescent="0.25">
      <c r="A4973" s="1">
        <f t="shared" si="714"/>
        <v>45564</v>
      </c>
      <c r="B4973" s="31">
        <f t="shared" ref="B4973:B4975" si="718">TIME(11,38,0)</f>
        <v>0.48472222222222222</v>
      </c>
      <c r="C4973" t="str">
        <f>'Inventory as of 12th Aug 2024'!A44</f>
        <v>Ajab 2kg</v>
      </c>
      <c r="D4973">
        <v>1</v>
      </c>
      <c r="E4973" s="5">
        <f>Table4[[#This Row],[qty]]*(VLOOKUP(Table4[[#This Row],[item_sold]],Table1[],5,FALSE))</f>
        <v>220</v>
      </c>
      <c r="F4973" s="5">
        <f>(VLOOKUP(Table4[[#This Row],[item_sold]],Table1[],4,FALSE))*Table4[[#This Row],[qty]]</f>
        <v>175</v>
      </c>
      <c r="G4973">
        <f t="shared" si="711"/>
        <v>45</v>
      </c>
      <c r="H4973" t="s">
        <v>247</v>
      </c>
    </row>
    <row r="4974" spans="1:9" x14ac:dyDescent="0.25">
      <c r="A4974" s="1">
        <f t="shared" si="714"/>
        <v>45564</v>
      </c>
      <c r="B4974" s="31">
        <f t="shared" si="718"/>
        <v>0.48472222222222222</v>
      </c>
      <c r="C4974" t="str">
        <f>'Inventory as of 12th Aug 2024'!A178</f>
        <v>Ringoz Paprika</v>
      </c>
      <c r="D4974">
        <v>2</v>
      </c>
      <c r="E4974" s="5">
        <f>Table4[[#This Row],[qty]]*(VLOOKUP(Table4[[#This Row],[item_sold]],Table1[],5,FALSE))</f>
        <v>30</v>
      </c>
      <c r="F4974" s="5">
        <f>(VLOOKUP(Table4[[#This Row],[item_sold]],Table1[],4,FALSE))*Table4[[#This Row],[qty]]</f>
        <v>17.600000000000001</v>
      </c>
      <c r="G4974">
        <f t="shared" si="711"/>
        <v>12.399999999999999</v>
      </c>
      <c r="H4974" t="s">
        <v>247</v>
      </c>
    </row>
    <row r="4975" spans="1:9" x14ac:dyDescent="0.25">
      <c r="A4975" s="1">
        <f t="shared" si="714"/>
        <v>45564</v>
      </c>
      <c r="B4975" s="31">
        <f t="shared" si="718"/>
        <v>0.48472222222222222</v>
      </c>
      <c r="C4975" t="str">
        <f>'Inventory as of 12th Aug 2024'!A177</f>
        <v>Ringoz Barbeque</v>
      </c>
      <c r="D4975">
        <v>2</v>
      </c>
      <c r="E4975" s="5">
        <f>Table4[[#This Row],[qty]]*(VLOOKUP(Table4[[#This Row],[item_sold]],Table1[],5,FALSE))</f>
        <v>30</v>
      </c>
      <c r="F4975" s="5">
        <f>(VLOOKUP(Table4[[#This Row],[item_sold]],Table1[],4,FALSE))*Table4[[#This Row],[qty]]</f>
        <v>17.2</v>
      </c>
      <c r="G4975">
        <f t="shared" si="711"/>
        <v>12.8</v>
      </c>
      <c r="H4975" t="s">
        <v>247</v>
      </c>
    </row>
    <row r="4976" spans="1:9" x14ac:dyDescent="0.25">
      <c r="A4976" s="1">
        <f t="shared" si="714"/>
        <v>45564</v>
      </c>
      <c r="B4976" s="31">
        <f>TIME(11,45,0)</f>
        <v>0.48958333333333331</v>
      </c>
      <c r="C4976" t="str">
        <f>'Inventory as of 12th Aug 2024'!A248</f>
        <v>Soko Maize meal</v>
      </c>
      <c r="D4976">
        <v>1</v>
      </c>
      <c r="E4976" s="5">
        <f>Table4[[#This Row],[qty]]*(VLOOKUP(Table4[[#This Row],[item_sold]],Table1[],5,FALSE))</f>
        <v>160</v>
      </c>
      <c r="F4976" s="5">
        <f>(VLOOKUP(Table4[[#This Row],[item_sold]],Table1[],4,FALSE))*Table4[[#This Row],[qty]]</f>
        <v>125</v>
      </c>
      <c r="G4976">
        <f t="shared" si="711"/>
        <v>35</v>
      </c>
      <c r="H4976" t="s">
        <v>247</v>
      </c>
    </row>
    <row r="4977" spans="1:9" x14ac:dyDescent="0.25">
      <c r="A4977" s="1">
        <f t="shared" si="714"/>
        <v>45564</v>
      </c>
      <c r="B4977" s="31">
        <f t="shared" ref="B4977:B4978" si="719">TIME(11,45,0)</f>
        <v>0.48958333333333331</v>
      </c>
      <c r="C4977" t="str">
        <f>'Inventory as of 12th Aug 2024'!A207</f>
        <v>soda 350ml plastic</v>
      </c>
      <c r="D4977">
        <v>2</v>
      </c>
      <c r="E4977" s="5">
        <f>Table4[[#This Row],[qty]]*(VLOOKUP(Table4[[#This Row],[item_sold]],Table1[],5,FALSE))</f>
        <v>100</v>
      </c>
      <c r="F4977" s="5">
        <f>(VLOOKUP(Table4[[#This Row],[item_sold]],Table1[],4,FALSE))*Table4[[#This Row],[qty]]</f>
        <v>83.333333333333329</v>
      </c>
      <c r="G4977">
        <f t="shared" si="711"/>
        <v>16.666666666666671</v>
      </c>
      <c r="H4977" t="s">
        <v>247</v>
      </c>
    </row>
    <row r="4978" spans="1:9" x14ac:dyDescent="0.25">
      <c r="A4978" s="1">
        <f t="shared" si="714"/>
        <v>45564</v>
      </c>
      <c r="B4978" s="31">
        <f t="shared" si="719"/>
        <v>0.48958333333333331</v>
      </c>
      <c r="C4978" t="str">
        <f>'Inventory as of 12th Aug 2024'!A172</f>
        <v>Carrier bag small</v>
      </c>
      <c r="D4978">
        <v>1</v>
      </c>
      <c r="E4978" s="5">
        <f>Table4[[#This Row],[qty]]*(VLOOKUP(Table4[[#This Row],[item_sold]],Table1[],5,FALSE))</f>
        <v>10</v>
      </c>
      <c r="F4978" s="5">
        <f>(VLOOKUP(Table4[[#This Row],[item_sold]],Table1[],4,FALSE))*Table4[[#This Row],[qty]]</f>
        <v>3</v>
      </c>
      <c r="G4978">
        <f t="shared" si="711"/>
        <v>7</v>
      </c>
      <c r="H4978" t="s">
        <v>247</v>
      </c>
    </row>
    <row r="4979" spans="1:9" x14ac:dyDescent="0.25">
      <c r="A4979" s="1">
        <f t="shared" si="714"/>
        <v>45564</v>
      </c>
      <c r="B4979" s="31">
        <f>TIME(12,22,0)</f>
        <v>0.51527777777777783</v>
      </c>
      <c r="C4979" t="str">
        <f>'Inventory as of 12th Aug 2024'!A234</f>
        <v>Bigdaddy</v>
      </c>
      <c r="D4979">
        <v>3</v>
      </c>
      <c r="E4979" s="5">
        <f>Table4[[#This Row],[qty]]*(VLOOKUP(Table4[[#This Row],[item_sold]],Table1[],5,FALSE))</f>
        <v>30</v>
      </c>
      <c r="F4979" s="5">
        <f>(VLOOKUP(Table4[[#This Row],[item_sold]],Table1[],4,FALSE))*Table4[[#This Row],[qty]]</f>
        <v>18</v>
      </c>
      <c r="G4979">
        <f t="shared" si="711"/>
        <v>12</v>
      </c>
      <c r="H4979" t="s">
        <v>247</v>
      </c>
    </row>
    <row r="4980" spans="1:9" x14ac:dyDescent="0.25">
      <c r="A4980" s="1">
        <f t="shared" si="714"/>
        <v>45564</v>
      </c>
      <c r="B4980" s="31">
        <f>TIME(12,29,0)</f>
        <v>0.52013888888888882</v>
      </c>
      <c r="C4980" t="str">
        <f>'Inventory as of 12th Aug 2024'!A107</f>
        <v>Match Box</v>
      </c>
      <c r="D4980">
        <v>1</v>
      </c>
      <c r="E4980" s="5">
        <f>Table4[[#This Row],[qty]]*(VLOOKUP(Table4[[#This Row],[item_sold]],Table1[],5,FALSE))</f>
        <v>5</v>
      </c>
      <c r="F4980" s="5">
        <f>(VLOOKUP(Table4[[#This Row],[item_sold]],Table1[],4,FALSE))*Table4[[#This Row],[qty]]</f>
        <v>2.3611111111111112</v>
      </c>
      <c r="G4980">
        <f t="shared" si="711"/>
        <v>2.6388888888888888</v>
      </c>
      <c r="H4980" t="s">
        <v>430</v>
      </c>
      <c r="I4980" t="s">
        <v>456</v>
      </c>
    </row>
    <row r="4981" spans="1:9" x14ac:dyDescent="0.25">
      <c r="A4981" s="1">
        <f t="shared" si="714"/>
        <v>45564</v>
      </c>
      <c r="B4981" s="31">
        <f>TIME(12,39,0)</f>
        <v>0.52708333333333335</v>
      </c>
      <c r="C4981" t="str">
        <f>'Inventory as of 12th Aug 2024'!A135</f>
        <v>Bella Tissue</v>
      </c>
      <c r="D4981">
        <v>1</v>
      </c>
      <c r="E4981" s="5">
        <f>Table4[[#This Row],[qty]]*(VLOOKUP(Table4[[#This Row],[item_sold]],Table1[],5,FALSE))</f>
        <v>50</v>
      </c>
      <c r="F4981" s="5">
        <f>(VLOOKUP(Table4[[#This Row],[item_sold]],Table1[],4,FALSE))*Table4[[#This Row],[qty]]</f>
        <v>35</v>
      </c>
      <c r="G4981">
        <f t="shared" si="711"/>
        <v>15</v>
      </c>
      <c r="H4981" t="s">
        <v>361</v>
      </c>
    </row>
    <row r="4982" spans="1:9" x14ac:dyDescent="0.25">
      <c r="A4982" s="1">
        <f t="shared" si="714"/>
        <v>45564</v>
      </c>
      <c r="B4982" s="31">
        <f t="shared" ref="B4982" si="720">TIME(12,39,0)</f>
        <v>0.52708333333333335</v>
      </c>
      <c r="C4982" t="str">
        <f>'Inventory as of 12th Aug 2024'!A83</f>
        <v>omo 75g</v>
      </c>
      <c r="D4982">
        <v>1</v>
      </c>
      <c r="E4982" s="5">
        <f>Table4[[#This Row],[qty]]*(VLOOKUP(Table4[[#This Row],[item_sold]],Table1[],5,FALSE))</f>
        <v>35</v>
      </c>
      <c r="F4982" s="5">
        <f>(VLOOKUP(Table4[[#This Row],[item_sold]],Table1[],4,FALSE))*Table4[[#This Row],[qty]]</f>
        <v>27.5</v>
      </c>
      <c r="G4982">
        <f t="shared" si="711"/>
        <v>7.5</v>
      </c>
      <c r="H4982" t="s">
        <v>361</v>
      </c>
    </row>
    <row r="4983" spans="1:9" x14ac:dyDescent="0.25">
      <c r="A4983" s="1">
        <f t="shared" si="714"/>
        <v>45564</v>
      </c>
      <c r="B4983" s="31">
        <f>TIME(1,12,0)</f>
        <v>4.9999999999999996E-2</v>
      </c>
      <c r="C4983" t="str">
        <f>'Inventory as of 12th Aug 2024'!A16</f>
        <v>Mt kenya milk 500ml</v>
      </c>
      <c r="D4983">
        <v>1</v>
      </c>
      <c r="E4983" s="5">
        <f>Table4[[#This Row],[qty]]*(VLOOKUP(Table4[[#This Row],[item_sold]],Table1[],5,FALSE))</f>
        <v>65</v>
      </c>
      <c r="F4983" s="5">
        <f>(VLOOKUP(Table4[[#This Row],[item_sold]],Table1[],4,FALSE))*Table4[[#This Row],[qty]]</f>
        <v>48.333333333333336</v>
      </c>
      <c r="G4983">
        <f t="shared" si="711"/>
        <v>16.666666666666664</v>
      </c>
      <c r="H4983" t="s">
        <v>247</v>
      </c>
    </row>
    <row r="4984" spans="1:9" x14ac:dyDescent="0.25">
      <c r="A4984" s="1">
        <f t="shared" si="714"/>
        <v>45564</v>
      </c>
      <c r="B4984" s="31">
        <f t="shared" ref="B4984:B4986" si="721">TIME(1,12,0)</f>
        <v>4.9999999999999996E-2</v>
      </c>
      <c r="C4984" t="str">
        <f>'Inventory as of 12th Aug 2024'!A37</f>
        <v>Festive Bread 400g</v>
      </c>
      <c r="D4984">
        <v>1</v>
      </c>
      <c r="E4984" s="5">
        <f>Table4[[#This Row],[qty]]*(VLOOKUP(Table4[[#This Row],[item_sold]],Table1[],5,FALSE))</f>
        <v>65</v>
      </c>
      <c r="F4984" s="5">
        <f>(VLOOKUP(Table4[[#This Row],[item_sold]],Table1[],4,FALSE))*Table4[[#This Row],[qty]]</f>
        <v>60</v>
      </c>
      <c r="G4984">
        <f t="shared" si="711"/>
        <v>5</v>
      </c>
      <c r="H4984" t="s">
        <v>247</v>
      </c>
    </row>
    <row r="4985" spans="1:9" x14ac:dyDescent="0.25">
      <c r="A4985" s="1">
        <f t="shared" si="714"/>
        <v>45564</v>
      </c>
      <c r="B4985" s="31">
        <f t="shared" si="721"/>
        <v>4.9999999999999996E-2</v>
      </c>
      <c r="C4985" t="str">
        <f>'Inventory as of 12th Aug 2024'!A212</f>
        <v>soda 300ml glass</v>
      </c>
      <c r="D4985">
        <v>1</v>
      </c>
      <c r="E4985" s="5">
        <f>Table4[[#This Row],[qty]]*(VLOOKUP(Table4[[#This Row],[item_sold]],Table1[],5,FALSE))</f>
        <v>40</v>
      </c>
      <c r="F4985" s="5">
        <f>(VLOOKUP(Table4[[#This Row],[item_sold]],Table1[],4,FALSE))*Table4[[#This Row],[qty]]</f>
        <v>32.5</v>
      </c>
      <c r="G4985">
        <f t="shared" si="711"/>
        <v>7.5</v>
      </c>
      <c r="H4985" t="s">
        <v>247</v>
      </c>
    </row>
    <row r="4986" spans="1:9" x14ac:dyDescent="0.25">
      <c r="A4986" s="1">
        <f t="shared" si="714"/>
        <v>45564</v>
      </c>
      <c r="B4986" s="31">
        <f t="shared" si="721"/>
        <v>4.9999999999999996E-2</v>
      </c>
      <c r="C4986" t="str">
        <f>'Inventory as of 12th Aug 2024'!A33</f>
        <v>BB Bread 400g</v>
      </c>
      <c r="D4986">
        <v>1</v>
      </c>
      <c r="E4986" s="5">
        <f>Table4[[#This Row],[qty]]*(VLOOKUP(Table4[[#This Row],[item_sold]],Table1[],5,FALSE))</f>
        <v>65</v>
      </c>
      <c r="F4986" s="5">
        <f>(VLOOKUP(Table4[[#This Row],[item_sold]],Table1[],4,FALSE))*Table4[[#This Row],[qty]]</f>
        <v>60</v>
      </c>
      <c r="G4986">
        <f t="shared" si="711"/>
        <v>5</v>
      </c>
      <c r="H4986" t="s">
        <v>247</v>
      </c>
    </row>
    <row r="4987" spans="1:9" x14ac:dyDescent="0.25">
      <c r="A4987" s="1">
        <f t="shared" si="714"/>
        <v>45564</v>
      </c>
      <c r="B4987" s="31">
        <f>TIME(1,26,0)</f>
        <v>5.9722222222222225E-2</v>
      </c>
      <c r="C4987" t="str">
        <f>'Inventory as of 12th Aug 2024'!A212</f>
        <v>soda 300ml glass</v>
      </c>
      <c r="D4987">
        <v>1</v>
      </c>
      <c r="E4987" s="5">
        <f>Table4[[#This Row],[qty]]*(VLOOKUP(Table4[[#This Row],[item_sold]],Table1[],5,FALSE))</f>
        <v>40</v>
      </c>
      <c r="F4987" s="5">
        <f>(VLOOKUP(Table4[[#This Row],[item_sold]],Table1[],4,FALSE))*Table4[[#This Row],[qty]]</f>
        <v>32.5</v>
      </c>
      <c r="G4987">
        <f t="shared" si="711"/>
        <v>7.5</v>
      </c>
      <c r="H4987" t="s">
        <v>361</v>
      </c>
    </row>
    <row r="4988" spans="1:9" x14ac:dyDescent="0.25">
      <c r="A4988" s="1">
        <f t="shared" si="714"/>
        <v>45564</v>
      </c>
      <c r="B4988" s="31">
        <f t="shared" ref="B4988" si="722">TIME(1,26,0)</f>
        <v>5.9722222222222225E-2</v>
      </c>
      <c r="C4988" t="str">
        <f>'Inventory as of 12th Aug 2024'!A37</f>
        <v>Festive Bread 400g</v>
      </c>
      <c r="D4988">
        <v>1</v>
      </c>
      <c r="E4988" s="5">
        <f>Table4[[#This Row],[qty]]*(VLOOKUP(Table4[[#This Row],[item_sold]],Table1[],5,FALSE))</f>
        <v>65</v>
      </c>
      <c r="F4988" s="5">
        <f>(VLOOKUP(Table4[[#This Row],[item_sold]],Table1[],4,FALSE))*Table4[[#This Row],[qty]]</f>
        <v>60</v>
      </c>
      <c r="G4988">
        <f t="shared" si="711"/>
        <v>5</v>
      </c>
      <c r="H4988" t="s">
        <v>361</v>
      </c>
    </row>
    <row r="4989" spans="1:9" x14ac:dyDescent="0.25">
      <c r="A4989" s="1">
        <f t="shared" si="714"/>
        <v>45564</v>
      </c>
      <c r="B4989" s="31">
        <f>TIME(1,29,0)</f>
        <v>6.1805555555555558E-2</v>
      </c>
      <c r="C4989" t="str">
        <f>'Inventory as of 12th Aug 2024'!A42</f>
        <v>Indomie chicken</v>
      </c>
      <c r="D4989">
        <v>4</v>
      </c>
      <c r="E4989" s="5">
        <f>Table4[[#This Row],[qty]]*(VLOOKUP(Table4[[#This Row],[item_sold]],Table1[],5,FALSE))</f>
        <v>200</v>
      </c>
      <c r="F4989" s="5">
        <f>(VLOOKUP(Table4[[#This Row],[item_sold]],Table1[],4,FALSE))*Table4[[#This Row],[qty]]</f>
        <v>150</v>
      </c>
      <c r="G4989">
        <f t="shared" si="711"/>
        <v>50</v>
      </c>
      <c r="H4989" s="25" t="s">
        <v>361</v>
      </c>
    </row>
    <row r="4990" spans="1:9" x14ac:dyDescent="0.25">
      <c r="A4990" s="1">
        <f t="shared" si="714"/>
        <v>45564</v>
      </c>
      <c r="B4990" s="31">
        <f t="shared" ref="B4990" si="723">TIME(1,29,0)</f>
        <v>6.1805555555555558E-2</v>
      </c>
      <c r="C4990" t="str">
        <f>'Inventory as of 12th Aug 2024'!A183</f>
        <v>T.Heat Potato crisps Tomato 25g</v>
      </c>
      <c r="D4990">
        <v>2</v>
      </c>
      <c r="E4990" s="5">
        <f>Table4[[#This Row],[qty]]*(VLOOKUP(Table4[[#This Row],[item_sold]],Table1[],5,FALSE))</f>
        <v>60</v>
      </c>
      <c r="F4990" s="5">
        <f>(VLOOKUP(Table4[[#This Row],[item_sold]],Table1[],4,FALSE))*Table4[[#This Row],[qty]]</f>
        <v>45.833333333333336</v>
      </c>
      <c r="G4990">
        <f t="shared" si="711"/>
        <v>14.166666666666664</v>
      </c>
      <c r="H4990" t="s">
        <v>361</v>
      </c>
    </row>
    <row r="4991" spans="1:9" x14ac:dyDescent="0.25">
      <c r="A4991" s="1">
        <f t="shared" si="714"/>
        <v>45564</v>
      </c>
      <c r="B4991" s="31">
        <f>TIME(14,0,0)</f>
        <v>0.58333333333333337</v>
      </c>
      <c r="C4991" t="str">
        <f>'Inventory as of 12th Aug 2024'!A120</f>
        <v>Maramoja</v>
      </c>
      <c r="D4991">
        <v>1</v>
      </c>
      <c r="E4991" s="5">
        <f>Table4[[#This Row],[qty]]*(VLOOKUP(Table4[[#This Row],[item_sold]],Table1[],5,FALSE))</f>
        <v>10</v>
      </c>
      <c r="F4991" s="5">
        <f>(VLOOKUP(Table4[[#This Row],[item_sold]],Table1[],4,FALSE))*Table4[[#This Row],[qty]]</f>
        <v>7</v>
      </c>
      <c r="G4991">
        <f t="shared" si="711"/>
        <v>3</v>
      </c>
      <c r="H4991" t="s">
        <v>361</v>
      </c>
    </row>
    <row r="4992" spans="1:9" x14ac:dyDescent="0.25">
      <c r="A4992" s="1">
        <f t="shared" si="714"/>
        <v>45564</v>
      </c>
      <c r="B4992" s="31">
        <f t="shared" ref="B4992" si="724">TIME(14,0,0)</f>
        <v>0.58333333333333337</v>
      </c>
      <c r="C4992" t="str">
        <f>'Inventory as of 12th Aug 2024'!A213</f>
        <v>soda 500ml glass</v>
      </c>
      <c r="D4992">
        <v>1</v>
      </c>
      <c r="E4992" s="5">
        <f>Table4[[#This Row],[qty]]*(VLOOKUP(Table4[[#This Row],[item_sold]],Table1[],5,FALSE))</f>
        <v>55</v>
      </c>
      <c r="F4992" s="5">
        <f>(VLOOKUP(Table4[[#This Row],[item_sold]],Table1[],4,FALSE))*Table4[[#This Row],[qty]]</f>
        <v>50</v>
      </c>
      <c r="G4992">
        <f t="shared" si="711"/>
        <v>5</v>
      </c>
      <c r="H4992" t="s">
        <v>361</v>
      </c>
    </row>
    <row r="4993" spans="1:12" x14ac:dyDescent="0.25">
      <c r="A4993" s="1">
        <f t="shared" si="714"/>
        <v>45564</v>
      </c>
      <c r="B4993" s="31">
        <f>TIME(14,1,0)</f>
        <v>0.58402777777777781</v>
      </c>
      <c r="C4993" t="str">
        <f>'Inventory as of 12th Aug 2024'!A58</f>
        <v>Safari</v>
      </c>
      <c r="D4993">
        <v>1</v>
      </c>
      <c r="E4993" s="5">
        <f>Table4[[#This Row],[qty]]*(VLOOKUP(Table4[[#This Row],[item_sold]],Table1[],5,FALSE))</f>
        <v>15</v>
      </c>
      <c r="F4993" s="5">
        <f>(VLOOKUP(Table4[[#This Row],[item_sold]],Table1[],4,FALSE))*Table4[[#This Row],[qty]]</f>
        <v>8.5</v>
      </c>
      <c r="G4993">
        <f t="shared" si="711"/>
        <v>6.5</v>
      </c>
      <c r="H4993" t="s">
        <v>361</v>
      </c>
    </row>
    <row r="4994" spans="1:12" x14ac:dyDescent="0.25">
      <c r="A4994" s="1">
        <f t="shared" si="714"/>
        <v>45564</v>
      </c>
      <c r="B4994" s="31">
        <f>TIME(14,37,0)</f>
        <v>0.60902777777777783</v>
      </c>
      <c r="C4994" t="str">
        <f>'Inventory as of 12th Aug 2024'!A204</f>
        <v>soda 2lts</v>
      </c>
      <c r="D4994">
        <v>1</v>
      </c>
      <c r="E4994" s="5">
        <f>Table4[[#This Row],[qty]]*(VLOOKUP(Table4[[#This Row],[item_sold]],Table1[],5,FALSE))</f>
        <v>200</v>
      </c>
      <c r="F4994" s="5">
        <f>(VLOOKUP(Table4[[#This Row],[item_sold]],Table1[],4,FALSE))*Table4[[#This Row],[qty]]</f>
        <v>176.66666666666666</v>
      </c>
      <c r="G4994">
        <f t="shared" si="711"/>
        <v>23.333333333333343</v>
      </c>
      <c r="H4994" t="s">
        <v>361</v>
      </c>
    </row>
    <row r="4995" spans="1:12" x14ac:dyDescent="0.25">
      <c r="A4995" s="1">
        <f t="shared" si="714"/>
        <v>45564</v>
      </c>
      <c r="B4995" s="31">
        <f t="shared" ref="B4995" si="725">TIME(14,37,0)</f>
        <v>0.60902777777777783</v>
      </c>
      <c r="C4995" t="str">
        <f>'Inventory as of 12th Aug 2024'!A41</f>
        <v>Indomie beef</v>
      </c>
      <c r="D4995">
        <v>4</v>
      </c>
      <c r="E4995" s="5">
        <f>Table4[[#This Row],[qty]]*(VLOOKUP(Table4[[#This Row],[item_sold]],Table1[],5,FALSE))</f>
        <v>200</v>
      </c>
      <c r="F4995" s="5">
        <f>(VLOOKUP(Table4[[#This Row],[item_sold]],Table1[],4,FALSE))*Table4[[#This Row],[qty]]</f>
        <v>152</v>
      </c>
      <c r="G4995">
        <f t="shared" si="711"/>
        <v>48</v>
      </c>
      <c r="H4995" t="s">
        <v>361</v>
      </c>
      <c r="I4995" t="s">
        <v>589</v>
      </c>
      <c r="J4995" t="s">
        <v>589</v>
      </c>
      <c r="K4995">
        <v>190</v>
      </c>
      <c r="L4995" t="s">
        <v>361</v>
      </c>
    </row>
    <row r="4996" spans="1:12" x14ac:dyDescent="0.25">
      <c r="A4996" s="1">
        <f t="shared" si="714"/>
        <v>45564</v>
      </c>
      <c r="B4996" s="31">
        <f>TIME(14,43,0)</f>
        <v>0.61319444444444449</v>
      </c>
      <c r="C4996" t="str">
        <f>'Inventory as of 12th Aug 2024'!A158</f>
        <v>Vaseline</v>
      </c>
      <c r="D4996">
        <v>1</v>
      </c>
      <c r="E4996" s="5">
        <f>Table4[[#This Row],[qty]]*(VLOOKUP(Table4[[#This Row],[item_sold]],Table1[],5,FALSE))</f>
        <v>40</v>
      </c>
      <c r="F4996" s="5">
        <f>(VLOOKUP(Table4[[#This Row],[item_sold]],Table1[],4,FALSE))*Table4[[#This Row],[qty]]</f>
        <v>30</v>
      </c>
      <c r="G4996">
        <f t="shared" si="711"/>
        <v>10</v>
      </c>
      <c r="H4996" t="s">
        <v>430</v>
      </c>
      <c r="I4996" t="s">
        <v>460</v>
      </c>
    </row>
    <row r="4997" spans="1:12" x14ac:dyDescent="0.25">
      <c r="A4997" s="1">
        <f t="shared" si="714"/>
        <v>45564</v>
      </c>
      <c r="B4997" s="31">
        <f t="shared" ref="B4997:B4998" si="726">TIME(14,43,0)</f>
        <v>0.61319444444444449</v>
      </c>
      <c r="C4997" t="str">
        <f>'Inventory as of 12th Aug 2024'!A234</f>
        <v>Bigdaddy</v>
      </c>
      <c r="D4997">
        <v>2</v>
      </c>
      <c r="E4997" s="5">
        <f>Table4[[#This Row],[qty]]*(VLOOKUP(Table4[[#This Row],[item_sold]],Table1[],5,FALSE))</f>
        <v>20</v>
      </c>
      <c r="F4997" s="5">
        <f>(VLOOKUP(Table4[[#This Row],[item_sold]],Table1[],4,FALSE))*Table4[[#This Row],[qty]]</f>
        <v>12</v>
      </c>
      <c r="G4997">
        <f t="shared" si="711"/>
        <v>8</v>
      </c>
      <c r="H4997" t="s">
        <v>430</v>
      </c>
      <c r="I4997" t="s">
        <v>460</v>
      </c>
    </row>
    <row r="4998" spans="1:12" x14ac:dyDescent="0.25">
      <c r="A4998" s="1">
        <f t="shared" si="714"/>
        <v>45564</v>
      </c>
      <c r="B4998" s="31">
        <f t="shared" si="726"/>
        <v>0.61319444444444449</v>
      </c>
      <c r="C4998" t="str">
        <f>'Inventory as of 12th Aug 2024'!A233</f>
        <v>Lollipop</v>
      </c>
      <c r="D4998">
        <v>1</v>
      </c>
      <c r="E4998" s="5">
        <f>Table4[[#This Row],[qty]]*(VLOOKUP(Table4[[#This Row],[item_sold]],Table1[],5,FALSE))</f>
        <v>5</v>
      </c>
      <c r="F4998" s="5">
        <f>(VLOOKUP(Table4[[#This Row],[item_sold]],Table1[],4,FALSE))*Table4[[#This Row],[qty]]</f>
        <v>2.4</v>
      </c>
      <c r="G4998">
        <f t="shared" si="711"/>
        <v>2.6</v>
      </c>
      <c r="H4998" t="s">
        <v>430</v>
      </c>
      <c r="I4998" t="s">
        <v>460</v>
      </c>
    </row>
    <row r="4999" spans="1:12" x14ac:dyDescent="0.25">
      <c r="A4999" s="1">
        <f t="shared" si="714"/>
        <v>45564</v>
      </c>
      <c r="B4999" s="31">
        <f>TIME(15,13,0)</f>
        <v>0.63402777777777775</v>
      </c>
      <c r="C4999" t="str">
        <f>'Inventory as of 12th Aug 2024'!A232</f>
        <v>coo</v>
      </c>
      <c r="D4999">
        <v>4</v>
      </c>
      <c r="E4999" s="5">
        <f>Table4[[#This Row],[qty]]*(VLOOKUP(Table4[[#This Row],[item_sold]],Table1[],5,FALSE))</f>
        <v>10</v>
      </c>
      <c r="F4999" s="5">
        <f>(VLOOKUP(Table4[[#This Row],[item_sold]],Table1[],4,FALSE))*Table4[[#This Row],[qty]]</f>
        <v>4.8</v>
      </c>
      <c r="G4999">
        <f t="shared" si="711"/>
        <v>5.2</v>
      </c>
      <c r="H4999" t="s">
        <v>247</v>
      </c>
    </row>
    <row r="5000" spans="1:12" x14ac:dyDescent="0.25">
      <c r="A5000" s="1">
        <f t="shared" si="714"/>
        <v>45564</v>
      </c>
      <c r="B5000" s="31">
        <f t="shared" ref="B5000:B5001" si="727">TIME(15,13,0)</f>
        <v>0.63402777777777775</v>
      </c>
      <c r="C5000" t="str">
        <f>'Inventory as of 12th Aug 2024'!A16</f>
        <v>Mt kenya milk 500ml</v>
      </c>
      <c r="D5000">
        <v>1</v>
      </c>
      <c r="E5000" s="5">
        <f>Table4[[#This Row],[qty]]*(VLOOKUP(Table4[[#This Row],[item_sold]],Table1[],5,FALSE))</f>
        <v>65</v>
      </c>
      <c r="F5000" s="5">
        <f>(VLOOKUP(Table4[[#This Row],[item_sold]],Table1[],4,FALSE))*Table4[[#This Row],[qty]]</f>
        <v>48.333333333333336</v>
      </c>
      <c r="G5000">
        <f t="shared" si="711"/>
        <v>16.666666666666664</v>
      </c>
      <c r="H5000" t="s">
        <v>247</v>
      </c>
    </row>
    <row r="5001" spans="1:12" x14ac:dyDescent="0.25">
      <c r="A5001" s="1">
        <f t="shared" si="714"/>
        <v>45564</v>
      </c>
      <c r="B5001" s="31">
        <f t="shared" si="727"/>
        <v>0.63402777777777775</v>
      </c>
      <c r="C5001" t="str">
        <f>'Inventory as of 12th Aug 2024'!A33</f>
        <v>BB Bread 400g</v>
      </c>
      <c r="D5001">
        <v>1</v>
      </c>
      <c r="E5001" s="5">
        <f>Table4[[#This Row],[qty]]*(VLOOKUP(Table4[[#This Row],[item_sold]],Table1[],5,FALSE))</f>
        <v>65</v>
      </c>
      <c r="F5001" s="5">
        <f>(VLOOKUP(Table4[[#This Row],[item_sold]],Table1[],4,FALSE))*Table4[[#This Row],[qty]]</f>
        <v>60</v>
      </c>
      <c r="G5001">
        <f t="shared" si="711"/>
        <v>5</v>
      </c>
      <c r="H5001" t="s">
        <v>247</v>
      </c>
    </row>
    <row r="5002" spans="1:12" x14ac:dyDescent="0.25">
      <c r="A5002" s="1">
        <f t="shared" si="714"/>
        <v>45564</v>
      </c>
      <c r="B5002" s="31">
        <f>TIME(15,18,0)</f>
        <v>0.63750000000000007</v>
      </c>
      <c r="C5002" t="str">
        <f>'Inventory as of 12th Aug 2024'!A212</f>
        <v>soda 300ml glass</v>
      </c>
      <c r="D5002">
        <v>2</v>
      </c>
      <c r="E5002" s="5">
        <f>Table4[[#This Row],[qty]]*(VLOOKUP(Table4[[#This Row],[item_sold]],Table1[],5,FALSE))</f>
        <v>80</v>
      </c>
      <c r="F5002" s="5">
        <f>(VLOOKUP(Table4[[#This Row],[item_sold]],Table1[],4,FALSE))*Table4[[#This Row],[qty]]</f>
        <v>65</v>
      </c>
      <c r="G5002">
        <f t="shared" si="711"/>
        <v>15</v>
      </c>
      <c r="H5002" t="s">
        <v>361</v>
      </c>
    </row>
    <row r="5003" spans="1:12" x14ac:dyDescent="0.25">
      <c r="A5003" s="1">
        <f t="shared" si="714"/>
        <v>45564</v>
      </c>
      <c r="B5003" s="31">
        <f t="shared" ref="B5003:B5004" si="728">TIME(15,18,0)</f>
        <v>0.63750000000000007</v>
      </c>
      <c r="C5003" t="str">
        <f>'Inventory as of 12th Aug 2024'!A208</f>
        <v>minutemaid 400ml</v>
      </c>
      <c r="D5003">
        <v>1</v>
      </c>
      <c r="E5003" s="5">
        <f>Table4[[#This Row],[qty]]*(VLOOKUP(Table4[[#This Row],[item_sold]],Table1[],5,FALSE))</f>
        <v>85</v>
      </c>
      <c r="F5003" s="5">
        <f>(VLOOKUP(Table4[[#This Row],[item_sold]],Table1[],4,FALSE))*Table4[[#This Row],[qty]]</f>
        <v>62.5</v>
      </c>
      <c r="G5003">
        <f t="shared" si="711"/>
        <v>22.5</v>
      </c>
      <c r="H5003" t="s">
        <v>361</v>
      </c>
    </row>
    <row r="5004" spans="1:12" x14ac:dyDescent="0.25">
      <c r="A5004" s="1">
        <f t="shared" si="714"/>
        <v>45564</v>
      </c>
      <c r="B5004" s="31">
        <f t="shared" si="728"/>
        <v>0.63750000000000007</v>
      </c>
      <c r="C5004" t="str">
        <f>'Inventory as of 12th Aug 2024'!A10</f>
        <v>Mt Kenya milk 200ml</v>
      </c>
      <c r="D5004">
        <v>1</v>
      </c>
      <c r="E5004" s="5">
        <f>Table4[[#This Row],[qty]]*(VLOOKUP(Table4[[#This Row],[item_sold]],Table1[],5,FALSE))</f>
        <v>35</v>
      </c>
      <c r="F5004" s="5">
        <f>(VLOOKUP(Table4[[#This Row],[item_sold]],Table1[],4,FALSE))*Table4[[#This Row],[qty]]</f>
        <v>24.285714285714285</v>
      </c>
      <c r="G5004">
        <f t="shared" si="711"/>
        <v>10.714285714285715</v>
      </c>
      <c r="H5004" t="s">
        <v>361</v>
      </c>
    </row>
    <row r="5005" spans="1:12" x14ac:dyDescent="0.25">
      <c r="A5005" s="1">
        <f t="shared" si="714"/>
        <v>45564</v>
      </c>
      <c r="B5005" s="31">
        <f>TIME(15,22,0)</f>
        <v>0.64027777777777783</v>
      </c>
      <c r="C5005" t="str">
        <f>'Inventory as of 12th Aug 2024'!A191</f>
        <v>Nuvita Bisquit</v>
      </c>
      <c r="D5005">
        <v>2</v>
      </c>
      <c r="E5005" s="5">
        <f>Table4[[#This Row],[qty]]*(VLOOKUP(Table4[[#This Row],[item_sold]],Table1[],5,FALSE))</f>
        <v>10</v>
      </c>
      <c r="F5005" s="5">
        <f>(VLOOKUP(Table4[[#This Row],[item_sold]],Table1[],4,FALSE))*Table4[[#This Row],[qty]]</f>
        <v>8.3333333333333339</v>
      </c>
      <c r="G5005">
        <f t="shared" si="711"/>
        <v>1.6666666666666661</v>
      </c>
      <c r="H5005" t="s">
        <v>361</v>
      </c>
    </row>
    <row r="5006" spans="1:12" x14ac:dyDescent="0.25">
      <c r="A5006" s="1">
        <f t="shared" si="714"/>
        <v>45564</v>
      </c>
      <c r="B5006" s="31">
        <f>TIME(15,51,0)</f>
        <v>0.66041666666666665</v>
      </c>
      <c r="C5006" t="str">
        <f>'Inventory as of 12th Aug 2024'!A177</f>
        <v>Ringoz Barbeque</v>
      </c>
      <c r="D5006">
        <v>1</v>
      </c>
      <c r="E5006" s="5">
        <f>Table4[[#This Row],[qty]]*(VLOOKUP(Table4[[#This Row],[item_sold]],Table1[],5,FALSE))</f>
        <v>15</v>
      </c>
      <c r="F5006" s="5">
        <f>(VLOOKUP(Table4[[#This Row],[item_sold]],Table1[],4,FALSE))*Table4[[#This Row],[qty]]</f>
        <v>8.6</v>
      </c>
      <c r="G5006">
        <f t="shared" si="711"/>
        <v>6.4</v>
      </c>
      <c r="H5006" t="s">
        <v>361</v>
      </c>
    </row>
    <row r="5007" spans="1:12" x14ac:dyDescent="0.25">
      <c r="A5007" s="1">
        <f t="shared" si="714"/>
        <v>45564</v>
      </c>
      <c r="B5007" s="31">
        <f>TIME(16,30,0)</f>
        <v>0.6875</v>
      </c>
      <c r="C5007" t="str">
        <f>'Inventory as of 12th Aug 2024'!A75</f>
        <v>Cooking Oil Measured</v>
      </c>
      <c r="D5007">
        <v>0.25</v>
      </c>
      <c r="E5007" s="5">
        <f>Table4[[#This Row],[qty]]*(VLOOKUP(Table4[[#This Row],[item_sold]],Table1[],5,FALSE))</f>
        <v>70</v>
      </c>
      <c r="F5007" s="5">
        <f>(VLOOKUP(Table4[[#This Row],[item_sold]],Table1[],4,FALSE))*Table4[[#This Row],[qty]]</f>
        <v>50</v>
      </c>
      <c r="G5007">
        <f t="shared" si="711"/>
        <v>20</v>
      </c>
      <c r="H5007" t="s">
        <v>430</v>
      </c>
      <c r="I5007" t="s">
        <v>398</v>
      </c>
    </row>
    <row r="5008" spans="1:12" x14ac:dyDescent="0.25">
      <c r="A5008" s="1">
        <f t="shared" si="714"/>
        <v>45564</v>
      </c>
      <c r="B5008" s="31">
        <f>TIME(17,52,0)</f>
        <v>0.74444444444444446</v>
      </c>
      <c r="C5008" t="str">
        <f>'Inventory as of 12th Aug 2024'!A16</f>
        <v>Mt kenya milk 500ml</v>
      </c>
      <c r="D5008">
        <v>1</v>
      </c>
      <c r="E5008" s="5">
        <f>Table4[[#This Row],[qty]]*(VLOOKUP(Table4[[#This Row],[item_sold]],Table1[],5,FALSE))</f>
        <v>65</v>
      </c>
      <c r="F5008" s="5">
        <f>(VLOOKUP(Table4[[#This Row],[item_sold]],Table1[],4,FALSE))*Table4[[#This Row],[qty]]</f>
        <v>48.333333333333336</v>
      </c>
      <c r="G5008">
        <f t="shared" si="711"/>
        <v>16.666666666666664</v>
      </c>
      <c r="H5008" t="s">
        <v>361</v>
      </c>
    </row>
    <row r="5009" spans="1:9" x14ac:dyDescent="0.25">
      <c r="A5009" s="1">
        <f t="shared" si="714"/>
        <v>45564</v>
      </c>
      <c r="B5009" s="31">
        <f t="shared" ref="B5009" si="729">TIME(17,52,0)</f>
        <v>0.74444444444444446</v>
      </c>
      <c r="C5009" t="str">
        <f>'Inventory as of 12th Aug 2024'!A33</f>
        <v>BB Bread 400g</v>
      </c>
      <c r="D5009">
        <v>1</v>
      </c>
      <c r="E5009" s="5">
        <f>Table4[[#This Row],[qty]]*(VLOOKUP(Table4[[#This Row],[item_sold]],Table1[],5,FALSE))</f>
        <v>65</v>
      </c>
      <c r="F5009" s="5">
        <f>(VLOOKUP(Table4[[#This Row],[item_sold]],Table1[],4,FALSE))*Table4[[#This Row],[qty]]</f>
        <v>60</v>
      </c>
      <c r="G5009">
        <f t="shared" si="711"/>
        <v>5</v>
      </c>
      <c r="H5009" t="s">
        <v>361</v>
      </c>
    </row>
    <row r="5010" spans="1:9" x14ac:dyDescent="0.25">
      <c r="A5010" s="1">
        <f t="shared" si="714"/>
        <v>45564</v>
      </c>
      <c r="B5010" s="31">
        <f>TIME(18,5,0)</f>
        <v>0.75347222222222221</v>
      </c>
      <c r="C5010" t="str">
        <f>'Inventory as of 12th Aug 2024'!A58</f>
        <v>Safari</v>
      </c>
      <c r="D5010">
        <v>1</v>
      </c>
      <c r="E5010" s="5">
        <f>Table4[[#This Row],[qty]]*(VLOOKUP(Table4[[#This Row],[item_sold]],Table1[],5,FALSE))</f>
        <v>15</v>
      </c>
      <c r="F5010" s="5">
        <f>(VLOOKUP(Table4[[#This Row],[item_sold]],Table1[],4,FALSE))*Table4[[#This Row],[qty]]</f>
        <v>8.5</v>
      </c>
      <c r="G5010">
        <f t="shared" si="711"/>
        <v>6.5</v>
      </c>
      <c r="H5010" t="s">
        <v>361</v>
      </c>
    </row>
    <row r="5011" spans="1:9" x14ac:dyDescent="0.25">
      <c r="A5011" s="1">
        <f t="shared" si="714"/>
        <v>45564</v>
      </c>
      <c r="B5011" s="31">
        <f>TIME(18,3,0)</f>
        <v>0.75208333333333333</v>
      </c>
      <c r="C5011" t="str">
        <f>'Inventory as of 12th Aug 2024'!A16</f>
        <v>Mt kenya milk 500ml</v>
      </c>
      <c r="D5011">
        <v>1</v>
      </c>
      <c r="E5011" s="5">
        <f>Table4[[#This Row],[qty]]*(VLOOKUP(Table4[[#This Row],[item_sold]],Table1[],5,FALSE))</f>
        <v>65</v>
      </c>
      <c r="F5011" s="5">
        <f>(VLOOKUP(Table4[[#This Row],[item_sold]],Table1[],4,FALSE))*Table4[[#This Row],[qty]]</f>
        <v>48.333333333333336</v>
      </c>
      <c r="G5011">
        <f t="shared" si="711"/>
        <v>16.666666666666664</v>
      </c>
      <c r="H5011" t="s">
        <v>430</v>
      </c>
      <c r="I5011" t="s">
        <v>455</v>
      </c>
    </row>
    <row r="5012" spans="1:9" x14ac:dyDescent="0.25">
      <c r="A5012" s="1">
        <f t="shared" si="714"/>
        <v>45564</v>
      </c>
      <c r="B5012" s="31">
        <f>TIME(18,15,0)</f>
        <v>0.76041666666666663</v>
      </c>
      <c r="C5012" t="str">
        <f>'Inventory as of 12th Aug 2024'!A33</f>
        <v>BB Bread 400g</v>
      </c>
      <c r="D5012">
        <v>1</v>
      </c>
      <c r="E5012" s="5">
        <f>Table4[[#This Row],[qty]]*(VLOOKUP(Table4[[#This Row],[item_sold]],Table1[],5,FALSE))</f>
        <v>65</v>
      </c>
      <c r="F5012" s="5">
        <f>(VLOOKUP(Table4[[#This Row],[item_sold]],Table1[],4,FALSE))*Table4[[#This Row],[qty]]</f>
        <v>60</v>
      </c>
      <c r="G5012">
        <f t="shared" ref="G5012:G5075" si="730">E5012-F5012</f>
        <v>5</v>
      </c>
      <c r="H5012" t="s">
        <v>430</v>
      </c>
      <c r="I5012" t="s">
        <v>459</v>
      </c>
    </row>
    <row r="5013" spans="1:9" x14ac:dyDescent="0.25">
      <c r="A5013" s="1">
        <f t="shared" si="714"/>
        <v>45564</v>
      </c>
      <c r="B5013" s="31">
        <f>TIME(18,18,0)</f>
        <v>0.76250000000000007</v>
      </c>
      <c r="C5013" t="str">
        <f>'Inventory as of 12th Aug 2024'!A8</f>
        <v>eggs</v>
      </c>
      <c r="D5013">
        <v>5</v>
      </c>
      <c r="E5013" s="5">
        <f>Table4[[#This Row],[qty]]*(VLOOKUP(Table4[[#This Row],[item_sold]],Table1[],5,FALSE))</f>
        <v>100</v>
      </c>
      <c r="F5013" s="5">
        <f>(VLOOKUP(Table4[[#This Row],[item_sold]],Table1[],4,FALSE))*Table4[[#This Row],[qty]]</f>
        <v>71.666666666666671</v>
      </c>
      <c r="G5013">
        <f t="shared" si="730"/>
        <v>28.333333333333329</v>
      </c>
      <c r="H5013" t="s">
        <v>247</v>
      </c>
    </row>
    <row r="5014" spans="1:9" x14ac:dyDescent="0.25">
      <c r="A5014" s="1">
        <f t="shared" si="714"/>
        <v>45564</v>
      </c>
      <c r="B5014" s="31">
        <f>TIME(18,25,0)</f>
        <v>0.76736111111111116</v>
      </c>
      <c r="C5014" t="str">
        <f>'Inventory as of 12th Aug 2024'!A92</f>
        <v>Banana</v>
      </c>
      <c r="D5014">
        <v>5</v>
      </c>
      <c r="E5014" s="5">
        <f>Table4[[#This Row],[qty]]*(VLOOKUP(Table4[[#This Row],[item_sold]],Table1[],5,FALSE))</f>
        <v>50</v>
      </c>
      <c r="F5014" s="5">
        <f>(VLOOKUP(Table4[[#This Row],[item_sold]],Table1[],4,FALSE))*Table4[[#This Row],[qty]]</f>
        <v>41.666666666666671</v>
      </c>
      <c r="G5014">
        <f t="shared" si="730"/>
        <v>8.3333333333333286</v>
      </c>
      <c r="H5014" t="s">
        <v>247</v>
      </c>
    </row>
    <row r="5015" spans="1:9" x14ac:dyDescent="0.25">
      <c r="A5015" s="1">
        <f t="shared" si="714"/>
        <v>45564</v>
      </c>
      <c r="B5015" s="31">
        <f>TIME(18,25,0)</f>
        <v>0.76736111111111116</v>
      </c>
      <c r="C5015" t="str">
        <f>'Inventory as of 12th Aug 2024'!A234</f>
        <v>Bigdaddy</v>
      </c>
      <c r="D5015">
        <v>2</v>
      </c>
      <c r="E5015" s="5">
        <f>Table4[[#This Row],[qty]]*(VLOOKUP(Table4[[#This Row],[item_sold]],Table1[],5,FALSE))</f>
        <v>20</v>
      </c>
      <c r="F5015" s="5">
        <f>(VLOOKUP(Table4[[#This Row],[item_sold]],Table1[],4,FALSE))*Table4[[#This Row],[qty]]</f>
        <v>12</v>
      </c>
      <c r="G5015">
        <f t="shared" si="730"/>
        <v>8</v>
      </c>
      <c r="H5015" t="s">
        <v>361</v>
      </c>
    </row>
    <row r="5016" spans="1:9" x14ac:dyDescent="0.25">
      <c r="A5016" s="1">
        <f t="shared" si="714"/>
        <v>45564</v>
      </c>
      <c r="B5016" s="31">
        <f>TIME(18,50,0)</f>
        <v>0.78472222222222221</v>
      </c>
      <c r="C5016" t="str">
        <f>'Inventory as of 12th Aug 2024'!A58</f>
        <v>Safari</v>
      </c>
      <c r="D5016">
        <v>6</v>
      </c>
      <c r="E5016" s="5">
        <f>Table4[[#This Row],[qty]]*(VLOOKUP(Table4[[#This Row],[item_sold]],Table1[],5,FALSE))</f>
        <v>90</v>
      </c>
      <c r="F5016" s="5">
        <f>(VLOOKUP(Table4[[#This Row],[item_sold]],Table1[],4,FALSE))*Table4[[#This Row],[qty]]</f>
        <v>51</v>
      </c>
      <c r="G5016">
        <f t="shared" si="730"/>
        <v>39</v>
      </c>
      <c r="H5016" t="s">
        <v>361</v>
      </c>
    </row>
    <row r="5017" spans="1:9" x14ac:dyDescent="0.25">
      <c r="A5017" s="1">
        <f t="shared" si="714"/>
        <v>45564</v>
      </c>
      <c r="B5017" s="31">
        <f>TIME(19,1,0)</f>
        <v>0.79236111111111107</v>
      </c>
      <c r="C5017" s="25"/>
      <c r="D5017">
        <v>1</v>
      </c>
      <c r="E5017" s="5" t="e">
        <f>Table4[[#This Row],[qty]]*(VLOOKUP(Table4[[#This Row],[item_sold]],Table1[],5,FALSE))</f>
        <v>#N/A</v>
      </c>
      <c r="F5017" s="5" t="e">
        <f>(VLOOKUP(Table4[[#This Row],[item_sold]],Table1[],4,FALSE))*Table4[[#This Row],[qty]]</f>
        <v>#N/A</v>
      </c>
      <c r="G5017" t="e">
        <f t="shared" si="730"/>
        <v>#N/A</v>
      </c>
      <c r="H5017" t="s">
        <v>361</v>
      </c>
    </row>
    <row r="5018" spans="1:9" x14ac:dyDescent="0.25">
      <c r="A5018" s="1">
        <f t="shared" si="714"/>
        <v>45564</v>
      </c>
      <c r="B5018" s="31">
        <f>TIME(19,1,0)</f>
        <v>0.79236111111111107</v>
      </c>
      <c r="C5018" t="str">
        <f>'Inventory as of 12th Aug 2024'!A10</f>
        <v>Mt Kenya milk 200ml</v>
      </c>
      <c r="D5018">
        <v>1</v>
      </c>
      <c r="E5018" s="5">
        <f>Table4[[#This Row],[qty]]*(VLOOKUP(Table4[[#This Row],[item_sold]],Table1[],5,FALSE))</f>
        <v>35</v>
      </c>
      <c r="F5018" s="5">
        <f>(VLOOKUP(Table4[[#This Row],[item_sold]],Table1[],4,FALSE))*Table4[[#This Row],[qty]]</f>
        <v>24.285714285714285</v>
      </c>
      <c r="G5018">
        <f t="shared" si="730"/>
        <v>10.714285714285715</v>
      </c>
      <c r="H5018" t="s">
        <v>361</v>
      </c>
    </row>
    <row r="5019" spans="1:9" x14ac:dyDescent="0.25">
      <c r="A5019" s="1">
        <f t="shared" si="714"/>
        <v>45564</v>
      </c>
      <c r="B5019" s="31">
        <f>TIME(19,1,0)</f>
        <v>0.79236111111111107</v>
      </c>
      <c r="C5019" t="str">
        <f>'Inventory as of 12th Aug 2024'!A258</f>
        <v>Sunlight 25g</v>
      </c>
      <c r="D5019">
        <v>2</v>
      </c>
      <c r="E5019" s="5">
        <f>Table4[[#This Row],[qty]]*(VLOOKUP(Table4[[#This Row],[item_sold]],Table1[],5,FALSE))</f>
        <v>30</v>
      </c>
      <c r="F5019" s="5">
        <f>(VLOOKUP(Table4[[#This Row],[item_sold]],Table1[],4,FALSE))*Table4[[#This Row],[qty]]</f>
        <v>16.666666666666668</v>
      </c>
      <c r="G5019">
        <f t="shared" si="730"/>
        <v>13.333333333333332</v>
      </c>
      <c r="H5019" t="s">
        <v>361</v>
      </c>
    </row>
    <row r="5020" spans="1:9" x14ac:dyDescent="0.25">
      <c r="A5020" s="1">
        <f t="shared" si="714"/>
        <v>45564</v>
      </c>
      <c r="B5020" s="31">
        <f>TIME(19,15,0)</f>
        <v>0.80208333333333337</v>
      </c>
      <c r="C5020" t="str">
        <f>'Inventory as of 12th Aug 2024'!A234</f>
        <v>Bigdaddy</v>
      </c>
      <c r="D5020">
        <v>2</v>
      </c>
      <c r="E5020" s="5">
        <f>Table4[[#This Row],[qty]]*(VLOOKUP(Table4[[#This Row],[item_sold]],Table1[],5,FALSE))</f>
        <v>20</v>
      </c>
      <c r="F5020" s="5">
        <f>(VLOOKUP(Table4[[#This Row],[item_sold]],Table1[],4,FALSE))*Table4[[#This Row],[qty]]</f>
        <v>12</v>
      </c>
      <c r="G5020">
        <f t="shared" si="730"/>
        <v>8</v>
      </c>
      <c r="H5020" t="s">
        <v>247</v>
      </c>
    </row>
    <row r="5021" spans="1:9" x14ac:dyDescent="0.25">
      <c r="A5021" s="1">
        <f t="shared" si="714"/>
        <v>45564</v>
      </c>
      <c r="B5021" s="31">
        <f>TIME(19,15,0)</f>
        <v>0.80208333333333337</v>
      </c>
      <c r="C5021" t="str">
        <f>'Inventory as of 12th Aug 2024'!A191</f>
        <v>Nuvita Bisquit</v>
      </c>
      <c r="D5021">
        <v>2</v>
      </c>
      <c r="E5021" s="5">
        <f>Table4[[#This Row],[qty]]*(VLOOKUP(Table4[[#This Row],[item_sold]],Table1[],5,FALSE))</f>
        <v>10</v>
      </c>
      <c r="F5021" s="5">
        <f>(VLOOKUP(Table4[[#This Row],[item_sold]],Table1[],4,FALSE))*Table4[[#This Row],[qty]]</f>
        <v>8.3333333333333339</v>
      </c>
      <c r="G5021">
        <f t="shared" si="730"/>
        <v>1.6666666666666661</v>
      </c>
      <c r="H5021" t="s">
        <v>361</v>
      </c>
    </row>
    <row r="5022" spans="1:9" x14ac:dyDescent="0.25">
      <c r="A5022" s="1">
        <f t="shared" ref="A5022:A5032" si="731">DATE(2024,9,29)</f>
        <v>45564</v>
      </c>
      <c r="B5022" s="31">
        <f>TIME(19,29,0)</f>
        <v>0.81180555555555556</v>
      </c>
      <c r="C5022" t="str">
        <f>'Inventory as of 12th Aug 2024'!A120</f>
        <v>Maramoja</v>
      </c>
      <c r="D5022">
        <v>3</v>
      </c>
      <c r="E5022" s="5">
        <f>Table4[[#This Row],[qty]]*(VLOOKUP(Table4[[#This Row],[item_sold]],Table1[],5,FALSE))</f>
        <v>30</v>
      </c>
      <c r="F5022" s="5">
        <f>(VLOOKUP(Table4[[#This Row],[item_sold]],Table1[],4,FALSE))*Table4[[#This Row],[qty]]</f>
        <v>21</v>
      </c>
      <c r="G5022">
        <f t="shared" si="730"/>
        <v>9</v>
      </c>
      <c r="H5022" t="s">
        <v>361</v>
      </c>
    </row>
    <row r="5023" spans="1:9" x14ac:dyDescent="0.25">
      <c r="A5023" s="1">
        <f t="shared" si="731"/>
        <v>45564</v>
      </c>
      <c r="B5023" s="31">
        <f>TIME(19,29,0)</f>
        <v>0.81180555555555556</v>
      </c>
      <c r="C5023" t="str">
        <f>'Inventory as of 12th Aug 2024'!A209</f>
        <v>afia 500ml</v>
      </c>
      <c r="D5023">
        <v>1</v>
      </c>
      <c r="E5023" s="5">
        <f>Table4[[#This Row],[qty]]*(VLOOKUP(Table4[[#This Row],[item_sold]],Table1[],5,FALSE))</f>
        <v>85</v>
      </c>
      <c r="F5023" s="5">
        <f>(VLOOKUP(Table4[[#This Row],[item_sold]],Table1[],4,FALSE))*Table4[[#This Row],[qty]]</f>
        <v>70.833333333333329</v>
      </c>
      <c r="G5023">
        <f t="shared" si="730"/>
        <v>14.166666666666671</v>
      </c>
      <c r="H5023" t="s">
        <v>361</v>
      </c>
    </row>
    <row r="5024" spans="1:9" x14ac:dyDescent="0.25">
      <c r="A5024" s="1">
        <f t="shared" si="731"/>
        <v>45564</v>
      </c>
      <c r="B5024" s="31">
        <f>TIME(19,48,0)</f>
        <v>0.82500000000000007</v>
      </c>
      <c r="C5024" t="str">
        <f>'Inventory as of 12th Aug 2024'!A213</f>
        <v>soda 500ml glass</v>
      </c>
      <c r="D5024">
        <v>1</v>
      </c>
      <c r="E5024" s="5">
        <f>Table4[[#This Row],[qty]]*(VLOOKUP(Table4[[#This Row],[item_sold]],Table1[],5,FALSE))</f>
        <v>55</v>
      </c>
      <c r="F5024" s="5">
        <f>(VLOOKUP(Table4[[#This Row],[item_sold]],Table1[],4,FALSE))*Table4[[#This Row],[qty]]</f>
        <v>50</v>
      </c>
      <c r="G5024">
        <f t="shared" si="730"/>
        <v>5</v>
      </c>
      <c r="H5024" t="s">
        <v>361</v>
      </c>
    </row>
    <row r="5025" spans="1:8" x14ac:dyDescent="0.25">
      <c r="A5025" s="1">
        <f t="shared" si="731"/>
        <v>45564</v>
      </c>
      <c r="B5025" s="31">
        <f>TIME(19,48,0)</f>
        <v>0.82500000000000007</v>
      </c>
      <c r="C5025" t="str">
        <f>'Inventory as of 12th Aug 2024'!A120</f>
        <v>Maramoja</v>
      </c>
      <c r="D5025">
        <v>1</v>
      </c>
      <c r="E5025" s="5">
        <f>Table4[[#This Row],[qty]]*(VLOOKUP(Table4[[#This Row],[item_sold]],Table1[],5,FALSE))</f>
        <v>10</v>
      </c>
      <c r="F5025" s="5">
        <f>(VLOOKUP(Table4[[#This Row],[item_sold]],Table1[],4,FALSE))*Table4[[#This Row],[qty]]</f>
        <v>7</v>
      </c>
      <c r="G5025">
        <f t="shared" si="730"/>
        <v>3</v>
      </c>
      <c r="H5025" t="s">
        <v>361</v>
      </c>
    </row>
    <row r="5026" spans="1:8" x14ac:dyDescent="0.25">
      <c r="A5026" s="1">
        <f t="shared" si="731"/>
        <v>45564</v>
      </c>
      <c r="B5026" s="31">
        <f>TIME(19,48,0)</f>
        <v>0.82500000000000007</v>
      </c>
      <c r="C5026" t="str">
        <f>'Inventory as of 12th Aug 2024'!A92</f>
        <v>Banana</v>
      </c>
      <c r="D5026">
        <v>1</v>
      </c>
      <c r="E5026" s="5">
        <f>Table4[[#This Row],[qty]]*(VLOOKUP(Table4[[#This Row],[item_sold]],Table1[],5,FALSE))</f>
        <v>10</v>
      </c>
      <c r="F5026" s="5">
        <f>(VLOOKUP(Table4[[#This Row],[item_sold]],Table1[],4,FALSE))*Table4[[#This Row],[qty]]</f>
        <v>8.3333333333333339</v>
      </c>
      <c r="G5026">
        <f t="shared" si="730"/>
        <v>1.6666666666666661</v>
      </c>
      <c r="H5026" t="s">
        <v>361</v>
      </c>
    </row>
    <row r="5027" spans="1:8" x14ac:dyDescent="0.25">
      <c r="A5027" s="1">
        <f t="shared" si="731"/>
        <v>45564</v>
      </c>
      <c r="B5027" s="31">
        <f>TIME(20,17,0)</f>
        <v>0.84513888888888899</v>
      </c>
      <c r="C5027" t="str">
        <f>'Inventory as of 12th Aug 2024'!A205</f>
        <v xml:space="preserve"> soda 1.25lts</v>
      </c>
      <c r="D5027">
        <v>1</v>
      </c>
      <c r="E5027" s="5">
        <f>Table4[[#This Row],[qty]]*(VLOOKUP(Table4[[#This Row],[item_sold]],Table1[],5,FALSE))</f>
        <v>130</v>
      </c>
      <c r="F5027" s="5">
        <f>(VLOOKUP(Table4[[#This Row],[item_sold]],Table1[],4,FALSE))*Table4[[#This Row],[qty]]</f>
        <v>112.5</v>
      </c>
      <c r="G5027">
        <f t="shared" si="730"/>
        <v>17.5</v>
      </c>
      <c r="H5027" t="s">
        <v>361</v>
      </c>
    </row>
    <row r="5028" spans="1:8" x14ac:dyDescent="0.25">
      <c r="A5028" s="1">
        <f t="shared" si="731"/>
        <v>45564</v>
      </c>
      <c r="B5028" s="31">
        <f>TIME(20,21,0)</f>
        <v>0.84791666666666676</v>
      </c>
      <c r="C5028" t="str">
        <f>'Inventory as of 12th Aug 2024'!A58</f>
        <v>Safari</v>
      </c>
      <c r="D5028">
        <v>2</v>
      </c>
      <c r="E5028" s="5">
        <f>Table4[[#This Row],[qty]]*(VLOOKUP(Table4[[#This Row],[item_sold]],Table1[],5,FALSE))</f>
        <v>30</v>
      </c>
      <c r="F5028" s="5">
        <f>(VLOOKUP(Table4[[#This Row],[item_sold]],Table1[],4,FALSE))*Table4[[#This Row],[qty]]</f>
        <v>17</v>
      </c>
      <c r="G5028">
        <f t="shared" si="730"/>
        <v>13</v>
      </c>
      <c r="H5028" t="s">
        <v>361</v>
      </c>
    </row>
    <row r="5029" spans="1:8" x14ac:dyDescent="0.25">
      <c r="A5029" s="1">
        <f t="shared" si="731"/>
        <v>45564</v>
      </c>
      <c r="B5029" s="31">
        <f>TIME(20,22,0)</f>
        <v>0.84861111111111109</v>
      </c>
      <c r="C5029" t="str">
        <f>'Inventory as of 12th Aug 2024'!A92</f>
        <v>Banana</v>
      </c>
      <c r="D5029">
        <v>2</v>
      </c>
      <c r="E5029" s="5">
        <f>Table4[[#This Row],[qty]]*(VLOOKUP(Table4[[#This Row],[item_sold]],Table1[],5,FALSE))</f>
        <v>20</v>
      </c>
      <c r="F5029" s="5">
        <f>(VLOOKUP(Table4[[#This Row],[item_sold]],Table1[],4,FALSE))*Table4[[#This Row],[qty]]</f>
        <v>16.666666666666668</v>
      </c>
      <c r="G5029">
        <f t="shared" si="730"/>
        <v>3.3333333333333321</v>
      </c>
      <c r="H5029" t="s">
        <v>361</v>
      </c>
    </row>
    <row r="5030" spans="1:8" x14ac:dyDescent="0.25">
      <c r="A5030" s="1">
        <f t="shared" si="731"/>
        <v>45564</v>
      </c>
      <c r="B5030" s="31">
        <f t="shared" ref="B5030:B5032" si="732">TIME(20,22,0)</f>
        <v>0.84861111111111109</v>
      </c>
      <c r="C5030" t="str">
        <f>'Inventory as of 12th Aug 2024'!A33</f>
        <v>BB Bread 400g</v>
      </c>
      <c r="D5030">
        <v>1</v>
      </c>
      <c r="E5030" s="5">
        <f>Table4[[#This Row],[qty]]*(VLOOKUP(Table4[[#This Row],[item_sold]],Table1[],5,FALSE))</f>
        <v>65</v>
      </c>
      <c r="F5030" s="5">
        <f>(VLOOKUP(Table4[[#This Row],[item_sold]],Table1[],4,FALSE))*Table4[[#This Row],[qty]]</f>
        <v>60</v>
      </c>
      <c r="G5030">
        <f t="shared" si="730"/>
        <v>5</v>
      </c>
      <c r="H5030" t="s">
        <v>361</v>
      </c>
    </row>
    <row r="5031" spans="1:8" x14ac:dyDescent="0.25">
      <c r="A5031" s="1">
        <f t="shared" si="731"/>
        <v>45564</v>
      </c>
      <c r="B5031" s="31">
        <f t="shared" si="732"/>
        <v>0.84861111111111109</v>
      </c>
      <c r="C5031" t="str">
        <f>'Inventory as of 12th Aug 2024'!A16</f>
        <v>Mt kenya milk 500ml</v>
      </c>
      <c r="D5031">
        <v>1</v>
      </c>
      <c r="E5031" s="5">
        <f>Table4[[#This Row],[qty]]*(VLOOKUP(Table4[[#This Row],[item_sold]],Table1[],5,FALSE))</f>
        <v>65</v>
      </c>
      <c r="F5031" s="5">
        <f>(VLOOKUP(Table4[[#This Row],[item_sold]],Table1[],4,FALSE))*Table4[[#This Row],[qty]]</f>
        <v>48.333333333333336</v>
      </c>
      <c r="G5031">
        <f t="shared" si="730"/>
        <v>16.666666666666664</v>
      </c>
      <c r="H5031" t="s">
        <v>361</v>
      </c>
    </row>
    <row r="5032" spans="1:8" x14ac:dyDescent="0.25">
      <c r="A5032" s="1">
        <f t="shared" si="731"/>
        <v>45564</v>
      </c>
      <c r="B5032" s="31">
        <f t="shared" si="732"/>
        <v>0.84861111111111109</v>
      </c>
      <c r="C5032" t="str">
        <f>'Inventory as of 12th Aug 2024'!A18</f>
        <v>Crown Gold Milk 500ml</v>
      </c>
      <c r="D5032">
        <v>1</v>
      </c>
      <c r="E5032" s="5">
        <f>Table4[[#This Row],[qty]]*(VLOOKUP(Table4[[#This Row],[item_sold]],Table1[],5,FALSE))</f>
        <v>65</v>
      </c>
      <c r="F5032" s="5">
        <f>(VLOOKUP(Table4[[#This Row],[item_sold]],Table1[],4,FALSE))*Table4[[#This Row],[qty]]</f>
        <v>54.166666666666664</v>
      </c>
      <c r="G5032">
        <f t="shared" si="730"/>
        <v>10.833333333333336</v>
      </c>
      <c r="H5032" t="s">
        <v>361</v>
      </c>
    </row>
    <row r="5033" spans="1:8" x14ac:dyDescent="0.25">
      <c r="A5033" s="1">
        <f>DATE(2024,9,30)</f>
        <v>45565</v>
      </c>
      <c r="B5033" s="31">
        <f>TIME(7,10,0)</f>
        <v>0.2986111111111111</v>
      </c>
      <c r="C5033" t="str">
        <f>'Inventory as of 12th Aug 2024'!A59</f>
        <v>kabras sugar 1kg</v>
      </c>
      <c r="D5033">
        <v>1</v>
      </c>
      <c r="E5033" s="5">
        <f>Table4[[#This Row],[qty]]*(VLOOKUP(Table4[[#This Row],[item_sold]],Table1[],5,FALSE))</f>
        <v>180</v>
      </c>
      <c r="F5033" s="5">
        <f>(VLOOKUP(Table4[[#This Row],[item_sold]],Table1[],4,FALSE))*Table4[[#This Row],[qty]]</f>
        <v>140</v>
      </c>
      <c r="G5033">
        <f t="shared" si="730"/>
        <v>40</v>
      </c>
      <c r="H5033" t="s">
        <v>247</v>
      </c>
    </row>
    <row r="5034" spans="1:8" x14ac:dyDescent="0.25">
      <c r="A5034" s="1">
        <f t="shared" ref="A5034:A5074" si="733">DATE(2024,9,30)</f>
        <v>45565</v>
      </c>
      <c r="B5034" s="31">
        <f t="shared" ref="B5034:B5035" si="734">TIME(7,10,0)</f>
        <v>0.2986111111111111</v>
      </c>
      <c r="C5034" t="str">
        <f>'Inventory as of 12th Aug 2024'!A58</f>
        <v>Safari</v>
      </c>
      <c r="D5034">
        <v>1</v>
      </c>
      <c r="E5034" s="5">
        <f>Table4[[#This Row],[qty]]*(VLOOKUP(Table4[[#This Row],[item_sold]],Table1[],5,FALSE))</f>
        <v>15</v>
      </c>
      <c r="F5034" s="5">
        <f>(VLOOKUP(Table4[[#This Row],[item_sold]],Table1[],4,FALSE))*Table4[[#This Row],[qty]]</f>
        <v>8.5</v>
      </c>
      <c r="G5034">
        <f t="shared" si="730"/>
        <v>6.5</v>
      </c>
      <c r="H5034" t="s">
        <v>247</v>
      </c>
    </row>
    <row r="5035" spans="1:8" x14ac:dyDescent="0.25">
      <c r="A5035" s="1">
        <f t="shared" si="733"/>
        <v>45565</v>
      </c>
      <c r="B5035" s="31">
        <f t="shared" si="734"/>
        <v>0.2986111111111111</v>
      </c>
      <c r="C5035" t="str">
        <f>'Inventory as of 12th Aug 2024'!A238</f>
        <v>Tropical</v>
      </c>
      <c r="D5035">
        <v>2</v>
      </c>
      <c r="E5035" s="5">
        <f>Table4[[#This Row],[qty]]*(VLOOKUP(Table4[[#This Row],[item_sold]],Table1[],5,FALSE))</f>
        <v>10</v>
      </c>
      <c r="F5035" s="5">
        <f>(VLOOKUP(Table4[[#This Row],[item_sold]],Table1[],4,FALSE))*Table4[[#This Row],[qty]]</f>
        <v>3</v>
      </c>
      <c r="G5035">
        <f t="shared" si="730"/>
        <v>7</v>
      </c>
      <c r="H5035" t="s">
        <v>247</v>
      </c>
    </row>
    <row r="5036" spans="1:8" x14ac:dyDescent="0.25">
      <c r="A5036" s="1">
        <f t="shared" si="733"/>
        <v>45565</v>
      </c>
      <c r="B5036" s="31">
        <f>TIME(9,59,0)</f>
        <v>0.41597222222222219</v>
      </c>
      <c r="C5036" t="str">
        <f>'Inventory as of 12th Aug 2024'!A204</f>
        <v>soda 2lts</v>
      </c>
      <c r="D5036">
        <v>1</v>
      </c>
      <c r="E5036" s="5">
        <f>Table4[[#This Row],[qty]]*(VLOOKUP(Table4[[#This Row],[item_sold]],Table1[],5,FALSE))</f>
        <v>200</v>
      </c>
      <c r="F5036" s="5">
        <f>(VLOOKUP(Table4[[#This Row],[item_sold]],Table1[],4,FALSE))*Table4[[#This Row],[qty]]</f>
        <v>176.66666666666666</v>
      </c>
      <c r="G5036">
        <f t="shared" si="730"/>
        <v>23.333333333333343</v>
      </c>
      <c r="H5036" t="s">
        <v>361</v>
      </c>
    </row>
    <row r="5037" spans="1:8" x14ac:dyDescent="0.25">
      <c r="A5037" s="1">
        <f t="shared" si="733"/>
        <v>45565</v>
      </c>
      <c r="B5037" s="31">
        <f t="shared" ref="B5037" si="735">TIME(9,59,0)</f>
        <v>0.41597222222222219</v>
      </c>
      <c r="C5037" t="str">
        <f>'Inventory as of 12th Aug 2024'!A33</f>
        <v>BB Bread 400g</v>
      </c>
      <c r="D5037">
        <v>1</v>
      </c>
      <c r="E5037" s="5">
        <f>Table4[[#This Row],[qty]]*(VLOOKUP(Table4[[#This Row],[item_sold]],Table1[],5,FALSE))</f>
        <v>65</v>
      </c>
      <c r="F5037" s="5">
        <f>(VLOOKUP(Table4[[#This Row],[item_sold]],Table1[],4,FALSE))*Table4[[#This Row],[qty]]</f>
        <v>60</v>
      </c>
      <c r="G5037">
        <f t="shared" si="730"/>
        <v>5</v>
      </c>
      <c r="H5037" t="s">
        <v>361</v>
      </c>
    </row>
    <row r="5038" spans="1:8" x14ac:dyDescent="0.25">
      <c r="A5038" s="1">
        <f t="shared" si="733"/>
        <v>45565</v>
      </c>
      <c r="B5038" s="31">
        <f>TIME(10,0,0)</f>
        <v>0.41666666666666669</v>
      </c>
      <c r="C5038" t="str">
        <f>'Inventory as of 12th Aug 2024'!A238</f>
        <v>Tropical</v>
      </c>
      <c r="D5038">
        <v>4</v>
      </c>
      <c r="E5038" s="5">
        <f>Table4[[#This Row],[qty]]*(VLOOKUP(Table4[[#This Row],[item_sold]],Table1[],5,FALSE))</f>
        <v>20</v>
      </c>
      <c r="F5038" s="5">
        <f>(VLOOKUP(Table4[[#This Row],[item_sold]],Table1[],4,FALSE))*Table4[[#This Row],[qty]]</f>
        <v>6</v>
      </c>
      <c r="G5038">
        <f t="shared" si="730"/>
        <v>14</v>
      </c>
      <c r="H5038" t="s">
        <v>247</v>
      </c>
    </row>
    <row r="5039" spans="1:8" x14ac:dyDescent="0.25">
      <c r="A5039" s="1">
        <f t="shared" si="733"/>
        <v>45565</v>
      </c>
      <c r="B5039" s="31">
        <f>TIME(10,2,0)</f>
        <v>0.41805555555555557</v>
      </c>
      <c r="C5039" t="str">
        <f>'Inventory as of 12th Aug 2024'!A9</f>
        <v>Kinangop Fresh Milk 500ml</v>
      </c>
      <c r="D5039">
        <v>1</v>
      </c>
      <c r="E5039" s="5">
        <f>Table4[[#This Row],[qty]]*(VLOOKUP(Table4[[#This Row],[item_sold]],Table1[],5,FALSE))</f>
        <v>60</v>
      </c>
      <c r="F5039" s="5">
        <f>(VLOOKUP(Table4[[#This Row],[item_sold]],Table1[],4,FALSE))*Table4[[#This Row],[qty]]</f>
        <v>55</v>
      </c>
      <c r="G5039">
        <f t="shared" si="730"/>
        <v>5</v>
      </c>
      <c r="H5039" t="s">
        <v>361</v>
      </c>
    </row>
    <row r="5040" spans="1:8" x14ac:dyDescent="0.25">
      <c r="A5040" s="1">
        <f t="shared" si="733"/>
        <v>45565</v>
      </c>
      <c r="B5040" s="31">
        <f>TIME(10,21,0)</f>
        <v>0.43124999999999997</v>
      </c>
      <c r="C5040" t="str">
        <f>'Inventory as of 12th Aug 2024'!A257</f>
        <v>Jamaa soap</v>
      </c>
      <c r="D5040">
        <v>1</v>
      </c>
      <c r="E5040" s="5">
        <f>Table4[[#This Row],[qty]]*(VLOOKUP(Table4[[#This Row],[item_sold]],Table1[],5,FALSE))</f>
        <v>250</v>
      </c>
      <c r="F5040" s="5">
        <f>(VLOOKUP(Table4[[#This Row],[item_sold]],Table1[],4,FALSE))*Table4[[#This Row],[qty]]</f>
        <v>180</v>
      </c>
      <c r="G5040">
        <f t="shared" si="730"/>
        <v>70</v>
      </c>
      <c r="H5040" t="s">
        <v>361</v>
      </c>
    </row>
    <row r="5041" spans="1:9" x14ac:dyDescent="0.25">
      <c r="A5041" s="1">
        <f t="shared" si="733"/>
        <v>45565</v>
      </c>
      <c r="B5041" s="31">
        <f>TIME(10,51,0)</f>
        <v>0.45208333333333334</v>
      </c>
      <c r="C5041" t="str">
        <f>'Inventory as of 12th Aug 2024'!A10</f>
        <v>Mt Kenya milk 200ml</v>
      </c>
      <c r="D5041">
        <v>1</v>
      </c>
      <c r="E5041" s="5">
        <f>Table4[[#This Row],[qty]]*(VLOOKUP(Table4[[#This Row],[item_sold]],Table1[],5,FALSE))</f>
        <v>35</v>
      </c>
      <c r="F5041" s="5">
        <f>(VLOOKUP(Table4[[#This Row],[item_sold]],Table1[],4,FALSE))*Table4[[#This Row],[qty]]</f>
        <v>24.285714285714285</v>
      </c>
      <c r="G5041">
        <f t="shared" si="730"/>
        <v>10.714285714285715</v>
      </c>
      <c r="H5041" t="s">
        <v>361</v>
      </c>
    </row>
    <row r="5042" spans="1:9" x14ac:dyDescent="0.25">
      <c r="A5042" s="1">
        <f t="shared" si="733"/>
        <v>45565</v>
      </c>
      <c r="B5042" s="31">
        <f t="shared" ref="B5042" si="736">TIME(10,51,0)</f>
        <v>0.45208333333333334</v>
      </c>
      <c r="C5042" t="str">
        <f>'Inventory as of 12th Aug 2024'!A191</f>
        <v>Nuvita Bisquit</v>
      </c>
      <c r="D5042">
        <v>3</v>
      </c>
      <c r="E5042" s="5">
        <f>Table4[[#This Row],[qty]]*(VLOOKUP(Table4[[#This Row],[item_sold]],Table1[],5,FALSE))</f>
        <v>15</v>
      </c>
      <c r="F5042" s="5">
        <f>(VLOOKUP(Table4[[#This Row],[item_sold]],Table1[],4,FALSE))*Table4[[#This Row],[qty]]</f>
        <v>12.5</v>
      </c>
      <c r="G5042">
        <f t="shared" si="730"/>
        <v>2.5</v>
      </c>
      <c r="H5042" t="s">
        <v>361</v>
      </c>
    </row>
    <row r="5043" spans="1:9" x14ac:dyDescent="0.25">
      <c r="A5043" s="1">
        <f t="shared" si="733"/>
        <v>45565</v>
      </c>
      <c r="B5043" s="31">
        <f>TIME(12,51,0)</f>
        <v>0.53541666666666665</v>
      </c>
      <c r="C5043" t="str">
        <f>'Inventory as of 12th Aug 2024'!A175</f>
        <v>Coconut Cakes</v>
      </c>
      <c r="D5043">
        <v>6</v>
      </c>
      <c r="E5043" s="5">
        <f>Table4[[#This Row],[qty]]*(VLOOKUP(Table4[[#This Row],[item_sold]],Table1[],5,FALSE))</f>
        <v>60</v>
      </c>
      <c r="F5043" s="5">
        <f>(VLOOKUP(Table4[[#This Row],[item_sold]],Table1[],4,FALSE))*Table4[[#This Row],[qty]]</f>
        <v>50</v>
      </c>
      <c r="G5043">
        <f t="shared" si="730"/>
        <v>10</v>
      </c>
      <c r="H5043" t="s">
        <v>430</v>
      </c>
      <c r="I5043" t="s">
        <v>390</v>
      </c>
    </row>
    <row r="5044" spans="1:9" x14ac:dyDescent="0.25">
      <c r="A5044" s="1">
        <f t="shared" si="733"/>
        <v>45565</v>
      </c>
      <c r="B5044" s="31">
        <f>TIME(13,44,0)</f>
        <v>0.57222222222222219</v>
      </c>
      <c r="C5044" t="str">
        <f>'Inventory as of 12th Aug 2024'!A16</f>
        <v>Mt kenya milk 500ml</v>
      </c>
      <c r="D5044">
        <v>1</v>
      </c>
      <c r="E5044" s="5">
        <f>Table4[[#This Row],[qty]]*(VLOOKUP(Table4[[#This Row],[item_sold]],Table1[],5,FALSE))</f>
        <v>65</v>
      </c>
      <c r="F5044" s="5">
        <f>(VLOOKUP(Table4[[#This Row],[item_sold]],Table1[],4,FALSE))*Table4[[#This Row],[qty]]</f>
        <v>48.333333333333336</v>
      </c>
      <c r="G5044">
        <f t="shared" si="730"/>
        <v>16.666666666666664</v>
      </c>
      <c r="H5044" t="s">
        <v>361</v>
      </c>
    </row>
    <row r="5045" spans="1:9" x14ac:dyDescent="0.25">
      <c r="A5045" s="1">
        <f t="shared" si="733"/>
        <v>45565</v>
      </c>
      <c r="B5045" s="31">
        <f>TIME(13,51,0)</f>
        <v>0.57708333333333328</v>
      </c>
      <c r="C5045" t="str">
        <f>'Inventory as of 12th Aug 2024'!A175</f>
        <v>Coconut Cakes</v>
      </c>
      <c r="D5045">
        <v>2</v>
      </c>
      <c r="E5045" s="5">
        <f>Table4[[#This Row],[qty]]*(VLOOKUP(Table4[[#This Row],[item_sold]],Table1[],5,FALSE))</f>
        <v>20</v>
      </c>
      <c r="F5045" s="5">
        <f>(VLOOKUP(Table4[[#This Row],[item_sold]],Table1[],4,FALSE))*Table4[[#This Row],[qty]]</f>
        <v>16.666666666666668</v>
      </c>
      <c r="G5045">
        <f t="shared" si="730"/>
        <v>3.3333333333333321</v>
      </c>
      <c r="H5045" t="s">
        <v>247</v>
      </c>
    </row>
    <row r="5046" spans="1:9" x14ac:dyDescent="0.25">
      <c r="A5046" s="1">
        <f t="shared" si="733"/>
        <v>45565</v>
      </c>
      <c r="B5046" s="31">
        <f>TIME(14,8,0)</f>
        <v>0.58888888888888891</v>
      </c>
      <c r="C5046" t="str">
        <f>'Inventory as of 12th Aug 2024'!A212</f>
        <v>soda 300ml glass</v>
      </c>
      <c r="D5046">
        <v>2</v>
      </c>
      <c r="E5046" s="5">
        <f>Table4[[#This Row],[qty]]*(VLOOKUP(Table4[[#This Row],[item_sold]],Table1[],5,FALSE))</f>
        <v>80</v>
      </c>
      <c r="F5046" s="5">
        <f>(VLOOKUP(Table4[[#This Row],[item_sold]],Table1[],4,FALSE))*Table4[[#This Row],[qty]]</f>
        <v>65</v>
      </c>
      <c r="G5046">
        <f t="shared" si="730"/>
        <v>15</v>
      </c>
      <c r="H5046" t="s">
        <v>430</v>
      </c>
      <c r="I5046" t="s">
        <v>395</v>
      </c>
    </row>
    <row r="5047" spans="1:9" x14ac:dyDescent="0.25">
      <c r="A5047" s="1">
        <f t="shared" si="733"/>
        <v>45565</v>
      </c>
      <c r="B5047" s="31">
        <f t="shared" ref="B5047" si="737">TIME(14,8,0)</f>
        <v>0.58888888888888891</v>
      </c>
      <c r="C5047" t="str">
        <f>'Inventory as of 12th Aug 2024'!A175</f>
        <v>Coconut Cakes</v>
      </c>
      <c r="D5047">
        <v>6</v>
      </c>
      <c r="E5047" s="5">
        <f>Table4[[#This Row],[qty]]*(VLOOKUP(Table4[[#This Row],[item_sold]],Table1[],5,FALSE))</f>
        <v>60</v>
      </c>
      <c r="F5047" s="5">
        <f>(VLOOKUP(Table4[[#This Row],[item_sold]],Table1[],4,FALSE))*Table4[[#This Row],[qty]]</f>
        <v>50</v>
      </c>
      <c r="G5047">
        <f t="shared" si="730"/>
        <v>10</v>
      </c>
      <c r="H5047" t="s">
        <v>430</v>
      </c>
      <c r="I5047" t="s">
        <v>395</v>
      </c>
    </row>
    <row r="5048" spans="1:9" x14ac:dyDescent="0.25">
      <c r="A5048" s="1">
        <f t="shared" si="733"/>
        <v>45565</v>
      </c>
      <c r="B5048" s="31">
        <f>TIME(14,49,0)</f>
        <v>0.61736111111111114</v>
      </c>
      <c r="C5048" t="str">
        <f>'Inventory as of 12th Aug 2024'!A41</f>
        <v>Indomie beef</v>
      </c>
      <c r="D5048">
        <v>1</v>
      </c>
      <c r="E5048" s="5">
        <f>Table4[[#This Row],[qty]]*(VLOOKUP(Table4[[#This Row],[item_sold]],Table1[],5,FALSE))</f>
        <v>50</v>
      </c>
      <c r="F5048" s="5">
        <f>(VLOOKUP(Table4[[#This Row],[item_sold]],Table1[],4,FALSE))*Table4[[#This Row],[qty]]</f>
        <v>38</v>
      </c>
      <c r="G5048">
        <f t="shared" si="730"/>
        <v>12</v>
      </c>
      <c r="H5048" t="s">
        <v>361</v>
      </c>
    </row>
    <row r="5049" spans="1:9" x14ac:dyDescent="0.25">
      <c r="A5049" s="1">
        <f t="shared" si="733"/>
        <v>45565</v>
      </c>
      <c r="B5049" s="31">
        <f t="shared" ref="B5049" si="738">TIME(14,49,0)</f>
        <v>0.61736111111111114</v>
      </c>
      <c r="C5049" t="str">
        <f>'Inventory as of 12th Aug 2024'!A8</f>
        <v>eggs</v>
      </c>
      <c r="D5049">
        <v>1</v>
      </c>
      <c r="E5049" s="5">
        <f>Table4[[#This Row],[qty]]*(VLOOKUP(Table4[[#This Row],[item_sold]],Table1[],5,FALSE))</f>
        <v>20</v>
      </c>
      <c r="F5049" s="5">
        <f>(VLOOKUP(Table4[[#This Row],[item_sold]],Table1[],4,FALSE))*Table4[[#This Row],[qty]]</f>
        <v>14.333333333333334</v>
      </c>
      <c r="G5049">
        <f t="shared" si="730"/>
        <v>5.6666666666666661</v>
      </c>
      <c r="H5049" t="s">
        <v>361</v>
      </c>
    </row>
    <row r="5050" spans="1:9" x14ac:dyDescent="0.25">
      <c r="A5050" s="1">
        <f t="shared" si="733"/>
        <v>45565</v>
      </c>
      <c r="B5050" s="31">
        <f>TIME(15,59,0)</f>
        <v>0.66597222222222219</v>
      </c>
      <c r="C5050" t="str">
        <f>'Inventory as of 12th Aug 2024'!A192</f>
        <v>Lemon Bisquit</v>
      </c>
      <c r="D5050">
        <v>5</v>
      </c>
      <c r="E5050" s="5">
        <f>Table4[[#This Row],[qty]]*(VLOOKUP(Table4[[#This Row],[item_sold]],Table1[],5,FALSE))</f>
        <v>25</v>
      </c>
      <c r="F5050" s="5">
        <f>(VLOOKUP(Table4[[#This Row],[item_sold]],Table1[],4,FALSE))*Table4[[#This Row],[qty]]</f>
        <v>21.666666666666664</v>
      </c>
      <c r="G5050">
        <f t="shared" si="730"/>
        <v>3.3333333333333357</v>
      </c>
      <c r="H5050" t="s">
        <v>361</v>
      </c>
    </row>
    <row r="5051" spans="1:9" x14ac:dyDescent="0.25">
      <c r="A5051" s="1">
        <f t="shared" si="733"/>
        <v>45565</v>
      </c>
      <c r="B5051" s="31">
        <f t="shared" ref="B5051:B5053" si="739">TIME(15,59,0)</f>
        <v>0.66597222222222219</v>
      </c>
      <c r="C5051" t="str">
        <f>'Inventory as of 12th Aug 2024'!A17</f>
        <v>Brookside milk 500ml</v>
      </c>
      <c r="D5051">
        <v>2</v>
      </c>
      <c r="E5051" s="5">
        <f>Table4[[#This Row],[qty]]*(VLOOKUP(Table4[[#This Row],[item_sold]],Table1[],5,FALSE))</f>
        <v>140</v>
      </c>
      <c r="F5051" s="5">
        <f>(VLOOKUP(Table4[[#This Row],[item_sold]],Table1[],4,FALSE))*Table4[[#This Row],[qty]]</f>
        <v>118</v>
      </c>
      <c r="G5051">
        <f t="shared" si="730"/>
        <v>22</v>
      </c>
      <c r="H5051" t="s">
        <v>361</v>
      </c>
    </row>
    <row r="5052" spans="1:9" x14ac:dyDescent="0.25">
      <c r="A5052" s="1">
        <f t="shared" si="733"/>
        <v>45565</v>
      </c>
      <c r="B5052" s="31">
        <f t="shared" si="739"/>
        <v>0.66597222222222219</v>
      </c>
      <c r="C5052" t="str">
        <f>'Inventory as of 12th Aug 2024'!A193</f>
        <v>Ginger Bisquit</v>
      </c>
      <c r="D5052">
        <v>1</v>
      </c>
      <c r="E5052" s="5">
        <f>Table4[[#This Row],[qty]]*(VLOOKUP(Table4[[#This Row],[item_sold]],Table1[],5,FALSE))</f>
        <v>5</v>
      </c>
      <c r="F5052" s="5">
        <f>(VLOOKUP(Table4[[#This Row],[item_sold]],Table1[],4,FALSE))*Table4[[#This Row],[qty]]</f>
        <v>4.333333333333333</v>
      </c>
      <c r="G5052">
        <f t="shared" si="730"/>
        <v>0.66666666666666696</v>
      </c>
      <c r="H5052" t="s">
        <v>361</v>
      </c>
    </row>
    <row r="5053" spans="1:9" x14ac:dyDescent="0.25">
      <c r="A5053" s="1">
        <f t="shared" si="733"/>
        <v>45565</v>
      </c>
      <c r="B5053" s="31">
        <f t="shared" si="739"/>
        <v>0.66597222222222219</v>
      </c>
      <c r="C5053" t="str">
        <f>'Inventory as of 12th Aug 2024'!A211</f>
        <v>predator</v>
      </c>
      <c r="D5053">
        <v>1</v>
      </c>
      <c r="E5053" s="5">
        <f>Table4[[#This Row],[qty]]*(VLOOKUP(Table4[[#This Row],[item_sold]],Table1[],5,FALSE))</f>
        <v>70</v>
      </c>
      <c r="F5053" s="5">
        <f>(VLOOKUP(Table4[[#This Row],[item_sold]],Table1[],4,FALSE))*Table4[[#This Row],[qty]]</f>
        <v>54.166666666666664</v>
      </c>
      <c r="G5053">
        <f t="shared" si="730"/>
        <v>15.833333333333336</v>
      </c>
      <c r="H5053" t="s">
        <v>361</v>
      </c>
    </row>
    <row r="5054" spans="1:9" x14ac:dyDescent="0.25">
      <c r="A5054" s="1">
        <f t="shared" si="733"/>
        <v>45565</v>
      </c>
      <c r="B5054" s="31">
        <f>TIME(16,42,0)</f>
        <v>0.6958333333333333</v>
      </c>
      <c r="C5054" t="str">
        <f>'Inventory as of 12th Aug 2024'!A29</f>
        <v>Fahari Tea 50g</v>
      </c>
      <c r="D5054">
        <v>2</v>
      </c>
      <c r="E5054" s="5">
        <f>Table4[[#This Row],[qty]]*(VLOOKUP(Table4[[#This Row],[item_sold]],Table1[],5,FALSE))</f>
        <v>60</v>
      </c>
      <c r="F5054" s="5">
        <f>(VLOOKUP(Table4[[#This Row],[item_sold]],Table1[],4,FALSE))*Table4[[#This Row],[qty]]</f>
        <v>35</v>
      </c>
      <c r="G5054">
        <f t="shared" si="730"/>
        <v>25</v>
      </c>
      <c r="H5054" t="s">
        <v>361</v>
      </c>
    </row>
    <row r="5055" spans="1:9" x14ac:dyDescent="0.25">
      <c r="A5055" s="1">
        <f t="shared" si="733"/>
        <v>45565</v>
      </c>
      <c r="B5055" s="31">
        <f>TIME(16,56,0)</f>
        <v>0.7055555555555556</v>
      </c>
      <c r="C5055" t="str">
        <f>'Inventory as of 12th Aug 2024'!A8</f>
        <v>eggs</v>
      </c>
      <c r="D5055">
        <v>3</v>
      </c>
      <c r="E5055" s="5">
        <f>Table4[[#This Row],[qty]]*(VLOOKUP(Table4[[#This Row],[item_sold]],Table1[],5,FALSE))</f>
        <v>60</v>
      </c>
      <c r="F5055" s="5">
        <f>(VLOOKUP(Table4[[#This Row],[item_sold]],Table1[],4,FALSE))*Table4[[#This Row],[qty]]</f>
        <v>43</v>
      </c>
      <c r="G5055">
        <f t="shared" si="730"/>
        <v>17</v>
      </c>
      <c r="H5055" t="s">
        <v>361</v>
      </c>
    </row>
    <row r="5056" spans="1:9" x14ac:dyDescent="0.25">
      <c r="A5056" s="1">
        <f t="shared" si="733"/>
        <v>45565</v>
      </c>
      <c r="B5056" s="31">
        <f>TIME(16,58,0)</f>
        <v>0.70694444444444438</v>
      </c>
      <c r="C5056" t="str">
        <f>'Inventory as of 12th Aug 2024'!A193</f>
        <v>Ginger Bisquit</v>
      </c>
      <c r="D5056">
        <v>2</v>
      </c>
      <c r="E5056" s="5">
        <f>Table4[[#This Row],[qty]]*(VLOOKUP(Table4[[#This Row],[item_sold]],Table1[],5,FALSE))</f>
        <v>10</v>
      </c>
      <c r="F5056" s="5">
        <f>(VLOOKUP(Table4[[#This Row],[item_sold]],Table1[],4,FALSE))*Table4[[#This Row],[qty]]</f>
        <v>8.6666666666666661</v>
      </c>
      <c r="G5056">
        <f t="shared" si="730"/>
        <v>1.3333333333333339</v>
      </c>
      <c r="H5056" t="s">
        <v>430</v>
      </c>
      <c r="I5056" t="s">
        <v>388</v>
      </c>
    </row>
    <row r="5057" spans="1:9" x14ac:dyDescent="0.25">
      <c r="A5057" s="1">
        <f t="shared" si="733"/>
        <v>45565</v>
      </c>
      <c r="B5057" s="31">
        <f>TIME(17,10,0)</f>
        <v>0.71527777777777779</v>
      </c>
      <c r="C5057" t="str">
        <f>'Inventory as of 12th Aug 2024'!A91</f>
        <v>Tomatoes</v>
      </c>
      <c r="D5057">
        <v>1</v>
      </c>
      <c r="E5057" s="5">
        <f>Table4[[#This Row],[qty]]*(VLOOKUP(Table4[[#This Row],[item_sold]],Table1[],5,FALSE))</f>
        <v>10</v>
      </c>
      <c r="F5057" s="5">
        <f>(VLOOKUP(Table4[[#This Row],[item_sold]],Table1[],4,FALSE))*Table4[[#This Row],[qty]]</f>
        <v>5</v>
      </c>
      <c r="G5057">
        <f t="shared" si="730"/>
        <v>5</v>
      </c>
      <c r="H5057" t="s">
        <v>247</v>
      </c>
    </row>
    <row r="5058" spans="1:9" x14ac:dyDescent="0.25">
      <c r="A5058" s="1">
        <f t="shared" si="733"/>
        <v>45565</v>
      </c>
      <c r="B5058" s="31">
        <f>TIME(17,32,0)</f>
        <v>0.73055555555555562</v>
      </c>
      <c r="C5058" t="str">
        <f>'Inventory as of 12th Aug 2024'!A175</f>
        <v>Coconut Cakes</v>
      </c>
      <c r="D5058">
        <v>2</v>
      </c>
      <c r="E5058" s="5">
        <f>Table4[[#This Row],[qty]]*(VLOOKUP(Table4[[#This Row],[item_sold]],Table1[],5,FALSE))</f>
        <v>20</v>
      </c>
      <c r="F5058" s="5">
        <f>(VLOOKUP(Table4[[#This Row],[item_sold]],Table1[],4,FALSE))*Table4[[#This Row],[qty]]</f>
        <v>16.666666666666668</v>
      </c>
      <c r="G5058">
        <f t="shared" si="730"/>
        <v>3.3333333333333321</v>
      </c>
      <c r="H5058" t="s">
        <v>247</v>
      </c>
    </row>
    <row r="5059" spans="1:9" x14ac:dyDescent="0.25">
      <c r="A5059" s="1">
        <f t="shared" si="733"/>
        <v>45565</v>
      </c>
      <c r="B5059" s="31">
        <f t="shared" ref="B5059" si="740">TIME(17,32,0)</f>
        <v>0.73055555555555562</v>
      </c>
      <c r="C5059" t="str">
        <f>'Inventory as of 12th Aug 2024'!A8</f>
        <v>eggs</v>
      </c>
      <c r="D5059">
        <v>2</v>
      </c>
      <c r="E5059" s="5">
        <f>Table4[[#This Row],[qty]]*(VLOOKUP(Table4[[#This Row],[item_sold]],Table1[],5,FALSE))</f>
        <v>40</v>
      </c>
      <c r="F5059" s="5">
        <f>(VLOOKUP(Table4[[#This Row],[item_sold]],Table1[],4,FALSE))*Table4[[#This Row],[qty]]</f>
        <v>28.666666666666668</v>
      </c>
      <c r="G5059">
        <f t="shared" si="730"/>
        <v>11.333333333333332</v>
      </c>
      <c r="H5059" t="s">
        <v>430</v>
      </c>
      <c r="I5059" t="s">
        <v>427</v>
      </c>
    </row>
    <row r="5060" spans="1:9" x14ac:dyDescent="0.25">
      <c r="A5060" s="1">
        <f t="shared" si="733"/>
        <v>45565</v>
      </c>
      <c r="B5060" s="31">
        <f>TIME(18,41,0)</f>
        <v>0.77847222222222223</v>
      </c>
      <c r="C5060" t="str">
        <f>'Inventory as of 12th Aug 2024'!A75</f>
        <v>Cooking Oil Measured</v>
      </c>
      <c r="D5060">
        <v>0.25</v>
      </c>
      <c r="E5060" s="5">
        <f>Table4[[#This Row],[qty]]*(VLOOKUP(Table4[[#This Row],[item_sold]],Table1[],5,FALSE))</f>
        <v>70</v>
      </c>
      <c r="F5060" s="5">
        <f>(VLOOKUP(Table4[[#This Row],[item_sold]],Table1[],4,FALSE))*Table4[[#This Row],[qty]]</f>
        <v>50</v>
      </c>
      <c r="G5060">
        <f t="shared" si="730"/>
        <v>20</v>
      </c>
      <c r="H5060" t="s">
        <v>361</v>
      </c>
    </row>
    <row r="5061" spans="1:9" x14ac:dyDescent="0.25">
      <c r="A5061" s="1">
        <f t="shared" si="733"/>
        <v>45565</v>
      </c>
      <c r="B5061" s="31">
        <f t="shared" ref="B5061" si="741">TIME(18,41,0)</f>
        <v>0.77847222222222223</v>
      </c>
      <c r="C5061" t="str">
        <f>'Inventory as of 12th Aug 2024'!A58</f>
        <v>Safari</v>
      </c>
      <c r="D5061">
        <v>2</v>
      </c>
      <c r="E5061" s="5">
        <f>Table4[[#This Row],[qty]]*(VLOOKUP(Table4[[#This Row],[item_sold]],Table1[],5,FALSE))</f>
        <v>30</v>
      </c>
      <c r="F5061" s="5">
        <f>(VLOOKUP(Table4[[#This Row],[item_sold]],Table1[],4,FALSE))*Table4[[#This Row],[qty]]</f>
        <v>17</v>
      </c>
      <c r="G5061">
        <f t="shared" si="730"/>
        <v>13</v>
      </c>
      <c r="H5061" t="s">
        <v>361</v>
      </c>
    </row>
    <row r="5062" spans="1:9" x14ac:dyDescent="0.25">
      <c r="A5062" s="1">
        <f t="shared" si="733"/>
        <v>45565</v>
      </c>
      <c r="B5062" s="31">
        <f>TIME(19,0,0)</f>
        <v>0.79166666666666663</v>
      </c>
      <c r="C5062" t="str">
        <f>'Inventory as of 12th Aug 2024'!A91</f>
        <v>Tomatoes</v>
      </c>
      <c r="D5062">
        <v>2</v>
      </c>
      <c r="E5062" s="5">
        <f>Table4[[#This Row],[qty]]*(VLOOKUP(Table4[[#This Row],[item_sold]],Table1[],5,FALSE))</f>
        <v>20</v>
      </c>
      <c r="F5062" s="5">
        <f>(VLOOKUP(Table4[[#This Row],[item_sold]],Table1[],4,FALSE))*Table4[[#This Row],[qty]]</f>
        <v>10</v>
      </c>
      <c r="G5062">
        <f t="shared" si="730"/>
        <v>10</v>
      </c>
      <c r="H5062" t="s">
        <v>361</v>
      </c>
    </row>
    <row r="5063" spans="1:9" x14ac:dyDescent="0.25">
      <c r="A5063" s="1">
        <f t="shared" si="733"/>
        <v>45565</v>
      </c>
      <c r="B5063" s="31">
        <f>TIME(19,4,0)</f>
        <v>0.7944444444444444</v>
      </c>
      <c r="C5063" t="str">
        <f>'Inventory as of 12th Aug 2024'!A153</f>
        <v>mosquito stick</v>
      </c>
      <c r="D5063">
        <v>1</v>
      </c>
      <c r="E5063" s="5">
        <f>Table4[[#This Row],[qty]]*(VLOOKUP(Table4[[#This Row],[item_sold]],Table1[],5,FALSE))</f>
        <v>10</v>
      </c>
      <c r="F5063" s="5">
        <f>(VLOOKUP(Table4[[#This Row],[item_sold]],Table1[],4,FALSE))*Table4[[#This Row],[qty]]</f>
        <v>9</v>
      </c>
      <c r="G5063">
        <f t="shared" si="730"/>
        <v>1</v>
      </c>
      <c r="H5063" t="s">
        <v>361</v>
      </c>
    </row>
    <row r="5064" spans="1:9" x14ac:dyDescent="0.25">
      <c r="A5064" s="1">
        <f t="shared" si="733"/>
        <v>45565</v>
      </c>
      <c r="B5064" s="31">
        <f>TIME(19,17,0)</f>
        <v>0.80347222222222225</v>
      </c>
      <c r="C5064" t="str">
        <f>'Inventory as of 12th Aug 2024'!A90</f>
        <v>Onion</v>
      </c>
      <c r="D5064">
        <v>2</v>
      </c>
      <c r="E5064" s="5">
        <f>Table4[[#This Row],[qty]]*(VLOOKUP(Table4[[#This Row],[item_sold]],Table1[],5,FALSE))</f>
        <v>20</v>
      </c>
      <c r="F5064" s="5">
        <f>(VLOOKUP(Table4[[#This Row],[item_sold]],Table1[],4,FALSE))*Table4[[#This Row],[qty]]</f>
        <v>16</v>
      </c>
      <c r="G5064">
        <f t="shared" si="730"/>
        <v>4</v>
      </c>
      <c r="H5064" t="s">
        <v>361</v>
      </c>
    </row>
    <row r="5065" spans="1:9" x14ac:dyDescent="0.25">
      <c r="A5065" s="1">
        <f t="shared" si="733"/>
        <v>45565</v>
      </c>
      <c r="B5065" s="31">
        <f>TIME(19,19,0)</f>
        <v>0.80486111111111114</v>
      </c>
      <c r="C5065" t="str">
        <f>'Inventory as of 12th Aug 2024'!A50</f>
        <v>Pishori rice</v>
      </c>
      <c r="D5065">
        <v>0.5</v>
      </c>
      <c r="E5065" s="5">
        <f>Table4[[#This Row],[qty]]*(VLOOKUP(Table4[[#This Row],[item_sold]],Table1[],5,FALSE))</f>
        <v>110</v>
      </c>
      <c r="F5065" s="5">
        <f>(VLOOKUP(Table4[[#This Row],[item_sold]],Table1[],4,FALSE))*Table4[[#This Row],[qty]]</f>
        <v>90</v>
      </c>
      <c r="G5065">
        <f t="shared" si="730"/>
        <v>20</v>
      </c>
      <c r="H5065" t="s">
        <v>361</v>
      </c>
    </row>
    <row r="5066" spans="1:9" x14ac:dyDescent="0.25">
      <c r="A5066" s="1">
        <f t="shared" si="733"/>
        <v>45565</v>
      </c>
      <c r="B5066" s="31">
        <f t="shared" ref="B5066:B5069" si="742">TIME(19,19,0)</f>
        <v>0.80486111111111114</v>
      </c>
      <c r="C5066" t="str">
        <f>'Inventory as of 12th Aug 2024'!A33</f>
        <v>BB Bread 400g</v>
      </c>
      <c r="D5066">
        <v>1</v>
      </c>
      <c r="E5066" s="5">
        <f>Table4[[#This Row],[qty]]*(VLOOKUP(Table4[[#This Row],[item_sold]],Table1[],5,FALSE))</f>
        <v>65</v>
      </c>
      <c r="F5066" s="5">
        <f>(VLOOKUP(Table4[[#This Row],[item_sold]],Table1[],4,FALSE))*Table4[[#This Row],[qty]]</f>
        <v>60</v>
      </c>
      <c r="G5066">
        <f t="shared" si="730"/>
        <v>5</v>
      </c>
      <c r="H5066" t="s">
        <v>361</v>
      </c>
    </row>
    <row r="5067" spans="1:9" x14ac:dyDescent="0.25">
      <c r="A5067" s="1">
        <f t="shared" si="733"/>
        <v>45565</v>
      </c>
      <c r="B5067" s="31">
        <f t="shared" si="742"/>
        <v>0.80486111111111114</v>
      </c>
      <c r="C5067" t="str">
        <f>'Inventory as of 12th Aug 2024'!A49</f>
        <v>Ndengu</v>
      </c>
      <c r="D5067">
        <v>0.25</v>
      </c>
      <c r="E5067" s="5">
        <f>Table4[[#This Row],[qty]]*(VLOOKUP(Table4[[#This Row],[item_sold]],Table1[],5,FALSE))</f>
        <v>40</v>
      </c>
      <c r="F5067" s="5">
        <f>(VLOOKUP(Table4[[#This Row],[item_sold]],Table1[],4,FALSE))*Table4[[#This Row],[qty]]</f>
        <v>30</v>
      </c>
      <c r="G5067">
        <f t="shared" si="730"/>
        <v>10</v>
      </c>
      <c r="H5067" t="s">
        <v>361</v>
      </c>
    </row>
    <row r="5068" spans="1:9" x14ac:dyDescent="0.25">
      <c r="A5068" s="1">
        <f t="shared" si="733"/>
        <v>45565</v>
      </c>
      <c r="B5068" s="31">
        <f t="shared" si="742"/>
        <v>0.80486111111111114</v>
      </c>
      <c r="C5068" t="str">
        <f>'Inventory as of 12th Aug 2024'!A91</f>
        <v>Tomatoes</v>
      </c>
      <c r="D5068">
        <v>3</v>
      </c>
      <c r="E5068" s="5">
        <f>Table4[[#This Row],[qty]]*(VLOOKUP(Table4[[#This Row],[item_sold]],Table1[],5,FALSE))</f>
        <v>30</v>
      </c>
      <c r="F5068" s="5">
        <f>(VLOOKUP(Table4[[#This Row],[item_sold]],Table1[],4,FALSE))*Table4[[#This Row],[qty]]</f>
        <v>15</v>
      </c>
      <c r="G5068">
        <f t="shared" si="730"/>
        <v>15</v>
      </c>
      <c r="H5068" t="s">
        <v>361</v>
      </c>
    </row>
    <row r="5069" spans="1:9" x14ac:dyDescent="0.25">
      <c r="A5069" s="1">
        <f t="shared" si="733"/>
        <v>45565</v>
      </c>
      <c r="B5069" s="31">
        <f t="shared" si="742"/>
        <v>0.80486111111111114</v>
      </c>
      <c r="C5069" t="str">
        <f>'Inventory as of 12th Aug 2024'!A120</f>
        <v>Maramoja</v>
      </c>
      <c r="D5069">
        <v>1</v>
      </c>
      <c r="E5069" s="5">
        <f>Table4[[#This Row],[qty]]*(VLOOKUP(Table4[[#This Row],[item_sold]],Table1[],5,FALSE))</f>
        <v>10</v>
      </c>
      <c r="F5069" s="5">
        <f>(VLOOKUP(Table4[[#This Row],[item_sold]],Table1[],4,FALSE))*Table4[[#This Row],[qty]]</f>
        <v>7</v>
      </c>
      <c r="G5069">
        <f t="shared" si="730"/>
        <v>3</v>
      </c>
      <c r="H5069" t="s">
        <v>361</v>
      </c>
    </row>
    <row r="5070" spans="1:9" x14ac:dyDescent="0.25">
      <c r="A5070" s="1">
        <f t="shared" si="733"/>
        <v>45565</v>
      </c>
      <c r="B5070" s="31">
        <f>TIME(19,25,0)</f>
        <v>0.80902777777777779</v>
      </c>
      <c r="C5070" t="str">
        <f>'Inventory as of 12th Aug 2024'!A8</f>
        <v>eggs</v>
      </c>
      <c r="D5070">
        <v>2</v>
      </c>
      <c r="E5070" s="5">
        <f>Table4[[#This Row],[qty]]*(VLOOKUP(Table4[[#This Row],[item_sold]],Table1[],5,FALSE))</f>
        <v>40</v>
      </c>
      <c r="F5070" s="5">
        <f>(VLOOKUP(Table4[[#This Row],[item_sold]],Table1[],4,FALSE))*Table4[[#This Row],[qty]]</f>
        <v>28.666666666666668</v>
      </c>
      <c r="G5070">
        <f t="shared" si="730"/>
        <v>11.333333333333332</v>
      </c>
      <c r="H5070" t="s">
        <v>430</v>
      </c>
      <c r="I5070" t="s">
        <v>398</v>
      </c>
    </row>
    <row r="5071" spans="1:9" x14ac:dyDescent="0.25">
      <c r="A5071" s="1">
        <f t="shared" si="733"/>
        <v>45565</v>
      </c>
      <c r="B5071" s="31">
        <f>TIME(19,41,0)</f>
        <v>0.82013888888888886</v>
      </c>
      <c r="C5071" t="str">
        <f>'Inventory as of 12th Aug 2024'!A33</f>
        <v>BB Bread 400g</v>
      </c>
      <c r="D5071">
        <v>1</v>
      </c>
      <c r="E5071" s="5">
        <f>Table4[[#This Row],[qty]]*(VLOOKUP(Table4[[#This Row],[item_sold]],Table1[],5,FALSE))</f>
        <v>65</v>
      </c>
      <c r="F5071" s="5">
        <f>(VLOOKUP(Table4[[#This Row],[item_sold]],Table1[],4,FALSE))*Table4[[#This Row],[qty]]</f>
        <v>60</v>
      </c>
      <c r="G5071">
        <f t="shared" si="730"/>
        <v>5</v>
      </c>
      <c r="H5071" t="s">
        <v>247</v>
      </c>
    </row>
    <row r="5072" spans="1:9" x14ac:dyDescent="0.25">
      <c r="A5072" s="1">
        <f t="shared" si="733"/>
        <v>45565</v>
      </c>
      <c r="B5072" s="31">
        <f t="shared" ref="B5072" si="743">TIME(19,41,0)</f>
        <v>0.82013888888888886</v>
      </c>
      <c r="C5072" t="str">
        <f>'Inventory as of 12th Aug 2024'!A192</f>
        <v>Lemon Bisquit</v>
      </c>
      <c r="D5072">
        <v>1</v>
      </c>
      <c r="E5072" s="5">
        <f>Table4[[#This Row],[qty]]*(VLOOKUP(Table4[[#This Row],[item_sold]],Table1[],5,FALSE))</f>
        <v>5</v>
      </c>
      <c r="F5072" s="5">
        <f>(VLOOKUP(Table4[[#This Row],[item_sold]],Table1[],4,FALSE))*Table4[[#This Row],[qty]]</f>
        <v>4.333333333333333</v>
      </c>
      <c r="G5072">
        <f t="shared" si="730"/>
        <v>0.66666666666666696</v>
      </c>
      <c r="H5072" t="s">
        <v>247</v>
      </c>
    </row>
    <row r="5073" spans="1:9" x14ac:dyDescent="0.25">
      <c r="A5073" s="1">
        <f t="shared" si="733"/>
        <v>45565</v>
      </c>
      <c r="B5073" s="31">
        <f>TIME(19,48,0)</f>
        <v>0.82500000000000007</v>
      </c>
      <c r="C5073" t="str">
        <f>'Inventory as of 12th Aug 2024'!A175</f>
        <v>Coconut Cakes</v>
      </c>
      <c r="D5073">
        <v>2</v>
      </c>
      <c r="E5073" s="5">
        <f>Table4[[#This Row],[qty]]*(VLOOKUP(Table4[[#This Row],[item_sold]],Table1[],5,FALSE))</f>
        <v>20</v>
      </c>
      <c r="F5073" s="5">
        <f>(VLOOKUP(Table4[[#This Row],[item_sold]],Table1[],4,FALSE))*Table4[[#This Row],[qty]]</f>
        <v>16.666666666666668</v>
      </c>
      <c r="G5073">
        <f t="shared" si="730"/>
        <v>3.3333333333333321</v>
      </c>
      <c r="H5073" t="s">
        <v>247</v>
      </c>
    </row>
    <row r="5074" spans="1:9" x14ac:dyDescent="0.25">
      <c r="A5074" s="1">
        <f t="shared" si="733"/>
        <v>45565</v>
      </c>
      <c r="B5074" s="31">
        <f>TIME(19,48,0)</f>
        <v>0.82500000000000007</v>
      </c>
      <c r="C5074" t="str">
        <f>'Inventory as of 12th Aug 2024'!A108</f>
        <v>Kichungi small</v>
      </c>
      <c r="D5074">
        <v>1</v>
      </c>
      <c r="E5074" s="5">
        <f>Table4[[#This Row],[qty]]*(VLOOKUP(Table4[[#This Row],[item_sold]],Table1[],5,FALSE))</f>
        <v>20</v>
      </c>
      <c r="F5074" s="5">
        <f>(VLOOKUP(Table4[[#This Row],[item_sold]],Table1[],4,FALSE))*Table4[[#This Row],[qty]]</f>
        <v>15</v>
      </c>
      <c r="G5074">
        <f t="shared" si="730"/>
        <v>5</v>
      </c>
      <c r="H5074" t="s">
        <v>247</v>
      </c>
    </row>
    <row r="5075" spans="1:9" x14ac:dyDescent="0.25">
      <c r="A5075" s="1">
        <f>DATE(2024,10,1)</f>
        <v>45566</v>
      </c>
      <c r="B5075" s="31">
        <f>TIME(7,7,0)</f>
        <v>0.29652777777777778</v>
      </c>
      <c r="C5075" t="str">
        <f>'Inventory as of 12th Aug 2024'!A92</f>
        <v>Banana</v>
      </c>
      <c r="D5075">
        <v>3</v>
      </c>
      <c r="E5075" s="5">
        <f>Table4[[#This Row],[qty]]*(VLOOKUP(Table4[[#This Row],[item_sold]],Table1[],5,FALSE))</f>
        <v>30</v>
      </c>
      <c r="F5075" s="5">
        <f>(VLOOKUP(Table4[[#This Row],[item_sold]],Table1[],4,FALSE))*Table4[[#This Row],[qty]]</f>
        <v>25</v>
      </c>
      <c r="G5075">
        <f t="shared" si="730"/>
        <v>5</v>
      </c>
      <c r="H5075" t="s">
        <v>361</v>
      </c>
    </row>
    <row r="5076" spans="1:9" x14ac:dyDescent="0.25">
      <c r="A5076" s="1">
        <f t="shared" ref="A5076:A5126" si="744">DATE(2024,10,1)</f>
        <v>45566</v>
      </c>
      <c r="B5076" s="31">
        <f>TIME(7,32,0)</f>
        <v>0.31388888888888888</v>
      </c>
      <c r="C5076" t="str">
        <f>'Inventory as of 12th Aug 2024'!A258</f>
        <v>Sunlight 25g</v>
      </c>
      <c r="D5076">
        <v>1</v>
      </c>
      <c r="E5076" s="5">
        <f>Table4[[#This Row],[qty]]*(VLOOKUP(Table4[[#This Row],[item_sold]],Table1[],5,FALSE))</f>
        <v>15</v>
      </c>
      <c r="F5076" s="5">
        <f>(VLOOKUP(Table4[[#This Row],[item_sold]],Table1[],4,FALSE))*Table4[[#This Row],[qty]]</f>
        <v>8.3333333333333339</v>
      </c>
      <c r="G5076">
        <f t="shared" ref="G5076:G5139" si="745">E5076-F5076</f>
        <v>6.6666666666666661</v>
      </c>
      <c r="H5076" t="s">
        <v>361</v>
      </c>
    </row>
    <row r="5077" spans="1:9" x14ac:dyDescent="0.25">
      <c r="A5077" s="1">
        <f t="shared" si="744"/>
        <v>45566</v>
      </c>
      <c r="B5077" s="31">
        <f t="shared" ref="B5077" si="746">TIME(7,32,0)</f>
        <v>0.31388888888888888</v>
      </c>
      <c r="C5077" t="str">
        <f>'Inventory as of 12th Aug 2024'!A58</f>
        <v>Safari</v>
      </c>
      <c r="D5077">
        <v>1</v>
      </c>
      <c r="E5077" s="5">
        <f>Table4[[#This Row],[qty]]*(VLOOKUP(Table4[[#This Row],[item_sold]],Table1[],5,FALSE))</f>
        <v>15</v>
      </c>
      <c r="F5077" s="5">
        <f>(VLOOKUP(Table4[[#This Row],[item_sold]],Table1[],4,FALSE))*Table4[[#This Row],[qty]]</f>
        <v>8.5</v>
      </c>
      <c r="G5077">
        <f t="shared" si="745"/>
        <v>6.5</v>
      </c>
      <c r="H5077" t="s">
        <v>247</v>
      </c>
    </row>
    <row r="5078" spans="1:9" x14ac:dyDescent="0.25">
      <c r="A5078" s="1">
        <f t="shared" si="744"/>
        <v>45566</v>
      </c>
      <c r="B5078" s="31">
        <f>TIME(8,20,0)</f>
        <v>0.34722222222222227</v>
      </c>
      <c r="C5078" t="str">
        <f>'Inventory as of 12th Aug 2024'!A9</f>
        <v>Kinangop Fresh Milk 500ml</v>
      </c>
      <c r="D5078">
        <v>1</v>
      </c>
      <c r="E5078" s="5">
        <f>Table4[[#This Row],[qty]]*(VLOOKUP(Table4[[#This Row],[item_sold]],Table1[],5,FALSE))</f>
        <v>60</v>
      </c>
      <c r="F5078" s="5">
        <f>(VLOOKUP(Table4[[#This Row],[item_sold]],Table1[],4,FALSE))*Table4[[#This Row],[qty]]</f>
        <v>55</v>
      </c>
      <c r="G5078">
        <f t="shared" si="745"/>
        <v>5</v>
      </c>
      <c r="H5078" t="s">
        <v>361</v>
      </c>
    </row>
    <row r="5079" spans="1:9" x14ac:dyDescent="0.25">
      <c r="A5079" s="1">
        <f t="shared" si="744"/>
        <v>45566</v>
      </c>
      <c r="B5079" s="31">
        <f t="shared" ref="B5079" si="747">TIME(8,20,0)</f>
        <v>0.34722222222222227</v>
      </c>
      <c r="C5079" t="str">
        <f>'Inventory as of 12th Aug 2024'!A175</f>
        <v>Coconut Cakes</v>
      </c>
      <c r="D5079">
        <v>1</v>
      </c>
      <c r="E5079" s="5">
        <f>Table4[[#This Row],[qty]]*(VLOOKUP(Table4[[#This Row],[item_sold]],Table1[],5,FALSE))</f>
        <v>10</v>
      </c>
      <c r="F5079" s="5">
        <f>(VLOOKUP(Table4[[#This Row],[item_sold]],Table1[],4,FALSE))*Table4[[#This Row],[qty]]</f>
        <v>8.3333333333333339</v>
      </c>
      <c r="G5079">
        <f t="shared" si="745"/>
        <v>1.6666666666666661</v>
      </c>
      <c r="H5079" t="s">
        <v>361</v>
      </c>
    </row>
    <row r="5080" spans="1:9" x14ac:dyDescent="0.25">
      <c r="A5080" s="1">
        <f t="shared" si="744"/>
        <v>45566</v>
      </c>
      <c r="B5080" s="31">
        <f>TIME(8,59,0)</f>
        <v>0.3743055555555555</v>
      </c>
      <c r="C5080" t="str">
        <f>'Inventory as of 12th Aug 2024'!A33</f>
        <v>BB Bread 400g</v>
      </c>
      <c r="D5080">
        <v>1</v>
      </c>
      <c r="E5080" s="5">
        <f>Table4[[#This Row],[qty]]*(VLOOKUP(Table4[[#This Row],[item_sold]],Table1[],5,FALSE))</f>
        <v>65</v>
      </c>
      <c r="F5080" s="5">
        <f>(VLOOKUP(Table4[[#This Row],[item_sold]],Table1[],4,FALSE))*Table4[[#This Row],[qty]]</f>
        <v>60</v>
      </c>
      <c r="G5080">
        <f t="shared" si="745"/>
        <v>5</v>
      </c>
      <c r="H5080" t="s">
        <v>247</v>
      </c>
    </row>
    <row r="5081" spans="1:9" x14ac:dyDescent="0.25">
      <c r="A5081" s="1">
        <f t="shared" si="744"/>
        <v>45566</v>
      </c>
      <c r="B5081" s="31">
        <f t="shared" ref="B5081:B5086" si="748">TIME(8,59,0)</f>
        <v>0.3743055555555555</v>
      </c>
      <c r="C5081" t="str">
        <f>'Inventory as of 12th Aug 2024'!A17</f>
        <v>Brookside milk 500ml</v>
      </c>
      <c r="D5081">
        <v>1</v>
      </c>
      <c r="E5081" s="5">
        <f>Table4[[#This Row],[qty]]*(VLOOKUP(Table4[[#This Row],[item_sold]],Table1[],5,FALSE))</f>
        <v>70</v>
      </c>
      <c r="F5081" s="5">
        <f>(VLOOKUP(Table4[[#This Row],[item_sold]],Table1[],4,FALSE))*Table4[[#This Row],[qty]]</f>
        <v>59</v>
      </c>
      <c r="G5081">
        <f t="shared" si="745"/>
        <v>11</v>
      </c>
      <c r="H5081" t="s">
        <v>247</v>
      </c>
    </row>
    <row r="5082" spans="1:9" x14ac:dyDescent="0.25">
      <c r="A5082" s="1">
        <f t="shared" si="744"/>
        <v>45566</v>
      </c>
      <c r="B5082" s="31">
        <f t="shared" si="748"/>
        <v>0.3743055555555555</v>
      </c>
      <c r="C5082" t="str">
        <f>'Inventory as of 12th Aug 2024'!A195</f>
        <v>Ring Cake</v>
      </c>
      <c r="D5082">
        <v>1</v>
      </c>
      <c r="E5082" s="5">
        <f>Table4[[#This Row],[qty]]*(VLOOKUP(Table4[[#This Row],[item_sold]],Table1[],5,FALSE))</f>
        <v>50</v>
      </c>
      <c r="F5082" s="5">
        <f>(VLOOKUP(Table4[[#This Row],[item_sold]],Table1[],4,FALSE))*Table4[[#This Row],[qty]]</f>
        <v>45</v>
      </c>
      <c r="G5082">
        <f t="shared" si="745"/>
        <v>5</v>
      </c>
      <c r="H5082" t="s">
        <v>247</v>
      </c>
    </row>
    <row r="5083" spans="1:9" x14ac:dyDescent="0.25">
      <c r="A5083" s="1">
        <f t="shared" si="744"/>
        <v>45566</v>
      </c>
      <c r="B5083" s="31">
        <f t="shared" si="748"/>
        <v>0.3743055555555555</v>
      </c>
      <c r="C5083" t="str">
        <f>'Inventory as of 12th Aug 2024'!A57</f>
        <v>Sportsman</v>
      </c>
      <c r="D5083">
        <v>1</v>
      </c>
      <c r="E5083" s="5">
        <f>Table4[[#This Row],[qty]]*(VLOOKUP(Table4[[#This Row],[item_sold]],Table1[],5,FALSE))</f>
        <v>20</v>
      </c>
      <c r="F5083" s="5">
        <f>(VLOOKUP(Table4[[#This Row],[item_sold]],Table1[],4,FALSE))*Table4[[#This Row],[qty]]</f>
        <v>13</v>
      </c>
      <c r="G5083">
        <f t="shared" si="745"/>
        <v>7</v>
      </c>
      <c r="H5083" t="s">
        <v>247</v>
      </c>
    </row>
    <row r="5084" spans="1:9" x14ac:dyDescent="0.25">
      <c r="A5084" s="1">
        <f t="shared" si="744"/>
        <v>45566</v>
      </c>
      <c r="B5084" s="31">
        <f t="shared" si="748"/>
        <v>0.3743055555555555</v>
      </c>
      <c r="C5084" t="str">
        <f>'Inventory as of 12th Aug 2024'!A176</f>
        <v>Queen cake</v>
      </c>
      <c r="D5084">
        <v>2</v>
      </c>
      <c r="E5084" s="5">
        <f>Table4[[#This Row],[qty]]*(VLOOKUP(Table4[[#This Row],[item_sold]],Table1[],5,FALSE))</f>
        <v>20</v>
      </c>
      <c r="F5084" s="5">
        <f>(VLOOKUP(Table4[[#This Row],[item_sold]],Table1[],4,FALSE))*Table4[[#This Row],[qty]]</f>
        <v>16.666666666666668</v>
      </c>
      <c r="G5084">
        <f t="shared" si="745"/>
        <v>3.3333333333333321</v>
      </c>
      <c r="H5084" t="s">
        <v>247</v>
      </c>
    </row>
    <row r="5085" spans="1:9" x14ac:dyDescent="0.25">
      <c r="A5085" s="1">
        <f t="shared" si="744"/>
        <v>45566</v>
      </c>
      <c r="B5085" s="31">
        <f t="shared" si="748"/>
        <v>0.3743055555555555</v>
      </c>
      <c r="C5085" t="str">
        <f>'Inventory as of 12th Aug 2024'!A234</f>
        <v>Bigdaddy</v>
      </c>
      <c r="D5085">
        <v>1</v>
      </c>
      <c r="E5085" s="5">
        <f>Table4[[#This Row],[qty]]*(VLOOKUP(Table4[[#This Row],[item_sold]],Table1[],5,FALSE))</f>
        <v>10</v>
      </c>
      <c r="F5085" s="5">
        <f>(VLOOKUP(Table4[[#This Row],[item_sold]],Table1[],4,FALSE))*Table4[[#This Row],[qty]]</f>
        <v>6</v>
      </c>
      <c r="G5085">
        <f t="shared" si="745"/>
        <v>4</v>
      </c>
      <c r="H5085" t="s">
        <v>247</v>
      </c>
    </row>
    <row r="5086" spans="1:9" x14ac:dyDescent="0.25">
      <c r="A5086" s="1">
        <f t="shared" si="744"/>
        <v>45566</v>
      </c>
      <c r="B5086" s="31">
        <f t="shared" si="748"/>
        <v>0.3743055555555555</v>
      </c>
      <c r="C5086" t="str">
        <f>'Inventory as of 12th Aug 2024'!A173</f>
        <v>Carrier bag big</v>
      </c>
      <c r="D5086">
        <v>1</v>
      </c>
      <c r="E5086" s="5">
        <f>Table4[[#This Row],[qty]]*(VLOOKUP(Table4[[#This Row],[item_sold]],Table1[],5,FALSE))</f>
        <v>20</v>
      </c>
      <c r="F5086" s="5">
        <f>(VLOOKUP(Table4[[#This Row],[item_sold]],Table1[],4,FALSE))*Table4[[#This Row],[qty]]</f>
        <v>5</v>
      </c>
      <c r="G5086">
        <f t="shared" si="745"/>
        <v>15</v>
      </c>
      <c r="H5086" t="s">
        <v>247</v>
      </c>
    </row>
    <row r="5087" spans="1:9" x14ac:dyDescent="0.25">
      <c r="A5087" s="1">
        <f t="shared" si="744"/>
        <v>45566</v>
      </c>
      <c r="B5087" s="31">
        <f>TIME(10,10,0)</f>
        <v>0.4236111111111111</v>
      </c>
      <c r="C5087" t="str">
        <f>'Inventory as of 12th Aug 2024'!A58</f>
        <v>Safari</v>
      </c>
      <c r="D5087">
        <v>1</v>
      </c>
      <c r="E5087" s="5">
        <f>Table4[[#This Row],[qty]]*(VLOOKUP(Table4[[#This Row],[item_sold]],Table1[],5,FALSE))</f>
        <v>15</v>
      </c>
      <c r="F5087" s="5">
        <f>(VLOOKUP(Table4[[#This Row],[item_sold]],Table1[],4,FALSE))*Table4[[#This Row],[qty]]</f>
        <v>8.5</v>
      </c>
      <c r="G5087">
        <f t="shared" si="745"/>
        <v>6.5</v>
      </c>
      <c r="H5087" t="s">
        <v>430</v>
      </c>
      <c r="I5087" t="s">
        <v>447</v>
      </c>
    </row>
    <row r="5088" spans="1:9" x14ac:dyDescent="0.25">
      <c r="A5088" s="1">
        <f t="shared" si="744"/>
        <v>45566</v>
      </c>
      <c r="B5088" s="31">
        <f>TIME(10,14,0)</f>
        <v>0.42638888888888887</v>
      </c>
      <c r="C5088" t="str">
        <f>'Inventory as of 12th Aug 2024'!A175</f>
        <v>Coconut Cakes</v>
      </c>
      <c r="D5088">
        <v>1</v>
      </c>
      <c r="E5088" s="5">
        <f>Table4[[#This Row],[qty]]*(VLOOKUP(Table4[[#This Row],[item_sold]],Table1[],5,FALSE))</f>
        <v>10</v>
      </c>
      <c r="F5088" s="5">
        <f>(VLOOKUP(Table4[[#This Row],[item_sold]],Table1[],4,FALSE))*Table4[[#This Row],[qty]]</f>
        <v>8.3333333333333339</v>
      </c>
      <c r="G5088">
        <f t="shared" si="745"/>
        <v>1.6666666666666661</v>
      </c>
      <c r="H5088" t="s">
        <v>361</v>
      </c>
    </row>
    <row r="5089" spans="1:12" x14ac:dyDescent="0.25">
      <c r="A5089" s="1">
        <f t="shared" si="744"/>
        <v>45566</v>
      </c>
      <c r="B5089" s="31">
        <f>TIME(11,8,0)</f>
        <v>0.46388888888888885</v>
      </c>
      <c r="C5089" t="str">
        <f>'Inventory as of 12th Aug 2024'!A37</f>
        <v>Festive Bread 400g</v>
      </c>
      <c r="D5089">
        <v>1</v>
      </c>
      <c r="E5089" s="5">
        <f>Table4[[#This Row],[qty]]*(VLOOKUP(Table4[[#This Row],[item_sold]],Table1[],5,FALSE))</f>
        <v>65</v>
      </c>
      <c r="F5089" s="5">
        <f>(VLOOKUP(Table4[[#This Row],[item_sold]],Table1[],4,FALSE))*Table4[[#This Row],[qty]]</f>
        <v>60</v>
      </c>
      <c r="G5089">
        <f t="shared" si="745"/>
        <v>5</v>
      </c>
      <c r="H5089" t="s">
        <v>361</v>
      </c>
      <c r="J5089" t="s">
        <v>401</v>
      </c>
      <c r="K5089">
        <v>430</v>
      </c>
      <c r="L5089" t="s">
        <v>361</v>
      </c>
    </row>
    <row r="5090" spans="1:12" x14ac:dyDescent="0.25">
      <c r="A5090" s="1">
        <f t="shared" si="744"/>
        <v>45566</v>
      </c>
      <c r="B5090" s="31">
        <f>TIME(13,29,0)</f>
        <v>0.56180555555555556</v>
      </c>
      <c r="C5090" t="str">
        <f>'Inventory as of 12th Aug 2024'!A135</f>
        <v>Bella Tissue</v>
      </c>
      <c r="D5090">
        <v>2</v>
      </c>
      <c r="E5090" s="5">
        <f>Table4[[#This Row],[qty]]*(VLOOKUP(Table4[[#This Row],[item_sold]],Table1[],5,FALSE))</f>
        <v>100</v>
      </c>
      <c r="F5090" s="5">
        <f>(VLOOKUP(Table4[[#This Row],[item_sold]],Table1[],4,FALSE))*Table4[[#This Row],[qty]]</f>
        <v>70</v>
      </c>
      <c r="G5090">
        <f t="shared" si="745"/>
        <v>30</v>
      </c>
      <c r="H5090" t="s">
        <v>361</v>
      </c>
    </row>
    <row r="5091" spans="1:12" x14ac:dyDescent="0.25">
      <c r="A5091" s="1">
        <f t="shared" si="744"/>
        <v>45566</v>
      </c>
      <c r="B5091" s="31">
        <f>TIME(13,57,0)</f>
        <v>0.58124999999999993</v>
      </c>
      <c r="C5091" t="str">
        <f>'Inventory as of 12th Aug 2024'!A75</f>
        <v>Cooking Oil Measured</v>
      </c>
      <c r="D5091">
        <v>0.25</v>
      </c>
      <c r="E5091" s="5">
        <f>Table4[[#This Row],[qty]]*(VLOOKUP(Table4[[#This Row],[item_sold]],Table1[],5,FALSE))</f>
        <v>70</v>
      </c>
      <c r="F5091" s="5">
        <f>(VLOOKUP(Table4[[#This Row],[item_sold]],Table1[],4,FALSE))*Table4[[#This Row],[qty]]</f>
        <v>50</v>
      </c>
      <c r="G5091">
        <f t="shared" si="745"/>
        <v>20</v>
      </c>
      <c r="H5091" t="s">
        <v>361</v>
      </c>
    </row>
    <row r="5092" spans="1:12" x14ac:dyDescent="0.25">
      <c r="A5092" s="1">
        <f t="shared" si="744"/>
        <v>45566</v>
      </c>
      <c r="B5092" s="31">
        <f>TIME(13,58,0)</f>
        <v>0.58194444444444449</v>
      </c>
      <c r="C5092" t="str">
        <f>'Inventory as of 12th Aug 2024'!A212</f>
        <v>soda 300ml glass</v>
      </c>
      <c r="D5092">
        <v>1</v>
      </c>
      <c r="E5092" s="5">
        <f>Table4[[#This Row],[qty]]*(VLOOKUP(Table4[[#This Row],[item_sold]],Table1[],5,FALSE))</f>
        <v>40</v>
      </c>
      <c r="F5092" s="5">
        <f>(VLOOKUP(Table4[[#This Row],[item_sold]],Table1[],4,FALSE))*Table4[[#This Row],[qty]]</f>
        <v>32.5</v>
      </c>
      <c r="G5092">
        <f t="shared" si="745"/>
        <v>7.5</v>
      </c>
      <c r="H5092" t="s">
        <v>361</v>
      </c>
      <c r="J5092" t="s">
        <v>412</v>
      </c>
      <c r="K5092">
        <v>295</v>
      </c>
      <c r="L5092" t="s">
        <v>247</v>
      </c>
    </row>
    <row r="5093" spans="1:12" x14ac:dyDescent="0.25">
      <c r="A5093" s="1">
        <f t="shared" si="744"/>
        <v>45566</v>
      </c>
      <c r="B5093" s="31">
        <f>TIME(13,58,0)</f>
        <v>0.58194444444444449</v>
      </c>
      <c r="C5093" t="str">
        <f>'Inventory as of 12th Aug 2024'!A33</f>
        <v>BB Bread 400g</v>
      </c>
      <c r="D5093">
        <v>1</v>
      </c>
      <c r="E5093" s="5">
        <f>Table4[[#This Row],[qty]]*(VLOOKUP(Table4[[#This Row],[item_sold]],Table1[],5,FALSE))</f>
        <v>65</v>
      </c>
      <c r="F5093" s="5">
        <f>(VLOOKUP(Table4[[#This Row],[item_sold]],Table1[],4,FALSE))*Table4[[#This Row],[qty]]</f>
        <v>60</v>
      </c>
      <c r="G5093">
        <f t="shared" si="745"/>
        <v>5</v>
      </c>
      <c r="H5093" t="s">
        <v>247</v>
      </c>
      <c r="J5093" t="s">
        <v>419</v>
      </c>
      <c r="K5093">
        <v>45</v>
      </c>
      <c r="L5093" t="s">
        <v>247</v>
      </c>
    </row>
    <row r="5094" spans="1:12" x14ac:dyDescent="0.25">
      <c r="A5094" s="1">
        <f t="shared" si="744"/>
        <v>45566</v>
      </c>
      <c r="B5094" s="31">
        <f>TIME(15,22,0)</f>
        <v>0.64027777777777783</v>
      </c>
      <c r="C5094" t="str">
        <f>'Inventory as of 12th Aug 2024'!A107</f>
        <v>Match Box</v>
      </c>
      <c r="D5094">
        <v>6</v>
      </c>
      <c r="E5094" s="5">
        <f>Table4[[#This Row],[qty]]*(VLOOKUP(Table4[[#This Row],[item_sold]],Table1[],5,FALSE))</f>
        <v>30</v>
      </c>
      <c r="F5094" s="5">
        <f>(VLOOKUP(Table4[[#This Row],[item_sold]],Table1[],4,FALSE))*Table4[[#This Row],[qty]]</f>
        <v>14.166666666666668</v>
      </c>
      <c r="G5094">
        <f t="shared" si="745"/>
        <v>15.833333333333332</v>
      </c>
      <c r="H5094" t="s">
        <v>247</v>
      </c>
    </row>
    <row r="5095" spans="1:12" x14ac:dyDescent="0.25">
      <c r="A5095" s="1">
        <f t="shared" si="744"/>
        <v>45566</v>
      </c>
      <c r="B5095" s="31">
        <f t="shared" ref="B5095:B5097" si="749">TIME(15,22,0)</f>
        <v>0.64027777777777783</v>
      </c>
      <c r="C5095" t="str">
        <f>'Inventory as of 12th Aug 2024'!A9</f>
        <v>Kinangop Fresh Milk 500ml</v>
      </c>
      <c r="D5095">
        <v>1</v>
      </c>
      <c r="E5095" s="5">
        <f>Table4[[#This Row],[qty]]*(VLOOKUP(Table4[[#This Row],[item_sold]],Table1[],5,FALSE))</f>
        <v>60</v>
      </c>
      <c r="F5095" s="5">
        <f>(VLOOKUP(Table4[[#This Row],[item_sold]],Table1[],4,FALSE))*Table4[[#This Row],[qty]]</f>
        <v>55</v>
      </c>
      <c r="G5095">
        <f t="shared" si="745"/>
        <v>5</v>
      </c>
      <c r="H5095" t="s">
        <v>247</v>
      </c>
    </row>
    <row r="5096" spans="1:12" x14ac:dyDescent="0.25">
      <c r="A5096" s="1">
        <f t="shared" si="744"/>
        <v>45566</v>
      </c>
      <c r="B5096" s="31">
        <f t="shared" si="749"/>
        <v>0.64027777777777783</v>
      </c>
      <c r="C5096" t="str">
        <f>'Inventory as of 12th Aug 2024'!A33</f>
        <v>BB Bread 400g</v>
      </c>
      <c r="D5096">
        <v>1</v>
      </c>
      <c r="E5096" s="5">
        <f>Table4[[#This Row],[qty]]*(VLOOKUP(Table4[[#This Row],[item_sold]],Table1[],5,FALSE))</f>
        <v>65</v>
      </c>
      <c r="F5096" s="5">
        <f>(VLOOKUP(Table4[[#This Row],[item_sold]],Table1[],4,FALSE))*Table4[[#This Row],[qty]]</f>
        <v>60</v>
      </c>
      <c r="G5096">
        <f t="shared" si="745"/>
        <v>5</v>
      </c>
      <c r="H5096" t="s">
        <v>247</v>
      </c>
    </row>
    <row r="5097" spans="1:12" x14ac:dyDescent="0.25">
      <c r="A5097" s="1">
        <f t="shared" si="744"/>
        <v>45566</v>
      </c>
      <c r="B5097" s="31">
        <f t="shared" si="749"/>
        <v>0.64027777777777783</v>
      </c>
      <c r="C5097" t="str">
        <f>'Inventory as of 12th Aug 2024'!A132</f>
        <v>Gellette</v>
      </c>
      <c r="D5097">
        <v>1</v>
      </c>
      <c r="E5097" s="5">
        <f>Table4[[#This Row],[qty]]*(VLOOKUP(Table4[[#This Row],[item_sold]],Table1[],5,FALSE))</f>
        <v>30</v>
      </c>
      <c r="F5097" s="5">
        <f>(VLOOKUP(Table4[[#This Row],[item_sold]],Table1[],4,FALSE))*Table4[[#This Row],[qty]]</f>
        <v>23.333333333333332</v>
      </c>
      <c r="G5097">
        <f t="shared" si="745"/>
        <v>6.6666666666666679</v>
      </c>
      <c r="H5097" t="s">
        <v>430</v>
      </c>
      <c r="I5097" t="s">
        <v>406</v>
      </c>
    </row>
    <row r="5098" spans="1:12" x14ac:dyDescent="0.25">
      <c r="A5098" s="1">
        <f t="shared" si="744"/>
        <v>45566</v>
      </c>
      <c r="B5098" s="31">
        <f>TIME(16,9,0)</f>
        <v>0.67291666666666661</v>
      </c>
      <c r="C5098" t="str">
        <f>'Inventory as of 12th Aug 2024'!A42</f>
        <v>Indomie chicken</v>
      </c>
      <c r="D5098">
        <v>1</v>
      </c>
      <c r="E5098" s="5">
        <f>Table4[[#This Row],[qty]]*(VLOOKUP(Table4[[#This Row],[item_sold]],Table1[],5,FALSE))</f>
        <v>50</v>
      </c>
      <c r="F5098" s="5">
        <f>(VLOOKUP(Table4[[#This Row],[item_sold]],Table1[],4,FALSE))*Table4[[#This Row],[qty]]</f>
        <v>37.5</v>
      </c>
      <c r="G5098">
        <f t="shared" si="745"/>
        <v>12.5</v>
      </c>
      <c r="H5098" t="s">
        <v>361</v>
      </c>
    </row>
    <row r="5099" spans="1:12" x14ac:dyDescent="0.25">
      <c r="A5099" s="1">
        <f t="shared" si="744"/>
        <v>45566</v>
      </c>
      <c r="B5099" s="31">
        <f t="shared" ref="B5099" si="750">TIME(16,9,0)</f>
        <v>0.67291666666666661</v>
      </c>
      <c r="C5099" t="str">
        <f>'Inventory as of 12th Aug 2024'!A8</f>
        <v>eggs</v>
      </c>
      <c r="D5099">
        <v>2</v>
      </c>
      <c r="E5099" s="5">
        <f>Table4[[#This Row],[qty]]*(VLOOKUP(Table4[[#This Row],[item_sold]],Table1[],5,FALSE))</f>
        <v>40</v>
      </c>
      <c r="F5099" s="5">
        <f>(VLOOKUP(Table4[[#This Row],[item_sold]],Table1[],4,FALSE))*Table4[[#This Row],[qty]]</f>
        <v>28.666666666666668</v>
      </c>
      <c r="G5099">
        <f t="shared" si="745"/>
        <v>11.333333333333332</v>
      </c>
      <c r="H5099" t="s">
        <v>361</v>
      </c>
    </row>
    <row r="5100" spans="1:12" x14ac:dyDescent="0.25">
      <c r="A5100" s="1">
        <f t="shared" si="744"/>
        <v>45566</v>
      </c>
      <c r="B5100" s="31">
        <f>TIME(16,51,0)</f>
        <v>0.70208333333333339</v>
      </c>
      <c r="C5100" t="str">
        <f>'Inventory as of 12th Aug 2024'!A107</f>
        <v>Match Box</v>
      </c>
      <c r="D5100">
        <v>2</v>
      </c>
      <c r="E5100" s="5">
        <f>Table4[[#This Row],[qty]]*(VLOOKUP(Table4[[#This Row],[item_sold]],Table1[],5,FALSE))</f>
        <v>10</v>
      </c>
      <c r="F5100" s="5">
        <f>(VLOOKUP(Table4[[#This Row],[item_sold]],Table1[],4,FALSE))*Table4[[#This Row],[qty]]</f>
        <v>4.7222222222222223</v>
      </c>
      <c r="G5100">
        <f t="shared" si="745"/>
        <v>5.2777777777777777</v>
      </c>
      <c r="H5100" t="s">
        <v>247</v>
      </c>
    </row>
    <row r="5101" spans="1:12" x14ac:dyDescent="0.25">
      <c r="A5101" s="1">
        <f t="shared" si="744"/>
        <v>45566</v>
      </c>
      <c r="B5101" s="31">
        <f>TIME(17,3,0)</f>
        <v>0.7104166666666667</v>
      </c>
      <c r="C5101" t="str">
        <f>'Inventory as of 12th Aug 2024'!A191</f>
        <v>Nuvita Bisquit</v>
      </c>
      <c r="D5101">
        <v>2</v>
      </c>
      <c r="E5101" s="5">
        <f>Table4[[#This Row],[qty]]*(VLOOKUP(Table4[[#This Row],[item_sold]],Table1[],5,FALSE))</f>
        <v>10</v>
      </c>
      <c r="F5101" s="5">
        <f>(VLOOKUP(Table4[[#This Row],[item_sold]],Table1[],4,FALSE))*Table4[[#This Row],[qty]]</f>
        <v>8.3333333333333339</v>
      </c>
      <c r="G5101">
        <f t="shared" si="745"/>
        <v>1.6666666666666661</v>
      </c>
      <c r="H5101" t="s">
        <v>361</v>
      </c>
    </row>
    <row r="5102" spans="1:12" x14ac:dyDescent="0.25">
      <c r="A5102" s="1">
        <f t="shared" si="744"/>
        <v>45566</v>
      </c>
      <c r="B5102" s="31">
        <f>TIME(17,15,0)</f>
        <v>0.71875</v>
      </c>
      <c r="C5102" t="str">
        <f>'Inventory as of 12th Aug 2024'!A33</f>
        <v>BB Bread 400g</v>
      </c>
      <c r="D5102">
        <v>1</v>
      </c>
      <c r="E5102" s="5">
        <f>Table4[[#This Row],[qty]]*(VLOOKUP(Table4[[#This Row],[item_sold]],Table1[],5,FALSE))</f>
        <v>65</v>
      </c>
      <c r="F5102" s="5">
        <f>(VLOOKUP(Table4[[#This Row],[item_sold]],Table1[],4,FALSE))*Table4[[#This Row],[qty]]</f>
        <v>60</v>
      </c>
      <c r="G5102">
        <f t="shared" si="745"/>
        <v>5</v>
      </c>
      <c r="H5102" t="s">
        <v>361</v>
      </c>
      <c r="J5102" t="s">
        <v>455</v>
      </c>
      <c r="K5102">
        <v>85</v>
      </c>
      <c r="L5102" t="s">
        <v>361</v>
      </c>
    </row>
    <row r="5103" spans="1:12" x14ac:dyDescent="0.25">
      <c r="A5103" s="1">
        <f t="shared" si="744"/>
        <v>45566</v>
      </c>
      <c r="B5103" s="31">
        <f>TIME(17,19,0)</f>
        <v>0.72152777777777777</v>
      </c>
      <c r="C5103" t="str">
        <f>'Inventory as of 12th Aug 2024'!A40</f>
        <v>Spagetti</v>
      </c>
      <c r="D5103">
        <v>1</v>
      </c>
      <c r="E5103" s="5">
        <f>Table4[[#This Row],[qty]]*(VLOOKUP(Table4[[#This Row],[item_sold]],Table1[],5,FALSE))</f>
        <v>85</v>
      </c>
      <c r="F5103" s="5">
        <f>(VLOOKUP(Table4[[#This Row],[item_sold]],Table1[],4,FALSE))*Table4[[#This Row],[qty]]</f>
        <v>75.599999999999994</v>
      </c>
      <c r="G5103">
        <f t="shared" si="745"/>
        <v>9.4000000000000057</v>
      </c>
      <c r="H5103" t="s">
        <v>430</v>
      </c>
      <c r="I5103" t="s">
        <v>427</v>
      </c>
    </row>
    <row r="5104" spans="1:12" x14ac:dyDescent="0.25">
      <c r="A5104" s="1">
        <f t="shared" si="744"/>
        <v>45566</v>
      </c>
      <c r="B5104" s="31">
        <f t="shared" ref="B5104:B5108" si="751">TIME(17,19,0)</f>
        <v>0.72152777777777777</v>
      </c>
      <c r="C5104" s="25"/>
      <c r="D5104">
        <v>1</v>
      </c>
      <c r="E5104" s="5" t="e">
        <f>Table4[[#This Row],[qty]]*(VLOOKUP(Table4[[#This Row],[item_sold]],Table1[],5,FALSE))</f>
        <v>#N/A</v>
      </c>
      <c r="F5104" s="5" t="e">
        <f>(VLOOKUP(Table4[[#This Row],[item_sold]],Table1[],4,FALSE))*Table4[[#This Row],[qty]]</f>
        <v>#N/A</v>
      </c>
      <c r="G5104" t="e">
        <f t="shared" si="745"/>
        <v>#N/A</v>
      </c>
      <c r="H5104" t="s">
        <v>430</v>
      </c>
      <c r="I5104" t="s">
        <v>427</v>
      </c>
    </row>
    <row r="5105" spans="1:9" x14ac:dyDescent="0.25">
      <c r="A5105" s="1">
        <f t="shared" si="744"/>
        <v>45566</v>
      </c>
      <c r="B5105" s="31">
        <f t="shared" si="751"/>
        <v>0.72152777777777777</v>
      </c>
      <c r="C5105" t="str">
        <f>'Inventory as of 12th Aug 2024'!A176</f>
        <v>Queen cake</v>
      </c>
      <c r="D5105">
        <v>3</v>
      </c>
      <c r="E5105" s="5">
        <f>Table4[[#This Row],[qty]]*(VLOOKUP(Table4[[#This Row],[item_sold]],Table1[],5,FALSE))</f>
        <v>30</v>
      </c>
      <c r="F5105" s="5">
        <f>(VLOOKUP(Table4[[#This Row],[item_sold]],Table1[],4,FALSE))*Table4[[#This Row],[qty]]</f>
        <v>25</v>
      </c>
      <c r="G5105">
        <f t="shared" si="745"/>
        <v>5</v>
      </c>
      <c r="H5105" t="s">
        <v>430</v>
      </c>
      <c r="I5105" t="s">
        <v>427</v>
      </c>
    </row>
    <row r="5106" spans="1:9" x14ac:dyDescent="0.25">
      <c r="A5106" s="1">
        <f t="shared" si="744"/>
        <v>45566</v>
      </c>
      <c r="B5106" s="31">
        <f t="shared" si="751"/>
        <v>0.72152777777777777</v>
      </c>
      <c r="C5106" t="str">
        <f>'Inventory as of 12th Aug 2024'!A176</f>
        <v>Queen cake</v>
      </c>
      <c r="D5106">
        <v>2</v>
      </c>
      <c r="E5106" s="5">
        <f>Table4[[#This Row],[qty]]*(VLOOKUP(Table4[[#This Row],[item_sold]],Table1[],5,FALSE))</f>
        <v>20</v>
      </c>
      <c r="F5106" s="5">
        <f>(VLOOKUP(Table4[[#This Row],[item_sold]],Table1[],4,FALSE))*Table4[[#This Row],[qty]]</f>
        <v>16.666666666666668</v>
      </c>
      <c r="G5106">
        <f t="shared" si="745"/>
        <v>3.3333333333333321</v>
      </c>
      <c r="H5106" t="s">
        <v>247</v>
      </c>
    </row>
    <row r="5107" spans="1:9" x14ac:dyDescent="0.25">
      <c r="A5107" s="1">
        <f t="shared" si="744"/>
        <v>45566</v>
      </c>
      <c r="B5107" s="31">
        <f t="shared" si="751"/>
        <v>0.72152777777777777</v>
      </c>
      <c r="C5107" t="str">
        <f>'Inventory as of 12th Aug 2024'!A33</f>
        <v>BB Bread 400g</v>
      </c>
      <c r="D5107">
        <v>1</v>
      </c>
      <c r="E5107" s="5">
        <f>Table4[[#This Row],[qty]]*(VLOOKUP(Table4[[#This Row],[item_sold]],Table1[],5,FALSE))</f>
        <v>65</v>
      </c>
      <c r="F5107" s="5">
        <f>(VLOOKUP(Table4[[#This Row],[item_sold]],Table1[],4,FALSE))*Table4[[#This Row],[qty]]</f>
        <v>60</v>
      </c>
      <c r="G5107">
        <f t="shared" si="745"/>
        <v>5</v>
      </c>
      <c r="H5107" t="s">
        <v>361</v>
      </c>
    </row>
    <row r="5108" spans="1:9" x14ac:dyDescent="0.25">
      <c r="A5108" s="1">
        <f t="shared" si="744"/>
        <v>45566</v>
      </c>
      <c r="B5108" s="31">
        <f t="shared" si="751"/>
        <v>0.72152777777777777</v>
      </c>
      <c r="C5108" t="str">
        <f>'Inventory as of 12th Aug 2024'!A9</f>
        <v>Kinangop Fresh Milk 500ml</v>
      </c>
      <c r="D5108">
        <v>1</v>
      </c>
      <c r="E5108" s="5">
        <f>Table4[[#This Row],[qty]]*(VLOOKUP(Table4[[#This Row],[item_sold]],Table1[],5,FALSE))</f>
        <v>60</v>
      </c>
      <c r="F5108" s="5">
        <f>(VLOOKUP(Table4[[#This Row],[item_sold]],Table1[],4,FALSE))*Table4[[#This Row],[qty]]</f>
        <v>55</v>
      </c>
      <c r="G5108">
        <f t="shared" si="745"/>
        <v>5</v>
      </c>
      <c r="H5108" t="s">
        <v>361</v>
      </c>
    </row>
    <row r="5109" spans="1:9" x14ac:dyDescent="0.25">
      <c r="A5109" s="1">
        <f t="shared" si="744"/>
        <v>45566</v>
      </c>
      <c r="B5109" s="31">
        <f>TIME(18,4,0)</f>
        <v>0.75277777777777777</v>
      </c>
      <c r="C5109" t="str">
        <f>'Inventory as of 12th Aug 2024'!A244</f>
        <v>5ltrs water</v>
      </c>
      <c r="D5109">
        <v>1</v>
      </c>
      <c r="E5109" s="5">
        <f>Table4[[#This Row],[qty]]*(VLOOKUP(Table4[[#This Row],[item_sold]],Table1[],5,FALSE))</f>
        <v>120</v>
      </c>
      <c r="F5109" s="5">
        <f>(VLOOKUP(Table4[[#This Row],[item_sold]],Table1[],4,FALSE))*Table4[[#This Row],[qty]]</f>
        <v>75</v>
      </c>
      <c r="G5109">
        <f t="shared" si="745"/>
        <v>45</v>
      </c>
      <c r="H5109" t="s">
        <v>430</v>
      </c>
      <c r="I5109" t="s">
        <v>456</v>
      </c>
    </row>
    <row r="5110" spans="1:9" x14ac:dyDescent="0.25">
      <c r="A5110" s="1">
        <f t="shared" si="744"/>
        <v>45566</v>
      </c>
      <c r="B5110" s="31">
        <f>TIME(18,15,0)</f>
        <v>0.76041666666666663</v>
      </c>
      <c r="C5110" t="str">
        <f>'Inventory as of 12th Aug 2024'!A58</f>
        <v>Safari</v>
      </c>
      <c r="D5110">
        <v>1</v>
      </c>
      <c r="E5110" s="5">
        <f>Table4[[#This Row],[qty]]*(VLOOKUP(Table4[[#This Row],[item_sold]],Table1[],5,FALSE))</f>
        <v>15</v>
      </c>
      <c r="F5110" s="5">
        <f>(VLOOKUP(Table4[[#This Row],[item_sold]],Table1[],4,FALSE))*Table4[[#This Row],[qty]]</f>
        <v>8.5</v>
      </c>
      <c r="G5110">
        <f t="shared" si="745"/>
        <v>6.5</v>
      </c>
      <c r="H5110" t="s">
        <v>361</v>
      </c>
    </row>
    <row r="5111" spans="1:9" x14ac:dyDescent="0.25">
      <c r="A5111" s="1">
        <f t="shared" si="744"/>
        <v>45566</v>
      </c>
      <c r="B5111" s="31">
        <f>TIME(18,41,0)</f>
        <v>0.77847222222222223</v>
      </c>
      <c r="C5111" t="str">
        <f>'Inventory as of 12th Aug 2024'!A16</f>
        <v>Mt kenya milk 500ml</v>
      </c>
      <c r="D5111">
        <v>1</v>
      </c>
      <c r="E5111" s="5">
        <f>Table4[[#This Row],[qty]]*(VLOOKUP(Table4[[#This Row],[item_sold]],Table1[],5,FALSE))</f>
        <v>65</v>
      </c>
      <c r="F5111" s="5">
        <f>(VLOOKUP(Table4[[#This Row],[item_sold]],Table1[],4,FALSE))*Table4[[#This Row],[qty]]</f>
        <v>48.333333333333336</v>
      </c>
      <c r="G5111">
        <f t="shared" si="745"/>
        <v>16.666666666666664</v>
      </c>
      <c r="H5111" t="s">
        <v>361</v>
      </c>
    </row>
    <row r="5112" spans="1:9" x14ac:dyDescent="0.25">
      <c r="A5112" s="1">
        <f t="shared" si="744"/>
        <v>45566</v>
      </c>
      <c r="B5112" s="31">
        <f>TIME(18,41,0)</f>
        <v>0.77847222222222223</v>
      </c>
      <c r="C5112" t="str">
        <f>'Inventory as of 12th Aug 2024'!A8</f>
        <v>eggs</v>
      </c>
      <c r="D5112">
        <v>2</v>
      </c>
      <c r="E5112" s="5">
        <f>Table4[[#This Row],[qty]]*(VLOOKUP(Table4[[#This Row],[item_sold]],Table1[],5,FALSE))</f>
        <v>40</v>
      </c>
      <c r="F5112" s="5">
        <f>(VLOOKUP(Table4[[#This Row],[item_sold]],Table1[],4,FALSE))*Table4[[#This Row],[qty]]</f>
        <v>28.666666666666668</v>
      </c>
      <c r="G5112">
        <f t="shared" si="745"/>
        <v>11.333333333333332</v>
      </c>
      <c r="H5112" t="s">
        <v>361</v>
      </c>
    </row>
    <row r="5113" spans="1:9" x14ac:dyDescent="0.25">
      <c r="A5113" s="1">
        <f t="shared" si="744"/>
        <v>45566</v>
      </c>
      <c r="B5113" s="31">
        <f>TIME(19,3,0)</f>
        <v>0.79375000000000007</v>
      </c>
      <c r="C5113" t="str">
        <f>'Inventory as of 12th Aug 2024'!A91</f>
        <v>Tomatoes</v>
      </c>
      <c r="D5113">
        <v>5</v>
      </c>
      <c r="E5113" s="5">
        <f>Table4[[#This Row],[qty]]*(VLOOKUP(Table4[[#This Row],[item_sold]],Table1[],5,FALSE))</f>
        <v>50</v>
      </c>
      <c r="F5113" s="5">
        <f>(VLOOKUP(Table4[[#This Row],[item_sold]],Table1[],4,FALSE))*Table4[[#This Row],[qty]]</f>
        <v>25</v>
      </c>
      <c r="G5113">
        <f t="shared" si="745"/>
        <v>25</v>
      </c>
      <c r="H5113" t="s">
        <v>247</v>
      </c>
    </row>
    <row r="5114" spans="1:9" x14ac:dyDescent="0.25">
      <c r="A5114" s="1">
        <f t="shared" si="744"/>
        <v>45566</v>
      </c>
      <c r="B5114" s="31">
        <f t="shared" ref="B5114" si="752">TIME(19,3,0)</f>
        <v>0.79375000000000007</v>
      </c>
      <c r="C5114" t="str">
        <f>'Inventory as of 12th Aug 2024'!A90</f>
        <v>Onion</v>
      </c>
      <c r="D5114">
        <v>5</v>
      </c>
      <c r="E5114" s="5">
        <f>Table4[[#This Row],[qty]]*(VLOOKUP(Table4[[#This Row],[item_sold]],Table1[],5,FALSE))</f>
        <v>50</v>
      </c>
      <c r="F5114" s="5">
        <f>(VLOOKUP(Table4[[#This Row],[item_sold]],Table1[],4,FALSE))*Table4[[#This Row],[qty]]</f>
        <v>40</v>
      </c>
      <c r="G5114">
        <f t="shared" si="745"/>
        <v>10</v>
      </c>
      <c r="H5114" t="s">
        <v>247</v>
      </c>
    </row>
    <row r="5115" spans="1:9" x14ac:dyDescent="0.25">
      <c r="A5115" s="1">
        <f t="shared" si="744"/>
        <v>45566</v>
      </c>
      <c r="B5115" s="31">
        <f>TIME(19,7,0)</f>
        <v>0.79652777777777783</v>
      </c>
      <c r="C5115" t="str">
        <f>'Inventory as of 12th Aug 2024'!A96</f>
        <v>Ndimu</v>
      </c>
      <c r="D5115">
        <v>3</v>
      </c>
      <c r="E5115" s="5">
        <f>Table4[[#This Row],[qty]]*(VLOOKUP(Table4[[#This Row],[item_sold]],Table1[],5,FALSE))</f>
        <v>60</v>
      </c>
      <c r="F5115" s="5">
        <f>(VLOOKUP(Table4[[#This Row],[item_sold]],Table1[],4,FALSE))*Table4[[#This Row],[qty]]</f>
        <v>25</v>
      </c>
      <c r="G5115">
        <f t="shared" si="745"/>
        <v>35</v>
      </c>
      <c r="H5115" t="s">
        <v>430</v>
      </c>
      <c r="I5115" t="s">
        <v>456</v>
      </c>
    </row>
    <row r="5116" spans="1:9" x14ac:dyDescent="0.25">
      <c r="A5116" s="1">
        <f t="shared" si="744"/>
        <v>45566</v>
      </c>
      <c r="B5116" s="31">
        <f>TIME(19,16,0)</f>
        <v>0.8027777777777777</v>
      </c>
      <c r="C5116" t="str">
        <f>'Inventory as of 12th Aug 2024'!A193</f>
        <v>Ginger Bisquit</v>
      </c>
      <c r="D5116">
        <v>1</v>
      </c>
      <c r="E5116" s="5">
        <f>Table4[[#This Row],[qty]]*(VLOOKUP(Table4[[#This Row],[item_sold]],Table1[],5,FALSE))</f>
        <v>5</v>
      </c>
      <c r="F5116" s="5">
        <f>(VLOOKUP(Table4[[#This Row],[item_sold]],Table1[],4,FALSE))*Table4[[#This Row],[qty]]</f>
        <v>4.333333333333333</v>
      </c>
      <c r="G5116">
        <f t="shared" si="745"/>
        <v>0.66666666666666696</v>
      </c>
      <c r="H5116" t="s">
        <v>361</v>
      </c>
    </row>
    <row r="5117" spans="1:9" x14ac:dyDescent="0.25">
      <c r="A5117" s="1">
        <f t="shared" si="744"/>
        <v>45566</v>
      </c>
      <c r="B5117" s="31">
        <f>TIME(19,34,0)</f>
        <v>0.81527777777777777</v>
      </c>
      <c r="C5117" t="str">
        <f>'Inventory as of 12th Aug 2024'!A182</f>
        <v>T.Heat Potato crisps salted 25g</v>
      </c>
      <c r="D5117">
        <v>4</v>
      </c>
      <c r="E5117" s="5">
        <f>Table4[[#This Row],[qty]]*(VLOOKUP(Table4[[#This Row],[item_sold]],Table1[],5,FALSE))</f>
        <v>120</v>
      </c>
      <c r="F5117" s="5">
        <f>(VLOOKUP(Table4[[#This Row],[item_sold]],Table1[],4,FALSE))*Table4[[#This Row],[qty]]</f>
        <v>91.666666666666671</v>
      </c>
      <c r="G5117">
        <f t="shared" si="745"/>
        <v>28.333333333333329</v>
      </c>
      <c r="H5117" t="s">
        <v>361</v>
      </c>
    </row>
    <row r="5118" spans="1:9" x14ac:dyDescent="0.25">
      <c r="A5118" s="1">
        <f t="shared" si="744"/>
        <v>45566</v>
      </c>
      <c r="B5118" s="31">
        <f>TIME(19,35,0)</f>
        <v>0.81597222222222221</v>
      </c>
      <c r="C5118" t="str">
        <f>'Inventory as of 12th Aug 2024'!A208</f>
        <v>minutemaid 400ml</v>
      </c>
      <c r="D5118">
        <v>1</v>
      </c>
      <c r="E5118" s="5">
        <f>Table4[[#This Row],[qty]]*(VLOOKUP(Table4[[#This Row],[item_sold]],Table1[],5,FALSE))</f>
        <v>85</v>
      </c>
      <c r="F5118" s="5">
        <f>(VLOOKUP(Table4[[#This Row],[item_sold]],Table1[],4,FALSE))*Table4[[#This Row],[qty]]</f>
        <v>62.5</v>
      </c>
      <c r="G5118">
        <f t="shared" si="745"/>
        <v>22.5</v>
      </c>
      <c r="H5118" t="s">
        <v>361</v>
      </c>
    </row>
    <row r="5119" spans="1:9" x14ac:dyDescent="0.25">
      <c r="A5119" s="1">
        <f t="shared" si="744"/>
        <v>45566</v>
      </c>
      <c r="B5119" s="31">
        <f>TIME(19,49,0)</f>
        <v>0.8256944444444444</v>
      </c>
      <c r="C5119" t="str">
        <f>'Inventory as of 12th Aug 2024'!A91</f>
        <v>Tomatoes</v>
      </c>
      <c r="D5119">
        <v>2</v>
      </c>
      <c r="E5119" s="5">
        <f>Table4[[#This Row],[qty]]*(VLOOKUP(Table4[[#This Row],[item_sold]],Table1[],5,FALSE))</f>
        <v>20</v>
      </c>
      <c r="F5119" s="5">
        <f>(VLOOKUP(Table4[[#This Row],[item_sold]],Table1[],4,FALSE))*Table4[[#This Row],[qty]]</f>
        <v>10</v>
      </c>
      <c r="G5119">
        <f t="shared" si="745"/>
        <v>10</v>
      </c>
      <c r="H5119" t="s">
        <v>430</v>
      </c>
      <c r="I5119" t="s">
        <v>385</v>
      </c>
    </row>
    <row r="5120" spans="1:9" x14ac:dyDescent="0.25">
      <c r="A5120" s="1">
        <f t="shared" si="744"/>
        <v>45566</v>
      </c>
      <c r="B5120" s="31">
        <f>TIME(19,54,0)</f>
        <v>0.82916666666666661</v>
      </c>
      <c r="C5120" t="str">
        <f>'Inventory as of 12th Aug 2024'!A68</f>
        <v>Royco cubes</v>
      </c>
      <c r="D5120">
        <v>4</v>
      </c>
      <c r="E5120" s="5">
        <f>Table4[[#This Row],[qty]]*(VLOOKUP(Table4[[#This Row],[item_sold]],Table1[],5,FALSE))</f>
        <v>20</v>
      </c>
      <c r="F5120" s="5">
        <f>(VLOOKUP(Table4[[#This Row],[item_sold]],Table1[],4,FALSE))*Table4[[#This Row],[qty]]</f>
        <v>12</v>
      </c>
      <c r="G5120">
        <f t="shared" si="745"/>
        <v>8</v>
      </c>
      <c r="H5120" t="s">
        <v>361</v>
      </c>
    </row>
    <row r="5121" spans="1:12" x14ac:dyDescent="0.25">
      <c r="A5121" s="1">
        <f t="shared" si="744"/>
        <v>45566</v>
      </c>
      <c r="B5121" s="31">
        <f>TIME(20,0,0)</f>
        <v>0.83333333333333337</v>
      </c>
      <c r="C5121" t="str">
        <f>'Inventory as of 12th Aug 2024'!A37</f>
        <v>Festive Bread 400g</v>
      </c>
      <c r="D5121">
        <v>1</v>
      </c>
      <c r="E5121" s="5">
        <f>Table4[[#This Row],[qty]]*(VLOOKUP(Table4[[#This Row],[item_sold]],Table1[],5,FALSE))</f>
        <v>65</v>
      </c>
      <c r="F5121" s="5">
        <f>(VLOOKUP(Table4[[#This Row],[item_sold]],Table1[],4,FALSE))*Table4[[#This Row],[qty]]</f>
        <v>60</v>
      </c>
      <c r="G5121">
        <f t="shared" si="745"/>
        <v>5</v>
      </c>
      <c r="H5121" t="s">
        <v>247</v>
      </c>
      <c r="J5121" t="s">
        <v>462</v>
      </c>
      <c r="K5121">
        <v>60</v>
      </c>
      <c r="L5121" t="s">
        <v>247</v>
      </c>
    </row>
    <row r="5122" spans="1:12" x14ac:dyDescent="0.25">
      <c r="A5122" s="1">
        <f t="shared" si="744"/>
        <v>45566</v>
      </c>
      <c r="B5122" s="31">
        <f>TIME(20,24,0)</f>
        <v>0.85</v>
      </c>
      <c r="C5122" t="str">
        <f>'Inventory as of 12th Aug 2024'!A8</f>
        <v>eggs</v>
      </c>
      <c r="D5122">
        <v>6</v>
      </c>
      <c r="E5122" s="5">
        <f>Table4[[#This Row],[qty]]*(VLOOKUP(Table4[[#This Row],[item_sold]],Table1[],5,FALSE))</f>
        <v>120</v>
      </c>
      <c r="F5122" s="5">
        <f>(VLOOKUP(Table4[[#This Row],[item_sold]],Table1[],4,FALSE))*Table4[[#This Row],[qty]]</f>
        <v>86</v>
      </c>
      <c r="G5122">
        <f t="shared" si="745"/>
        <v>34</v>
      </c>
      <c r="H5122" t="s">
        <v>430</v>
      </c>
      <c r="I5122" t="s">
        <v>451</v>
      </c>
    </row>
    <row r="5123" spans="1:12" x14ac:dyDescent="0.25">
      <c r="A5123" s="1">
        <f t="shared" si="744"/>
        <v>45566</v>
      </c>
      <c r="B5123" s="31">
        <f>TIME(20,49,0)</f>
        <v>0.86736111111111114</v>
      </c>
      <c r="C5123" t="str">
        <f>'Inventory as of 12th Aug 2024'!A9</f>
        <v>Kinangop Fresh Milk 500ml</v>
      </c>
      <c r="D5123">
        <v>1</v>
      </c>
      <c r="E5123" s="5">
        <f>Table4[[#This Row],[qty]]*(VLOOKUP(Table4[[#This Row],[item_sold]],Table1[],5,FALSE))</f>
        <v>60</v>
      </c>
      <c r="F5123" s="5">
        <f>(VLOOKUP(Table4[[#This Row],[item_sold]],Table1[],4,FALSE))*Table4[[#This Row],[qty]]</f>
        <v>55</v>
      </c>
      <c r="G5123">
        <f t="shared" si="745"/>
        <v>5</v>
      </c>
      <c r="H5123" t="s">
        <v>247</v>
      </c>
    </row>
    <row r="5124" spans="1:12" x14ac:dyDescent="0.25">
      <c r="A5124" s="1">
        <f t="shared" si="744"/>
        <v>45566</v>
      </c>
      <c r="B5124" s="31">
        <f>TIME(21,0,0)</f>
        <v>0.875</v>
      </c>
      <c r="C5124" t="str">
        <f>'Inventory as of 12th Aug 2024'!A138</f>
        <v>Softcare pads</v>
      </c>
      <c r="D5124">
        <v>1</v>
      </c>
      <c r="E5124" s="5">
        <f>Table4[[#This Row],[qty]]*(VLOOKUP(Table4[[#This Row],[item_sold]],Table1[],5,FALSE))</f>
        <v>85</v>
      </c>
      <c r="F5124" s="5">
        <f>(VLOOKUP(Table4[[#This Row],[item_sold]],Table1[],4,FALSE))*Table4[[#This Row],[qty]]</f>
        <v>66</v>
      </c>
      <c r="G5124">
        <f t="shared" si="745"/>
        <v>19</v>
      </c>
      <c r="H5124" t="s">
        <v>361</v>
      </c>
    </row>
    <row r="5125" spans="1:12" x14ac:dyDescent="0.25">
      <c r="A5125" s="1">
        <f t="shared" si="744"/>
        <v>45566</v>
      </c>
      <c r="B5125" s="31">
        <f t="shared" ref="B5125" si="753">TIME(21,0,0)</f>
        <v>0.875</v>
      </c>
      <c r="C5125" t="str">
        <f>'Inventory as of 12th Aug 2024'!A16</f>
        <v>Mt kenya milk 500ml</v>
      </c>
      <c r="D5125">
        <v>1</v>
      </c>
      <c r="E5125" s="5">
        <f>Table4[[#This Row],[qty]]*(VLOOKUP(Table4[[#This Row],[item_sold]],Table1[],5,FALSE))</f>
        <v>65</v>
      </c>
      <c r="F5125" s="5">
        <f>(VLOOKUP(Table4[[#This Row],[item_sold]],Table1[],4,FALSE))*Table4[[#This Row],[qty]]</f>
        <v>48.333333333333336</v>
      </c>
      <c r="G5125">
        <f t="shared" si="745"/>
        <v>16.666666666666664</v>
      </c>
      <c r="H5125" t="s">
        <v>361</v>
      </c>
    </row>
    <row r="5126" spans="1:12" x14ac:dyDescent="0.25">
      <c r="A5126" s="1">
        <f t="shared" si="744"/>
        <v>45566</v>
      </c>
      <c r="B5126" s="31">
        <f>TIME(21,0,0)</f>
        <v>0.875</v>
      </c>
      <c r="C5126" t="str">
        <f>'Inventory as of 12th Aug 2024'!A16</f>
        <v>Mt kenya milk 500ml</v>
      </c>
      <c r="D5126">
        <v>1</v>
      </c>
      <c r="E5126" s="5">
        <f>Table4[[#This Row],[qty]]*(VLOOKUP(Table4[[#This Row],[item_sold]],Table1[],5,FALSE))</f>
        <v>65</v>
      </c>
      <c r="F5126" s="5">
        <f>(VLOOKUP(Table4[[#This Row],[item_sold]],Table1[],4,FALSE))*Table4[[#This Row],[qty]]</f>
        <v>48.333333333333336</v>
      </c>
      <c r="G5126">
        <f t="shared" si="745"/>
        <v>16.666666666666664</v>
      </c>
      <c r="H5126" t="s">
        <v>430</v>
      </c>
      <c r="I5126" t="s">
        <v>455</v>
      </c>
    </row>
    <row r="5127" spans="1:12" x14ac:dyDescent="0.25">
      <c r="A5127" s="1">
        <f>DATE(2024,10,2)</f>
        <v>45567</v>
      </c>
      <c r="B5127" s="31">
        <f>TIME(7,25,0)</f>
        <v>0.30902777777777779</v>
      </c>
      <c r="C5127" t="str">
        <f>'Inventory as of 12th Aug 2024'!A37</f>
        <v>Festive Bread 400g</v>
      </c>
      <c r="D5127">
        <v>1</v>
      </c>
      <c r="E5127" s="5">
        <f>Table4[[#This Row],[qty]]*(VLOOKUP(Table4[[#This Row],[item_sold]],Table1[],5,FALSE))</f>
        <v>65</v>
      </c>
      <c r="F5127" s="5">
        <f>(VLOOKUP(Table4[[#This Row],[item_sold]],Table1[],4,FALSE))*Table4[[#This Row],[qty]]</f>
        <v>60</v>
      </c>
      <c r="G5127">
        <f t="shared" si="745"/>
        <v>5</v>
      </c>
      <c r="H5127" t="s">
        <v>361</v>
      </c>
    </row>
    <row r="5128" spans="1:12" x14ac:dyDescent="0.25">
      <c r="A5128" s="1">
        <f t="shared" ref="A5128:A5180" si="754">DATE(2024,10,2)</f>
        <v>45567</v>
      </c>
      <c r="B5128" s="31">
        <f>TIME(7,31,0)</f>
        <v>0.31319444444444444</v>
      </c>
      <c r="C5128" t="str">
        <f>'Inventory as of 12th Aug 2024'!A33</f>
        <v>BB Bread 400g</v>
      </c>
      <c r="D5128">
        <v>1</v>
      </c>
      <c r="E5128" s="5">
        <f>Table4[[#This Row],[qty]]*(VLOOKUP(Table4[[#This Row],[item_sold]],Table1[],5,FALSE))</f>
        <v>65</v>
      </c>
      <c r="F5128" s="5">
        <f>(VLOOKUP(Table4[[#This Row],[item_sold]],Table1[],4,FALSE))*Table4[[#This Row],[qty]]</f>
        <v>60</v>
      </c>
      <c r="G5128">
        <f t="shared" si="745"/>
        <v>5</v>
      </c>
      <c r="H5128" t="s">
        <v>361</v>
      </c>
    </row>
    <row r="5129" spans="1:12" x14ac:dyDescent="0.25">
      <c r="A5129" s="1">
        <f t="shared" si="754"/>
        <v>45567</v>
      </c>
      <c r="B5129" s="31">
        <f t="shared" ref="B5129" si="755">TIME(7,31,0)</f>
        <v>0.31319444444444444</v>
      </c>
      <c r="C5129" t="str">
        <f>'Inventory as of 12th Aug 2024'!A179</f>
        <v>Bitez</v>
      </c>
      <c r="D5129">
        <v>2</v>
      </c>
      <c r="E5129" s="5">
        <f>Table4[[#This Row],[qty]]*(VLOOKUP(Table4[[#This Row],[item_sold]],Table1[],5,FALSE))</f>
        <v>30</v>
      </c>
      <c r="F5129" s="5">
        <f>(VLOOKUP(Table4[[#This Row],[item_sold]],Table1[],4,FALSE))*Table4[[#This Row],[qty]]</f>
        <v>17.600000000000001</v>
      </c>
      <c r="G5129">
        <f t="shared" si="745"/>
        <v>12.399999999999999</v>
      </c>
      <c r="H5129" t="s">
        <v>247</v>
      </c>
    </row>
    <row r="5130" spans="1:12" x14ac:dyDescent="0.25">
      <c r="A5130" s="1">
        <f t="shared" si="754"/>
        <v>45567</v>
      </c>
      <c r="B5130" s="31">
        <f>TIME(8,59,0)</f>
        <v>0.3743055555555555</v>
      </c>
      <c r="C5130" t="str">
        <f>'Inventory as of 12th Aug 2024'!A2</f>
        <v>Safaricom 20 Credit</v>
      </c>
      <c r="D5130">
        <v>1</v>
      </c>
      <c r="E5130" s="5">
        <f>Table4[[#This Row],[qty]]*(VLOOKUP(Table4[[#This Row],[item_sold]],Table1[],5,FALSE))</f>
        <v>20</v>
      </c>
      <c r="F5130" s="5">
        <f>(VLOOKUP(Table4[[#This Row],[item_sold]],Table1[],4,FALSE))*Table4[[#This Row],[qty]]</f>
        <v>18</v>
      </c>
      <c r="G5130">
        <f t="shared" si="745"/>
        <v>2</v>
      </c>
      <c r="H5130" t="s">
        <v>247</v>
      </c>
    </row>
    <row r="5131" spans="1:12" x14ac:dyDescent="0.25">
      <c r="A5131" s="1">
        <f t="shared" si="754"/>
        <v>45567</v>
      </c>
      <c r="B5131" s="31">
        <f>TIME(9,19,0)</f>
        <v>0.38819444444444445</v>
      </c>
      <c r="C5131" t="str">
        <f>'Inventory as of 12th Aug 2024'!A33</f>
        <v>BB Bread 400g</v>
      </c>
      <c r="D5131">
        <v>1</v>
      </c>
      <c r="E5131" s="5">
        <f>Table4[[#This Row],[qty]]*(VLOOKUP(Table4[[#This Row],[item_sold]],Table1[],5,FALSE))</f>
        <v>65</v>
      </c>
      <c r="F5131" s="5">
        <f>(VLOOKUP(Table4[[#This Row],[item_sold]],Table1[],4,FALSE))*Table4[[#This Row],[qty]]</f>
        <v>60</v>
      </c>
      <c r="G5131">
        <f t="shared" si="745"/>
        <v>5</v>
      </c>
      <c r="H5131" t="s">
        <v>361</v>
      </c>
    </row>
    <row r="5132" spans="1:12" x14ac:dyDescent="0.25">
      <c r="A5132" s="1">
        <f t="shared" si="754"/>
        <v>45567</v>
      </c>
      <c r="B5132" s="31">
        <f>TIME(9,9,0)</f>
        <v>0.38125000000000003</v>
      </c>
      <c r="C5132" t="str">
        <f>'Inventory as of 12th Aug 2024'!A58</f>
        <v>Safari</v>
      </c>
      <c r="D5132">
        <v>1</v>
      </c>
      <c r="E5132" s="5">
        <f>Table4[[#This Row],[qty]]*(VLOOKUP(Table4[[#This Row],[item_sold]],Table1[],5,FALSE))</f>
        <v>15</v>
      </c>
      <c r="F5132" s="5">
        <f>(VLOOKUP(Table4[[#This Row],[item_sold]],Table1[],4,FALSE))*Table4[[#This Row],[qty]]</f>
        <v>8.5</v>
      </c>
      <c r="G5132">
        <f t="shared" si="745"/>
        <v>6.5</v>
      </c>
      <c r="H5132" t="s">
        <v>361</v>
      </c>
    </row>
    <row r="5133" spans="1:12" x14ac:dyDescent="0.25">
      <c r="A5133" s="1">
        <f t="shared" si="754"/>
        <v>45567</v>
      </c>
      <c r="B5133" s="31">
        <f>TIME(9,20,0)</f>
        <v>0.3888888888888889</v>
      </c>
      <c r="C5133" t="str">
        <f>'Inventory as of 12th Aug 2024'!A33</f>
        <v>BB Bread 400g</v>
      </c>
      <c r="D5133">
        <v>1</v>
      </c>
      <c r="E5133" s="5">
        <f>Table4[[#This Row],[qty]]*(VLOOKUP(Table4[[#This Row],[item_sold]],Table1[],5,FALSE))</f>
        <v>65</v>
      </c>
      <c r="F5133" s="5">
        <f>(VLOOKUP(Table4[[#This Row],[item_sold]],Table1[],4,FALSE))*Table4[[#This Row],[qty]]</f>
        <v>60</v>
      </c>
      <c r="G5133">
        <f t="shared" si="745"/>
        <v>5</v>
      </c>
      <c r="H5133" t="s">
        <v>361</v>
      </c>
    </row>
    <row r="5134" spans="1:12" x14ac:dyDescent="0.25">
      <c r="A5134" s="1">
        <f t="shared" si="754"/>
        <v>45567</v>
      </c>
      <c r="B5134" s="31">
        <f>TIME(10,31,0)</f>
        <v>0.4381944444444445</v>
      </c>
      <c r="C5134" t="str">
        <f>'Inventory as of 12th Aug 2024'!A33</f>
        <v>BB Bread 400g</v>
      </c>
      <c r="D5134">
        <v>1</v>
      </c>
      <c r="E5134" s="5">
        <f>Table4[[#This Row],[qty]]*(VLOOKUP(Table4[[#This Row],[item_sold]],Table1[],5,FALSE))</f>
        <v>65</v>
      </c>
      <c r="F5134" s="5">
        <f>(VLOOKUP(Table4[[#This Row],[item_sold]],Table1[],4,FALSE))*Table4[[#This Row],[qty]]</f>
        <v>60</v>
      </c>
      <c r="G5134">
        <f t="shared" si="745"/>
        <v>5</v>
      </c>
      <c r="H5134" t="s">
        <v>361</v>
      </c>
    </row>
    <row r="5135" spans="1:12" x14ac:dyDescent="0.25">
      <c r="A5135" s="1">
        <f t="shared" si="754"/>
        <v>45567</v>
      </c>
      <c r="B5135" s="31">
        <f>TIME(10,35,0)</f>
        <v>0.44097222222222227</v>
      </c>
      <c r="C5135" t="str">
        <f>'Inventory as of 12th Aug 2024'!A58</f>
        <v>Safari</v>
      </c>
      <c r="D5135">
        <v>1</v>
      </c>
      <c r="E5135" s="5">
        <f>Table4[[#This Row],[qty]]*(VLOOKUP(Table4[[#This Row],[item_sold]],Table1[],5,FALSE))</f>
        <v>15</v>
      </c>
      <c r="F5135" s="5">
        <f>(VLOOKUP(Table4[[#This Row],[item_sold]],Table1[],4,FALSE))*Table4[[#This Row],[qty]]</f>
        <v>8.5</v>
      </c>
      <c r="G5135">
        <f t="shared" si="745"/>
        <v>6.5</v>
      </c>
      <c r="H5135" t="s">
        <v>361</v>
      </c>
    </row>
    <row r="5136" spans="1:12" x14ac:dyDescent="0.25">
      <c r="A5136" s="1">
        <f t="shared" si="754"/>
        <v>45567</v>
      </c>
      <c r="B5136" s="31">
        <f>TIME(10,34,0)</f>
        <v>0.44027777777777777</v>
      </c>
      <c r="C5136" t="str">
        <f>'Inventory as of 12th Aug 2024'!A193</f>
        <v>Ginger Bisquit</v>
      </c>
      <c r="D5136">
        <v>1</v>
      </c>
      <c r="E5136" s="5">
        <f>Table4[[#This Row],[qty]]*(VLOOKUP(Table4[[#This Row],[item_sold]],Table1[],5,FALSE))</f>
        <v>5</v>
      </c>
      <c r="F5136" s="5">
        <f>(VLOOKUP(Table4[[#This Row],[item_sold]],Table1[],4,FALSE))*Table4[[#This Row],[qty]]</f>
        <v>4.333333333333333</v>
      </c>
      <c r="G5136">
        <f t="shared" si="745"/>
        <v>0.66666666666666696</v>
      </c>
      <c r="H5136" t="s">
        <v>361</v>
      </c>
    </row>
    <row r="5137" spans="1:9" x14ac:dyDescent="0.25">
      <c r="A5137" s="1">
        <f t="shared" si="754"/>
        <v>45567</v>
      </c>
      <c r="B5137" s="31">
        <f t="shared" ref="B5137" si="756">TIME(10,34,0)</f>
        <v>0.44027777777777777</v>
      </c>
      <c r="C5137" t="str">
        <f>'Inventory as of 12th Aug 2024'!A192</f>
        <v>Lemon Bisquit</v>
      </c>
      <c r="D5137">
        <v>1</v>
      </c>
      <c r="E5137" s="5">
        <f>Table4[[#This Row],[qty]]*(VLOOKUP(Table4[[#This Row],[item_sold]],Table1[],5,FALSE))</f>
        <v>5</v>
      </c>
      <c r="F5137" s="5">
        <f>(VLOOKUP(Table4[[#This Row],[item_sold]],Table1[],4,FALSE))*Table4[[#This Row],[qty]]</f>
        <v>4.333333333333333</v>
      </c>
      <c r="G5137">
        <f t="shared" si="745"/>
        <v>0.66666666666666696</v>
      </c>
      <c r="H5137" t="s">
        <v>361</v>
      </c>
    </row>
    <row r="5138" spans="1:9" x14ac:dyDescent="0.25">
      <c r="A5138" s="1">
        <f t="shared" si="754"/>
        <v>45567</v>
      </c>
      <c r="B5138" s="31">
        <f>TIME(11,40,0)</f>
        <v>0.4861111111111111</v>
      </c>
      <c r="C5138" t="str">
        <f>'Inventory as of 12th Aug 2024'!A74</f>
        <v>Freshfry</v>
      </c>
      <c r="D5138">
        <v>1</v>
      </c>
      <c r="E5138" s="5">
        <f>Table4[[#This Row],[qty]]*(VLOOKUP(Table4[[#This Row],[item_sold]],Table1[],5,FALSE))</f>
        <v>350</v>
      </c>
      <c r="F5138" s="5">
        <f>(VLOOKUP(Table4[[#This Row],[item_sold]],Table1[],4,FALSE))*Table4[[#This Row],[qty]]</f>
        <v>290</v>
      </c>
      <c r="G5138">
        <f t="shared" si="745"/>
        <v>60</v>
      </c>
      <c r="H5138" t="s">
        <v>247</v>
      </c>
    </row>
    <row r="5139" spans="1:9" x14ac:dyDescent="0.25">
      <c r="A5139" s="1">
        <f t="shared" si="754"/>
        <v>45567</v>
      </c>
      <c r="B5139" s="31">
        <f t="shared" ref="B5139" si="757">TIME(11,40,0)</f>
        <v>0.4861111111111111</v>
      </c>
      <c r="C5139" t="str">
        <f>'Inventory as of 12th Aug 2024'!A235</f>
        <v>Cough drops</v>
      </c>
      <c r="D5139">
        <v>1</v>
      </c>
      <c r="E5139" s="5">
        <f>Table4[[#This Row],[qty]]*(VLOOKUP(Table4[[#This Row],[item_sold]],Table1[],5,FALSE))</f>
        <v>5</v>
      </c>
      <c r="F5139" s="5">
        <f>(VLOOKUP(Table4[[#This Row],[item_sold]],Table1[],4,FALSE))*Table4[[#This Row],[qty]]</f>
        <v>4</v>
      </c>
      <c r="G5139">
        <f t="shared" si="745"/>
        <v>1</v>
      </c>
      <c r="H5139" t="s">
        <v>247</v>
      </c>
    </row>
    <row r="5140" spans="1:9" x14ac:dyDescent="0.25">
      <c r="A5140" s="1">
        <f t="shared" si="754"/>
        <v>45567</v>
      </c>
      <c r="B5140" s="31">
        <f>TIME(13,10,0)</f>
        <v>0.54861111111111105</v>
      </c>
      <c r="C5140" t="str">
        <f>'Inventory as of 12th Aug 2024'!A58</f>
        <v>Safari</v>
      </c>
      <c r="D5140">
        <v>1</v>
      </c>
      <c r="E5140" s="5">
        <f>Table4[[#This Row],[qty]]*(VLOOKUP(Table4[[#This Row],[item_sold]],Table1[],5,FALSE))</f>
        <v>15</v>
      </c>
      <c r="F5140" s="5">
        <f>(VLOOKUP(Table4[[#This Row],[item_sold]],Table1[],4,FALSE))*Table4[[#This Row],[qty]]</f>
        <v>8.5</v>
      </c>
      <c r="G5140">
        <f t="shared" ref="G5140:G5203" si="758">E5140-F5140</f>
        <v>6.5</v>
      </c>
      <c r="H5140" t="s">
        <v>361</v>
      </c>
    </row>
    <row r="5141" spans="1:9" x14ac:dyDescent="0.25">
      <c r="A5141" s="1">
        <f t="shared" si="754"/>
        <v>45567</v>
      </c>
      <c r="B5141" s="31">
        <f t="shared" ref="B5141:B5143" si="759">TIME(13,10,0)</f>
        <v>0.54861111111111105</v>
      </c>
      <c r="C5141" t="str">
        <f>'Inventory as of 12th Aug 2024'!A16</f>
        <v>Mt kenya milk 500ml</v>
      </c>
      <c r="D5141">
        <v>1</v>
      </c>
      <c r="E5141" s="5">
        <f>Table4[[#This Row],[qty]]*(VLOOKUP(Table4[[#This Row],[item_sold]],Table1[],5,FALSE))</f>
        <v>65</v>
      </c>
      <c r="F5141" s="5">
        <f>(VLOOKUP(Table4[[#This Row],[item_sold]],Table1[],4,FALSE))*Table4[[#This Row],[qty]]</f>
        <v>48.333333333333336</v>
      </c>
      <c r="G5141">
        <f t="shared" si="758"/>
        <v>16.666666666666664</v>
      </c>
      <c r="H5141" t="s">
        <v>247</v>
      </c>
    </row>
    <row r="5142" spans="1:9" x14ac:dyDescent="0.25">
      <c r="A5142" s="1">
        <f t="shared" si="754"/>
        <v>45567</v>
      </c>
      <c r="B5142" s="31">
        <f t="shared" si="759"/>
        <v>0.54861111111111105</v>
      </c>
      <c r="C5142" t="str">
        <f>'Inventory as of 12th Aug 2024'!A7</f>
        <v>Airtel 50 Credit</v>
      </c>
      <c r="D5142">
        <v>1</v>
      </c>
      <c r="E5142" s="5">
        <f>Table4[[#This Row],[qty]]*(VLOOKUP(Table4[[#This Row],[item_sold]],Table1[],5,FALSE))</f>
        <v>50</v>
      </c>
      <c r="F5142" s="5">
        <f>(VLOOKUP(Table4[[#This Row],[item_sold]],Table1[],4,FALSE))*Table4[[#This Row],[qty]]</f>
        <v>47</v>
      </c>
      <c r="G5142">
        <f t="shared" si="758"/>
        <v>3</v>
      </c>
      <c r="H5142" t="s">
        <v>430</v>
      </c>
      <c r="I5142" t="s">
        <v>590</v>
      </c>
    </row>
    <row r="5143" spans="1:9" x14ac:dyDescent="0.25">
      <c r="A5143" s="1">
        <f t="shared" si="754"/>
        <v>45567</v>
      </c>
      <c r="B5143" s="31">
        <f t="shared" si="759"/>
        <v>0.54861111111111105</v>
      </c>
      <c r="C5143" t="str">
        <f>'Inventory as of 12th Aug 2024'!A31</f>
        <v>Drinking Chocolate 20g</v>
      </c>
      <c r="D5143">
        <v>1</v>
      </c>
      <c r="E5143" s="5">
        <f>Table4[[#This Row],[qty]]*(VLOOKUP(Table4[[#This Row],[item_sold]],Table1[],5,FALSE))</f>
        <v>20</v>
      </c>
      <c r="F5143" s="5">
        <f>(VLOOKUP(Table4[[#This Row],[item_sold]],Table1[],4,FALSE))*Table4[[#This Row],[qty]]</f>
        <v>10.416666666666666</v>
      </c>
      <c r="G5143">
        <f t="shared" si="758"/>
        <v>9.5833333333333339</v>
      </c>
      <c r="H5143" t="s">
        <v>430</v>
      </c>
      <c r="I5143" t="s">
        <v>590</v>
      </c>
    </row>
    <row r="5144" spans="1:9" x14ac:dyDescent="0.25">
      <c r="A5144" s="1">
        <f t="shared" si="754"/>
        <v>45567</v>
      </c>
      <c r="B5144" s="31">
        <f>TIME(13,52,0)</f>
        <v>0.57777777777777783</v>
      </c>
      <c r="C5144" t="str">
        <f>'Inventory as of 12th Aug 2024'!A41</f>
        <v>Indomie beef</v>
      </c>
      <c r="D5144">
        <v>2</v>
      </c>
      <c r="E5144" s="5">
        <f>Table4[[#This Row],[qty]]*(VLOOKUP(Table4[[#This Row],[item_sold]],Table1[],5,FALSE))</f>
        <v>100</v>
      </c>
      <c r="F5144" s="5">
        <f>(VLOOKUP(Table4[[#This Row],[item_sold]],Table1[],4,FALSE))*Table4[[#This Row],[qty]]</f>
        <v>76</v>
      </c>
      <c r="G5144">
        <f t="shared" si="758"/>
        <v>24</v>
      </c>
      <c r="H5144" t="s">
        <v>361</v>
      </c>
    </row>
    <row r="5145" spans="1:9" x14ac:dyDescent="0.25">
      <c r="A5145" s="1">
        <f t="shared" si="754"/>
        <v>45567</v>
      </c>
      <c r="B5145" s="31">
        <f t="shared" ref="B5145" si="760">TIME(13,52,0)</f>
        <v>0.57777777777777783</v>
      </c>
      <c r="C5145" t="str">
        <f>'Inventory as of 12th Aug 2024'!A8</f>
        <v>eggs</v>
      </c>
      <c r="D5145">
        <v>2</v>
      </c>
      <c r="E5145" s="5">
        <f>Table4[[#This Row],[qty]]*(VLOOKUP(Table4[[#This Row],[item_sold]],Table1[],5,FALSE))</f>
        <v>40</v>
      </c>
      <c r="F5145" s="5">
        <f>(VLOOKUP(Table4[[#This Row],[item_sold]],Table1[],4,FALSE))*Table4[[#This Row],[qty]]</f>
        <v>28.666666666666668</v>
      </c>
      <c r="G5145">
        <f t="shared" si="758"/>
        <v>11.333333333333332</v>
      </c>
      <c r="H5145" t="s">
        <v>361</v>
      </c>
    </row>
    <row r="5146" spans="1:9" x14ac:dyDescent="0.25">
      <c r="A5146" s="1">
        <f t="shared" si="754"/>
        <v>45567</v>
      </c>
      <c r="B5146" s="31">
        <f>TIME(14,16,0)</f>
        <v>0.59444444444444444</v>
      </c>
      <c r="C5146" t="str">
        <f>'Inventory as of 12th Aug 2024'!A42</f>
        <v>Indomie chicken</v>
      </c>
      <c r="D5146">
        <v>1</v>
      </c>
      <c r="E5146" s="5">
        <f>Table4[[#This Row],[qty]]*(VLOOKUP(Table4[[#This Row],[item_sold]],Table1[],5,FALSE))</f>
        <v>50</v>
      </c>
      <c r="F5146" s="5">
        <f>(VLOOKUP(Table4[[#This Row],[item_sold]],Table1[],4,FALSE))*Table4[[#This Row],[qty]]</f>
        <v>37.5</v>
      </c>
      <c r="G5146">
        <f t="shared" si="758"/>
        <v>12.5</v>
      </c>
      <c r="H5146" t="s">
        <v>361</v>
      </c>
    </row>
    <row r="5147" spans="1:9" x14ac:dyDescent="0.25">
      <c r="A5147" s="1">
        <f t="shared" si="754"/>
        <v>45567</v>
      </c>
      <c r="B5147" s="31">
        <f>TIME(14,29,0)</f>
        <v>0.60347222222222219</v>
      </c>
      <c r="C5147" t="str">
        <f>'Inventory as of 12th Aug 2024'!A96</f>
        <v>Ndimu</v>
      </c>
      <c r="D5147">
        <v>5</v>
      </c>
      <c r="E5147" s="5">
        <f>Table4[[#This Row],[qty]]*(VLOOKUP(Table4[[#This Row],[item_sold]],Table1[],5,FALSE))</f>
        <v>100</v>
      </c>
      <c r="F5147" s="5">
        <f>(VLOOKUP(Table4[[#This Row],[item_sold]],Table1[],4,FALSE))*Table4[[#This Row],[qty]]</f>
        <v>41.666666666666671</v>
      </c>
      <c r="G5147">
        <f t="shared" si="758"/>
        <v>58.333333333333329</v>
      </c>
      <c r="H5147" t="s">
        <v>361</v>
      </c>
    </row>
    <row r="5148" spans="1:9" x14ac:dyDescent="0.25">
      <c r="A5148" s="1">
        <f t="shared" si="754"/>
        <v>45567</v>
      </c>
      <c r="B5148" s="31">
        <f t="shared" ref="B5148" si="761">TIME(14,29,0)</f>
        <v>0.60347222222222219</v>
      </c>
      <c r="C5148" t="str">
        <f>'Inventory as of 12th Aug 2024'!A75</f>
        <v>Cooking Oil Measured</v>
      </c>
      <c r="D5148">
        <v>0.25</v>
      </c>
      <c r="E5148" s="5">
        <f>Table4[[#This Row],[qty]]*(VLOOKUP(Table4[[#This Row],[item_sold]],Table1[],5,FALSE))</f>
        <v>70</v>
      </c>
      <c r="F5148" s="5">
        <f>(VLOOKUP(Table4[[#This Row],[item_sold]],Table1[],4,FALSE))*Table4[[#This Row],[qty]]</f>
        <v>50</v>
      </c>
      <c r="G5148">
        <f t="shared" si="758"/>
        <v>20</v>
      </c>
      <c r="H5148" t="s">
        <v>361</v>
      </c>
    </row>
    <row r="5149" spans="1:9" x14ac:dyDescent="0.25">
      <c r="A5149" s="1">
        <f t="shared" si="754"/>
        <v>45567</v>
      </c>
      <c r="B5149" s="31">
        <f>TIME(14,33,0)</f>
        <v>0.60625000000000007</v>
      </c>
      <c r="C5149" t="str">
        <f>'Inventory as of 12th Aug 2024'!A232</f>
        <v>coo</v>
      </c>
      <c r="D5149">
        <v>2</v>
      </c>
      <c r="E5149" s="5">
        <f>Table4[[#This Row],[qty]]*(VLOOKUP(Table4[[#This Row],[item_sold]],Table1[],5,FALSE))</f>
        <v>5</v>
      </c>
      <c r="F5149" s="5">
        <f>(VLOOKUP(Table4[[#This Row],[item_sold]],Table1[],4,FALSE))*Table4[[#This Row],[qty]]</f>
        <v>2.4</v>
      </c>
      <c r="G5149">
        <f t="shared" si="758"/>
        <v>2.6</v>
      </c>
      <c r="H5149" t="s">
        <v>361</v>
      </c>
    </row>
    <row r="5150" spans="1:9" x14ac:dyDescent="0.25">
      <c r="A5150" s="1">
        <f t="shared" si="754"/>
        <v>45567</v>
      </c>
      <c r="B5150" s="31">
        <f>TIME(15,15,0)</f>
        <v>0.63541666666666663</v>
      </c>
      <c r="C5150" t="str">
        <f>'Inventory as of 12th Aug 2024'!A212</f>
        <v>soda 300ml glass</v>
      </c>
      <c r="D5150">
        <v>1</v>
      </c>
      <c r="E5150" s="5">
        <f>Table4[[#This Row],[qty]]*(VLOOKUP(Table4[[#This Row],[item_sold]],Table1[],5,FALSE))</f>
        <v>40</v>
      </c>
      <c r="F5150" s="5">
        <f>(VLOOKUP(Table4[[#This Row],[item_sold]],Table1[],4,FALSE))*Table4[[#This Row],[qty]]</f>
        <v>32.5</v>
      </c>
      <c r="G5150">
        <f t="shared" si="758"/>
        <v>7.5</v>
      </c>
      <c r="H5150" t="s">
        <v>361</v>
      </c>
    </row>
    <row r="5151" spans="1:9" x14ac:dyDescent="0.25">
      <c r="A5151" s="1">
        <f t="shared" si="754"/>
        <v>45567</v>
      </c>
      <c r="B5151" s="31">
        <f>TIME(16,4,0)</f>
        <v>0.6694444444444444</v>
      </c>
      <c r="C5151" t="str">
        <f>'Inventory as of 12th Aug 2024'!A58</f>
        <v>Safari</v>
      </c>
      <c r="D5151">
        <v>1</v>
      </c>
      <c r="E5151" s="5">
        <f>Table4[[#This Row],[qty]]*(VLOOKUP(Table4[[#This Row],[item_sold]],Table1[],5,FALSE))</f>
        <v>15</v>
      </c>
      <c r="F5151" s="5">
        <f>(VLOOKUP(Table4[[#This Row],[item_sold]],Table1[],4,FALSE))*Table4[[#This Row],[qty]]</f>
        <v>8.5</v>
      </c>
      <c r="G5151">
        <f t="shared" si="758"/>
        <v>6.5</v>
      </c>
      <c r="H5151" t="s">
        <v>361</v>
      </c>
    </row>
    <row r="5152" spans="1:9" x14ac:dyDescent="0.25">
      <c r="A5152" s="1">
        <f t="shared" si="754"/>
        <v>45567</v>
      </c>
      <c r="B5152" s="31">
        <f t="shared" ref="B5152" si="762">TIME(16,4,0)</f>
        <v>0.6694444444444444</v>
      </c>
      <c r="C5152" t="str">
        <f>'Inventory as of 12th Aug 2024'!A192</f>
        <v>Lemon Bisquit</v>
      </c>
      <c r="D5152">
        <v>1</v>
      </c>
      <c r="E5152" s="5">
        <f>Table4[[#This Row],[qty]]*(VLOOKUP(Table4[[#This Row],[item_sold]],Table1[],5,FALSE))</f>
        <v>5</v>
      </c>
      <c r="F5152" s="5">
        <f>(VLOOKUP(Table4[[#This Row],[item_sold]],Table1[],4,FALSE))*Table4[[#This Row],[qty]]</f>
        <v>4.333333333333333</v>
      </c>
      <c r="G5152">
        <f t="shared" si="758"/>
        <v>0.66666666666666696</v>
      </c>
      <c r="H5152" t="s">
        <v>247</v>
      </c>
    </row>
    <row r="5153" spans="1:9" x14ac:dyDescent="0.25">
      <c r="A5153" s="1">
        <f t="shared" si="754"/>
        <v>45567</v>
      </c>
      <c r="B5153" s="31">
        <f>TIME(16,57,0)</f>
        <v>0.70624999999999993</v>
      </c>
      <c r="C5153" t="str">
        <f>'Inventory as of 12th Aug 2024'!A2</f>
        <v>Safaricom 20 Credit</v>
      </c>
      <c r="D5153">
        <v>1</v>
      </c>
      <c r="E5153" s="5">
        <f>Table4[[#This Row],[qty]]*(VLOOKUP(Table4[[#This Row],[item_sold]],Table1[],5,FALSE))</f>
        <v>20</v>
      </c>
      <c r="F5153" s="5">
        <f>(VLOOKUP(Table4[[#This Row],[item_sold]],Table1[],4,FALSE))*Table4[[#This Row],[qty]]</f>
        <v>18</v>
      </c>
      <c r="G5153">
        <f t="shared" si="758"/>
        <v>2</v>
      </c>
      <c r="H5153" t="s">
        <v>247</v>
      </c>
    </row>
    <row r="5154" spans="1:9" x14ac:dyDescent="0.25">
      <c r="A5154" s="1">
        <f t="shared" si="754"/>
        <v>45567</v>
      </c>
      <c r="B5154" s="31">
        <f>TIME(17,7,0)</f>
        <v>0.71319444444444446</v>
      </c>
      <c r="C5154" t="str">
        <f>'Inventory as of 12th Aug 2024'!A135</f>
        <v>Bella Tissue</v>
      </c>
      <c r="D5154">
        <v>1</v>
      </c>
      <c r="E5154" s="5">
        <f>Table4[[#This Row],[qty]]*(VLOOKUP(Table4[[#This Row],[item_sold]],Table1[],5,FALSE))</f>
        <v>50</v>
      </c>
      <c r="F5154" s="5">
        <f>(VLOOKUP(Table4[[#This Row],[item_sold]],Table1[],4,FALSE))*Table4[[#This Row],[qty]]</f>
        <v>35</v>
      </c>
      <c r="G5154">
        <f t="shared" si="758"/>
        <v>15</v>
      </c>
      <c r="H5154" t="s">
        <v>361</v>
      </c>
    </row>
    <row r="5155" spans="1:9" x14ac:dyDescent="0.25">
      <c r="A5155" s="1">
        <f t="shared" si="754"/>
        <v>45567</v>
      </c>
      <c r="B5155" s="31">
        <f>TIME(17,6,0)</f>
        <v>0.71250000000000002</v>
      </c>
      <c r="C5155" t="str">
        <f>'Inventory as of 12th Aug 2024'!A58</f>
        <v>Safari</v>
      </c>
      <c r="D5155">
        <v>1</v>
      </c>
      <c r="E5155" s="5">
        <f>Table4[[#This Row],[qty]]*(VLOOKUP(Table4[[#This Row],[item_sold]],Table1[],5,FALSE))</f>
        <v>15</v>
      </c>
      <c r="F5155" s="5">
        <f>(VLOOKUP(Table4[[#This Row],[item_sold]],Table1[],4,FALSE))*Table4[[#This Row],[qty]]</f>
        <v>8.5</v>
      </c>
      <c r="G5155">
        <f t="shared" si="758"/>
        <v>6.5</v>
      </c>
      <c r="H5155" t="s">
        <v>361</v>
      </c>
    </row>
    <row r="5156" spans="1:9" x14ac:dyDescent="0.25">
      <c r="A5156" s="1">
        <f t="shared" si="754"/>
        <v>45567</v>
      </c>
      <c r="B5156" s="31">
        <f t="shared" ref="B5156:B5157" si="763">TIME(17,6,0)</f>
        <v>0.71250000000000002</v>
      </c>
      <c r="C5156" t="str">
        <f>'Inventory as of 12th Aug 2024'!A79</f>
        <v xml:space="preserve">Whitewash </v>
      </c>
      <c r="D5156">
        <v>1</v>
      </c>
      <c r="E5156" s="5">
        <f>Table4[[#This Row],[qty]]*(VLOOKUP(Table4[[#This Row],[item_sold]],Table1[],5,FALSE))</f>
        <v>50</v>
      </c>
      <c r="F5156" s="5">
        <f>(VLOOKUP(Table4[[#This Row],[item_sold]],Table1[],4,FALSE))*Table4[[#This Row],[qty]]</f>
        <v>33.75</v>
      </c>
      <c r="G5156">
        <f t="shared" si="758"/>
        <v>16.25</v>
      </c>
      <c r="H5156" t="s">
        <v>361</v>
      </c>
    </row>
    <row r="5157" spans="1:9" x14ac:dyDescent="0.25">
      <c r="A5157" s="1">
        <f t="shared" si="754"/>
        <v>45567</v>
      </c>
      <c r="B5157" s="31">
        <f t="shared" si="763"/>
        <v>0.71250000000000002</v>
      </c>
      <c r="C5157" t="str">
        <f>'Inventory as of 12th Aug 2024'!A258</f>
        <v>Sunlight 25g</v>
      </c>
      <c r="D5157">
        <v>1</v>
      </c>
      <c r="E5157" s="5">
        <f>Table4[[#This Row],[qty]]*(VLOOKUP(Table4[[#This Row],[item_sold]],Table1[],5,FALSE))</f>
        <v>15</v>
      </c>
      <c r="F5157" s="5">
        <f>(VLOOKUP(Table4[[#This Row],[item_sold]],Table1[],4,FALSE))*Table4[[#This Row],[qty]]</f>
        <v>8.3333333333333339</v>
      </c>
      <c r="G5157">
        <f t="shared" si="758"/>
        <v>6.6666666666666661</v>
      </c>
      <c r="H5157" t="s">
        <v>430</v>
      </c>
      <c r="I5157" t="s">
        <v>590</v>
      </c>
    </row>
    <row r="5158" spans="1:9" x14ac:dyDescent="0.25">
      <c r="A5158" s="1">
        <f t="shared" si="754"/>
        <v>45567</v>
      </c>
      <c r="B5158" s="31">
        <f>TIME(18,30,0)</f>
        <v>0.77083333333333337</v>
      </c>
      <c r="C5158" t="str">
        <f>'Inventory as of 12th Aug 2024'!A175</f>
        <v>Coconut Cakes</v>
      </c>
      <c r="D5158">
        <v>2</v>
      </c>
      <c r="E5158" s="5">
        <f>Table4[[#This Row],[qty]]*(VLOOKUP(Table4[[#This Row],[item_sold]],Table1[],5,FALSE))</f>
        <v>20</v>
      </c>
      <c r="F5158" s="5">
        <f>(VLOOKUP(Table4[[#This Row],[item_sold]],Table1[],4,FALSE))*Table4[[#This Row],[qty]]</f>
        <v>16.666666666666668</v>
      </c>
      <c r="G5158">
        <f t="shared" si="758"/>
        <v>3.3333333333333321</v>
      </c>
      <c r="H5158" t="s">
        <v>247</v>
      </c>
    </row>
    <row r="5159" spans="1:9" x14ac:dyDescent="0.25">
      <c r="A5159" s="1">
        <f t="shared" si="754"/>
        <v>45567</v>
      </c>
      <c r="B5159" s="31">
        <f>TIME(18,36,0)</f>
        <v>0.77500000000000002</v>
      </c>
      <c r="C5159" t="str">
        <f>'Inventory as of 12th Aug 2024'!A192</f>
        <v>Lemon Bisquit</v>
      </c>
      <c r="D5159">
        <v>1</v>
      </c>
      <c r="E5159" s="5">
        <f>Table4[[#This Row],[qty]]*(VLOOKUP(Table4[[#This Row],[item_sold]],Table1[],5,FALSE))</f>
        <v>5</v>
      </c>
      <c r="F5159" s="5">
        <f>(VLOOKUP(Table4[[#This Row],[item_sold]],Table1[],4,FALSE))*Table4[[#This Row],[qty]]</f>
        <v>4.333333333333333</v>
      </c>
      <c r="G5159">
        <f t="shared" si="758"/>
        <v>0.66666666666666696</v>
      </c>
      <c r="H5159" t="s">
        <v>247</v>
      </c>
    </row>
    <row r="5160" spans="1:9" x14ac:dyDescent="0.25">
      <c r="A5160" s="1">
        <f t="shared" si="754"/>
        <v>45567</v>
      </c>
      <c r="B5160" s="31">
        <f>TIME(18,37,0)</f>
        <v>0.77569444444444446</v>
      </c>
      <c r="C5160" t="str">
        <f>'Inventory as of 12th Aug 2024'!A75</f>
        <v>Cooking Oil Measured</v>
      </c>
      <c r="D5160">
        <v>0.25</v>
      </c>
      <c r="E5160" s="5">
        <f>Table4[[#This Row],[qty]]*(VLOOKUP(Table4[[#This Row],[item_sold]],Table1[],5,FALSE))</f>
        <v>70</v>
      </c>
      <c r="F5160" s="5">
        <f>(VLOOKUP(Table4[[#This Row],[item_sold]],Table1[],4,FALSE))*Table4[[#This Row],[qty]]</f>
        <v>50</v>
      </c>
      <c r="G5160">
        <f t="shared" si="758"/>
        <v>20</v>
      </c>
      <c r="H5160" t="s">
        <v>361</v>
      </c>
    </row>
    <row r="5161" spans="1:9" x14ac:dyDescent="0.25">
      <c r="A5161" s="1">
        <f t="shared" si="754"/>
        <v>45567</v>
      </c>
      <c r="B5161" s="31">
        <f>TIME(18,42,0)</f>
        <v>0.77916666666666667</v>
      </c>
      <c r="C5161" t="str">
        <f>'Inventory as of 12th Aug 2024'!A58</f>
        <v>Safari</v>
      </c>
      <c r="D5161">
        <v>1</v>
      </c>
      <c r="E5161" s="5">
        <f>Table4[[#This Row],[qty]]*(VLOOKUP(Table4[[#This Row],[item_sold]],Table1[],5,FALSE))</f>
        <v>15</v>
      </c>
      <c r="F5161" s="5">
        <f>(VLOOKUP(Table4[[#This Row],[item_sold]],Table1[],4,FALSE))*Table4[[#This Row],[qty]]</f>
        <v>8.5</v>
      </c>
      <c r="G5161">
        <f t="shared" si="758"/>
        <v>6.5</v>
      </c>
      <c r="H5161" t="s">
        <v>361</v>
      </c>
    </row>
    <row r="5162" spans="1:9" x14ac:dyDescent="0.25">
      <c r="A5162" s="1">
        <f t="shared" si="754"/>
        <v>45567</v>
      </c>
      <c r="B5162" s="31">
        <f t="shared" ref="B5162" si="764">TIME(18,42,0)</f>
        <v>0.77916666666666667</v>
      </c>
      <c r="C5162" t="str">
        <f>'Inventory as of 12th Aug 2024'!A153</f>
        <v>mosquito stick</v>
      </c>
      <c r="D5162">
        <v>1</v>
      </c>
      <c r="E5162" s="5">
        <f>Table4[[#This Row],[qty]]*(VLOOKUP(Table4[[#This Row],[item_sold]],Table1[],5,FALSE))</f>
        <v>10</v>
      </c>
      <c r="F5162" s="5">
        <f>(VLOOKUP(Table4[[#This Row],[item_sold]],Table1[],4,FALSE))*Table4[[#This Row],[qty]]</f>
        <v>9</v>
      </c>
      <c r="G5162">
        <f t="shared" si="758"/>
        <v>1</v>
      </c>
      <c r="H5162" t="s">
        <v>361</v>
      </c>
    </row>
    <row r="5163" spans="1:9" x14ac:dyDescent="0.25">
      <c r="A5163" s="1">
        <f t="shared" si="754"/>
        <v>45567</v>
      </c>
      <c r="B5163" s="31">
        <f>TIME(18,46,0)</f>
        <v>0.78194444444444444</v>
      </c>
      <c r="C5163" t="str">
        <f>'Inventory as of 12th Aug 2024'!A16</f>
        <v>Mt kenya milk 500ml</v>
      </c>
      <c r="D5163">
        <v>1</v>
      </c>
      <c r="E5163" s="5">
        <f>Table4[[#This Row],[qty]]*(VLOOKUP(Table4[[#This Row],[item_sold]],Table1[],5,FALSE))</f>
        <v>65</v>
      </c>
      <c r="F5163" s="5">
        <f>(VLOOKUP(Table4[[#This Row],[item_sold]],Table1[],4,FALSE))*Table4[[#This Row],[qty]]</f>
        <v>48.333333333333336</v>
      </c>
      <c r="G5163">
        <f t="shared" si="758"/>
        <v>16.666666666666664</v>
      </c>
      <c r="H5163" t="s">
        <v>247</v>
      </c>
    </row>
    <row r="5164" spans="1:9" x14ac:dyDescent="0.25">
      <c r="A5164" s="1">
        <f t="shared" si="754"/>
        <v>45567</v>
      </c>
      <c r="B5164" s="31">
        <f>TIME(19,39,0)</f>
        <v>0.81874999999999998</v>
      </c>
      <c r="C5164" t="str">
        <f>'Inventory as of 12th Aug 2024'!A58</f>
        <v>Safari</v>
      </c>
      <c r="D5164">
        <v>1</v>
      </c>
      <c r="E5164" s="5">
        <f>Table4[[#This Row],[qty]]*(VLOOKUP(Table4[[#This Row],[item_sold]],Table1[],5,FALSE))</f>
        <v>15</v>
      </c>
      <c r="F5164" s="5">
        <f>(VLOOKUP(Table4[[#This Row],[item_sold]],Table1[],4,FALSE))*Table4[[#This Row],[qty]]</f>
        <v>8.5</v>
      </c>
      <c r="G5164">
        <f t="shared" si="758"/>
        <v>6.5</v>
      </c>
      <c r="H5164" s="25" t="s">
        <v>247</v>
      </c>
    </row>
    <row r="5165" spans="1:9" x14ac:dyDescent="0.25">
      <c r="A5165" s="1">
        <f t="shared" si="754"/>
        <v>45567</v>
      </c>
      <c r="B5165" s="31">
        <f>TIME(19,43,0)</f>
        <v>0.82152777777777775</v>
      </c>
      <c r="C5165" t="str">
        <f>'Inventory as of 12th Aug 2024'!A138</f>
        <v>Softcare pads</v>
      </c>
      <c r="D5165">
        <v>1</v>
      </c>
      <c r="E5165" s="5">
        <f>Table4[[#This Row],[qty]]*(VLOOKUP(Table4[[#This Row],[item_sold]],Table1[],5,FALSE))</f>
        <v>85</v>
      </c>
      <c r="F5165" s="5">
        <f>(VLOOKUP(Table4[[#This Row],[item_sold]],Table1[],4,FALSE))*Table4[[#This Row],[qty]]</f>
        <v>66</v>
      </c>
      <c r="G5165">
        <f t="shared" si="758"/>
        <v>19</v>
      </c>
      <c r="H5165" t="s">
        <v>361</v>
      </c>
    </row>
    <row r="5166" spans="1:9" x14ac:dyDescent="0.25">
      <c r="A5166" s="1">
        <f t="shared" si="754"/>
        <v>45567</v>
      </c>
      <c r="B5166" s="31">
        <f t="shared" ref="B5166" si="765">TIME(19,43,0)</f>
        <v>0.82152777777777775</v>
      </c>
      <c r="C5166" t="str">
        <f>'Inventory as of 12th Aug 2024'!A16</f>
        <v>Mt kenya milk 500ml</v>
      </c>
      <c r="D5166">
        <v>1</v>
      </c>
      <c r="E5166" s="5">
        <f>Table4[[#This Row],[qty]]*(VLOOKUP(Table4[[#This Row],[item_sold]],Table1[],5,FALSE))</f>
        <v>65</v>
      </c>
      <c r="F5166" s="5">
        <f>(VLOOKUP(Table4[[#This Row],[item_sold]],Table1[],4,FALSE))*Table4[[#This Row],[qty]]</f>
        <v>48.333333333333336</v>
      </c>
      <c r="G5166">
        <f t="shared" si="758"/>
        <v>16.666666666666664</v>
      </c>
      <c r="H5166" t="s">
        <v>361</v>
      </c>
    </row>
    <row r="5167" spans="1:9" x14ac:dyDescent="0.25">
      <c r="A5167" s="1">
        <f t="shared" si="754"/>
        <v>45567</v>
      </c>
      <c r="B5167" s="31">
        <f>TIME(20,26,0)</f>
        <v>0.85138888888888886</v>
      </c>
      <c r="C5167" t="str">
        <f>'Inventory as of 12th Aug 2024'!A33</f>
        <v>BB Bread 400g</v>
      </c>
      <c r="D5167">
        <v>1</v>
      </c>
      <c r="E5167" s="5">
        <f>Table4[[#This Row],[qty]]*(VLOOKUP(Table4[[#This Row],[item_sold]],Table1[],5,FALSE))</f>
        <v>65</v>
      </c>
      <c r="F5167" s="5">
        <f>(VLOOKUP(Table4[[#This Row],[item_sold]],Table1[],4,FALSE))*Table4[[#This Row],[qty]]</f>
        <v>60</v>
      </c>
      <c r="G5167">
        <f t="shared" si="758"/>
        <v>5</v>
      </c>
      <c r="H5167" t="s">
        <v>361</v>
      </c>
    </row>
    <row r="5168" spans="1:9" x14ac:dyDescent="0.25">
      <c r="A5168" s="1">
        <f t="shared" si="754"/>
        <v>45567</v>
      </c>
      <c r="B5168" s="31">
        <f t="shared" ref="B5168:B5169" si="766">TIME(20,26,0)</f>
        <v>0.85138888888888886</v>
      </c>
      <c r="C5168" t="str">
        <f>'Inventory as of 12th Aug 2024'!A16</f>
        <v>Mt kenya milk 500ml</v>
      </c>
      <c r="D5168">
        <v>1</v>
      </c>
      <c r="E5168" s="5">
        <f>Table4[[#This Row],[qty]]*(VLOOKUP(Table4[[#This Row],[item_sold]],Table1[],5,FALSE))</f>
        <v>65</v>
      </c>
      <c r="F5168" s="5">
        <f>(VLOOKUP(Table4[[#This Row],[item_sold]],Table1[],4,FALSE))*Table4[[#This Row],[qty]]</f>
        <v>48.333333333333336</v>
      </c>
      <c r="G5168">
        <f t="shared" si="758"/>
        <v>16.666666666666664</v>
      </c>
      <c r="H5168" t="s">
        <v>361</v>
      </c>
    </row>
    <row r="5169" spans="1:12" x14ac:dyDescent="0.25">
      <c r="A5169" s="1">
        <f t="shared" si="754"/>
        <v>45567</v>
      </c>
      <c r="B5169" s="31">
        <f t="shared" si="766"/>
        <v>0.85138888888888886</v>
      </c>
      <c r="C5169" t="str">
        <f>'Inventory as of 12th Aug 2024'!A215</f>
        <v>Blueband 100g</v>
      </c>
      <c r="D5169">
        <v>1</v>
      </c>
      <c r="E5169" s="5">
        <f>Table4[[#This Row],[qty]]*(VLOOKUP(Table4[[#This Row],[item_sold]],Table1[],5,FALSE))</f>
        <v>70</v>
      </c>
      <c r="F5169" s="5">
        <f>(VLOOKUP(Table4[[#This Row],[item_sold]],Table1[],4,FALSE))*Table4[[#This Row],[qty]]</f>
        <v>58.333333333333336</v>
      </c>
      <c r="G5169">
        <f t="shared" si="758"/>
        <v>11.666666666666664</v>
      </c>
      <c r="H5169" t="s">
        <v>361</v>
      </c>
    </row>
    <row r="5170" spans="1:12" x14ac:dyDescent="0.25">
      <c r="A5170" s="1">
        <f t="shared" si="754"/>
        <v>45567</v>
      </c>
      <c r="B5170" s="31">
        <f>TIME(15,15,0)</f>
        <v>0.63541666666666663</v>
      </c>
      <c r="C5170" t="str">
        <f>'Inventory as of 12th Aug 2024'!A192</f>
        <v>Lemon Bisquit</v>
      </c>
      <c r="D5170">
        <v>1</v>
      </c>
      <c r="E5170" s="5">
        <f>Table4[[#This Row],[qty]]*(VLOOKUP(Table4[[#This Row],[item_sold]],Table1[],5,FALSE))</f>
        <v>5</v>
      </c>
      <c r="F5170" s="5">
        <f>(VLOOKUP(Table4[[#This Row],[item_sold]],Table1[],4,FALSE))*Table4[[#This Row],[qty]]</f>
        <v>4.333333333333333</v>
      </c>
      <c r="G5170">
        <f t="shared" si="758"/>
        <v>0.66666666666666696</v>
      </c>
      <c r="H5170" t="s">
        <v>361</v>
      </c>
    </row>
    <row r="5171" spans="1:12" x14ac:dyDescent="0.25">
      <c r="A5171" s="1">
        <f t="shared" si="754"/>
        <v>45567</v>
      </c>
      <c r="B5171" s="31">
        <f>TIME(20,21,0)</f>
        <v>0.84791666666666676</v>
      </c>
      <c r="C5171" t="str">
        <f>'Inventory as of 12th Aug 2024'!A33</f>
        <v>BB Bread 400g</v>
      </c>
      <c r="D5171">
        <v>2</v>
      </c>
      <c r="E5171" s="5">
        <f>Table4[[#This Row],[qty]]*(VLOOKUP(Table4[[#This Row],[item_sold]],Table1[],5,FALSE))</f>
        <v>130</v>
      </c>
      <c r="F5171" s="5">
        <f>(VLOOKUP(Table4[[#This Row],[item_sold]],Table1[],4,FALSE))*Table4[[#This Row],[qty]]</f>
        <v>120</v>
      </c>
      <c r="G5171">
        <f t="shared" si="758"/>
        <v>10</v>
      </c>
      <c r="H5171" t="s">
        <v>361</v>
      </c>
    </row>
    <row r="5172" spans="1:12" x14ac:dyDescent="0.25">
      <c r="A5172" s="1">
        <f t="shared" si="754"/>
        <v>45567</v>
      </c>
      <c r="B5172" s="31">
        <f t="shared" ref="B5172:B5175" si="767">TIME(20,21,0)</f>
        <v>0.84791666666666676</v>
      </c>
      <c r="C5172" t="str">
        <f>'Inventory as of 12th Aug 2024'!A176</f>
        <v>Queen cake</v>
      </c>
      <c r="D5172">
        <v>5</v>
      </c>
      <c r="E5172" s="5">
        <f>Table4[[#This Row],[qty]]*(VLOOKUP(Table4[[#This Row],[item_sold]],Table1[],5,FALSE))</f>
        <v>50</v>
      </c>
      <c r="F5172" s="5">
        <f>(VLOOKUP(Table4[[#This Row],[item_sold]],Table1[],4,FALSE))*Table4[[#This Row],[qty]]</f>
        <v>41.666666666666671</v>
      </c>
      <c r="G5172">
        <f t="shared" si="758"/>
        <v>8.3333333333333286</v>
      </c>
      <c r="H5172" t="s">
        <v>361</v>
      </c>
    </row>
    <row r="5173" spans="1:12" x14ac:dyDescent="0.25">
      <c r="A5173" s="1">
        <f t="shared" si="754"/>
        <v>45567</v>
      </c>
      <c r="B5173" s="31">
        <f t="shared" si="767"/>
        <v>0.84791666666666676</v>
      </c>
      <c r="C5173" t="str">
        <f>'Inventory as of 12th Aug 2024'!A191</f>
        <v>Nuvita Bisquit</v>
      </c>
      <c r="D5173">
        <v>1</v>
      </c>
      <c r="E5173" s="5">
        <f>Table4[[#This Row],[qty]]*(VLOOKUP(Table4[[#This Row],[item_sold]],Table1[],5,FALSE))</f>
        <v>5</v>
      </c>
      <c r="F5173" s="5">
        <f>(VLOOKUP(Table4[[#This Row],[item_sold]],Table1[],4,FALSE))*Table4[[#This Row],[qty]]</f>
        <v>4.166666666666667</v>
      </c>
      <c r="G5173">
        <f t="shared" si="758"/>
        <v>0.83333333333333304</v>
      </c>
      <c r="H5173" t="s">
        <v>361</v>
      </c>
    </row>
    <row r="5174" spans="1:12" x14ac:dyDescent="0.25">
      <c r="A5174" s="1">
        <f t="shared" si="754"/>
        <v>45567</v>
      </c>
      <c r="B5174" s="31">
        <f t="shared" si="767"/>
        <v>0.84791666666666676</v>
      </c>
      <c r="C5174" t="str">
        <f>'Inventory as of 12th Aug 2024'!A193</f>
        <v>Ginger Bisquit</v>
      </c>
      <c r="D5174">
        <v>1</v>
      </c>
      <c r="E5174" s="5">
        <f>Table4[[#This Row],[qty]]*(VLOOKUP(Table4[[#This Row],[item_sold]],Table1[],5,FALSE))</f>
        <v>5</v>
      </c>
      <c r="F5174" s="5">
        <f>(VLOOKUP(Table4[[#This Row],[item_sold]],Table1[],4,FALSE))*Table4[[#This Row],[qty]]</f>
        <v>4.333333333333333</v>
      </c>
      <c r="G5174">
        <f t="shared" si="758"/>
        <v>0.66666666666666696</v>
      </c>
      <c r="H5174" t="s">
        <v>361</v>
      </c>
    </row>
    <row r="5175" spans="1:12" x14ac:dyDescent="0.25">
      <c r="A5175" s="1">
        <f t="shared" si="754"/>
        <v>45567</v>
      </c>
      <c r="B5175" s="31">
        <f t="shared" si="767"/>
        <v>0.84791666666666676</v>
      </c>
      <c r="C5175" t="str">
        <f>'Inventory as of 12th Aug 2024'!A120</f>
        <v>Maramoja</v>
      </c>
      <c r="D5175">
        <v>1</v>
      </c>
      <c r="E5175" s="5">
        <f>Table4[[#This Row],[qty]]*(VLOOKUP(Table4[[#This Row],[item_sold]],Table1[],5,FALSE))</f>
        <v>10</v>
      </c>
      <c r="F5175" s="5">
        <f>(VLOOKUP(Table4[[#This Row],[item_sold]],Table1[],4,FALSE))*Table4[[#This Row],[qty]]</f>
        <v>7</v>
      </c>
      <c r="G5175">
        <f t="shared" si="758"/>
        <v>3</v>
      </c>
      <c r="H5175" t="s">
        <v>361</v>
      </c>
    </row>
    <row r="5176" spans="1:12" x14ac:dyDescent="0.25">
      <c r="A5176" s="1">
        <f t="shared" si="754"/>
        <v>45567</v>
      </c>
      <c r="B5176" s="31">
        <f>TIME(20,40,0)</f>
        <v>0.86111111111111116</v>
      </c>
      <c r="C5176" t="str">
        <f>'Inventory as of 12th Aug 2024'!A16</f>
        <v>Mt kenya milk 500ml</v>
      </c>
      <c r="D5176">
        <v>1</v>
      </c>
      <c r="E5176" s="5">
        <f>Table4[[#This Row],[qty]]*(VLOOKUP(Table4[[#This Row],[item_sold]],Table1[],5,FALSE))</f>
        <v>65</v>
      </c>
      <c r="F5176" s="5">
        <f>(VLOOKUP(Table4[[#This Row],[item_sold]],Table1[],4,FALSE))*Table4[[#This Row],[qty]]</f>
        <v>48.333333333333336</v>
      </c>
      <c r="G5176">
        <f t="shared" si="758"/>
        <v>16.666666666666664</v>
      </c>
      <c r="H5176" t="s">
        <v>361</v>
      </c>
    </row>
    <row r="5177" spans="1:12" x14ac:dyDescent="0.25">
      <c r="A5177" s="1">
        <f t="shared" si="754"/>
        <v>45567</v>
      </c>
      <c r="B5177" s="31">
        <f>TIME(20,53,0)</f>
        <v>0.87013888888888891</v>
      </c>
      <c r="C5177" t="str">
        <f>'Inventory as of 12th Aug 2024'!A35</f>
        <v>Festive 600g</v>
      </c>
      <c r="D5177">
        <v>1</v>
      </c>
      <c r="E5177" s="5">
        <f>Table4[[#This Row],[qty]]*(VLOOKUP(Table4[[#This Row],[item_sold]],Table1[],5,FALSE))</f>
        <v>100</v>
      </c>
      <c r="F5177" s="5">
        <f>(VLOOKUP(Table4[[#This Row],[item_sold]],Table1[],4,FALSE))*Table4[[#This Row],[qty]]</f>
        <v>90</v>
      </c>
      <c r="G5177">
        <f t="shared" si="758"/>
        <v>10</v>
      </c>
      <c r="H5177" t="s">
        <v>361</v>
      </c>
    </row>
    <row r="5178" spans="1:12" x14ac:dyDescent="0.25">
      <c r="A5178" s="1">
        <f t="shared" si="754"/>
        <v>45567</v>
      </c>
      <c r="B5178" s="31">
        <f t="shared" ref="B5178:B5179" si="768">TIME(20,53,0)</f>
        <v>0.87013888888888891</v>
      </c>
      <c r="C5178" t="str">
        <f>'Inventory as of 12th Aug 2024'!A17</f>
        <v>Brookside milk 500ml</v>
      </c>
      <c r="D5178">
        <v>1</v>
      </c>
      <c r="E5178" s="5">
        <f>Table4[[#This Row],[qty]]*(VLOOKUP(Table4[[#This Row],[item_sold]],Table1[],5,FALSE))</f>
        <v>70</v>
      </c>
      <c r="F5178" s="5">
        <f>(VLOOKUP(Table4[[#This Row],[item_sold]],Table1[],4,FALSE))*Table4[[#This Row],[qty]]</f>
        <v>59</v>
      </c>
      <c r="G5178">
        <f t="shared" si="758"/>
        <v>11</v>
      </c>
      <c r="H5178" t="s">
        <v>361</v>
      </c>
    </row>
    <row r="5179" spans="1:12" x14ac:dyDescent="0.25">
      <c r="A5179" s="1">
        <f t="shared" si="754"/>
        <v>45567</v>
      </c>
      <c r="B5179" s="31">
        <f t="shared" si="768"/>
        <v>0.87013888888888891</v>
      </c>
      <c r="C5179" t="str">
        <f>'Inventory as of 12th Aug 2024'!A58</f>
        <v>Safari</v>
      </c>
      <c r="D5179">
        <v>2</v>
      </c>
      <c r="E5179" s="5">
        <f>Table4[[#This Row],[qty]]*(VLOOKUP(Table4[[#This Row],[item_sold]],Table1[],5,FALSE))</f>
        <v>30</v>
      </c>
      <c r="F5179" s="5">
        <f>(VLOOKUP(Table4[[#This Row],[item_sold]],Table1[],4,FALSE))*Table4[[#This Row],[qty]]</f>
        <v>17</v>
      </c>
      <c r="G5179">
        <f t="shared" si="758"/>
        <v>13</v>
      </c>
      <c r="H5179" t="s">
        <v>361</v>
      </c>
    </row>
    <row r="5180" spans="1:12" x14ac:dyDescent="0.25">
      <c r="A5180" s="1">
        <f t="shared" si="754"/>
        <v>45567</v>
      </c>
      <c r="B5180" s="31">
        <f>TIME(11,11,0)</f>
        <v>0.46597222222222223</v>
      </c>
      <c r="C5180" t="str">
        <f>'Inventory as of 12th Aug 2024'!A213</f>
        <v>soda 500ml glass</v>
      </c>
      <c r="D5180">
        <v>1</v>
      </c>
      <c r="E5180" s="5">
        <f>Table4[[#This Row],[qty]]*(VLOOKUP(Table4[[#This Row],[item_sold]],Table1[],5,FALSE))</f>
        <v>55</v>
      </c>
      <c r="F5180" s="5">
        <f>(VLOOKUP(Table4[[#This Row],[item_sold]],Table1[],4,FALSE))*Table4[[#This Row],[qty]]</f>
        <v>50</v>
      </c>
      <c r="G5180">
        <f t="shared" si="758"/>
        <v>5</v>
      </c>
      <c r="H5180" t="s">
        <v>361</v>
      </c>
    </row>
    <row r="5181" spans="1:12" x14ac:dyDescent="0.25">
      <c r="A5181" s="1">
        <f>DATE(2024,10,3)</f>
        <v>45568</v>
      </c>
      <c r="B5181" s="31">
        <f>TIME(7,5,0)</f>
        <v>0.2951388888888889</v>
      </c>
      <c r="C5181" t="str">
        <f>'Inventory as of 12th Aug 2024'!A59</f>
        <v>kabras sugar 1kg</v>
      </c>
      <c r="D5181">
        <v>1</v>
      </c>
      <c r="E5181" s="5">
        <f>Table4[[#This Row],[qty]]*(VLOOKUP(Table4[[#This Row],[item_sold]],Table1[],5,FALSE))</f>
        <v>180</v>
      </c>
      <c r="F5181" s="5">
        <f>(VLOOKUP(Table4[[#This Row],[item_sold]],Table1[],4,FALSE))*Table4[[#This Row],[qty]]</f>
        <v>140</v>
      </c>
      <c r="G5181">
        <f t="shared" si="758"/>
        <v>40</v>
      </c>
      <c r="H5181" t="s">
        <v>430</v>
      </c>
      <c r="I5181" t="s">
        <v>456</v>
      </c>
    </row>
    <row r="5182" spans="1:12" x14ac:dyDescent="0.25">
      <c r="A5182" s="1">
        <f t="shared" ref="A5182:A5245" si="769">DATE(2024,10,3)</f>
        <v>45568</v>
      </c>
      <c r="B5182" s="31">
        <f>TIME(7,13,0)</f>
        <v>0.30069444444444443</v>
      </c>
      <c r="C5182" t="str">
        <f>'Inventory as of 12th Aug 2024'!A58</f>
        <v>Safari</v>
      </c>
      <c r="D5182">
        <v>1</v>
      </c>
      <c r="E5182" s="5">
        <f>Table4[[#This Row],[qty]]*(VLOOKUP(Table4[[#This Row],[item_sold]],Table1[],5,FALSE))</f>
        <v>15</v>
      </c>
      <c r="F5182" s="5">
        <f>(VLOOKUP(Table4[[#This Row],[item_sold]],Table1[],4,FALSE))*Table4[[#This Row],[qty]]</f>
        <v>8.5</v>
      </c>
      <c r="G5182">
        <f t="shared" si="758"/>
        <v>6.5</v>
      </c>
      <c r="H5182" t="s">
        <v>361</v>
      </c>
    </row>
    <row r="5183" spans="1:12" x14ac:dyDescent="0.25">
      <c r="A5183" s="1">
        <f t="shared" si="769"/>
        <v>45568</v>
      </c>
      <c r="B5183" s="31">
        <f>TIME(8,13,0)</f>
        <v>0.34236111111111112</v>
      </c>
      <c r="C5183" t="str">
        <f>'Inventory as of 12th Aug 2024'!A58</f>
        <v>Safari</v>
      </c>
      <c r="D5183">
        <v>1</v>
      </c>
      <c r="E5183" s="5">
        <f>Table4[[#This Row],[qty]]*(VLOOKUP(Table4[[#This Row],[item_sold]],Table1[],5,FALSE))</f>
        <v>15</v>
      </c>
      <c r="F5183" s="5">
        <f>(VLOOKUP(Table4[[#This Row],[item_sold]],Table1[],4,FALSE))*Table4[[#This Row],[qty]]</f>
        <v>8.5</v>
      </c>
      <c r="G5183">
        <f t="shared" si="758"/>
        <v>6.5</v>
      </c>
      <c r="H5183" t="s">
        <v>361</v>
      </c>
    </row>
    <row r="5184" spans="1:12" x14ac:dyDescent="0.25">
      <c r="A5184" s="1">
        <f t="shared" si="769"/>
        <v>45568</v>
      </c>
      <c r="B5184" s="31">
        <f>TIME(8,27,0)</f>
        <v>0.3520833333333333</v>
      </c>
      <c r="C5184" t="str">
        <f>'Inventory as of 12th Aug 2024'!A127</f>
        <v>tumbocide</v>
      </c>
      <c r="D5184">
        <v>1</v>
      </c>
      <c r="E5184" s="5">
        <f>Table4[[#This Row],[qty]]*(VLOOKUP(Table4[[#This Row],[item_sold]],Table1[],5,FALSE))</f>
        <v>10</v>
      </c>
      <c r="F5184" s="5">
        <f>(VLOOKUP(Table4[[#This Row],[item_sold]],Table1[],4,FALSE))*Table4[[#This Row],[qty]]</f>
        <v>7</v>
      </c>
      <c r="G5184">
        <f t="shared" si="758"/>
        <v>3</v>
      </c>
      <c r="H5184" t="s">
        <v>247</v>
      </c>
      <c r="J5184" t="s">
        <v>456</v>
      </c>
      <c r="K5184">
        <v>50</v>
      </c>
      <c r="L5184" t="s">
        <v>247</v>
      </c>
    </row>
    <row r="5185" spans="1:9" x14ac:dyDescent="0.25">
      <c r="A5185" s="1">
        <f t="shared" si="769"/>
        <v>45568</v>
      </c>
      <c r="B5185" s="31">
        <f>TIME(8,54,0)</f>
        <v>0.37083333333333335</v>
      </c>
      <c r="C5185" t="str">
        <f>'Inventory as of 12th Aug 2024'!A57</f>
        <v>Sportsman</v>
      </c>
      <c r="D5185">
        <v>1</v>
      </c>
      <c r="E5185" s="5">
        <f>Table4[[#This Row],[qty]]*(VLOOKUP(Table4[[#This Row],[item_sold]],Table1[],5,FALSE))</f>
        <v>20</v>
      </c>
      <c r="F5185" s="5">
        <f>(VLOOKUP(Table4[[#This Row],[item_sold]],Table1[],4,FALSE))*Table4[[#This Row],[qty]]</f>
        <v>13</v>
      </c>
      <c r="G5185">
        <f t="shared" si="758"/>
        <v>7</v>
      </c>
      <c r="H5185" t="s">
        <v>247</v>
      </c>
    </row>
    <row r="5186" spans="1:9" x14ac:dyDescent="0.25">
      <c r="A5186" s="1">
        <f t="shared" si="769"/>
        <v>45568</v>
      </c>
      <c r="B5186" s="31">
        <f>TIME(8,57,0)</f>
        <v>0.37291666666666662</v>
      </c>
      <c r="C5186" t="str">
        <f>'Inventory as of 12th Aug 2024'!A5</f>
        <v>Airtel 20 Credit</v>
      </c>
      <c r="D5186">
        <v>1</v>
      </c>
      <c r="E5186" s="5">
        <f>Table4[[#This Row],[qty]]*(VLOOKUP(Table4[[#This Row],[item_sold]],Table1[],5,FALSE))</f>
        <v>20</v>
      </c>
      <c r="F5186" s="5">
        <f>(VLOOKUP(Table4[[#This Row],[item_sold]],Table1[],4,FALSE))*Table4[[#This Row],[qty]]</f>
        <v>18</v>
      </c>
      <c r="G5186">
        <f t="shared" si="758"/>
        <v>2</v>
      </c>
      <c r="H5186" t="s">
        <v>247</v>
      </c>
    </row>
    <row r="5187" spans="1:9" x14ac:dyDescent="0.25">
      <c r="A5187" s="1">
        <f t="shared" si="769"/>
        <v>45568</v>
      </c>
      <c r="B5187" s="31">
        <f t="shared" ref="B5187" si="770">TIME(8,57,0)</f>
        <v>0.37291666666666662</v>
      </c>
      <c r="C5187" t="str">
        <f>'Inventory as of 12th Aug 2024'!A35</f>
        <v>Festive 600g</v>
      </c>
      <c r="D5187">
        <v>1</v>
      </c>
      <c r="E5187" s="5">
        <f>Table4[[#This Row],[qty]]*(VLOOKUP(Table4[[#This Row],[item_sold]],Table1[],5,FALSE))</f>
        <v>100</v>
      </c>
      <c r="F5187" s="5">
        <f>(VLOOKUP(Table4[[#This Row],[item_sold]],Table1[],4,FALSE))*Table4[[#This Row],[qty]]</f>
        <v>90</v>
      </c>
      <c r="G5187">
        <f t="shared" si="758"/>
        <v>10</v>
      </c>
      <c r="H5187" t="s">
        <v>430</v>
      </c>
      <c r="I5187" t="s">
        <v>443</v>
      </c>
    </row>
    <row r="5188" spans="1:9" x14ac:dyDescent="0.25">
      <c r="A5188" s="1">
        <f t="shared" si="769"/>
        <v>45568</v>
      </c>
      <c r="B5188" s="31">
        <f>TIME(9,47,0)</f>
        <v>0.40763888888888888</v>
      </c>
      <c r="C5188" t="str">
        <f>'Inventory as of 12th Aug 2024'!A58</f>
        <v>Safari</v>
      </c>
      <c r="D5188">
        <v>1</v>
      </c>
      <c r="E5188" s="5">
        <f>Table4[[#This Row],[qty]]*(VLOOKUP(Table4[[#This Row],[item_sold]],Table1[],5,FALSE))</f>
        <v>15</v>
      </c>
      <c r="F5188" s="5">
        <f>(VLOOKUP(Table4[[#This Row],[item_sold]],Table1[],4,FALSE))*Table4[[#This Row],[qty]]</f>
        <v>8.5</v>
      </c>
      <c r="G5188">
        <f t="shared" si="758"/>
        <v>6.5</v>
      </c>
      <c r="H5188" t="s">
        <v>361</v>
      </c>
    </row>
    <row r="5189" spans="1:9" x14ac:dyDescent="0.25">
      <c r="A5189" s="1">
        <f t="shared" si="769"/>
        <v>45568</v>
      </c>
      <c r="B5189" s="31">
        <f t="shared" ref="B5189:B5190" si="771">TIME(9,47,0)</f>
        <v>0.40763888888888888</v>
      </c>
      <c r="C5189" t="str">
        <f>'Inventory as of 12th Aug 2024'!A5</f>
        <v>Airtel 20 Credit</v>
      </c>
      <c r="D5189">
        <v>2</v>
      </c>
      <c r="E5189" s="5">
        <f>Table4[[#This Row],[qty]]*(VLOOKUP(Table4[[#This Row],[item_sold]],Table1[],5,FALSE))</f>
        <v>40</v>
      </c>
      <c r="F5189" s="5">
        <f>(VLOOKUP(Table4[[#This Row],[item_sold]],Table1[],4,FALSE))*Table4[[#This Row],[qty]]</f>
        <v>36</v>
      </c>
      <c r="G5189">
        <f t="shared" si="758"/>
        <v>4</v>
      </c>
      <c r="H5189" t="s">
        <v>361</v>
      </c>
    </row>
    <row r="5190" spans="1:9" x14ac:dyDescent="0.25">
      <c r="A5190" s="1">
        <f t="shared" si="769"/>
        <v>45568</v>
      </c>
      <c r="B5190" s="31">
        <f t="shared" si="771"/>
        <v>0.40763888888888888</v>
      </c>
      <c r="C5190" t="str">
        <f>'Inventory as of 12th Aug 2024'!A7</f>
        <v>Airtel 50 Credit</v>
      </c>
      <c r="D5190">
        <v>1</v>
      </c>
      <c r="E5190" s="5">
        <f>Table4[[#This Row],[qty]]*(VLOOKUP(Table4[[#This Row],[item_sold]],Table1[],5,FALSE))</f>
        <v>50</v>
      </c>
      <c r="F5190" s="5">
        <f>(VLOOKUP(Table4[[#This Row],[item_sold]],Table1[],4,FALSE))*Table4[[#This Row],[qty]]</f>
        <v>47</v>
      </c>
      <c r="G5190">
        <f t="shared" si="758"/>
        <v>3</v>
      </c>
      <c r="H5190" t="s">
        <v>430</v>
      </c>
      <c r="I5190" t="s">
        <v>590</v>
      </c>
    </row>
    <row r="5191" spans="1:9" x14ac:dyDescent="0.25">
      <c r="A5191" s="1">
        <f t="shared" si="769"/>
        <v>45568</v>
      </c>
      <c r="B5191" s="31">
        <f>TIME(10,10,0)</f>
        <v>0.4236111111111111</v>
      </c>
      <c r="C5191" t="str">
        <f>'Inventory as of 12th Aug 2024'!A86</f>
        <v>Downy sunrise fresh</v>
      </c>
      <c r="D5191">
        <v>2</v>
      </c>
      <c r="E5191" s="5">
        <f>Table4[[#This Row],[qty]]*(VLOOKUP(Table4[[#This Row],[item_sold]],Table1[],5,FALSE))</f>
        <v>40</v>
      </c>
      <c r="F5191" s="5">
        <f>(VLOOKUP(Table4[[#This Row],[item_sold]],Table1[],4,FALSE))*Table4[[#This Row],[qty]]</f>
        <v>34.666666666666664</v>
      </c>
      <c r="G5191">
        <f t="shared" si="758"/>
        <v>5.3333333333333357</v>
      </c>
      <c r="H5191" t="s">
        <v>361</v>
      </c>
    </row>
    <row r="5192" spans="1:9" x14ac:dyDescent="0.25">
      <c r="A5192" s="1">
        <f t="shared" si="769"/>
        <v>45568</v>
      </c>
      <c r="B5192" s="31">
        <f>TIME(10,11,0)</f>
        <v>0.42430555555555555</v>
      </c>
      <c r="C5192" t="str">
        <f>'Inventory as of 12th Aug 2024'!A127</f>
        <v>tumbocide</v>
      </c>
      <c r="D5192">
        <v>1</v>
      </c>
      <c r="E5192" s="5">
        <f>Table4[[#This Row],[qty]]*(VLOOKUP(Table4[[#This Row],[item_sold]],Table1[],5,FALSE))</f>
        <v>10</v>
      </c>
      <c r="F5192" s="5">
        <f>(VLOOKUP(Table4[[#This Row],[item_sold]],Table1[],4,FALSE))*Table4[[#This Row],[qty]]</f>
        <v>7</v>
      </c>
      <c r="G5192">
        <f t="shared" si="758"/>
        <v>3</v>
      </c>
      <c r="H5192" t="s">
        <v>430</v>
      </c>
      <c r="I5192" t="s">
        <v>450</v>
      </c>
    </row>
    <row r="5193" spans="1:9" x14ac:dyDescent="0.25">
      <c r="A5193" s="1">
        <f t="shared" si="769"/>
        <v>45568</v>
      </c>
      <c r="B5193" s="31">
        <f>TIME(10,46,0)</f>
        <v>0.44861111111111113</v>
      </c>
      <c r="C5193" t="str">
        <f>'Inventory as of 12th Aug 2024'!A87</f>
        <v>Menengai Bar 1kg</v>
      </c>
      <c r="D5193">
        <v>0.4</v>
      </c>
      <c r="E5193" s="5">
        <f>Table4[[#This Row],[qty]]*(VLOOKUP(Table4[[#This Row],[item_sold]],Table1[],5,FALSE))</f>
        <v>100</v>
      </c>
      <c r="F5193" s="5">
        <f>(VLOOKUP(Table4[[#This Row],[item_sold]],Table1[],4,FALSE))*Table4[[#This Row],[qty]]</f>
        <v>76</v>
      </c>
      <c r="G5193">
        <f t="shared" si="758"/>
        <v>24</v>
      </c>
      <c r="H5193" t="s">
        <v>247</v>
      </c>
    </row>
    <row r="5194" spans="1:9" x14ac:dyDescent="0.25">
      <c r="A5194" s="1">
        <f t="shared" si="769"/>
        <v>45568</v>
      </c>
      <c r="B5194" s="31">
        <f>TIME(11,23,0)</f>
        <v>0.47430555555555554</v>
      </c>
      <c r="C5194" t="str">
        <f>'Inventory as of 12th Aug 2024'!A178</f>
        <v>Ringoz Paprika</v>
      </c>
      <c r="D5194">
        <v>2</v>
      </c>
      <c r="E5194" s="5">
        <f>Table4[[#This Row],[qty]]*(VLOOKUP(Table4[[#This Row],[item_sold]],Table1[],5,FALSE))</f>
        <v>30</v>
      </c>
      <c r="F5194" s="5">
        <f>(VLOOKUP(Table4[[#This Row],[item_sold]],Table1[],4,FALSE))*Table4[[#This Row],[qty]]</f>
        <v>17.600000000000001</v>
      </c>
      <c r="G5194">
        <f t="shared" si="758"/>
        <v>12.399999999999999</v>
      </c>
      <c r="H5194" t="s">
        <v>247</v>
      </c>
    </row>
    <row r="5195" spans="1:9" x14ac:dyDescent="0.25">
      <c r="A5195" s="1">
        <f t="shared" si="769"/>
        <v>45568</v>
      </c>
      <c r="B5195" s="31">
        <f t="shared" ref="B5195:B5197" si="772">TIME(11,23,0)</f>
        <v>0.47430555555555554</v>
      </c>
      <c r="C5195" t="str">
        <f>'Inventory as of 12th Aug 2024'!A238</f>
        <v>Tropical</v>
      </c>
      <c r="D5195">
        <v>2</v>
      </c>
      <c r="E5195" s="5">
        <f>Table4[[#This Row],[qty]]*(VLOOKUP(Table4[[#This Row],[item_sold]],Table1[],5,FALSE))</f>
        <v>10</v>
      </c>
      <c r="F5195" s="5">
        <f>(VLOOKUP(Table4[[#This Row],[item_sold]],Table1[],4,FALSE))*Table4[[#This Row],[qty]]</f>
        <v>3</v>
      </c>
      <c r="G5195">
        <f t="shared" si="758"/>
        <v>7</v>
      </c>
      <c r="H5195" t="s">
        <v>247</v>
      </c>
    </row>
    <row r="5196" spans="1:9" x14ac:dyDescent="0.25">
      <c r="A5196" s="1">
        <f t="shared" si="769"/>
        <v>45568</v>
      </c>
      <c r="B5196" s="31">
        <f t="shared" si="772"/>
        <v>0.47430555555555554</v>
      </c>
      <c r="C5196" t="str">
        <f>'Inventory as of 12th Aug 2024'!A180</f>
        <v>Tamu  Tamu Green</v>
      </c>
      <c r="D5196">
        <v>1</v>
      </c>
      <c r="E5196" s="5">
        <f>Table4[[#This Row],[qty]]*(VLOOKUP(Table4[[#This Row],[item_sold]],Table1[],5,FALSE))</f>
        <v>15</v>
      </c>
      <c r="F5196" s="5">
        <f>(VLOOKUP(Table4[[#This Row],[item_sold]],Table1[],4,FALSE))*Table4[[#This Row],[qty]]</f>
        <v>8.6</v>
      </c>
      <c r="G5196">
        <f t="shared" si="758"/>
        <v>6.4</v>
      </c>
      <c r="H5196" t="s">
        <v>247</v>
      </c>
    </row>
    <row r="5197" spans="1:9" x14ac:dyDescent="0.25">
      <c r="A5197" s="1">
        <f t="shared" si="769"/>
        <v>45568</v>
      </c>
      <c r="B5197" s="31">
        <f t="shared" si="772"/>
        <v>0.47430555555555554</v>
      </c>
      <c r="C5197" t="str">
        <f>'Inventory as of 12th Aug 2024'!A193</f>
        <v>Ginger Bisquit</v>
      </c>
      <c r="D5197">
        <v>2</v>
      </c>
      <c r="E5197" s="5">
        <f>Table4[[#This Row],[qty]]*(VLOOKUP(Table4[[#This Row],[item_sold]],Table1[],5,FALSE))</f>
        <v>10</v>
      </c>
      <c r="F5197" s="5">
        <f>(VLOOKUP(Table4[[#This Row],[item_sold]],Table1[],4,FALSE))*Table4[[#This Row],[qty]]</f>
        <v>8.6666666666666661</v>
      </c>
      <c r="G5197">
        <f t="shared" si="758"/>
        <v>1.3333333333333339</v>
      </c>
      <c r="H5197" t="s">
        <v>247</v>
      </c>
    </row>
    <row r="5198" spans="1:9" x14ac:dyDescent="0.25">
      <c r="A5198" s="1">
        <f t="shared" si="769"/>
        <v>45568</v>
      </c>
      <c r="B5198" s="31">
        <f>TIME(12,12,0)</f>
        <v>0.5083333333333333</v>
      </c>
      <c r="C5198" t="str">
        <f>'Inventory as of 12th Aug 2024'!A138</f>
        <v>Softcare pads</v>
      </c>
      <c r="D5198">
        <v>1</v>
      </c>
      <c r="E5198" s="5">
        <f>Table4[[#This Row],[qty]]*(VLOOKUP(Table4[[#This Row],[item_sold]],Table1[],5,FALSE))</f>
        <v>85</v>
      </c>
      <c r="F5198" s="5">
        <f>(VLOOKUP(Table4[[#This Row],[item_sold]],Table1[],4,FALSE))*Table4[[#This Row],[qty]]</f>
        <v>66</v>
      </c>
      <c r="G5198">
        <f t="shared" si="758"/>
        <v>19</v>
      </c>
      <c r="H5198" t="s">
        <v>247</v>
      </c>
    </row>
    <row r="5199" spans="1:9" x14ac:dyDescent="0.25">
      <c r="A5199" s="1">
        <f t="shared" si="769"/>
        <v>45568</v>
      </c>
      <c r="B5199" s="31">
        <f>TIME(12,47,0)</f>
        <v>0.53263888888888888</v>
      </c>
      <c r="C5199" t="str">
        <f>'Inventory as of 12th Aug 2024'!A58</f>
        <v>Safari</v>
      </c>
      <c r="D5199">
        <v>1</v>
      </c>
      <c r="E5199" s="5">
        <f>Table4[[#This Row],[qty]]*(VLOOKUP(Table4[[#This Row],[item_sold]],Table1[],5,FALSE))</f>
        <v>15</v>
      </c>
      <c r="F5199" s="5">
        <f>(VLOOKUP(Table4[[#This Row],[item_sold]],Table1[],4,FALSE))*Table4[[#This Row],[qty]]</f>
        <v>8.5</v>
      </c>
      <c r="G5199">
        <f t="shared" si="758"/>
        <v>6.5</v>
      </c>
      <c r="H5199" t="s">
        <v>361</v>
      </c>
    </row>
    <row r="5200" spans="1:9" x14ac:dyDescent="0.25">
      <c r="A5200" s="1">
        <f t="shared" si="769"/>
        <v>45568</v>
      </c>
      <c r="B5200" s="31">
        <f>TIME(12,51,0)</f>
        <v>0.53541666666666665</v>
      </c>
      <c r="C5200" t="str">
        <f>'Inventory as of 12th Aug 2024'!A35</f>
        <v>Festive 600g</v>
      </c>
      <c r="D5200">
        <v>1</v>
      </c>
      <c r="E5200" s="5">
        <f>Table4[[#This Row],[qty]]*(VLOOKUP(Table4[[#This Row],[item_sold]],Table1[],5,FALSE))</f>
        <v>100</v>
      </c>
      <c r="F5200" s="5">
        <f>(VLOOKUP(Table4[[#This Row],[item_sold]],Table1[],4,FALSE))*Table4[[#This Row],[qty]]</f>
        <v>90</v>
      </c>
      <c r="G5200">
        <f t="shared" si="758"/>
        <v>10</v>
      </c>
      <c r="H5200" t="s">
        <v>361</v>
      </c>
    </row>
    <row r="5201" spans="1:9" x14ac:dyDescent="0.25">
      <c r="A5201" s="1">
        <f t="shared" si="769"/>
        <v>45568</v>
      </c>
      <c r="B5201" s="31">
        <f>TIME(13,2,0)</f>
        <v>0.54305555555555551</v>
      </c>
      <c r="C5201" t="str">
        <f>'Inventory as of 12th Aug 2024'!A49</f>
        <v>Ndengu</v>
      </c>
      <c r="D5201">
        <v>1</v>
      </c>
      <c r="E5201" s="5">
        <f>Table4[[#This Row],[qty]]*(VLOOKUP(Table4[[#This Row],[item_sold]],Table1[],5,FALSE))</f>
        <v>160</v>
      </c>
      <c r="F5201" s="5">
        <f>(VLOOKUP(Table4[[#This Row],[item_sold]],Table1[],4,FALSE))*Table4[[#This Row],[qty]]</f>
        <v>120</v>
      </c>
      <c r="G5201">
        <f t="shared" si="758"/>
        <v>40</v>
      </c>
      <c r="H5201" t="s">
        <v>361</v>
      </c>
    </row>
    <row r="5202" spans="1:9" x14ac:dyDescent="0.25">
      <c r="A5202" s="1">
        <f t="shared" si="769"/>
        <v>45568</v>
      </c>
      <c r="B5202" s="31">
        <f t="shared" ref="B5202:B5204" si="773">TIME(13,2,0)</f>
        <v>0.54305555555555551</v>
      </c>
      <c r="C5202" t="str">
        <f>'Inventory as of 12th Aug 2024'!A74</f>
        <v>Freshfry</v>
      </c>
      <c r="D5202">
        <v>1</v>
      </c>
      <c r="E5202" s="5">
        <f>Table4[[#This Row],[qty]]*(VLOOKUP(Table4[[#This Row],[item_sold]],Table1[],5,FALSE))</f>
        <v>350</v>
      </c>
      <c r="F5202" s="5">
        <f>(VLOOKUP(Table4[[#This Row],[item_sold]],Table1[],4,FALSE))*Table4[[#This Row],[qty]]</f>
        <v>290</v>
      </c>
      <c r="G5202">
        <f t="shared" si="758"/>
        <v>60</v>
      </c>
      <c r="H5202" t="s">
        <v>361</v>
      </c>
    </row>
    <row r="5203" spans="1:9" x14ac:dyDescent="0.25">
      <c r="A5203" s="1">
        <f t="shared" si="769"/>
        <v>45568</v>
      </c>
      <c r="B5203" s="31">
        <f t="shared" si="773"/>
        <v>0.54305555555555551</v>
      </c>
      <c r="C5203" t="str">
        <f>'Inventory as of 12th Aug 2024'!A17</f>
        <v>Brookside milk 500ml</v>
      </c>
      <c r="D5203">
        <v>1</v>
      </c>
      <c r="E5203" s="5">
        <f>Table4[[#This Row],[qty]]*(VLOOKUP(Table4[[#This Row],[item_sold]],Table1[],5,FALSE))</f>
        <v>70</v>
      </c>
      <c r="F5203" s="5">
        <f>(VLOOKUP(Table4[[#This Row],[item_sold]],Table1[],4,FALSE))*Table4[[#This Row],[qty]]</f>
        <v>59</v>
      </c>
      <c r="G5203">
        <f t="shared" si="758"/>
        <v>11</v>
      </c>
      <c r="H5203" t="s">
        <v>361</v>
      </c>
    </row>
    <row r="5204" spans="1:9" x14ac:dyDescent="0.25">
      <c r="A5204" s="1">
        <f t="shared" si="769"/>
        <v>45568</v>
      </c>
      <c r="B5204" s="31">
        <f t="shared" si="773"/>
        <v>0.54305555555555551</v>
      </c>
      <c r="C5204" t="str">
        <f>'Inventory as of 12th Aug 2024'!A91</f>
        <v>Tomatoes</v>
      </c>
      <c r="D5204">
        <v>5</v>
      </c>
      <c r="E5204" s="5">
        <f>Table4[[#This Row],[qty]]*(VLOOKUP(Table4[[#This Row],[item_sold]],Table1[],5,FALSE))</f>
        <v>50</v>
      </c>
      <c r="F5204" s="5">
        <f>(VLOOKUP(Table4[[#This Row],[item_sold]],Table1[],4,FALSE))*Table4[[#This Row],[qty]]</f>
        <v>25</v>
      </c>
      <c r="G5204">
        <f t="shared" ref="G5204:G5267" si="774">E5204-F5204</f>
        <v>25</v>
      </c>
      <c r="H5204" t="s">
        <v>361</v>
      </c>
    </row>
    <row r="5205" spans="1:9" x14ac:dyDescent="0.25">
      <c r="A5205" s="1">
        <f t="shared" si="769"/>
        <v>45568</v>
      </c>
      <c r="B5205" s="31">
        <f>TIME(13,16,0)</f>
        <v>0.55277777777777781</v>
      </c>
      <c r="C5205" t="str">
        <f>'Inventory as of 12th Aug 2024'!A212</f>
        <v>soda 300ml glass</v>
      </c>
      <c r="D5205">
        <v>1</v>
      </c>
      <c r="E5205" s="5">
        <f>Table4[[#This Row],[qty]]*(VLOOKUP(Table4[[#This Row],[item_sold]],Table1[],5,FALSE))</f>
        <v>40</v>
      </c>
      <c r="F5205" s="5">
        <f>(VLOOKUP(Table4[[#This Row],[item_sold]],Table1[],4,FALSE))*Table4[[#This Row],[qty]]</f>
        <v>32.5</v>
      </c>
      <c r="G5205">
        <f t="shared" si="774"/>
        <v>7.5</v>
      </c>
      <c r="H5205" t="s">
        <v>247</v>
      </c>
    </row>
    <row r="5206" spans="1:9" x14ac:dyDescent="0.25">
      <c r="A5206" s="1">
        <f t="shared" si="769"/>
        <v>45568</v>
      </c>
      <c r="B5206" s="31">
        <f>TIME(13,44,0)</f>
        <v>0.57222222222222219</v>
      </c>
      <c r="C5206" t="str">
        <f>'Inventory as of 12th Aug 2024'!A120</f>
        <v>Maramoja</v>
      </c>
      <c r="D5206">
        <v>1</v>
      </c>
      <c r="E5206" s="5">
        <f>Table4[[#This Row],[qty]]*(VLOOKUP(Table4[[#This Row],[item_sold]],Table1[],5,FALSE))</f>
        <v>10</v>
      </c>
      <c r="F5206" s="5">
        <f>(VLOOKUP(Table4[[#This Row],[item_sold]],Table1[],4,FALSE))*Table4[[#This Row],[qty]]</f>
        <v>7</v>
      </c>
      <c r="G5206">
        <f t="shared" si="774"/>
        <v>3</v>
      </c>
      <c r="H5206" t="s">
        <v>361</v>
      </c>
    </row>
    <row r="5207" spans="1:9" x14ac:dyDescent="0.25">
      <c r="A5207" s="1">
        <f t="shared" si="769"/>
        <v>45568</v>
      </c>
      <c r="B5207" s="31">
        <f t="shared" ref="B5207:B5208" si="775">TIME(13,44,0)</f>
        <v>0.57222222222222219</v>
      </c>
      <c r="C5207" t="str">
        <f>'Inventory as of 12th Aug 2024'!A92</f>
        <v>Banana</v>
      </c>
      <c r="D5207">
        <v>2</v>
      </c>
      <c r="E5207" s="5">
        <f>Table4[[#This Row],[qty]]*(VLOOKUP(Table4[[#This Row],[item_sold]],Table1[],5,FALSE))</f>
        <v>20</v>
      </c>
      <c r="F5207" s="5">
        <f>(VLOOKUP(Table4[[#This Row],[item_sold]],Table1[],4,FALSE))*Table4[[#This Row],[qty]]</f>
        <v>16.666666666666668</v>
      </c>
      <c r="G5207">
        <f t="shared" si="774"/>
        <v>3.3333333333333321</v>
      </c>
      <c r="H5207" t="s">
        <v>247</v>
      </c>
    </row>
    <row r="5208" spans="1:9" x14ac:dyDescent="0.25">
      <c r="A5208" s="1">
        <f t="shared" si="769"/>
        <v>45568</v>
      </c>
      <c r="B5208" s="31">
        <f t="shared" si="775"/>
        <v>0.57222222222222219</v>
      </c>
      <c r="C5208" t="str">
        <f>'Inventory as of 12th Aug 2024'!A58</f>
        <v>Safari</v>
      </c>
      <c r="D5208">
        <v>1</v>
      </c>
      <c r="E5208" s="5">
        <f>Table4[[#This Row],[qty]]*(VLOOKUP(Table4[[#This Row],[item_sold]],Table1[],5,FALSE))</f>
        <v>15</v>
      </c>
      <c r="F5208" s="5">
        <f>(VLOOKUP(Table4[[#This Row],[item_sold]],Table1[],4,FALSE))*Table4[[#This Row],[qty]]</f>
        <v>8.5</v>
      </c>
      <c r="G5208">
        <f t="shared" si="774"/>
        <v>6.5</v>
      </c>
      <c r="H5208" t="s">
        <v>247</v>
      </c>
    </row>
    <row r="5209" spans="1:9" x14ac:dyDescent="0.25">
      <c r="A5209" s="1">
        <f t="shared" si="769"/>
        <v>45568</v>
      </c>
      <c r="B5209" s="31">
        <f>TIME(14,3,0)</f>
        <v>0.5854166666666667</v>
      </c>
      <c r="C5209" t="str">
        <f>'Inventory as of 12th Aug 2024'!A57</f>
        <v>Sportsman</v>
      </c>
      <c r="D5209">
        <v>2</v>
      </c>
      <c r="E5209" s="5">
        <f>Table4[[#This Row],[qty]]*(VLOOKUP(Table4[[#This Row],[item_sold]],Table1[],5,FALSE))</f>
        <v>40</v>
      </c>
      <c r="F5209" s="5">
        <f>(VLOOKUP(Table4[[#This Row],[item_sold]],Table1[],4,FALSE))*Table4[[#This Row],[qty]]</f>
        <v>26</v>
      </c>
      <c r="G5209">
        <f t="shared" si="774"/>
        <v>14</v>
      </c>
      <c r="H5209" t="s">
        <v>361</v>
      </c>
    </row>
    <row r="5210" spans="1:9" x14ac:dyDescent="0.25">
      <c r="A5210" s="1">
        <f t="shared" si="769"/>
        <v>45568</v>
      </c>
      <c r="B5210" s="31">
        <f>TIME(15,5,0)</f>
        <v>0.62847222222222221</v>
      </c>
      <c r="C5210" t="str">
        <f>'Inventory as of 12th Aug 2024'!A58</f>
        <v>Safari</v>
      </c>
      <c r="D5210">
        <v>1</v>
      </c>
      <c r="E5210" s="5">
        <f>Table4[[#This Row],[qty]]*(VLOOKUP(Table4[[#This Row],[item_sold]],Table1[],5,FALSE))</f>
        <v>15</v>
      </c>
      <c r="F5210" s="5">
        <f>(VLOOKUP(Table4[[#This Row],[item_sold]],Table1[],4,FALSE))*Table4[[#This Row],[qty]]</f>
        <v>8.5</v>
      </c>
      <c r="G5210">
        <f t="shared" si="774"/>
        <v>6.5</v>
      </c>
      <c r="H5210" t="s">
        <v>361</v>
      </c>
    </row>
    <row r="5211" spans="1:9" x14ac:dyDescent="0.25">
      <c r="A5211" s="1">
        <f t="shared" si="769"/>
        <v>45568</v>
      </c>
      <c r="B5211" s="31">
        <f t="shared" ref="B5211:B5212" si="776">TIME(15,5,0)</f>
        <v>0.62847222222222221</v>
      </c>
      <c r="C5211" t="str">
        <f>'Inventory as of 12th Aug 2024'!A92</f>
        <v>Banana</v>
      </c>
      <c r="D5211">
        <v>2</v>
      </c>
      <c r="E5211" s="5">
        <f>Table4[[#This Row],[qty]]*(VLOOKUP(Table4[[#This Row],[item_sold]],Table1[],5,FALSE))</f>
        <v>20</v>
      </c>
      <c r="F5211" s="5">
        <f>(VLOOKUP(Table4[[#This Row],[item_sold]],Table1[],4,FALSE))*Table4[[#This Row],[qty]]</f>
        <v>16.666666666666668</v>
      </c>
      <c r="G5211">
        <f t="shared" si="774"/>
        <v>3.3333333333333321</v>
      </c>
      <c r="H5211" t="s">
        <v>430</v>
      </c>
      <c r="I5211" t="s">
        <v>419</v>
      </c>
    </row>
    <row r="5212" spans="1:9" x14ac:dyDescent="0.25">
      <c r="A5212" s="1">
        <f t="shared" si="769"/>
        <v>45568</v>
      </c>
      <c r="B5212" s="31">
        <f t="shared" si="776"/>
        <v>0.62847222222222221</v>
      </c>
      <c r="C5212" t="str">
        <f>'Inventory as of 12th Aug 2024'!A107</f>
        <v>Match Box</v>
      </c>
      <c r="D5212">
        <v>1</v>
      </c>
      <c r="E5212" s="5">
        <f>Table4[[#This Row],[qty]]*(VLOOKUP(Table4[[#This Row],[item_sold]],Table1[],5,FALSE))</f>
        <v>5</v>
      </c>
      <c r="F5212" s="5">
        <f>(VLOOKUP(Table4[[#This Row],[item_sold]],Table1[],4,FALSE))*Table4[[#This Row],[qty]]</f>
        <v>2.3611111111111112</v>
      </c>
      <c r="G5212">
        <f t="shared" si="774"/>
        <v>2.6388888888888888</v>
      </c>
      <c r="H5212" t="s">
        <v>430</v>
      </c>
      <c r="I5212" t="s">
        <v>456</v>
      </c>
    </row>
    <row r="5213" spans="1:9" x14ac:dyDescent="0.25">
      <c r="A5213" s="1">
        <f t="shared" si="769"/>
        <v>45568</v>
      </c>
      <c r="B5213" s="31">
        <f>TIME(15,41,0)</f>
        <v>0.65347222222222223</v>
      </c>
      <c r="C5213" t="str">
        <f>'Inventory as of 12th Aug 2024'!A58</f>
        <v>Safari</v>
      </c>
      <c r="D5213">
        <v>2</v>
      </c>
      <c r="E5213" s="5">
        <f>Table4[[#This Row],[qty]]*(VLOOKUP(Table4[[#This Row],[item_sold]],Table1[],5,FALSE))</f>
        <v>30</v>
      </c>
      <c r="F5213" s="5">
        <f>(VLOOKUP(Table4[[#This Row],[item_sold]],Table1[],4,FALSE))*Table4[[#This Row],[qty]]</f>
        <v>17</v>
      </c>
      <c r="G5213">
        <f t="shared" si="774"/>
        <v>13</v>
      </c>
      <c r="H5213" t="s">
        <v>247</v>
      </c>
    </row>
    <row r="5214" spans="1:9" x14ac:dyDescent="0.25">
      <c r="A5214" s="1">
        <f t="shared" si="769"/>
        <v>45568</v>
      </c>
      <c r="B5214" s="31">
        <f t="shared" ref="B5214" si="777">TIME(15,41,0)</f>
        <v>0.65347222222222223</v>
      </c>
      <c r="C5214" t="str">
        <f>'Inventory as of 12th Aug 2024'!A106</f>
        <v>Steel Wool 15g</v>
      </c>
      <c r="D5214">
        <v>2</v>
      </c>
      <c r="E5214" s="5">
        <f>Table4[[#This Row],[qty]]*(VLOOKUP(Table4[[#This Row],[item_sold]],Table1[],5,FALSE))</f>
        <v>20</v>
      </c>
      <c r="F5214" s="5">
        <f>(VLOOKUP(Table4[[#This Row],[item_sold]],Table1[],4,FALSE))*Table4[[#This Row],[qty]]</f>
        <v>10.466666666666667</v>
      </c>
      <c r="G5214">
        <f t="shared" si="774"/>
        <v>9.5333333333333332</v>
      </c>
      <c r="H5214" t="s">
        <v>430</v>
      </c>
      <c r="I5214" t="s">
        <v>392</v>
      </c>
    </row>
    <row r="5215" spans="1:9" x14ac:dyDescent="0.25">
      <c r="A5215" s="1">
        <f t="shared" si="769"/>
        <v>45568</v>
      </c>
      <c r="B5215" s="31">
        <f>TIME(16,3,0)</f>
        <v>0.66875000000000007</v>
      </c>
      <c r="C5215" t="str">
        <f>'Inventory as of 12th Aug 2024'!A16</f>
        <v>Mt kenya milk 500ml</v>
      </c>
      <c r="D5215">
        <v>1</v>
      </c>
      <c r="E5215" s="5">
        <f>Table4[[#This Row],[qty]]*(VLOOKUP(Table4[[#This Row],[item_sold]],Table1[],5,FALSE))</f>
        <v>65</v>
      </c>
      <c r="F5215" s="5">
        <f>(VLOOKUP(Table4[[#This Row],[item_sold]],Table1[],4,FALSE))*Table4[[#This Row],[qty]]</f>
        <v>48.333333333333336</v>
      </c>
      <c r="G5215">
        <f t="shared" si="774"/>
        <v>16.666666666666664</v>
      </c>
      <c r="H5215" t="s">
        <v>247</v>
      </c>
    </row>
    <row r="5216" spans="1:9" x14ac:dyDescent="0.25">
      <c r="A5216" s="1">
        <f t="shared" si="769"/>
        <v>45568</v>
      </c>
      <c r="B5216" s="31">
        <f>TIME(16,41,0)</f>
        <v>0.69513888888888886</v>
      </c>
      <c r="C5216" t="str">
        <f>'Inventory as of 12th Aug 2024'!A243</f>
        <v>Ballon</v>
      </c>
      <c r="D5216">
        <v>1</v>
      </c>
      <c r="E5216" s="5">
        <f>Table4[[#This Row],[qty]]*(VLOOKUP(Table4[[#This Row],[item_sold]],Table1[],5,FALSE))</f>
        <v>10</v>
      </c>
      <c r="F5216" s="5">
        <f>(VLOOKUP(Table4[[#This Row],[item_sold]],Table1[],4,FALSE))*Table4[[#This Row],[qty]]</f>
        <v>7.5</v>
      </c>
      <c r="G5216">
        <f t="shared" si="774"/>
        <v>2.5</v>
      </c>
      <c r="H5216" t="s">
        <v>361</v>
      </c>
    </row>
    <row r="5217" spans="1:12" x14ac:dyDescent="0.25">
      <c r="A5217" s="1">
        <f t="shared" si="769"/>
        <v>45568</v>
      </c>
      <c r="B5217" s="31">
        <f>TIME(16,45,0)</f>
        <v>0.69791666666666663</v>
      </c>
      <c r="C5217" t="str">
        <f>'Inventory as of 12th Aug 2024'!A58</f>
        <v>Safari</v>
      </c>
      <c r="D5217">
        <v>1</v>
      </c>
      <c r="E5217" s="5">
        <f>Table4[[#This Row],[qty]]*(VLOOKUP(Table4[[#This Row],[item_sold]],Table1[],5,FALSE))</f>
        <v>15</v>
      </c>
      <c r="F5217" s="5">
        <f>(VLOOKUP(Table4[[#This Row],[item_sold]],Table1[],4,FALSE))*Table4[[#This Row],[qty]]</f>
        <v>8.5</v>
      </c>
      <c r="G5217">
        <f t="shared" si="774"/>
        <v>6.5</v>
      </c>
      <c r="H5217" t="s">
        <v>361</v>
      </c>
    </row>
    <row r="5218" spans="1:12" x14ac:dyDescent="0.25">
      <c r="A5218" s="1">
        <f t="shared" si="769"/>
        <v>45568</v>
      </c>
      <c r="B5218" s="31">
        <f t="shared" ref="B5218" si="778">TIME(16,45,0)</f>
        <v>0.69791666666666663</v>
      </c>
      <c r="C5218" t="str">
        <f>'Inventory as of 12th Aug 2024'!A33</f>
        <v>BB Bread 400g</v>
      </c>
      <c r="D5218">
        <v>2</v>
      </c>
      <c r="E5218" s="5">
        <f>Table4[[#This Row],[qty]]*(VLOOKUP(Table4[[#This Row],[item_sold]],Table1[],5,FALSE))</f>
        <v>130</v>
      </c>
      <c r="F5218" s="5">
        <f>(VLOOKUP(Table4[[#This Row],[item_sold]],Table1[],4,FALSE))*Table4[[#This Row],[qty]]</f>
        <v>120</v>
      </c>
      <c r="G5218">
        <f t="shared" si="774"/>
        <v>10</v>
      </c>
      <c r="H5218" t="s">
        <v>247</v>
      </c>
    </row>
    <row r="5219" spans="1:12" x14ac:dyDescent="0.25">
      <c r="A5219" s="1">
        <f t="shared" si="769"/>
        <v>45568</v>
      </c>
      <c r="B5219" s="31">
        <f>TIME(16,41,0)</f>
        <v>0.69513888888888886</v>
      </c>
      <c r="C5219" t="str">
        <f>'Inventory as of 12th Aug 2024'!A214</f>
        <v>smash juice</v>
      </c>
      <c r="D5219">
        <v>1</v>
      </c>
      <c r="E5219" s="5">
        <f>Table4[[#This Row],[qty]]*(VLOOKUP(Table4[[#This Row],[item_sold]],Table1[],5,FALSE))</f>
        <v>20</v>
      </c>
      <c r="F5219" s="5">
        <f>(VLOOKUP(Table4[[#This Row],[item_sold]],Table1[],4,FALSE))*Table4[[#This Row],[qty]]</f>
        <v>15</v>
      </c>
      <c r="G5219">
        <f t="shared" si="774"/>
        <v>5</v>
      </c>
      <c r="H5219" t="s">
        <v>361</v>
      </c>
    </row>
    <row r="5220" spans="1:12" x14ac:dyDescent="0.25">
      <c r="A5220" s="1">
        <f t="shared" si="769"/>
        <v>45568</v>
      </c>
      <c r="B5220" s="31">
        <f t="shared" ref="B5220:B5223" si="779">TIME(16,41,0)</f>
        <v>0.69513888888888886</v>
      </c>
      <c r="C5220" t="str">
        <f>'Inventory as of 12th Aug 2024'!A37</f>
        <v>Festive Bread 400g</v>
      </c>
      <c r="D5220">
        <v>1</v>
      </c>
      <c r="E5220" s="5">
        <f>Table4[[#This Row],[qty]]*(VLOOKUP(Table4[[#This Row],[item_sold]],Table1[],5,FALSE))</f>
        <v>65</v>
      </c>
      <c r="F5220" s="5">
        <f>(VLOOKUP(Table4[[#This Row],[item_sold]],Table1[],4,FALSE))*Table4[[#This Row],[qty]]</f>
        <v>60</v>
      </c>
      <c r="G5220">
        <f t="shared" si="774"/>
        <v>5</v>
      </c>
      <c r="H5220" t="s">
        <v>361</v>
      </c>
    </row>
    <row r="5221" spans="1:12" x14ac:dyDescent="0.25">
      <c r="A5221" s="1">
        <f t="shared" si="769"/>
        <v>45568</v>
      </c>
      <c r="B5221" s="31">
        <f t="shared" si="779"/>
        <v>0.69513888888888886</v>
      </c>
      <c r="C5221" t="str">
        <f>'Inventory as of 12th Aug 2024'!A8</f>
        <v>eggs</v>
      </c>
      <c r="D5221">
        <v>2</v>
      </c>
      <c r="E5221" s="5">
        <f>Table4[[#This Row],[qty]]*(VLOOKUP(Table4[[#This Row],[item_sold]],Table1[],5,FALSE))</f>
        <v>40</v>
      </c>
      <c r="F5221" s="5">
        <f>(VLOOKUP(Table4[[#This Row],[item_sold]],Table1[],4,FALSE))*Table4[[#This Row],[qty]]</f>
        <v>28.666666666666668</v>
      </c>
      <c r="G5221">
        <f t="shared" si="774"/>
        <v>11.333333333333332</v>
      </c>
      <c r="H5221" t="s">
        <v>361</v>
      </c>
    </row>
    <row r="5222" spans="1:12" x14ac:dyDescent="0.25">
      <c r="A5222" s="1">
        <f t="shared" si="769"/>
        <v>45568</v>
      </c>
      <c r="B5222" s="31">
        <f t="shared" si="779"/>
        <v>0.69513888888888886</v>
      </c>
      <c r="C5222" t="str">
        <f>'Inventory as of 12th Aug 2024'!A68</f>
        <v>Royco cubes</v>
      </c>
      <c r="D5222">
        <v>2</v>
      </c>
      <c r="E5222" s="5">
        <f>Table4[[#This Row],[qty]]*(VLOOKUP(Table4[[#This Row],[item_sold]],Table1[],5,FALSE))</f>
        <v>10</v>
      </c>
      <c r="F5222" s="5">
        <f>(VLOOKUP(Table4[[#This Row],[item_sold]],Table1[],4,FALSE))*Table4[[#This Row],[qty]]</f>
        <v>6</v>
      </c>
      <c r="G5222">
        <f t="shared" si="774"/>
        <v>4</v>
      </c>
      <c r="H5222" t="s">
        <v>361</v>
      </c>
    </row>
    <row r="5223" spans="1:12" x14ac:dyDescent="0.25">
      <c r="A5223" s="1">
        <f t="shared" si="769"/>
        <v>45568</v>
      </c>
      <c r="B5223" s="31">
        <f t="shared" si="779"/>
        <v>0.69513888888888886</v>
      </c>
      <c r="C5223" t="str">
        <f>'Inventory as of 12th Aug 2024'!A68</f>
        <v>Royco cubes</v>
      </c>
      <c r="D5223">
        <v>2</v>
      </c>
      <c r="E5223" s="5">
        <f>Table4[[#This Row],[qty]]*(VLOOKUP(Table4[[#This Row],[item_sold]],Table1[],5,FALSE))</f>
        <v>10</v>
      </c>
      <c r="F5223" s="5">
        <f>(VLOOKUP(Table4[[#This Row],[item_sold]],Table1[],4,FALSE))*Table4[[#This Row],[qty]]</f>
        <v>6</v>
      </c>
      <c r="G5223">
        <f t="shared" si="774"/>
        <v>4</v>
      </c>
      <c r="H5223" t="s">
        <v>361</v>
      </c>
    </row>
    <row r="5224" spans="1:12" x14ac:dyDescent="0.25">
      <c r="A5224" s="1">
        <f t="shared" si="769"/>
        <v>45568</v>
      </c>
      <c r="B5224" s="31">
        <f>TIME(18,18,0)</f>
        <v>0.76250000000000007</v>
      </c>
      <c r="C5224" t="str">
        <f>'Inventory as of 12th Aug 2024'!A58</f>
        <v>Safari</v>
      </c>
      <c r="D5224">
        <v>1</v>
      </c>
      <c r="E5224" s="5">
        <f>Table4[[#This Row],[qty]]*(VLOOKUP(Table4[[#This Row],[item_sold]],Table1[],5,FALSE))</f>
        <v>15</v>
      </c>
      <c r="F5224" s="5">
        <f>(VLOOKUP(Table4[[#This Row],[item_sold]],Table1[],4,FALSE))*Table4[[#This Row],[qty]]</f>
        <v>8.5</v>
      </c>
      <c r="G5224">
        <f t="shared" si="774"/>
        <v>6.5</v>
      </c>
      <c r="H5224" t="s">
        <v>361</v>
      </c>
    </row>
    <row r="5225" spans="1:12" x14ac:dyDescent="0.25">
      <c r="A5225" s="1">
        <f t="shared" si="769"/>
        <v>45568</v>
      </c>
      <c r="B5225" s="31">
        <f>TIME(18,19,0)</f>
        <v>0.7631944444444444</v>
      </c>
      <c r="C5225" t="str">
        <f>'Inventory as of 12th Aug 2024'!A44</f>
        <v>Ajab 2kg</v>
      </c>
      <c r="D5225">
        <v>1</v>
      </c>
      <c r="E5225" s="5">
        <f>Table4[[#This Row],[qty]]*(VLOOKUP(Table4[[#This Row],[item_sold]],Table1[],5,FALSE))</f>
        <v>220</v>
      </c>
      <c r="F5225" s="5">
        <f>(VLOOKUP(Table4[[#This Row],[item_sold]],Table1[],4,FALSE))*Table4[[#This Row],[qty]]</f>
        <v>175</v>
      </c>
      <c r="G5225">
        <f t="shared" si="774"/>
        <v>45</v>
      </c>
      <c r="H5225" t="s">
        <v>361</v>
      </c>
    </row>
    <row r="5226" spans="1:12" x14ac:dyDescent="0.25">
      <c r="A5226" s="1">
        <f t="shared" si="769"/>
        <v>45568</v>
      </c>
      <c r="B5226" s="31">
        <f t="shared" ref="B5226" si="780">TIME(18,19,0)</f>
        <v>0.7631944444444444</v>
      </c>
      <c r="C5226" t="str">
        <f>'Inventory as of 12th Aug 2024'!A75</f>
        <v>Cooking Oil Measured</v>
      </c>
      <c r="D5226">
        <v>0.5</v>
      </c>
      <c r="E5226" s="5">
        <f>Table4[[#This Row],[qty]]*(VLOOKUP(Table4[[#This Row],[item_sold]],Table1[],5,FALSE))</f>
        <v>140</v>
      </c>
      <c r="F5226" s="5">
        <f>(VLOOKUP(Table4[[#This Row],[item_sold]],Table1[],4,FALSE))*Table4[[#This Row],[qty]]</f>
        <v>100</v>
      </c>
      <c r="G5226">
        <f t="shared" si="774"/>
        <v>40</v>
      </c>
      <c r="H5226" t="s">
        <v>361</v>
      </c>
    </row>
    <row r="5227" spans="1:12" x14ac:dyDescent="0.25">
      <c r="A5227" s="1">
        <f t="shared" si="769"/>
        <v>45568</v>
      </c>
      <c r="B5227" s="31">
        <f>TIME(18,22,0)</f>
        <v>0.76527777777777783</v>
      </c>
      <c r="C5227" t="str">
        <f>'Inventory as of 12th Aug 2024'!A33</f>
        <v>BB Bread 400g</v>
      </c>
      <c r="D5227">
        <v>1</v>
      </c>
      <c r="E5227" s="5">
        <f>Table4[[#This Row],[qty]]*(VLOOKUP(Table4[[#This Row],[item_sold]],Table1[],5,FALSE))</f>
        <v>65</v>
      </c>
      <c r="F5227" s="5">
        <f>(VLOOKUP(Table4[[#This Row],[item_sold]],Table1[],4,FALSE))*Table4[[#This Row],[qty]]</f>
        <v>60</v>
      </c>
      <c r="G5227">
        <f t="shared" si="774"/>
        <v>5</v>
      </c>
      <c r="H5227" t="s">
        <v>430</v>
      </c>
      <c r="I5227" t="s">
        <v>385</v>
      </c>
      <c r="J5227" t="s">
        <v>385</v>
      </c>
      <c r="K5227">
        <v>30</v>
      </c>
      <c r="L5227" t="s">
        <v>247</v>
      </c>
    </row>
    <row r="5228" spans="1:12" x14ac:dyDescent="0.25">
      <c r="A5228" s="1">
        <f t="shared" si="769"/>
        <v>45568</v>
      </c>
      <c r="B5228" s="31">
        <f t="shared" ref="B5228:B5229" si="781">TIME(18,22,0)</f>
        <v>0.76527777777777783</v>
      </c>
      <c r="C5228" t="str">
        <f>'Inventory as of 12th Aug 2024'!A225</f>
        <v>pens red</v>
      </c>
      <c r="D5228">
        <v>1</v>
      </c>
      <c r="E5228" s="5">
        <f>Table4[[#This Row],[qty]]*(VLOOKUP(Table4[[#This Row],[item_sold]],Table1[],5,FALSE))</f>
        <v>10</v>
      </c>
      <c r="F5228" s="5">
        <f>(VLOOKUP(Table4[[#This Row],[item_sold]],Table1[],4,FALSE))*Table4[[#This Row],[qty]]</f>
        <v>5</v>
      </c>
      <c r="G5228">
        <f t="shared" si="774"/>
        <v>5</v>
      </c>
      <c r="H5228" t="s">
        <v>247</v>
      </c>
    </row>
    <row r="5229" spans="1:12" x14ac:dyDescent="0.25">
      <c r="A5229" s="1">
        <f t="shared" si="769"/>
        <v>45568</v>
      </c>
      <c r="B5229" s="31">
        <f t="shared" si="781"/>
        <v>0.76527777777777783</v>
      </c>
      <c r="C5229" t="str">
        <f>'Inventory as of 12th Aug 2024'!A224</f>
        <v>pens black</v>
      </c>
      <c r="D5229">
        <v>1</v>
      </c>
      <c r="E5229" s="5">
        <f>Table4[[#This Row],[qty]]*(VLOOKUP(Table4[[#This Row],[item_sold]],Table1[],5,FALSE))</f>
        <v>10</v>
      </c>
      <c r="F5229" s="5">
        <f>(VLOOKUP(Table4[[#This Row],[item_sold]],Table1[],4,FALSE))*Table4[[#This Row],[qty]]</f>
        <v>5</v>
      </c>
      <c r="G5229">
        <f t="shared" si="774"/>
        <v>5</v>
      </c>
      <c r="H5229" t="s">
        <v>247</v>
      </c>
    </row>
    <row r="5230" spans="1:12" x14ac:dyDescent="0.25">
      <c r="A5230" s="1">
        <f t="shared" si="769"/>
        <v>45568</v>
      </c>
      <c r="B5230" s="31">
        <f>TIME(16,35,0)</f>
        <v>0.69097222222222221</v>
      </c>
      <c r="C5230" t="str">
        <f>'Inventory as of 12th Aug 2024'!A58</f>
        <v>Safari</v>
      </c>
      <c r="D5230">
        <v>3</v>
      </c>
      <c r="E5230" s="5">
        <f>Table4[[#This Row],[qty]]*(VLOOKUP(Table4[[#This Row],[item_sold]],Table1[],5,FALSE))</f>
        <v>45</v>
      </c>
      <c r="F5230" s="5">
        <f>(VLOOKUP(Table4[[#This Row],[item_sold]],Table1[],4,FALSE))*Table4[[#This Row],[qty]]</f>
        <v>25.5</v>
      </c>
      <c r="G5230">
        <f t="shared" si="774"/>
        <v>19.5</v>
      </c>
      <c r="H5230" t="s">
        <v>361</v>
      </c>
    </row>
    <row r="5231" spans="1:12" x14ac:dyDescent="0.25">
      <c r="A5231" s="1">
        <f t="shared" si="769"/>
        <v>45568</v>
      </c>
      <c r="B5231" s="31">
        <f>TIME(18,30,0)</f>
        <v>0.77083333333333337</v>
      </c>
      <c r="C5231" t="str">
        <f>'Inventory as of 12th Aug 2024'!A61</f>
        <v>kensalt 500g</v>
      </c>
      <c r="D5231">
        <v>1</v>
      </c>
      <c r="E5231" s="5">
        <f>Table4[[#This Row],[qty]]*(VLOOKUP(Table4[[#This Row],[item_sold]],Table1[],5,FALSE))</f>
        <v>25</v>
      </c>
      <c r="F5231" s="5">
        <f>(VLOOKUP(Table4[[#This Row],[item_sold]],Table1[],4,FALSE))*Table4[[#This Row],[qty]]</f>
        <v>14</v>
      </c>
      <c r="G5231">
        <f t="shared" si="774"/>
        <v>11</v>
      </c>
      <c r="H5231" t="s">
        <v>361</v>
      </c>
    </row>
    <row r="5232" spans="1:12" x14ac:dyDescent="0.25">
      <c r="A5232" s="1">
        <f t="shared" si="769"/>
        <v>45568</v>
      </c>
      <c r="B5232" s="31">
        <f t="shared" ref="B5232:B5233" si="782">TIME(18,30,0)</f>
        <v>0.77083333333333337</v>
      </c>
      <c r="C5232" t="str">
        <f>'Inventory as of 12th Aug 2024'!A204</f>
        <v>soda 2lts</v>
      </c>
      <c r="D5232">
        <v>1</v>
      </c>
      <c r="E5232" s="5">
        <f>Table4[[#This Row],[qty]]*(VLOOKUP(Table4[[#This Row],[item_sold]],Table1[],5,FALSE))</f>
        <v>200</v>
      </c>
      <c r="F5232" s="5">
        <f>(VLOOKUP(Table4[[#This Row],[item_sold]],Table1[],4,FALSE))*Table4[[#This Row],[qty]]</f>
        <v>176.66666666666666</v>
      </c>
      <c r="G5232">
        <f t="shared" si="774"/>
        <v>23.333333333333343</v>
      </c>
      <c r="H5232" t="s">
        <v>430</v>
      </c>
      <c r="I5232" t="s">
        <v>403</v>
      </c>
      <c r="J5232" t="s">
        <v>403</v>
      </c>
      <c r="K5232">
        <v>130</v>
      </c>
      <c r="L5232" t="s">
        <v>247</v>
      </c>
    </row>
    <row r="5233" spans="1:12" x14ac:dyDescent="0.25">
      <c r="A5233" s="1">
        <f t="shared" si="769"/>
        <v>45568</v>
      </c>
      <c r="B5233" s="31">
        <f t="shared" si="782"/>
        <v>0.77083333333333337</v>
      </c>
      <c r="C5233" t="str">
        <f>'Inventory as of 12th Aug 2024'!A126</f>
        <v>action</v>
      </c>
      <c r="D5233">
        <v>2</v>
      </c>
      <c r="E5233" s="5">
        <f>Table4[[#This Row],[qty]]*(VLOOKUP(Table4[[#This Row],[item_sold]],Table1[],5,FALSE))</f>
        <v>20</v>
      </c>
      <c r="F5233" s="5">
        <f>(VLOOKUP(Table4[[#This Row],[item_sold]],Table1[],4,FALSE))*Table4[[#This Row],[qty]]</f>
        <v>12</v>
      </c>
      <c r="G5233">
        <f t="shared" si="774"/>
        <v>8</v>
      </c>
      <c r="H5233" t="s">
        <v>430</v>
      </c>
      <c r="I5233" t="s">
        <v>403</v>
      </c>
      <c r="J5233" t="s">
        <v>403</v>
      </c>
    </row>
    <row r="5234" spans="1:12" x14ac:dyDescent="0.25">
      <c r="A5234" s="1">
        <f t="shared" si="769"/>
        <v>45568</v>
      </c>
      <c r="B5234" s="31">
        <f>TIME(18,40,0)</f>
        <v>0.77777777777777779</v>
      </c>
      <c r="C5234" t="str">
        <f>'Inventory as of 12th Aug 2024'!A16</f>
        <v>Mt kenya milk 500ml</v>
      </c>
      <c r="D5234">
        <v>1</v>
      </c>
      <c r="E5234" s="5">
        <f>Table4[[#This Row],[qty]]*(VLOOKUP(Table4[[#This Row],[item_sold]],Table1[],5,FALSE))</f>
        <v>65</v>
      </c>
      <c r="F5234" s="5">
        <f>(VLOOKUP(Table4[[#This Row],[item_sold]],Table1[],4,FALSE))*Table4[[#This Row],[qty]]</f>
        <v>48.333333333333336</v>
      </c>
      <c r="G5234">
        <f t="shared" si="774"/>
        <v>16.666666666666664</v>
      </c>
      <c r="H5234" t="s">
        <v>361</v>
      </c>
    </row>
    <row r="5235" spans="1:12" x14ac:dyDescent="0.25">
      <c r="A5235" s="1">
        <f t="shared" si="769"/>
        <v>45568</v>
      </c>
      <c r="B5235" s="31">
        <f>TIME(18,44,0)</f>
        <v>0.78055555555555556</v>
      </c>
      <c r="C5235" t="str">
        <f>'Inventory as of 12th Aug 2024'!A211</f>
        <v>predator</v>
      </c>
      <c r="D5235">
        <v>1</v>
      </c>
      <c r="E5235" s="5">
        <f>Table4[[#This Row],[qty]]*(VLOOKUP(Table4[[#This Row],[item_sold]],Table1[],5,FALSE))</f>
        <v>70</v>
      </c>
      <c r="F5235" s="5">
        <f>(VLOOKUP(Table4[[#This Row],[item_sold]],Table1[],4,FALSE))*Table4[[#This Row],[qty]]</f>
        <v>54.166666666666664</v>
      </c>
      <c r="G5235">
        <f t="shared" si="774"/>
        <v>15.833333333333336</v>
      </c>
      <c r="H5235" t="s">
        <v>361</v>
      </c>
    </row>
    <row r="5236" spans="1:12" x14ac:dyDescent="0.25">
      <c r="A5236" s="1">
        <f t="shared" si="769"/>
        <v>45568</v>
      </c>
      <c r="B5236" s="31">
        <f t="shared" ref="B5236:B5237" si="783">TIME(18,44,0)</f>
        <v>0.78055555555555556</v>
      </c>
      <c r="C5236" t="str">
        <f>'Inventory as of 12th Aug 2024'!A16</f>
        <v>Mt kenya milk 500ml</v>
      </c>
      <c r="D5236">
        <v>1</v>
      </c>
      <c r="E5236" s="5">
        <f>Table4[[#This Row],[qty]]*(VLOOKUP(Table4[[#This Row],[item_sold]],Table1[],5,FALSE))</f>
        <v>65</v>
      </c>
      <c r="F5236" s="5">
        <f>(VLOOKUP(Table4[[#This Row],[item_sold]],Table1[],4,FALSE))*Table4[[#This Row],[qty]]</f>
        <v>48.333333333333336</v>
      </c>
      <c r="G5236">
        <f t="shared" si="774"/>
        <v>16.666666666666664</v>
      </c>
      <c r="H5236" t="s">
        <v>430</v>
      </c>
      <c r="I5236" t="s">
        <v>455</v>
      </c>
    </row>
    <row r="5237" spans="1:12" x14ac:dyDescent="0.25">
      <c r="A5237" s="1">
        <f t="shared" si="769"/>
        <v>45568</v>
      </c>
      <c r="B5237" s="31">
        <f t="shared" si="783"/>
        <v>0.78055555555555556</v>
      </c>
      <c r="C5237" t="str">
        <f>'Inventory as of 12th Aug 2024'!A91</f>
        <v>Tomatoes</v>
      </c>
      <c r="D5237">
        <v>5</v>
      </c>
      <c r="E5237" s="5">
        <f>Table4[[#This Row],[qty]]*(VLOOKUP(Table4[[#This Row],[item_sold]],Table1[],5,FALSE))</f>
        <v>50</v>
      </c>
      <c r="F5237" s="5">
        <f>(VLOOKUP(Table4[[#This Row],[item_sold]],Table1[],4,FALSE))*Table4[[#This Row],[qty]]</f>
        <v>25</v>
      </c>
      <c r="G5237">
        <f t="shared" si="774"/>
        <v>25</v>
      </c>
      <c r="H5237" t="s">
        <v>247</v>
      </c>
    </row>
    <row r="5238" spans="1:12" x14ac:dyDescent="0.25">
      <c r="A5238" s="1">
        <f t="shared" si="769"/>
        <v>45568</v>
      </c>
      <c r="B5238" s="31">
        <f>TIME(18,55,0)</f>
        <v>0.78819444444444453</v>
      </c>
      <c r="C5238" t="str">
        <f>'Inventory as of 12th Aug 2024'!A90</f>
        <v>Onion</v>
      </c>
      <c r="D5238">
        <v>5</v>
      </c>
      <c r="E5238" s="5">
        <f>Table4[[#This Row],[qty]]*(VLOOKUP(Table4[[#This Row],[item_sold]],Table1[],5,FALSE))</f>
        <v>50</v>
      </c>
      <c r="F5238" s="5">
        <f>(VLOOKUP(Table4[[#This Row],[item_sold]],Table1[],4,FALSE))*Table4[[#This Row],[qty]]</f>
        <v>40</v>
      </c>
      <c r="G5238">
        <f t="shared" si="774"/>
        <v>10</v>
      </c>
      <c r="H5238" t="s">
        <v>361</v>
      </c>
    </row>
    <row r="5239" spans="1:12" x14ac:dyDescent="0.25">
      <c r="A5239" s="1">
        <f t="shared" si="769"/>
        <v>45568</v>
      </c>
      <c r="B5239" s="31">
        <f>TIME(20,0,0)</f>
        <v>0.83333333333333337</v>
      </c>
      <c r="C5239" t="str">
        <f>'Inventory as of 12th Aug 2024'!A58</f>
        <v>Safari</v>
      </c>
      <c r="D5239">
        <v>1</v>
      </c>
      <c r="E5239" s="5">
        <f>Table4[[#This Row],[qty]]*(VLOOKUP(Table4[[#This Row],[item_sold]],Table1[],5,FALSE))</f>
        <v>15</v>
      </c>
      <c r="F5239" s="5">
        <f>(VLOOKUP(Table4[[#This Row],[item_sold]],Table1[],4,FALSE))*Table4[[#This Row],[qty]]</f>
        <v>8.5</v>
      </c>
      <c r="G5239">
        <f t="shared" si="774"/>
        <v>6.5</v>
      </c>
      <c r="H5239" t="s">
        <v>361</v>
      </c>
    </row>
    <row r="5240" spans="1:12" x14ac:dyDescent="0.25">
      <c r="A5240" s="1">
        <f t="shared" si="769"/>
        <v>45568</v>
      </c>
      <c r="B5240" s="31">
        <f>TIME(20,9,0)</f>
        <v>0.83958333333333324</v>
      </c>
      <c r="C5240" t="str">
        <f>'Inventory as of 12th Aug 2024'!A134</f>
        <v>Hanaan Tissue</v>
      </c>
      <c r="D5240">
        <v>1</v>
      </c>
      <c r="E5240" s="5">
        <f>Table4[[#This Row],[qty]]*(VLOOKUP(Table4[[#This Row],[item_sold]],Table1[],5,FALSE))</f>
        <v>55</v>
      </c>
      <c r="F5240" s="5">
        <f>(VLOOKUP(Table4[[#This Row],[item_sold]],Table1[],4,FALSE))*Table4[[#This Row],[qty]]</f>
        <v>43</v>
      </c>
      <c r="G5240">
        <f t="shared" si="774"/>
        <v>12</v>
      </c>
      <c r="H5240" t="s">
        <v>361</v>
      </c>
      <c r="J5240" t="s">
        <v>398</v>
      </c>
      <c r="K5240">
        <v>305</v>
      </c>
      <c r="L5240" t="s">
        <v>361</v>
      </c>
    </row>
    <row r="5241" spans="1:12" x14ac:dyDescent="0.25">
      <c r="A5241" s="1">
        <f t="shared" si="769"/>
        <v>45568</v>
      </c>
      <c r="B5241" s="31">
        <f>TIME(20,11,0)</f>
        <v>0.84097222222222223</v>
      </c>
      <c r="C5241" t="str">
        <f>'Inventory as of 12th Aug 2024'!A8</f>
        <v>eggs</v>
      </c>
      <c r="D5241">
        <v>2</v>
      </c>
      <c r="E5241" s="5">
        <f>Table4[[#This Row],[qty]]*(VLOOKUP(Table4[[#This Row],[item_sold]],Table1[],5,FALSE))</f>
        <v>40</v>
      </c>
      <c r="F5241" s="5">
        <f>(VLOOKUP(Table4[[#This Row],[item_sold]],Table1[],4,FALSE))*Table4[[#This Row],[qty]]</f>
        <v>28.666666666666668</v>
      </c>
      <c r="G5241">
        <f t="shared" si="774"/>
        <v>11.333333333333332</v>
      </c>
      <c r="H5241" t="s">
        <v>361</v>
      </c>
    </row>
    <row r="5242" spans="1:12" x14ac:dyDescent="0.25">
      <c r="A5242" s="1">
        <f t="shared" si="769"/>
        <v>45568</v>
      </c>
      <c r="B5242" s="31">
        <f>TIME(20,13,0)</f>
        <v>0.84236111111111101</v>
      </c>
      <c r="C5242" s="25"/>
      <c r="D5242">
        <v>1</v>
      </c>
      <c r="E5242" s="5" t="e">
        <f>Table4[[#This Row],[qty]]*(VLOOKUP(Table4[[#This Row],[item_sold]],Table1[],5,FALSE))</f>
        <v>#N/A</v>
      </c>
      <c r="F5242" s="5" t="e">
        <f>(VLOOKUP(Table4[[#This Row],[item_sold]],Table1[],4,FALSE))*Table4[[#This Row],[qty]]</f>
        <v>#N/A</v>
      </c>
      <c r="G5242" t="e">
        <f t="shared" si="774"/>
        <v>#N/A</v>
      </c>
      <c r="H5242" t="s">
        <v>430</v>
      </c>
      <c r="I5242" t="s">
        <v>591</v>
      </c>
    </row>
    <row r="5243" spans="1:12" x14ac:dyDescent="0.25">
      <c r="A5243" s="1">
        <f t="shared" si="769"/>
        <v>45568</v>
      </c>
      <c r="B5243" s="31">
        <f>TIME(20,13,0)</f>
        <v>0.84236111111111101</v>
      </c>
      <c r="C5243" t="str">
        <f>'Inventory as of 12th Aug 2024'!A153</f>
        <v>mosquito stick</v>
      </c>
      <c r="D5243">
        <v>1</v>
      </c>
      <c r="E5243" s="5">
        <f>Table4[[#This Row],[qty]]*(VLOOKUP(Table4[[#This Row],[item_sold]],Table1[],5,FALSE))</f>
        <v>10</v>
      </c>
      <c r="F5243" s="5">
        <f>(VLOOKUP(Table4[[#This Row],[item_sold]],Table1[],4,FALSE))*Table4[[#This Row],[qty]]</f>
        <v>9</v>
      </c>
      <c r="G5243">
        <f t="shared" si="774"/>
        <v>1</v>
      </c>
      <c r="H5243" t="s">
        <v>430</v>
      </c>
      <c r="I5243" t="s">
        <v>391</v>
      </c>
    </row>
    <row r="5244" spans="1:12" x14ac:dyDescent="0.25">
      <c r="A5244" s="1">
        <f t="shared" si="769"/>
        <v>45568</v>
      </c>
      <c r="B5244" s="31">
        <f>TIME(20,14,0)</f>
        <v>0.84305555555555556</v>
      </c>
      <c r="C5244" t="str">
        <f>'Inventory as of 12th Aug 2024'!A58</f>
        <v>Safari</v>
      </c>
      <c r="D5244">
        <v>1</v>
      </c>
      <c r="E5244" s="5">
        <f>Table4[[#This Row],[qty]]*(VLOOKUP(Table4[[#This Row],[item_sold]],Table1[],5,FALSE))</f>
        <v>15</v>
      </c>
      <c r="F5244" s="5">
        <f>(VLOOKUP(Table4[[#This Row],[item_sold]],Table1[],4,FALSE))*Table4[[#This Row],[qty]]</f>
        <v>8.5</v>
      </c>
      <c r="G5244">
        <f t="shared" si="774"/>
        <v>6.5</v>
      </c>
      <c r="H5244" t="s">
        <v>430</v>
      </c>
      <c r="I5244" t="s">
        <v>391</v>
      </c>
    </row>
    <row r="5245" spans="1:12" x14ac:dyDescent="0.25">
      <c r="A5245" s="1">
        <f t="shared" si="769"/>
        <v>45568</v>
      </c>
      <c r="B5245" s="31">
        <f t="shared" ref="B5245" si="784">TIME(20,14,0)</f>
        <v>0.84305555555555556</v>
      </c>
      <c r="C5245" t="str">
        <f>'Inventory as of 12th Aug 2024'!A84</f>
        <v>omo 20g</v>
      </c>
      <c r="D5245">
        <v>1</v>
      </c>
      <c r="E5245" s="5">
        <f>Table4[[#This Row],[qty]]*(VLOOKUP(Table4[[#This Row],[item_sold]],Table1[],5,FALSE))</f>
        <v>15</v>
      </c>
      <c r="F5245" s="5">
        <f>(VLOOKUP(Table4[[#This Row],[item_sold]],Table1[],4,FALSE))*Table4[[#This Row],[qty]]</f>
        <v>9.1666666666666661</v>
      </c>
      <c r="G5245">
        <f t="shared" si="774"/>
        <v>5.8333333333333339</v>
      </c>
      <c r="H5245" t="s">
        <v>430</v>
      </c>
      <c r="I5245" t="s">
        <v>391</v>
      </c>
    </row>
    <row r="5246" spans="1:12" x14ac:dyDescent="0.25">
      <c r="A5246" s="1">
        <f t="shared" ref="A5246:A5250" si="785">DATE(2024,10,3)</f>
        <v>45568</v>
      </c>
      <c r="B5246" s="31">
        <f>TIME(20,18,0)</f>
        <v>0.84583333333333333</v>
      </c>
      <c r="C5246" t="str">
        <f>'Inventory as of 12th Aug 2024'!A17</f>
        <v>Brookside milk 500ml</v>
      </c>
      <c r="D5246">
        <v>1</v>
      </c>
      <c r="E5246" s="5">
        <f>Table4[[#This Row],[qty]]*(VLOOKUP(Table4[[#This Row],[item_sold]],Table1[],5,FALSE))</f>
        <v>70</v>
      </c>
      <c r="F5246" s="5">
        <f>(VLOOKUP(Table4[[#This Row],[item_sold]],Table1[],4,FALSE))*Table4[[#This Row],[qty]]</f>
        <v>59</v>
      </c>
      <c r="G5246">
        <f t="shared" si="774"/>
        <v>11</v>
      </c>
      <c r="H5246" t="s">
        <v>247</v>
      </c>
    </row>
    <row r="5247" spans="1:12" x14ac:dyDescent="0.25">
      <c r="A5247" s="1">
        <f t="shared" si="785"/>
        <v>45568</v>
      </c>
      <c r="B5247" s="31">
        <f>TIME(20,19,0)</f>
        <v>0.84652777777777777</v>
      </c>
      <c r="C5247" t="str">
        <f>'Inventory as of 12th Aug 2024'!A208</f>
        <v>minutemaid 400ml</v>
      </c>
      <c r="D5247">
        <v>1</v>
      </c>
      <c r="E5247" s="5">
        <f>Table4[[#This Row],[qty]]*(VLOOKUP(Table4[[#This Row],[item_sold]],Table1[],5,FALSE))</f>
        <v>85</v>
      </c>
      <c r="F5247" s="5">
        <f>(VLOOKUP(Table4[[#This Row],[item_sold]],Table1[],4,FALSE))*Table4[[#This Row],[qty]]</f>
        <v>62.5</v>
      </c>
      <c r="G5247">
        <f t="shared" si="774"/>
        <v>22.5</v>
      </c>
      <c r="H5247" t="s">
        <v>430</v>
      </c>
      <c r="I5247" t="s">
        <v>391</v>
      </c>
      <c r="J5247" t="s">
        <v>391</v>
      </c>
      <c r="K5247">
        <v>45</v>
      </c>
      <c r="L5247" t="s">
        <v>361</v>
      </c>
    </row>
    <row r="5248" spans="1:12" x14ac:dyDescent="0.25">
      <c r="A5248" s="1">
        <f t="shared" si="785"/>
        <v>45568</v>
      </c>
      <c r="B5248" s="31">
        <f>TIME(20,22,0)</f>
        <v>0.84861111111111109</v>
      </c>
      <c r="C5248" t="str">
        <f>'Inventory as of 12th Aug 2024'!A33</f>
        <v>BB Bread 400g</v>
      </c>
      <c r="D5248">
        <v>1</v>
      </c>
      <c r="E5248" s="5">
        <f>Table4[[#This Row],[qty]]*(VLOOKUP(Table4[[#This Row],[item_sold]],Table1[],5,FALSE))</f>
        <v>65</v>
      </c>
      <c r="F5248" s="5">
        <f>(VLOOKUP(Table4[[#This Row],[item_sold]],Table1[],4,FALSE))*Table4[[#This Row],[qty]]</f>
        <v>60</v>
      </c>
      <c r="G5248">
        <f t="shared" si="774"/>
        <v>5</v>
      </c>
      <c r="H5248" t="s">
        <v>247</v>
      </c>
      <c r="J5248" t="s">
        <v>591</v>
      </c>
      <c r="K5248">
        <v>20</v>
      </c>
      <c r="L5248" t="s">
        <v>361</v>
      </c>
    </row>
    <row r="5249" spans="1:9" x14ac:dyDescent="0.25">
      <c r="A5249" s="1">
        <f t="shared" si="785"/>
        <v>45568</v>
      </c>
      <c r="B5249" s="31">
        <f>TIME(20,36,0)</f>
        <v>0.85833333333333339</v>
      </c>
      <c r="C5249" t="str">
        <f>'Inventory as of 12th Aug 2024'!A195</f>
        <v>Ring Cake</v>
      </c>
      <c r="D5249">
        <v>1</v>
      </c>
      <c r="E5249" s="5">
        <f>Table4[[#This Row],[qty]]*(VLOOKUP(Table4[[#This Row],[item_sold]],Table1[],5,FALSE))</f>
        <v>50</v>
      </c>
      <c r="F5249" s="5">
        <f>(VLOOKUP(Table4[[#This Row],[item_sold]],Table1[],4,FALSE))*Table4[[#This Row],[qty]]</f>
        <v>45</v>
      </c>
      <c r="G5249">
        <f t="shared" si="774"/>
        <v>5</v>
      </c>
      <c r="H5249" t="s">
        <v>361</v>
      </c>
    </row>
    <row r="5250" spans="1:9" x14ac:dyDescent="0.25">
      <c r="A5250" s="1">
        <f t="shared" si="785"/>
        <v>45568</v>
      </c>
      <c r="B5250" s="31">
        <f>TIME(20,36,0)</f>
        <v>0.85833333333333339</v>
      </c>
      <c r="C5250" t="str">
        <f>'Inventory as of 12th Aug 2024'!A8</f>
        <v>eggs</v>
      </c>
      <c r="D5250">
        <v>5</v>
      </c>
      <c r="E5250" s="5">
        <f>Table4[[#This Row],[qty]]*(VLOOKUP(Table4[[#This Row],[item_sold]],Table1[],5,FALSE))</f>
        <v>100</v>
      </c>
      <c r="F5250" s="5">
        <f>(VLOOKUP(Table4[[#This Row],[item_sold]],Table1[],4,FALSE))*Table4[[#This Row],[qty]]</f>
        <v>71.666666666666671</v>
      </c>
      <c r="G5250">
        <f t="shared" si="774"/>
        <v>28.333333333333329</v>
      </c>
      <c r="H5250" t="s">
        <v>430</v>
      </c>
      <c r="I5250" t="s">
        <v>455</v>
      </c>
    </row>
    <row r="5251" spans="1:9" x14ac:dyDescent="0.25">
      <c r="A5251" s="1">
        <f>DATE(2024,10,4)</f>
        <v>45569</v>
      </c>
      <c r="B5251" s="31">
        <f>TIME(7,36,0)</f>
        <v>0.31666666666666665</v>
      </c>
      <c r="C5251" t="str">
        <f>'Inventory as of 12th Aug 2024'!A16</f>
        <v>Mt kenya milk 500ml</v>
      </c>
      <c r="D5251">
        <v>1</v>
      </c>
      <c r="E5251" s="5">
        <f>Table4[[#This Row],[qty]]*(VLOOKUP(Table4[[#This Row],[item_sold]],Table1[],5,FALSE))</f>
        <v>65</v>
      </c>
      <c r="F5251" s="5">
        <f>(VLOOKUP(Table4[[#This Row],[item_sold]],Table1[],4,FALSE))*Table4[[#This Row],[qty]]</f>
        <v>48.333333333333336</v>
      </c>
      <c r="G5251">
        <f t="shared" si="774"/>
        <v>16.666666666666664</v>
      </c>
      <c r="H5251" t="s">
        <v>361</v>
      </c>
    </row>
    <row r="5252" spans="1:9" x14ac:dyDescent="0.25">
      <c r="A5252" s="1">
        <f t="shared" ref="A5252:A5303" si="786">DATE(2024,10,4)</f>
        <v>45569</v>
      </c>
      <c r="B5252" s="31">
        <f>TIME(7,56,0)</f>
        <v>0.33055555555555555</v>
      </c>
      <c r="C5252" t="str">
        <f>'Inventory as of 12th Aug 2024'!A58</f>
        <v>Safari</v>
      </c>
      <c r="D5252">
        <v>1</v>
      </c>
      <c r="E5252" s="5">
        <f>Table4[[#This Row],[qty]]*(VLOOKUP(Table4[[#This Row],[item_sold]],Table1[],5,FALSE))</f>
        <v>15</v>
      </c>
      <c r="F5252" s="5">
        <f>(VLOOKUP(Table4[[#This Row],[item_sold]],Table1[],4,FALSE))*Table4[[#This Row],[qty]]</f>
        <v>8.5</v>
      </c>
      <c r="G5252">
        <f t="shared" si="774"/>
        <v>6.5</v>
      </c>
      <c r="H5252" t="s">
        <v>361</v>
      </c>
    </row>
    <row r="5253" spans="1:9" x14ac:dyDescent="0.25">
      <c r="A5253" s="1">
        <f t="shared" si="786"/>
        <v>45569</v>
      </c>
      <c r="B5253" s="31">
        <f>TIME(8,27,0)</f>
        <v>0.3520833333333333</v>
      </c>
      <c r="C5253" t="str">
        <f>'Inventory as of 12th Aug 2024'!A33</f>
        <v>BB Bread 400g</v>
      </c>
      <c r="D5253">
        <v>1</v>
      </c>
      <c r="E5253" s="5">
        <f>Table4[[#This Row],[qty]]*(VLOOKUP(Table4[[#This Row],[item_sold]],Table1[],5,FALSE))</f>
        <v>65</v>
      </c>
      <c r="F5253" s="5">
        <f>(VLOOKUP(Table4[[#This Row],[item_sold]],Table1[],4,FALSE))*Table4[[#This Row],[qty]]</f>
        <v>60</v>
      </c>
      <c r="G5253">
        <f t="shared" si="774"/>
        <v>5</v>
      </c>
      <c r="H5253" t="s">
        <v>361</v>
      </c>
    </row>
    <row r="5254" spans="1:9" x14ac:dyDescent="0.25">
      <c r="A5254" s="1">
        <f t="shared" si="786"/>
        <v>45569</v>
      </c>
      <c r="B5254" s="31">
        <f>TIME(8,42,0)</f>
        <v>0.36249999999999999</v>
      </c>
      <c r="C5254" t="str">
        <f>'Inventory as of 12th Aug 2024'!A5</f>
        <v>Airtel 20 Credit</v>
      </c>
      <c r="D5254">
        <v>1</v>
      </c>
      <c r="E5254" s="5">
        <f>Table4[[#This Row],[qty]]*(VLOOKUP(Table4[[#This Row],[item_sold]],Table1[],5,FALSE))</f>
        <v>20</v>
      </c>
      <c r="F5254" s="5">
        <f>(VLOOKUP(Table4[[#This Row],[item_sold]],Table1[],4,FALSE))*Table4[[#This Row],[qty]]</f>
        <v>18</v>
      </c>
      <c r="G5254">
        <f t="shared" si="774"/>
        <v>2</v>
      </c>
      <c r="H5254" t="s">
        <v>361</v>
      </c>
    </row>
    <row r="5255" spans="1:9" x14ac:dyDescent="0.25">
      <c r="A5255" s="1">
        <f t="shared" si="786"/>
        <v>45569</v>
      </c>
      <c r="B5255" s="31">
        <f t="shared" ref="B5255" si="787">TIME(8,42,0)</f>
        <v>0.36249999999999999</v>
      </c>
      <c r="C5255" t="str">
        <f>'Inventory as of 12th Aug 2024'!A57</f>
        <v>Sportsman</v>
      </c>
      <c r="D5255">
        <v>1</v>
      </c>
      <c r="E5255" s="5">
        <f>Table4[[#This Row],[qty]]*(VLOOKUP(Table4[[#This Row],[item_sold]],Table1[],5,FALSE))</f>
        <v>20</v>
      </c>
      <c r="F5255" s="5">
        <f>(VLOOKUP(Table4[[#This Row],[item_sold]],Table1[],4,FALSE))*Table4[[#This Row],[qty]]</f>
        <v>13</v>
      </c>
      <c r="G5255">
        <f t="shared" si="774"/>
        <v>7</v>
      </c>
      <c r="H5255" t="s">
        <v>247</v>
      </c>
    </row>
    <row r="5256" spans="1:9" x14ac:dyDescent="0.25">
      <c r="A5256" s="1">
        <f t="shared" si="786"/>
        <v>45569</v>
      </c>
      <c r="B5256" s="31">
        <f>TIME(9,19,0)</f>
        <v>0.38819444444444445</v>
      </c>
      <c r="C5256" t="str">
        <f>'Inventory as of 12th Aug 2024'!A5</f>
        <v>Airtel 20 Credit</v>
      </c>
      <c r="D5256">
        <v>2</v>
      </c>
      <c r="E5256" s="5">
        <f>Table4[[#This Row],[qty]]*(VLOOKUP(Table4[[#This Row],[item_sold]],Table1[],5,FALSE))</f>
        <v>40</v>
      </c>
      <c r="F5256" s="5">
        <f>(VLOOKUP(Table4[[#This Row],[item_sold]],Table1[],4,FALSE))*Table4[[#This Row],[qty]]</f>
        <v>36</v>
      </c>
      <c r="G5256">
        <f t="shared" si="774"/>
        <v>4</v>
      </c>
      <c r="H5256" t="s">
        <v>247</v>
      </c>
    </row>
    <row r="5257" spans="1:9" x14ac:dyDescent="0.25">
      <c r="A5257" s="1">
        <f t="shared" si="786"/>
        <v>45569</v>
      </c>
      <c r="B5257" s="31">
        <f t="shared" ref="B5257" si="788">TIME(9,19,0)</f>
        <v>0.38819444444444445</v>
      </c>
      <c r="C5257" t="str">
        <f>'Inventory as of 12th Aug 2024'!A2</f>
        <v>Safaricom 20 Credit</v>
      </c>
      <c r="D5257">
        <v>1</v>
      </c>
      <c r="E5257" s="5">
        <f>Table4[[#This Row],[qty]]*(VLOOKUP(Table4[[#This Row],[item_sold]],Table1[],5,FALSE))</f>
        <v>20</v>
      </c>
      <c r="F5257" s="5">
        <f>(VLOOKUP(Table4[[#This Row],[item_sold]],Table1[],4,FALSE))*Table4[[#This Row],[qty]]</f>
        <v>18</v>
      </c>
      <c r="G5257">
        <f t="shared" si="774"/>
        <v>2</v>
      </c>
      <c r="H5257" t="s">
        <v>361</v>
      </c>
    </row>
    <row r="5258" spans="1:9" x14ac:dyDescent="0.25">
      <c r="A5258" s="1">
        <f t="shared" si="786"/>
        <v>45569</v>
      </c>
      <c r="B5258" s="31">
        <f>TIME(9,51,0)</f>
        <v>0.41041666666666665</v>
      </c>
      <c r="C5258" t="str">
        <f>'Inventory as of 12th Aug 2024'!A207</f>
        <v>soda 350ml plastic</v>
      </c>
      <c r="D5258">
        <v>1</v>
      </c>
      <c r="E5258" s="5">
        <f>Table4[[#This Row],[qty]]*(VLOOKUP(Table4[[#This Row],[item_sold]],Table1[],5,FALSE))</f>
        <v>50</v>
      </c>
      <c r="F5258" s="5">
        <f>(VLOOKUP(Table4[[#This Row],[item_sold]],Table1[],4,FALSE))*Table4[[#This Row],[qty]]</f>
        <v>41.666666666666664</v>
      </c>
      <c r="G5258">
        <f t="shared" si="774"/>
        <v>8.3333333333333357</v>
      </c>
      <c r="H5258" t="s">
        <v>361</v>
      </c>
    </row>
    <row r="5259" spans="1:9" x14ac:dyDescent="0.25">
      <c r="A5259" s="1">
        <f t="shared" si="786"/>
        <v>45569</v>
      </c>
      <c r="B5259" s="31">
        <f t="shared" ref="B5259" si="789">TIME(9,51,0)</f>
        <v>0.41041666666666665</v>
      </c>
      <c r="C5259" t="str">
        <f>'Inventory as of 12th Aug 2024'!A179</f>
        <v>Bitez</v>
      </c>
      <c r="D5259">
        <v>1</v>
      </c>
      <c r="E5259" s="5">
        <f>Table4[[#This Row],[qty]]*(VLOOKUP(Table4[[#This Row],[item_sold]],Table1[],5,FALSE))</f>
        <v>15</v>
      </c>
      <c r="F5259" s="5">
        <f>(VLOOKUP(Table4[[#This Row],[item_sold]],Table1[],4,FALSE))*Table4[[#This Row],[qty]]</f>
        <v>8.8000000000000007</v>
      </c>
      <c r="G5259">
        <f t="shared" si="774"/>
        <v>6.1999999999999993</v>
      </c>
      <c r="H5259" t="s">
        <v>361</v>
      </c>
    </row>
    <row r="5260" spans="1:9" x14ac:dyDescent="0.25">
      <c r="A5260" s="1">
        <f t="shared" si="786"/>
        <v>45569</v>
      </c>
      <c r="B5260" s="31">
        <f>TIME(11,21,0)</f>
        <v>0.47291666666666665</v>
      </c>
      <c r="C5260" t="str">
        <f>'Inventory as of 12th Aug 2024'!A5</f>
        <v>Airtel 20 Credit</v>
      </c>
      <c r="D5260">
        <v>1</v>
      </c>
      <c r="E5260" s="5">
        <f>Table4[[#This Row],[qty]]*(VLOOKUP(Table4[[#This Row],[item_sold]],Table1[],5,FALSE))</f>
        <v>20</v>
      </c>
      <c r="F5260" s="5">
        <f>(VLOOKUP(Table4[[#This Row],[item_sold]],Table1[],4,FALSE))*Table4[[#This Row],[qty]]</f>
        <v>18</v>
      </c>
      <c r="G5260">
        <f t="shared" si="774"/>
        <v>2</v>
      </c>
      <c r="H5260" t="s">
        <v>361</v>
      </c>
    </row>
    <row r="5261" spans="1:9" x14ac:dyDescent="0.25">
      <c r="A5261" s="1">
        <f t="shared" si="786"/>
        <v>45569</v>
      </c>
      <c r="B5261" s="31">
        <f t="shared" ref="B5261:B5262" si="790">TIME(11,21,0)</f>
        <v>0.47291666666666665</v>
      </c>
      <c r="C5261" t="str">
        <f>'Inventory as of 12th Aug 2024'!A58</f>
        <v>Safari</v>
      </c>
      <c r="D5261">
        <v>1</v>
      </c>
      <c r="E5261" s="5">
        <f>Table4[[#This Row],[qty]]*(VLOOKUP(Table4[[#This Row],[item_sold]],Table1[],5,FALSE))</f>
        <v>15</v>
      </c>
      <c r="F5261" s="5">
        <f>(VLOOKUP(Table4[[#This Row],[item_sold]],Table1[],4,FALSE))*Table4[[#This Row],[qty]]</f>
        <v>8.5</v>
      </c>
      <c r="G5261">
        <f t="shared" si="774"/>
        <v>6.5</v>
      </c>
      <c r="H5261" t="s">
        <v>361</v>
      </c>
    </row>
    <row r="5262" spans="1:9" x14ac:dyDescent="0.25">
      <c r="A5262" s="1">
        <f t="shared" si="786"/>
        <v>45569</v>
      </c>
      <c r="B5262" s="31">
        <f t="shared" si="790"/>
        <v>0.47291666666666665</v>
      </c>
      <c r="C5262" t="str">
        <f>'Inventory as of 12th Aug 2024'!A233</f>
        <v>Lollipop</v>
      </c>
      <c r="D5262">
        <v>1</v>
      </c>
      <c r="E5262" s="5">
        <f>Table4[[#This Row],[qty]]*(VLOOKUP(Table4[[#This Row],[item_sold]],Table1[],5,FALSE))</f>
        <v>5</v>
      </c>
      <c r="F5262" s="5">
        <f>(VLOOKUP(Table4[[#This Row],[item_sold]],Table1[],4,FALSE))*Table4[[#This Row],[qty]]</f>
        <v>2.4</v>
      </c>
      <c r="G5262">
        <f t="shared" si="774"/>
        <v>2.6</v>
      </c>
      <c r="H5262" t="s">
        <v>361</v>
      </c>
    </row>
    <row r="5263" spans="1:9" x14ac:dyDescent="0.25">
      <c r="A5263" s="1">
        <f t="shared" si="786"/>
        <v>45569</v>
      </c>
      <c r="B5263" s="31">
        <f>TIME(11,31,0)</f>
        <v>0.47986111111111113</v>
      </c>
      <c r="C5263" t="str">
        <f>'Inventory as of 12th Aug 2024'!A84</f>
        <v>omo 20g</v>
      </c>
      <c r="D5263">
        <v>1</v>
      </c>
      <c r="E5263" s="5">
        <f>Table4[[#This Row],[qty]]*(VLOOKUP(Table4[[#This Row],[item_sold]],Table1[],5,FALSE))</f>
        <v>15</v>
      </c>
      <c r="F5263" s="5">
        <f>(VLOOKUP(Table4[[#This Row],[item_sold]],Table1[],4,FALSE))*Table4[[#This Row],[qty]]</f>
        <v>9.1666666666666661</v>
      </c>
      <c r="G5263">
        <f t="shared" si="774"/>
        <v>5.8333333333333339</v>
      </c>
      <c r="H5263" t="s">
        <v>247</v>
      </c>
    </row>
    <row r="5264" spans="1:9" x14ac:dyDescent="0.25">
      <c r="A5264" s="1">
        <f t="shared" si="786"/>
        <v>45569</v>
      </c>
      <c r="B5264" s="31">
        <f t="shared" ref="B5264:B5266" si="791">TIME(11,31,0)</f>
        <v>0.47986111111111113</v>
      </c>
      <c r="C5264" t="str">
        <f>'Inventory as of 12th Aug 2024'!A82</f>
        <v>ariel 10g</v>
      </c>
      <c r="D5264">
        <v>1</v>
      </c>
      <c r="E5264" s="5">
        <f>Table4[[#This Row],[qty]]*(VLOOKUP(Table4[[#This Row],[item_sold]],Table1[],5,FALSE))</f>
        <v>15</v>
      </c>
      <c r="F5264" s="5">
        <f>(VLOOKUP(Table4[[#This Row],[item_sold]],Table1[],4,FALSE))*Table4[[#This Row],[qty]]</f>
        <v>9.1666666666666661</v>
      </c>
      <c r="G5264">
        <f t="shared" si="774"/>
        <v>5.8333333333333339</v>
      </c>
      <c r="H5264" t="s">
        <v>247</v>
      </c>
    </row>
    <row r="5265" spans="1:12" x14ac:dyDescent="0.25">
      <c r="A5265" s="1">
        <f t="shared" si="786"/>
        <v>45569</v>
      </c>
      <c r="B5265" s="31">
        <f t="shared" si="791"/>
        <v>0.47986111111111113</v>
      </c>
      <c r="C5265" t="str">
        <f>'Inventory as of 12th Aug 2024'!A83</f>
        <v>omo 75g</v>
      </c>
      <c r="D5265">
        <v>1</v>
      </c>
      <c r="E5265" s="5">
        <f>Table4[[#This Row],[qty]]*(VLOOKUP(Table4[[#This Row],[item_sold]],Table1[],5,FALSE))</f>
        <v>35</v>
      </c>
      <c r="F5265" s="5">
        <f>(VLOOKUP(Table4[[#This Row],[item_sold]],Table1[],4,FALSE))*Table4[[#This Row],[qty]]</f>
        <v>27.5</v>
      </c>
      <c r="G5265">
        <f t="shared" si="774"/>
        <v>7.5</v>
      </c>
      <c r="H5265" t="s">
        <v>247</v>
      </c>
    </row>
    <row r="5266" spans="1:12" x14ac:dyDescent="0.25">
      <c r="A5266" s="1">
        <f t="shared" si="786"/>
        <v>45569</v>
      </c>
      <c r="B5266" s="31">
        <f t="shared" si="791"/>
        <v>0.47986111111111113</v>
      </c>
      <c r="C5266" t="str">
        <f>'Inventory as of 12th Aug 2024'!A81</f>
        <v>ariel 75g</v>
      </c>
      <c r="D5266">
        <v>1</v>
      </c>
      <c r="E5266" s="5">
        <f>Table4[[#This Row],[qty]]*(VLOOKUP(Table4[[#This Row],[item_sold]],Table1[],5,FALSE))</f>
        <v>35</v>
      </c>
      <c r="F5266" s="5">
        <f>(VLOOKUP(Table4[[#This Row],[item_sold]],Table1[],4,FALSE))*Table4[[#This Row],[qty]]</f>
        <v>27.5</v>
      </c>
      <c r="G5266">
        <f t="shared" si="774"/>
        <v>7.5</v>
      </c>
      <c r="H5266" t="s">
        <v>247</v>
      </c>
    </row>
    <row r="5267" spans="1:12" x14ac:dyDescent="0.25">
      <c r="A5267" s="1">
        <f t="shared" si="786"/>
        <v>45569</v>
      </c>
      <c r="B5267" s="31">
        <f>TIME(13,11,0)</f>
        <v>0.5493055555555556</v>
      </c>
      <c r="C5267" t="str">
        <f>'Inventory as of 12th Aug 2024'!A50</f>
        <v>Pishori rice</v>
      </c>
      <c r="D5267">
        <v>0.25</v>
      </c>
      <c r="E5267" s="5">
        <f>Table4[[#This Row],[qty]]*(VLOOKUP(Table4[[#This Row],[item_sold]],Table1[],5,FALSE))</f>
        <v>55</v>
      </c>
      <c r="F5267" s="5">
        <f>(VLOOKUP(Table4[[#This Row],[item_sold]],Table1[],4,FALSE))*Table4[[#This Row],[qty]]</f>
        <v>45</v>
      </c>
      <c r="G5267">
        <f t="shared" si="774"/>
        <v>10</v>
      </c>
      <c r="H5267" t="s">
        <v>247</v>
      </c>
    </row>
    <row r="5268" spans="1:12" x14ac:dyDescent="0.25">
      <c r="A5268" s="1">
        <f t="shared" si="786"/>
        <v>45569</v>
      </c>
      <c r="B5268" s="31">
        <f t="shared" ref="B5268" si="792">TIME(13,11,0)</f>
        <v>0.5493055555555556</v>
      </c>
      <c r="C5268" t="str">
        <f>'Inventory as of 12th Aug 2024'!A75</f>
        <v>Cooking Oil Measured</v>
      </c>
      <c r="D5268">
        <v>0.25</v>
      </c>
      <c r="E5268" s="5">
        <f>Table4[[#This Row],[qty]]*(VLOOKUP(Table4[[#This Row],[item_sold]],Table1[],5,FALSE))</f>
        <v>70</v>
      </c>
      <c r="F5268" s="5">
        <f>(VLOOKUP(Table4[[#This Row],[item_sold]],Table1[],4,FALSE))*Table4[[#This Row],[qty]]</f>
        <v>50</v>
      </c>
      <c r="G5268">
        <f t="shared" ref="G5268:G5331" si="793">E5268-F5268</f>
        <v>20</v>
      </c>
      <c r="H5268" t="s">
        <v>247</v>
      </c>
    </row>
    <row r="5269" spans="1:12" x14ac:dyDescent="0.25">
      <c r="A5269" s="1">
        <f t="shared" si="786"/>
        <v>45569</v>
      </c>
      <c r="B5269" s="31">
        <f>TIME(13,32,0)</f>
        <v>0.56388888888888888</v>
      </c>
      <c r="C5269" t="str">
        <f>'Inventory as of 12th Aug 2024'!A37</f>
        <v>Festive Bread 400g</v>
      </c>
      <c r="D5269">
        <v>1</v>
      </c>
      <c r="E5269" s="5">
        <f>Table4[[#This Row],[qty]]*(VLOOKUP(Table4[[#This Row],[item_sold]],Table1[],5,FALSE))</f>
        <v>65</v>
      </c>
      <c r="F5269" s="5">
        <f>(VLOOKUP(Table4[[#This Row],[item_sold]],Table1[],4,FALSE))*Table4[[#This Row],[qty]]</f>
        <v>60</v>
      </c>
      <c r="G5269">
        <f t="shared" si="793"/>
        <v>5</v>
      </c>
      <c r="H5269" t="s">
        <v>430</v>
      </c>
      <c r="I5269" t="s">
        <v>590</v>
      </c>
    </row>
    <row r="5270" spans="1:12" x14ac:dyDescent="0.25">
      <c r="A5270" s="1">
        <f t="shared" si="786"/>
        <v>45569</v>
      </c>
      <c r="B5270" s="31">
        <f>TIME(13,45,0)</f>
        <v>0.57291666666666663</v>
      </c>
      <c r="C5270" t="str">
        <f>'Inventory as of 12th Aug 2024'!A58</f>
        <v>Safari</v>
      </c>
      <c r="D5270">
        <v>2</v>
      </c>
      <c r="E5270" s="5">
        <f>Table4[[#This Row],[qty]]*(VLOOKUP(Table4[[#This Row],[item_sold]],Table1[],5,FALSE))</f>
        <v>30</v>
      </c>
      <c r="F5270" s="5">
        <f>(VLOOKUP(Table4[[#This Row],[item_sold]],Table1[],4,FALSE))*Table4[[#This Row],[qty]]</f>
        <v>17</v>
      </c>
      <c r="G5270">
        <f t="shared" si="793"/>
        <v>13</v>
      </c>
      <c r="H5270" t="s">
        <v>247</v>
      </c>
    </row>
    <row r="5271" spans="1:12" x14ac:dyDescent="0.25">
      <c r="A5271" s="1">
        <f t="shared" si="786"/>
        <v>45569</v>
      </c>
      <c r="B5271" s="31">
        <f>TIME(13,46,0)</f>
        <v>0.57361111111111118</v>
      </c>
      <c r="C5271" t="str">
        <f>'Inventory as of 12th Aug 2024'!A42</f>
        <v>Indomie chicken</v>
      </c>
      <c r="D5271">
        <v>2</v>
      </c>
      <c r="E5271" s="5">
        <f>Table4[[#This Row],[qty]]*(VLOOKUP(Table4[[#This Row],[item_sold]],Table1[],5,FALSE))</f>
        <v>100</v>
      </c>
      <c r="F5271" s="5">
        <f>(VLOOKUP(Table4[[#This Row],[item_sold]],Table1[],4,FALSE))*Table4[[#This Row],[qty]]</f>
        <v>75</v>
      </c>
      <c r="G5271">
        <f t="shared" si="793"/>
        <v>25</v>
      </c>
      <c r="H5271" t="s">
        <v>247</v>
      </c>
    </row>
    <row r="5272" spans="1:12" x14ac:dyDescent="0.25">
      <c r="A5272" s="1">
        <f t="shared" si="786"/>
        <v>45569</v>
      </c>
      <c r="B5272" s="31">
        <f>TIME(13,46,0)</f>
        <v>0.57361111111111118</v>
      </c>
      <c r="C5272" s="25"/>
      <c r="D5272">
        <v>1</v>
      </c>
      <c r="E5272" s="5" t="e">
        <f>Table4[[#This Row],[qty]]*(VLOOKUP(Table4[[#This Row],[item_sold]],Table1[],5,FALSE))</f>
        <v>#N/A</v>
      </c>
      <c r="F5272" s="5" t="e">
        <f>(VLOOKUP(Table4[[#This Row],[item_sold]],Table1[],4,FALSE))*Table4[[#This Row],[qty]]</f>
        <v>#N/A</v>
      </c>
      <c r="G5272" t="e">
        <f t="shared" si="793"/>
        <v>#N/A</v>
      </c>
      <c r="H5272" t="s">
        <v>247</v>
      </c>
    </row>
    <row r="5273" spans="1:12" x14ac:dyDescent="0.25">
      <c r="A5273" s="1">
        <f t="shared" si="786"/>
        <v>45569</v>
      </c>
      <c r="B5273" s="31">
        <f>TIME(14,16,0)</f>
        <v>0.59444444444444444</v>
      </c>
      <c r="C5273" t="str">
        <f>'Inventory as of 12th Aug 2024'!A16</f>
        <v>Mt kenya milk 500ml</v>
      </c>
      <c r="D5273">
        <v>1</v>
      </c>
      <c r="E5273" s="5">
        <f>Table4[[#This Row],[qty]]*(VLOOKUP(Table4[[#This Row],[item_sold]],Table1[],5,FALSE))</f>
        <v>65</v>
      </c>
      <c r="F5273" s="5">
        <f>(VLOOKUP(Table4[[#This Row],[item_sold]],Table1[],4,FALSE))*Table4[[#This Row],[qty]]</f>
        <v>48.333333333333336</v>
      </c>
      <c r="G5273">
        <f t="shared" si="793"/>
        <v>16.666666666666664</v>
      </c>
      <c r="H5273" t="s">
        <v>430</v>
      </c>
      <c r="I5273" t="s">
        <v>406</v>
      </c>
      <c r="J5273" t="s">
        <v>406</v>
      </c>
      <c r="K5273">
        <v>55</v>
      </c>
      <c r="L5273" t="s">
        <v>361</v>
      </c>
    </row>
    <row r="5274" spans="1:12" x14ac:dyDescent="0.25">
      <c r="A5274" s="1">
        <f t="shared" si="786"/>
        <v>45569</v>
      </c>
      <c r="B5274" s="31">
        <f t="shared" ref="B5274" si="794">TIME(14,16,0)</f>
        <v>0.59444444444444444</v>
      </c>
      <c r="C5274" t="str">
        <f>'Inventory as of 12th Aug 2024'!A212</f>
        <v>soda 300ml glass</v>
      </c>
      <c r="D5274">
        <v>1</v>
      </c>
      <c r="E5274" s="5">
        <f>Table4[[#This Row],[qty]]*(VLOOKUP(Table4[[#This Row],[item_sold]],Table1[],5,FALSE))</f>
        <v>40</v>
      </c>
      <c r="F5274" s="5">
        <f>(VLOOKUP(Table4[[#This Row],[item_sold]],Table1[],4,FALSE))*Table4[[#This Row],[qty]]</f>
        <v>32.5</v>
      </c>
      <c r="G5274">
        <f t="shared" si="793"/>
        <v>7.5</v>
      </c>
      <c r="H5274" t="s">
        <v>247</v>
      </c>
    </row>
    <row r="5275" spans="1:12" x14ac:dyDescent="0.25">
      <c r="A5275" s="1">
        <f t="shared" si="786"/>
        <v>45569</v>
      </c>
      <c r="B5275" s="31">
        <f>TIME(15,7,0)</f>
        <v>0.62986111111111109</v>
      </c>
      <c r="C5275" t="str">
        <f>'Inventory as of 12th Aug 2024'!A58</f>
        <v>Safari</v>
      </c>
      <c r="D5275">
        <v>1</v>
      </c>
      <c r="E5275" s="5">
        <f>Table4[[#This Row],[qty]]*(VLOOKUP(Table4[[#This Row],[item_sold]],Table1[],5,FALSE))</f>
        <v>15</v>
      </c>
      <c r="F5275" s="5">
        <f>(VLOOKUP(Table4[[#This Row],[item_sold]],Table1[],4,FALSE))*Table4[[#This Row],[qty]]</f>
        <v>8.5</v>
      </c>
      <c r="G5275">
        <f t="shared" si="793"/>
        <v>6.5</v>
      </c>
      <c r="H5275" t="s">
        <v>361</v>
      </c>
    </row>
    <row r="5276" spans="1:12" x14ac:dyDescent="0.25">
      <c r="A5276" s="1">
        <f t="shared" si="786"/>
        <v>45569</v>
      </c>
      <c r="B5276" s="31">
        <f t="shared" ref="B5276:B5277" si="795">TIME(15,7,0)</f>
        <v>0.62986111111111109</v>
      </c>
      <c r="C5276" t="str">
        <f>'Inventory as of 12th Aug 2024'!A208</f>
        <v>minutemaid 400ml</v>
      </c>
      <c r="D5276">
        <v>1</v>
      </c>
      <c r="E5276" s="5">
        <f>Table4[[#This Row],[qty]]*(VLOOKUP(Table4[[#This Row],[item_sold]],Table1[],5,FALSE))</f>
        <v>85</v>
      </c>
      <c r="F5276" s="5">
        <f>(VLOOKUP(Table4[[#This Row],[item_sold]],Table1[],4,FALSE))*Table4[[#This Row],[qty]]</f>
        <v>62.5</v>
      </c>
      <c r="G5276">
        <f t="shared" si="793"/>
        <v>22.5</v>
      </c>
      <c r="H5276" t="s">
        <v>247</v>
      </c>
    </row>
    <row r="5277" spans="1:12" x14ac:dyDescent="0.25">
      <c r="A5277" s="1">
        <f t="shared" si="786"/>
        <v>45569</v>
      </c>
      <c r="B5277" s="31">
        <f t="shared" si="795"/>
        <v>0.62986111111111109</v>
      </c>
      <c r="C5277" t="str">
        <f>'Inventory as of 12th Aug 2024'!A191</f>
        <v>Nuvita Bisquit</v>
      </c>
      <c r="D5277">
        <v>1</v>
      </c>
      <c r="E5277" s="5">
        <f>Table4[[#This Row],[qty]]*(VLOOKUP(Table4[[#This Row],[item_sold]],Table1[],5,FALSE))</f>
        <v>5</v>
      </c>
      <c r="F5277" s="5">
        <f>(VLOOKUP(Table4[[#This Row],[item_sold]],Table1[],4,FALSE))*Table4[[#This Row],[qty]]</f>
        <v>4.166666666666667</v>
      </c>
      <c r="G5277">
        <f t="shared" si="793"/>
        <v>0.83333333333333304</v>
      </c>
      <c r="H5277" t="s">
        <v>247</v>
      </c>
    </row>
    <row r="5278" spans="1:12" x14ac:dyDescent="0.25">
      <c r="A5278" s="1">
        <f t="shared" si="786"/>
        <v>45569</v>
      </c>
      <c r="B5278" s="31">
        <f>TIME(15,45,0)</f>
        <v>0.65625</v>
      </c>
      <c r="C5278" t="str">
        <f>'Inventory as of 12th Aug 2024'!A3</f>
        <v>Safaricom 10 Credit</v>
      </c>
      <c r="D5278">
        <v>1</v>
      </c>
      <c r="E5278" s="5">
        <f>Table4[[#This Row],[qty]]*(VLOOKUP(Table4[[#This Row],[item_sold]],Table1[],5,FALSE))</f>
        <v>10</v>
      </c>
      <c r="F5278" s="5">
        <f>(VLOOKUP(Table4[[#This Row],[item_sold]],Table1[],4,FALSE))*Table4[[#This Row],[qty]]</f>
        <v>9</v>
      </c>
      <c r="G5278">
        <f t="shared" si="793"/>
        <v>1</v>
      </c>
      <c r="H5278" t="s">
        <v>247</v>
      </c>
    </row>
    <row r="5279" spans="1:12" x14ac:dyDescent="0.25">
      <c r="A5279" s="1">
        <f t="shared" si="786"/>
        <v>45569</v>
      </c>
      <c r="B5279" s="31">
        <f>TIME(15,51,0)</f>
        <v>0.66041666666666665</v>
      </c>
      <c r="C5279" t="str">
        <f>'Inventory as of 12th Aug 2024'!A211</f>
        <v>predator</v>
      </c>
      <c r="D5279">
        <v>1</v>
      </c>
      <c r="E5279" s="5">
        <f>Table4[[#This Row],[qty]]*(VLOOKUP(Table4[[#This Row],[item_sold]],Table1[],5,FALSE))</f>
        <v>70</v>
      </c>
      <c r="F5279" s="5">
        <f>(VLOOKUP(Table4[[#This Row],[item_sold]],Table1[],4,FALSE))*Table4[[#This Row],[qty]]</f>
        <v>54.166666666666664</v>
      </c>
      <c r="G5279">
        <f t="shared" si="793"/>
        <v>15.833333333333336</v>
      </c>
      <c r="H5279" t="s">
        <v>430</v>
      </c>
      <c r="I5279" t="s">
        <v>401</v>
      </c>
      <c r="J5279" t="s">
        <v>401</v>
      </c>
      <c r="K5279">
        <v>50</v>
      </c>
      <c r="L5279" t="s">
        <v>247</v>
      </c>
    </row>
    <row r="5280" spans="1:12" x14ac:dyDescent="0.25">
      <c r="A5280" s="1">
        <f t="shared" si="786"/>
        <v>45569</v>
      </c>
      <c r="B5280" s="31">
        <f>TIME(16,17,0)</f>
        <v>0.67847222222222225</v>
      </c>
      <c r="C5280" t="str">
        <f>'Inventory as of 12th Aug 2024'!A42</f>
        <v>Indomie chicken</v>
      </c>
      <c r="D5280">
        <v>1</v>
      </c>
      <c r="E5280" s="5">
        <f>Table4[[#This Row],[qty]]*(VLOOKUP(Table4[[#This Row],[item_sold]],Table1[],5,FALSE))</f>
        <v>50</v>
      </c>
      <c r="F5280" s="5">
        <f>(VLOOKUP(Table4[[#This Row],[item_sold]],Table1[],4,FALSE))*Table4[[#This Row],[qty]]</f>
        <v>37.5</v>
      </c>
      <c r="G5280">
        <f t="shared" si="793"/>
        <v>12.5</v>
      </c>
      <c r="H5280" t="s">
        <v>430</v>
      </c>
      <c r="I5280" t="s">
        <v>392</v>
      </c>
    </row>
    <row r="5281" spans="1:9" x14ac:dyDescent="0.25">
      <c r="A5281" s="1">
        <f t="shared" si="786"/>
        <v>45569</v>
      </c>
      <c r="B5281" s="31">
        <f>TIME(16,40,0)</f>
        <v>0.69444444444444453</v>
      </c>
      <c r="C5281" t="str">
        <f>'Inventory as of 12th Aug 2024'!A213</f>
        <v>soda 500ml glass</v>
      </c>
      <c r="D5281">
        <v>1</v>
      </c>
      <c r="E5281" s="5">
        <f>Table4[[#This Row],[qty]]*(VLOOKUP(Table4[[#This Row],[item_sold]],Table1[],5,FALSE))</f>
        <v>55</v>
      </c>
      <c r="F5281" s="5">
        <f>(VLOOKUP(Table4[[#This Row],[item_sold]],Table1[],4,FALSE))*Table4[[#This Row],[qty]]</f>
        <v>50</v>
      </c>
      <c r="G5281">
        <f t="shared" si="793"/>
        <v>5</v>
      </c>
      <c r="H5281" t="s">
        <v>361</v>
      </c>
    </row>
    <row r="5282" spans="1:9" x14ac:dyDescent="0.25">
      <c r="A5282" s="1">
        <f t="shared" si="786"/>
        <v>45569</v>
      </c>
      <c r="B5282" s="31">
        <f>TIME(17,11,0)</f>
        <v>0.71597222222222223</v>
      </c>
      <c r="C5282" t="str">
        <f>'Inventory as of 12th Aug 2024'!A120</f>
        <v>Maramoja</v>
      </c>
      <c r="D5282">
        <v>2</v>
      </c>
      <c r="E5282" s="5">
        <f>Table4[[#This Row],[qty]]*(VLOOKUP(Table4[[#This Row],[item_sold]],Table1[],5,FALSE))</f>
        <v>20</v>
      </c>
      <c r="F5282" s="5">
        <f>(VLOOKUP(Table4[[#This Row],[item_sold]],Table1[],4,FALSE))*Table4[[#This Row],[qty]]</f>
        <v>14</v>
      </c>
      <c r="G5282">
        <f t="shared" si="793"/>
        <v>6</v>
      </c>
      <c r="H5282" t="s">
        <v>361</v>
      </c>
    </row>
    <row r="5283" spans="1:9" x14ac:dyDescent="0.25">
      <c r="A5283" s="1">
        <f t="shared" si="786"/>
        <v>45569</v>
      </c>
      <c r="B5283" s="31">
        <f>TIME(17,12,0)</f>
        <v>0.71666666666666667</v>
      </c>
      <c r="C5283" t="str">
        <f>'Inventory as of 12th Aug 2024'!A82</f>
        <v>ariel 10g</v>
      </c>
      <c r="D5283">
        <v>1</v>
      </c>
      <c r="E5283" s="5">
        <f>Table4[[#This Row],[qty]]*(VLOOKUP(Table4[[#This Row],[item_sold]],Table1[],5,FALSE))</f>
        <v>15</v>
      </c>
      <c r="F5283" s="5">
        <f>(VLOOKUP(Table4[[#This Row],[item_sold]],Table1[],4,FALSE))*Table4[[#This Row],[qty]]</f>
        <v>9.1666666666666661</v>
      </c>
      <c r="G5283">
        <f t="shared" si="793"/>
        <v>5.8333333333333339</v>
      </c>
      <c r="H5283" t="s">
        <v>361</v>
      </c>
    </row>
    <row r="5284" spans="1:9" x14ac:dyDescent="0.25">
      <c r="A5284" s="1">
        <f t="shared" si="786"/>
        <v>45569</v>
      </c>
      <c r="B5284" s="31">
        <f>TIME(17,54,0)</f>
        <v>0.74583333333333324</v>
      </c>
      <c r="C5284" t="str">
        <f>'Inventory as of 12th Aug 2024'!A89</f>
        <v>Downy Sweet elegance</v>
      </c>
      <c r="D5284">
        <v>2</v>
      </c>
      <c r="E5284" s="5">
        <f>Table4[[#This Row],[qty]]*(VLOOKUP(Table4[[#This Row],[item_sold]],Table1[],5,FALSE))</f>
        <v>40</v>
      </c>
      <c r="F5284" s="5">
        <f>(VLOOKUP(Table4[[#This Row],[item_sold]],Table1[],4,FALSE))*Table4[[#This Row],[qty]]</f>
        <v>34.666666666666664</v>
      </c>
      <c r="G5284">
        <f t="shared" si="793"/>
        <v>5.3333333333333357</v>
      </c>
      <c r="H5284" t="s">
        <v>361</v>
      </c>
    </row>
    <row r="5285" spans="1:9" x14ac:dyDescent="0.25">
      <c r="A5285" s="1">
        <f t="shared" si="786"/>
        <v>45569</v>
      </c>
      <c r="B5285" s="31">
        <f t="shared" ref="B5285" si="796">TIME(17,54,0)</f>
        <v>0.74583333333333324</v>
      </c>
      <c r="C5285" t="str">
        <f>'Inventory as of 12th Aug 2024'!A120</f>
        <v>Maramoja</v>
      </c>
      <c r="D5285">
        <v>1</v>
      </c>
      <c r="E5285" s="5">
        <f>Table4[[#This Row],[qty]]*(VLOOKUP(Table4[[#This Row],[item_sold]],Table1[],5,FALSE))</f>
        <v>10</v>
      </c>
      <c r="F5285" s="5">
        <f>(VLOOKUP(Table4[[#This Row],[item_sold]],Table1[],4,FALSE))*Table4[[#This Row],[qty]]</f>
        <v>7</v>
      </c>
      <c r="G5285">
        <f t="shared" si="793"/>
        <v>3</v>
      </c>
      <c r="H5285" t="s">
        <v>361</v>
      </c>
    </row>
    <row r="5286" spans="1:9" x14ac:dyDescent="0.25">
      <c r="A5286" s="1">
        <f t="shared" si="786"/>
        <v>45569</v>
      </c>
      <c r="B5286" s="31">
        <f>TIME(17,37,0)</f>
        <v>0.73402777777777783</v>
      </c>
      <c r="C5286" t="str">
        <f>'Inventory as of 12th Aug 2024'!A58</f>
        <v>Safari</v>
      </c>
      <c r="D5286">
        <v>3</v>
      </c>
      <c r="E5286" s="5">
        <f>Table4[[#This Row],[qty]]*(VLOOKUP(Table4[[#This Row],[item_sold]],Table1[],5,FALSE))</f>
        <v>45</v>
      </c>
      <c r="F5286" s="5">
        <f>(VLOOKUP(Table4[[#This Row],[item_sold]],Table1[],4,FALSE))*Table4[[#This Row],[qty]]</f>
        <v>25.5</v>
      </c>
      <c r="G5286">
        <f t="shared" si="793"/>
        <v>19.5</v>
      </c>
      <c r="H5286" t="s">
        <v>361</v>
      </c>
    </row>
    <row r="5287" spans="1:9" x14ac:dyDescent="0.25">
      <c r="A5287" s="1">
        <f t="shared" si="786"/>
        <v>45569</v>
      </c>
      <c r="B5287" s="31">
        <f>TIME(18,34,0)</f>
        <v>0.77361111111111114</v>
      </c>
      <c r="C5287" t="str">
        <f>'Inventory as of 12th Aug 2024'!A212</f>
        <v>soda 300ml glass</v>
      </c>
      <c r="D5287">
        <v>1</v>
      </c>
      <c r="E5287" s="5">
        <f>Table4[[#This Row],[qty]]*(VLOOKUP(Table4[[#This Row],[item_sold]],Table1[],5,FALSE))</f>
        <v>40</v>
      </c>
      <c r="F5287" s="5">
        <f>(VLOOKUP(Table4[[#This Row],[item_sold]],Table1[],4,FALSE))*Table4[[#This Row],[qty]]</f>
        <v>32.5</v>
      </c>
      <c r="G5287">
        <f t="shared" si="793"/>
        <v>7.5</v>
      </c>
      <c r="H5287" s="25"/>
    </row>
    <row r="5288" spans="1:9" x14ac:dyDescent="0.25">
      <c r="A5288" s="1">
        <f t="shared" si="786"/>
        <v>45569</v>
      </c>
      <c r="B5288" s="31">
        <f>TIME(18,46,0)</f>
        <v>0.78194444444444444</v>
      </c>
      <c r="C5288" t="str">
        <f>'Inventory as of 12th Aug 2024'!A87</f>
        <v>Menengai Bar 1kg</v>
      </c>
      <c r="D5288">
        <v>1</v>
      </c>
      <c r="E5288" s="5">
        <f>Table4[[#This Row],[qty]]*(VLOOKUP(Table4[[#This Row],[item_sold]],Table1[],5,FALSE))</f>
        <v>250</v>
      </c>
      <c r="F5288" s="5">
        <f>(VLOOKUP(Table4[[#This Row],[item_sold]],Table1[],4,FALSE))*Table4[[#This Row],[qty]]</f>
        <v>190</v>
      </c>
      <c r="G5288">
        <f t="shared" si="793"/>
        <v>60</v>
      </c>
      <c r="H5288" t="s">
        <v>361</v>
      </c>
    </row>
    <row r="5289" spans="1:9" x14ac:dyDescent="0.25">
      <c r="A5289" s="1">
        <f t="shared" si="786"/>
        <v>45569</v>
      </c>
      <c r="B5289" s="31">
        <f t="shared" ref="B5289:B5290" si="797">TIME(18,46,0)</f>
        <v>0.78194444444444444</v>
      </c>
      <c r="C5289" t="str">
        <f>'Inventory as of 12th Aug 2024'!A135</f>
        <v>Bella Tissue</v>
      </c>
      <c r="D5289">
        <v>1</v>
      </c>
      <c r="E5289" s="5">
        <f>Table4[[#This Row],[qty]]*(VLOOKUP(Table4[[#This Row],[item_sold]],Table1[],5,FALSE))</f>
        <v>50</v>
      </c>
      <c r="F5289" s="5">
        <f>(VLOOKUP(Table4[[#This Row],[item_sold]],Table1[],4,FALSE))*Table4[[#This Row],[qty]]</f>
        <v>35</v>
      </c>
      <c r="G5289">
        <f t="shared" si="793"/>
        <v>15</v>
      </c>
      <c r="H5289" t="s">
        <v>247</v>
      </c>
    </row>
    <row r="5290" spans="1:9" x14ac:dyDescent="0.25">
      <c r="A5290" s="1">
        <f t="shared" si="786"/>
        <v>45569</v>
      </c>
      <c r="B5290" s="31">
        <f t="shared" si="797"/>
        <v>0.78194444444444444</v>
      </c>
      <c r="C5290" t="str">
        <f>'Inventory as of 12th Aug 2024'!A68</f>
        <v>Royco cubes</v>
      </c>
      <c r="D5290">
        <v>2</v>
      </c>
      <c r="E5290" s="5">
        <f>Table4[[#This Row],[qty]]*(VLOOKUP(Table4[[#This Row],[item_sold]],Table1[],5,FALSE))</f>
        <v>10</v>
      </c>
      <c r="F5290" s="5">
        <f>(VLOOKUP(Table4[[#This Row],[item_sold]],Table1[],4,FALSE))*Table4[[#This Row],[qty]]</f>
        <v>6</v>
      </c>
      <c r="G5290">
        <f t="shared" si="793"/>
        <v>4</v>
      </c>
      <c r="H5290" t="s">
        <v>430</v>
      </c>
      <c r="I5290" t="s">
        <v>394</v>
      </c>
    </row>
    <row r="5291" spans="1:9" x14ac:dyDescent="0.25">
      <c r="A5291" s="1">
        <f t="shared" si="786"/>
        <v>45569</v>
      </c>
      <c r="B5291" s="31">
        <f>TIME(19,6,0)</f>
        <v>0.79583333333333339</v>
      </c>
      <c r="C5291" t="str">
        <f>'Inventory as of 12th Aug 2024'!A195</f>
        <v>Ring Cake</v>
      </c>
      <c r="D5291">
        <v>1</v>
      </c>
      <c r="E5291" s="5">
        <f>Table4[[#This Row],[qty]]*(VLOOKUP(Table4[[#This Row],[item_sold]],Table1[],5,FALSE))</f>
        <v>50</v>
      </c>
      <c r="F5291" s="5">
        <f>(VLOOKUP(Table4[[#This Row],[item_sold]],Table1[],4,FALSE))*Table4[[#This Row],[qty]]</f>
        <v>45</v>
      </c>
      <c r="G5291">
        <f t="shared" si="793"/>
        <v>5</v>
      </c>
      <c r="H5291" t="s">
        <v>361</v>
      </c>
    </row>
    <row r="5292" spans="1:9" x14ac:dyDescent="0.25">
      <c r="A5292" s="1">
        <f t="shared" si="786"/>
        <v>45569</v>
      </c>
      <c r="B5292" s="31">
        <f t="shared" ref="B5292:B5293" si="798">TIME(19,6,0)</f>
        <v>0.79583333333333339</v>
      </c>
      <c r="C5292" t="str">
        <f>'Inventory as of 12th Aug 2024'!A135</f>
        <v>Bella Tissue</v>
      </c>
      <c r="D5292">
        <v>1</v>
      </c>
      <c r="E5292" s="5">
        <f>Table4[[#This Row],[qty]]*(VLOOKUP(Table4[[#This Row],[item_sold]],Table1[],5,FALSE))</f>
        <v>50</v>
      </c>
      <c r="F5292" s="5">
        <f>(VLOOKUP(Table4[[#This Row],[item_sold]],Table1[],4,FALSE))*Table4[[#This Row],[qty]]</f>
        <v>35</v>
      </c>
      <c r="G5292">
        <f t="shared" si="793"/>
        <v>15</v>
      </c>
      <c r="H5292" t="s">
        <v>361</v>
      </c>
    </row>
    <row r="5293" spans="1:9" x14ac:dyDescent="0.25">
      <c r="A5293" s="1">
        <f t="shared" si="786"/>
        <v>45569</v>
      </c>
      <c r="B5293" s="31">
        <f t="shared" si="798"/>
        <v>0.79583333333333339</v>
      </c>
      <c r="C5293" t="str">
        <f>'Inventory as of 12th Aug 2024'!A16</f>
        <v>Mt kenya milk 500ml</v>
      </c>
      <c r="D5293">
        <v>1</v>
      </c>
      <c r="E5293" s="5">
        <f>Table4[[#This Row],[qty]]*(VLOOKUP(Table4[[#This Row],[item_sold]],Table1[],5,FALSE))</f>
        <v>65</v>
      </c>
      <c r="F5293" s="5">
        <f>(VLOOKUP(Table4[[#This Row],[item_sold]],Table1[],4,FALSE))*Table4[[#This Row],[qty]]</f>
        <v>48.333333333333336</v>
      </c>
      <c r="G5293">
        <f t="shared" si="793"/>
        <v>16.666666666666664</v>
      </c>
      <c r="H5293" t="s">
        <v>361</v>
      </c>
    </row>
    <row r="5294" spans="1:9" x14ac:dyDescent="0.25">
      <c r="A5294" s="1">
        <f t="shared" si="786"/>
        <v>45569</v>
      </c>
      <c r="B5294" s="31">
        <f>TIME(19,9,0)</f>
        <v>0.79791666666666661</v>
      </c>
      <c r="C5294" t="str">
        <f>'Inventory as of 12th Aug 2024'!A58</f>
        <v>Safari</v>
      </c>
      <c r="D5294">
        <v>1</v>
      </c>
      <c r="E5294" s="5">
        <f>Table4[[#This Row],[qty]]*(VLOOKUP(Table4[[#This Row],[item_sold]],Table1[],5,FALSE))</f>
        <v>15</v>
      </c>
      <c r="F5294" s="5">
        <f>(VLOOKUP(Table4[[#This Row],[item_sold]],Table1[],4,FALSE))*Table4[[#This Row],[qty]]</f>
        <v>8.5</v>
      </c>
      <c r="G5294">
        <f t="shared" si="793"/>
        <v>6.5</v>
      </c>
      <c r="H5294" t="s">
        <v>361</v>
      </c>
    </row>
    <row r="5295" spans="1:9" x14ac:dyDescent="0.25">
      <c r="A5295" s="1">
        <f t="shared" si="786"/>
        <v>45569</v>
      </c>
      <c r="B5295" s="31">
        <f>TIME(19,13,0)</f>
        <v>0.80069444444444438</v>
      </c>
      <c r="C5295" t="str">
        <f>'Inventory as of 12th Aug 2024'!A204</f>
        <v>soda 2lts</v>
      </c>
      <c r="D5295">
        <v>1</v>
      </c>
      <c r="E5295" s="5">
        <f>Table4[[#This Row],[qty]]*(VLOOKUP(Table4[[#This Row],[item_sold]],Table1[],5,FALSE))</f>
        <v>200</v>
      </c>
      <c r="F5295" s="5">
        <f>(VLOOKUP(Table4[[#This Row],[item_sold]],Table1[],4,FALSE))*Table4[[#This Row],[qty]]</f>
        <v>176.66666666666666</v>
      </c>
      <c r="G5295">
        <f t="shared" si="793"/>
        <v>23.333333333333343</v>
      </c>
      <c r="H5295" t="s">
        <v>361</v>
      </c>
    </row>
    <row r="5296" spans="1:9" x14ac:dyDescent="0.25">
      <c r="A5296" s="1">
        <f t="shared" si="786"/>
        <v>45569</v>
      </c>
      <c r="B5296" s="31">
        <f t="shared" ref="B5296:B5297" si="799">TIME(19,13,0)</f>
        <v>0.80069444444444438</v>
      </c>
      <c r="C5296" t="str">
        <f>'Inventory as of 12th Aug 2024'!A37</f>
        <v>Festive Bread 400g</v>
      </c>
      <c r="D5296">
        <v>1</v>
      </c>
      <c r="E5296" s="5">
        <f>Table4[[#This Row],[qty]]*(VLOOKUP(Table4[[#This Row],[item_sold]],Table1[],5,FALSE))</f>
        <v>65</v>
      </c>
      <c r="F5296" s="5">
        <f>(VLOOKUP(Table4[[#This Row],[item_sold]],Table1[],4,FALSE))*Table4[[#This Row],[qty]]</f>
        <v>60</v>
      </c>
      <c r="G5296">
        <f t="shared" si="793"/>
        <v>5</v>
      </c>
      <c r="H5296" t="s">
        <v>430</v>
      </c>
      <c r="I5296" t="s">
        <v>390</v>
      </c>
    </row>
    <row r="5297" spans="1:12" x14ac:dyDescent="0.25">
      <c r="A5297" s="1">
        <f t="shared" si="786"/>
        <v>45569</v>
      </c>
      <c r="B5297" s="31">
        <f t="shared" si="799"/>
        <v>0.80069444444444438</v>
      </c>
      <c r="C5297" t="str">
        <f>'Inventory as of 12th Aug 2024'!A16</f>
        <v>Mt kenya milk 500ml</v>
      </c>
      <c r="D5297">
        <v>1</v>
      </c>
      <c r="E5297" s="5">
        <f>Table4[[#This Row],[qty]]*(VLOOKUP(Table4[[#This Row],[item_sold]],Table1[],5,FALSE))</f>
        <v>65</v>
      </c>
      <c r="F5297" s="5">
        <f>(VLOOKUP(Table4[[#This Row],[item_sold]],Table1[],4,FALSE))*Table4[[#This Row],[qty]]</f>
        <v>48.333333333333336</v>
      </c>
      <c r="G5297">
        <f t="shared" si="793"/>
        <v>16.666666666666664</v>
      </c>
      <c r="H5297" t="s">
        <v>430</v>
      </c>
      <c r="I5297" t="s">
        <v>390</v>
      </c>
    </row>
    <row r="5298" spans="1:12" x14ac:dyDescent="0.25">
      <c r="A5298" s="1">
        <f t="shared" si="786"/>
        <v>45569</v>
      </c>
      <c r="B5298" s="31">
        <f>TIME(19,32,0)</f>
        <v>0.81388888888888899</v>
      </c>
      <c r="C5298" t="str">
        <f>'Inventory as of 12th Aug 2024'!A218</f>
        <v>Battery AAA</v>
      </c>
      <c r="D5298">
        <v>2</v>
      </c>
      <c r="E5298" s="5">
        <f>Table4[[#This Row],[qty]]*(VLOOKUP(Table4[[#This Row],[item_sold]],Table1[],5,FALSE))</f>
        <v>30</v>
      </c>
      <c r="F5298" s="5">
        <f>(VLOOKUP(Table4[[#This Row],[item_sold]],Table1[],4,FALSE))*Table4[[#This Row],[qty]]</f>
        <v>20</v>
      </c>
      <c r="G5298">
        <f t="shared" si="793"/>
        <v>10</v>
      </c>
      <c r="H5298" t="s">
        <v>361</v>
      </c>
    </row>
    <row r="5299" spans="1:12" x14ac:dyDescent="0.25">
      <c r="A5299" s="1">
        <f t="shared" si="786"/>
        <v>45569</v>
      </c>
      <c r="B5299" s="31">
        <f>TIME(19,39,0)</f>
        <v>0.81874999999999998</v>
      </c>
      <c r="C5299" t="str">
        <f>'Inventory as of 12th Aug 2024'!A153</f>
        <v>mosquito stick</v>
      </c>
      <c r="D5299">
        <v>6</v>
      </c>
      <c r="E5299" s="5">
        <f>Table4[[#This Row],[qty]]*(VLOOKUP(Table4[[#This Row],[item_sold]],Table1[],5,FALSE))</f>
        <v>60</v>
      </c>
      <c r="F5299" s="5">
        <f>(VLOOKUP(Table4[[#This Row],[item_sold]],Table1[],4,FALSE))*Table4[[#This Row],[qty]]</f>
        <v>54</v>
      </c>
      <c r="G5299">
        <f t="shared" si="793"/>
        <v>6</v>
      </c>
      <c r="H5299" t="s">
        <v>361</v>
      </c>
    </row>
    <row r="5300" spans="1:12" x14ac:dyDescent="0.25">
      <c r="A5300" s="1">
        <f t="shared" si="786"/>
        <v>45569</v>
      </c>
      <c r="B5300" s="31">
        <f>TIME(19,52,0)</f>
        <v>0.82777777777777783</v>
      </c>
      <c r="C5300" t="str">
        <f>'Inventory as of 12th Aug 2024'!A212</f>
        <v>soda 300ml glass</v>
      </c>
      <c r="D5300">
        <v>1</v>
      </c>
      <c r="E5300" s="5">
        <f>Table4[[#This Row],[qty]]*(VLOOKUP(Table4[[#This Row],[item_sold]],Table1[],5,FALSE))</f>
        <v>40</v>
      </c>
      <c r="F5300" s="5">
        <f>(VLOOKUP(Table4[[#This Row],[item_sold]],Table1[],4,FALSE))*Table4[[#This Row],[qty]]</f>
        <v>32.5</v>
      </c>
      <c r="G5300">
        <f t="shared" si="793"/>
        <v>7.5</v>
      </c>
      <c r="H5300" t="s">
        <v>361</v>
      </c>
    </row>
    <row r="5301" spans="1:12" x14ac:dyDescent="0.25">
      <c r="A5301" s="1">
        <f t="shared" si="786"/>
        <v>45569</v>
      </c>
      <c r="B5301" s="31">
        <f t="shared" ref="B5301:B5302" si="800">TIME(19,52,0)</f>
        <v>0.82777777777777783</v>
      </c>
      <c r="C5301" t="str">
        <f>'Inventory as of 12th Aug 2024'!A90</f>
        <v>Onion</v>
      </c>
      <c r="D5301">
        <v>5</v>
      </c>
      <c r="E5301" s="5">
        <f>Table4[[#This Row],[qty]]*(VLOOKUP(Table4[[#This Row],[item_sold]],Table1[],5,FALSE))</f>
        <v>50</v>
      </c>
      <c r="F5301" s="5">
        <f>(VLOOKUP(Table4[[#This Row],[item_sold]],Table1[],4,FALSE))*Table4[[#This Row],[qty]]</f>
        <v>40</v>
      </c>
      <c r="G5301">
        <f t="shared" si="793"/>
        <v>10</v>
      </c>
      <c r="H5301" t="s">
        <v>361</v>
      </c>
    </row>
    <row r="5302" spans="1:12" x14ac:dyDescent="0.25">
      <c r="A5302" s="1">
        <f t="shared" si="786"/>
        <v>45569</v>
      </c>
      <c r="B5302" s="31">
        <f t="shared" si="800"/>
        <v>0.82777777777777783</v>
      </c>
      <c r="C5302" t="str">
        <f>'Inventory as of 12th Aug 2024'!A70</f>
        <v>Sugar 1/2 kg</v>
      </c>
      <c r="D5302">
        <v>1</v>
      </c>
      <c r="E5302" s="5">
        <f>Table4[[#This Row],[qty]]*(VLOOKUP(Table4[[#This Row],[item_sold]],Table1[],5,FALSE))</f>
        <v>90</v>
      </c>
      <c r="F5302" s="5">
        <f>(VLOOKUP(Table4[[#This Row],[item_sold]],Table1[],4,FALSE))*Table4[[#This Row],[qty]]</f>
        <v>60</v>
      </c>
      <c r="G5302">
        <f t="shared" si="793"/>
        <v>30</v>
      </c>
      <c r="H5302" t="s">
        <v>430</v>
      </c>
      <c r="I5302" t="s">
        <v>404</v>
      </c>
    </row>
    <row r="5303" spans="1:12" x14ac:dyDescent="0.25">
      <c r="A5303" s="1">
        <f t="shared" si="786"/>
        <v>45569</v>
      </c>
      <c r="B5303" s="31">
        <f>TIME(20,27,0)</f>
        <v>0.8520833333333333</v>
      </c>
      <c r="C5303" t="str">
        <f>'Inventory as of 12th Aug 2024'!A58</f>
        <v>Safari</v>
      </c>
      <c r="D5303">
        <v>1</v>
      </c>
      <c r="E5303" s="5">
        <f>Table4[[#This Row],[qty]]*(VLOOKUP(Table4[[#This Row],[item_sold]],Table1[],5,FALSE))</f>
        <v>15</v>
      </c>
      <c r="F5303" s="5">
        <f>(VLOOKUP(Table4[[#This Row],[item_sold]],Table1[],4,FALSE))*Table4[[#This Row],[qty]]</f>
        <v>8.5</v>
      </c>
      <c r="G5303">
        <f t="shared" si="793"/>
        <v>6.5</v>
      </c>
      <c r="H5303" t="s">
        <v>361</v>
      </c>
    </row>
    <row r="5304" spans="1:12" x14ac:dyDescent="0.25">
      <c r="A5304" s="1">
        <f>DATE(2024,10,5)</f>
        <v>45570</v>
      </c>
      <c r="B5304" s="31">
        <f>TIME(7,41,0)</f>
        <v>0.32013888888888892</v>
      </c>
      <c r="C5304" t="str">
        <f>'Inventory as of 12th Aug 2024'!A33</f>
        <v>BB Bread 400g</v>
      </c>
      <c r="D5304">
        <v>1</v>
      </c>
      <c r="E5304" s="5">
        <f>Table4[[#This Row],[qty]]*(VLOOKUP(Table4[[#This Row],[item_sold]],Table1[],5,FALSE))</f>
        <v>65</v>
      </c>
      <c r="F5304" s="5">
        <f>(VLOOKUP(Table4[[#This Row],[item_sold]],Table1[],4,FALSE))*Table4[[#This Row],[qty]]</f>
        <v>60</v>
      </c>
      <c r="G5304">
        <f t="shared" si="793"/>
        <v>5</v>
      </c>
      <c r="H5304" t="s">
        <v>361</v>
      </c>
    </row>
    <row r="5305" spans="1:12" x14ac:dyDescent="0.25">
      <c r="A5305" s="1">
        <f t="shared" ref="A5305:A5360" si="801">DATE(2024,10,5)</f>
        <v>45570</v>
      </c>
      <c r="B5305" s="31">
        <f>TIME(8,19,0)</f>
        <v>0.34652777777777777</v>
      </c>
      <c r="C5305" t="str">
        <f>'Inventory as of 12th Aug 2024'!A90</f>
        <v>Onion</v>
      </c>
      <c r="D5305">
        <v>2</v>
      </c>
      <c r="E5305" s="5">
        <f>Table4[[#This Row],[qty]]*(VLOOKUP(Table4[[#This Row],[item_sold]],Table1[],5,FALSE))</f>
        <v>20</v>
      </c>
      <c r="F5305" s="5">
        <f>(VLOOKUP(Table4[[#This Row],[item_sold]],Table1[],4,FALSE))*Table4[[#This Row],[qty]]</f>
        <v>16</v>
      </c>
      <c r="G5305">
        <f t="shared" si="793"/>
        <v>4</v>
      </c>
      <c r="H5305" t="s">
        <v>247</v>
      </c>
    </row>
    <row r="5306" spans="1:12" x14ac:dyDescent="0.25">
      <c r="A5306" s="1">
        <f t="shared" si="801"/>
        <v>45570</v>
      </c>
      <c r="B5306" s="31">
        <f t="shared" ref="B5306:B5307" si="802">TIME(8,19,0)</f>
        <v>0.34652777777777777</v>
      </c>
      <c r="C5306" t="str">
        <f>'Inventory as of 12th Aug 2024'!A8</f>
        <v>eggs</v>
      </c>
      <c r="D5306">
        <v>1</v>
      </c>
      <c r="E5306" s="5">
        <f>Table4[[#This Row],[qty]]*(VLOOKUP(Table4[[#This Row],[item_sold]],Table1[],5,FALSE))</f>
        <v>20</v>
      </c>
      <c r="F5306" s="5">
        <f>(VLOOKUP(Table4[[#This Row],[item_sold]],Table1[],4,FALSE))*Table4[[#This Row],[qty]]</f>
        <v>14.333333333333334</v>
      </c>
      <c r="G5306">
        <f t="shared" si="793"/>
        <v>5.6666666666666661</v>
      </c>
      <c r="H5306" t="s">
        <v>430</v>
      </c>
      <c r="I5306" t="s">
        <v>592</v>
      </c>
    </row>
    <row r="5307" spans="1:12" x14ac:dyDescent="0.25">
      <c r="A5307" s="1">
        <f t="shared" si="801"/>
        <v>45570</v>
      </c>
      <c r="B5307" s="31">
        <f t="shared" si="802"/>
        <v>0.34652777777777777</v>
      </c>
      <c r="C5307" t="str">
        <f>'Inventory as of 12th Aug 2024'!A10</f>
        <v>Mt Kenya milk 200ml</v>
      </c>
      <c r="D5307">
        <v>1</v>
      </c>
      <c r="E5307" s="5">
        <f>Table4[[#This Row],[qty]]*(VLOOKUP(Table4[[#This Row],[item_sold]],Table1[],5,FALSE))</f>
        <v>35</v>
      </c>
      <c r="F5307" s="5">
        <f>(VLOOKUP(Table4[[#This Row],[item_sold]],Table1[],4,FALSE))*Table4[[#This Row],[qty]]</f>
        <v>24.285714285714285</v>
      </c>
      <c r="G5307">
        <f t="shared" si="793"/>
        <v>10.714285714285715</v>
      </c>
      <c r="H5307" t="s">
        <v>430</v>
      </c>
      <c r="I5307" t="s">
        <v>592</v>
      </c>
    </row>
    <row r="5308" spans="1:12" x14ac:dyDescent="0.25">
      <c r="A5308" s="1">
        <f t="shared" si="801"/>
        <v>45570</v>
      </c>
      <c r="B5308" s="31">
        <f>TIME(8,59,0)</f>
        <v>0.3743055555555555</v>
      </c>
      <c r="C5308" t="str">
        <f>'Inventory as of 12th Aug 2024'!A16</f>
        <v>Mt kenya milk 500ml</v>
      </c>
      <c r="D5308">
        <v>2</v>
      </c>
      <c r="E5308" s="5">
        <f>Table4[[#This Row],[qty]]*(VLOOKUP(Table4[[#This Row],[item_sold]],Table1[],5,FALSE))</f>
        <v>130</v>
      </c>
      <c r="F5308" s="5">
        <f>(VLOOKUP(Table4[[#This Row],[item_sold]],Table1[],4,FALSE))*Table4[[#This Row],[qty]]</f>
        <v>96.666666666666671</v>
      </c>
      <c r="G5308">
        <f t="shared" si="793"/>
        <v>33.333333333333329</v>
      </c>
      <c r="H5308" t="s">
        <v>247</v>
      </c>
    </row>
    <row r="5309" spans="1:12" x14ac:dyDescent="0.25">
      <c r="A5309" s="1">
        <f t="shared" si="801"/>
        <v>45570</v>
      </c>
      <c r="B5309" s="31">
        <f t="shared" ref="B5309" si="803">TIME(8,59,0)</f>
        <v>0.3743055555555555</v>
      </c>
      <c r="C5309" t="str">
        <f>'Inventory as of 12th Aug 2024'!A83</f>
        <v>omo 75g</v>
      </c>
      <c r="D5309">
        <v>1</v>
      </c>
      <c r="E5309" s="5">
        <f>Table4[[#This Row],[qty]]*(VLOOKUP(Table4[[#This Row],[item_sold]],Table1[],5,FALSE))</f>
        <v>35</v>
      </c>
      <c r="F5309" s="5">
        <f>(VLOOKUP(Table4[[#This Row],[item_sold]],Table1[],4,FALSE))*Table4[[#This Row],[qty]]</f>
        <v>27.5</v>
      </c>
      <c r="G5309">
        <f t="shared" si="793"/>
        <v>7.5</v>
      </c>
      <c r="H5309" t="s">
        <v>247</v>
      </c>
    </row>
    <row r="5310" spans="1:12" x14ac:dyDescent="0.25">
      <c r="A5310" s="1">
        <f t="shared" si="801"/>
        <v>45570</v>
      </c>
      <c r="B5310" s="31">
        <f>TIME(9,35,0)</f>
        <v>0.39930555555555558</v>
      </c>
      <c r="C5310" t="str">
        <f>'Inventory as of 12th Aug 2024'!A58</f>
        <v>Safari</v>
      </c>
      <c r="D5310">
        <v>1</v>
      </c>
      <c r="E5310" s="5">
        <f>Table4[[#This Row],[qty]]*(VLOOKUP(Table4[[#This Row],[item_sold]],Table1[],5,FALSE))</f>
        <v>15</v>
      </c>
      <c r="F5310" s="5">
        <f>(VLOOKUP(Table4[[#This Row],[item_sold]],Table1[],4,FALSE))*Table4[[#This Row],[qty]]</f>
        <v>8.5</v>
      </c>
      <c r="G5310">
        <f t="shared" si="793"/>
        <v>6.5</v>
      </c>
      <c r="H5310" t="s">
        <v>430</v>
      </c>
      <c r="I5310" t="s">
        <v>447</v>
      </c>
      <c r="J5310" t="s">
        <v>447</v>
      </c>
      <c r="K5310">
        <v>5</v>
      </c>
      <c r="L5310" t="s">
        <v>361</v>
      </c>
    </row>
    <row r="5311" spans="1:12" x14ac:dyDescent="0.25">
      <c r="A5311" s="1">
        <f t="shared" si="801"/>
        <v>45570</v>
      </c>
      <c r="B5311" s="31">
        <f>TIME(9,37,0)</f>
        <v>0.40069444444444446</v>
      </c>
      <c r="C5311" t="str">
        <f>'Inventory as of 12th Aug 2024'!A58</f>
        <v>Safari</v>
      </c>
      <c r="D5311">
        <v>1</v>
      </c>
      <c r="E5311" s="5">
        <f>Table4[[#This Row],[qty]]*(VLOOKUP(Table4[[#This Row],[item_sold]],Table1[],5,FALSE))</f>
        <v>15</v>
      </c>
      <c r="F5311" s="5">
        <f>(VLOOKUP(Table4[[#This Row],[item_sold]],Table1[],4,FALSE))*Table4[[#This Row],[qty]]</f>
        <v>8.5</v>
      </c>
      <c r="G5311">
        <f t="shared" si="793"/>
        <v>6.5</v>
      </c>
      <c r="H5311" t="s">
        <v>361</v>
      </c>
    </row>
    <row r="5312" spans="1:12" x14ac:dyDescent="0.25">
      <c r="A5312" s="1">
        <f t="shared" si="801"/>
        <v>45570</v>
      </c>
      <c r="B5312" s="31">
        <f>TIME(9,40,0)</f>
        <v>0.40277777777777773</v>
      </c>
      <c r="C5312" t="str">
        <f>'Inventory as of 12th Aug 2024'!A27</f>
        <v>Nescafe 1.5g</v>
      </c>
      <c r="D5312">
        <v>2</v>
      </c>
      <c r="E5312" s="5">
        <f>Table4[[#This Row],[qty]]*(VLOOKUP(Table4[[#This Row],[item_sold]],Table1[],5,FALSE))</f>
        <v>30</v>
      </c>
      <c r="F5312" s="5">
        <f>(VLOOKUP(Table4[[#This Row],[item_sold]],Table1[],4,FALSE))*Table4[[#This Row],[qty]]</f>
        <v>18.333333333333332</v>
      </c>
      <c r="G5312">
        <f t="shared" si="793"/>
        <v>11.666666666666668</v>
      </c>
      <c r="H5312" t="s">
        <v>361</v>
      </c>
    </row>
    <row r="5313" spans="1:12" x14ac:dyDescent="0.25">
      <c r="A5313" s="1">
        <f t="shared" si="801"/>
        <v>45570</v>
      </c>
      <c r="B5313" s="31">
        <f t="shared" ref="B5313:B5314" si="804">TIME(9,40,0)</f>
        <v>0.40277777777777773</v>
      </c>
      <c r="C5313" t="str">
        <f>'Inventory as of 12th Aug 2024'!A234</f>
        <v>Bigdaddy</v>
      </c>
      <c r="D5313">
        <v>1</v>
      </c>
      <c r="E5313" s="5">
        <f>Table4[[#This Row],[qty]]*(VLOOKUP(Table4[[#This Row],[item_sold]],Table1[],5,FALSE))</f>
        <v>10</v>
      </c>
      <c r="F5313" s="5">
        <f>(VLOOKUP(Table4[[#This Row],[item_sold]],Table1[],4,FALSE))*Table4[[#This Row],[qty]]</f>
        <v>6</v>
      </c>
      <c r="G5313">
        <f t="shared" si="793"/>
        <v>4</v>
      </c>
      <c r="H5313" t="s">
        <v>361</v>
      </c>
    </row>
    <row r="5314" spans="1:12" x14ac:dyDescent="0.25">
      <c r="A5314" s="1">
        <f t="shared" si="801"/>
        <v>45570</v>
      </c>
      <c r="B5314" s="31">
        <f t="shared" si="804"/>
        <v>0.40277777777777773</v>
      </c>
      <c r="C5314" t="str">
        <f>'Inventory as of 12th Aug 2024'!A240</f>
        <v>Bigboss</v>
      </c>
      <c r="D5314">
        <v>2</v>
      </c>
      <c r="E5314" s="5">
        <f>Table4[[#This Row],[qty]]*(VLOOKUP(Table4[[#This Row],[item_sold]],Table1[],5,FALSE))</f>
        <v>10</v>
      </c>
      <c r="F5314" s="5">
        <f>(VLOOKUP(Table4[[#This Row],[item_sold]],Table1[],4,FALSE))*Table4[[#This Row],[qty]]</f>
        <v>7</v>
      </c>
      <c r="G5314">
        <f t="shared" si="793"/>
        <v>3</v>
      </c>
      <c r="H5314" t="s">
        <v>361</v>
      </c>
    </row>
    <row r="5315" spans="1:12" x14ac:dyDescent="0.25">
      <c r="A5315" s="1">
        <f t="shared" si="801"/>
        <v>45570</v>
      </c>
      <c r="B5315" s="31">
        <f>TIME(9,46,0)</f>
        <v>0.4069444444444445</v>
      </c>
      <c r="C5315" t="str">
        <f>'Inventory as of 12th Aug 2024'!A9</f>
        <v>Kinangop Fresh Milk 500ml</v>
      </c>
      <c r="D5315">
        <v>1</v>
      </c>
      <c r="E5315" s="5">
        <f>Table4[[#This Row],[qty]]*(VLOOKUP(Table4[[#This Row],[item_sold]],Table1[],5,FALSE))</f>
        <v>60</v>
      </c>
      <c r="F5315" s="5">
        <f>(VLOOKUP(Table4[[#This Row],[item_sold]],Table1[],4,FALSE))*Table4[[#This Row],[qty]]</f>
        <v>55</v>
      </c>
      <c r="G5315">
        <f t="shared" si="793"/>
        <v>5</v>
      </c>
      <c r="H5315" t="s">
        <v>361</v>
      </c>
    </row>
    <row r="5316" spans="1:12" x14ac:dyDescent="0.25">
      <c r="A5316" s="1">
        <f t="shared" si="801"/>
        <v>45570</v>
      </c>
      <c r="B5316" s="31">
        <f t="shared" ref="B5316" si="805">TIME(9,46,0)</f>
        <v>0.4069444444444445</v>
      </c>
      <c r="C5316" t="str">
        <f>'Inventory as of 12th Aug 2024'!A193</f>
        <v>Ginger Bisquit</v>
      </c>
      <c r="D5316">
        <v>8</v>
      </c>
      <c r="E5316" s="5">
        <f>Table4[[#This Row],[qty]]*(VLOOKUP(Table4[[#This Row],[item_sold]],Table1[],5,FALSE))</f>
        <v>40</v>
      </c>
      <c r="F5316" s="5">
        <f>(VLOOKUP(Table4[[#This Row],[item_sold]],Table1[],4,FALSE))*Table4[[#This Row],[qty]]</f>
        <v>34.666666666666664</v>
      </c>
      <c r="G5316">
        <f t="shared" si="793"/>
        <v>5.3333333333333357</v>
      </c>
      <c r="H5316" t="s">
        <v>247</v>
      </c>
    </row>
    <row r="5317" spans="1:12" x14ac:dyDescent="0.25">
      <c r="A5317" s="1">
        <f t="shared" si="801"/>
        <v>45570</v>
      </c>
      <c r="B5317" s="31">
        <f>TIME(10,50,0)</f>
        <v>0.4513888888888889</v>
      </c>
      <c r="C5317" t="str">
        <f>'Inventory as of 12th Aug 2024'!A183</f>
        <v>T.Heat Potato crisps Tomato 25g</v>
      </c>
      <c r="D5317">
        <v>2</v>
      </c>
      <c r="E5317" s="5">
        <f>Table4[[#This Row],[qty]]*(VLOOKUP(Table4[[#This Row],[item_sold]],Table1[],5,FALSE))</f>
        <v>60</v>
      </c>
      <c r="F5317" s="5">
        <f>(VLOOKUP(Table4[[#This Row],[item_sold]],Table1[],4,FALSE))*Table4[[#This Row],[qty]]</f>
        <v>45.833333333333336</v>
      </c>
      <c r="G5317">
        <f t="shared" si="793"/>
        <v>14.166666666666664</v>
      </c>
      <c r="H5317" t="s">
        <v>361</v>
      </c>
    </row>
    <row r="5318" spans="1:12" x14ac:dyDescent="0.25">
      <c r="A5318" s="1">
        <f t="shared" si="801"/>
        <v>45570</v>
      </c>
      <c r="B5318" s="31">
        <f t="shared" ref="B5318:B5321" si="806">TIME(10,50,0)</f>
        <v>0.4513888888888889</v>
      </c>
      <c r="C5318" t="str">
        <f>'Inventory as of 12th Aug 2024'!A216</f>
        <v>Blueband 500g</v>
      </c>
      <c r="D5318">
        <v>1</v>
      </c>
      <c r="E5318" s="5">
        <f>Table4[[#This Row],[qty]]*(VLOOKUP(Table4[[#This Row],[item_sold]],Table1[],5,FALSE))</f>
        <v>350</v>
      </c>
      <c r="F5318" s="5">
        <f>(VLOOKUP(Table4[[#This Row],[item_sold]],Table1[],4,FALSE))*Table4[[#This Row],[qty]]</f>
        <v>250</v>
      </c>
      <c r="G5318">
        <f t="shared" si="793"/>
        <v>100</v>
      </c>
      <c r="H5318" t="s">
        <v>361</v>
      </c>
    </row>
    <row r="5319" spans="1:12" x14ac:dyDescent="0.25">
      <c r="A5319" s="1">
        <f t="shared" si="801"/>
        <v>45570</v>
      </c>
      <c r="B5319" s="31">
        <f t="shared" si="806"/>
        <v>0.4513888888888889</v>
      </c>
      <c r="C5319" t="str">
        <f>'Inventory as of 12th Aug 2024'!A215</f>
        <v>Blueband 100g</v>
      </c>
      <c r="D5319">
        <v>1</v>
      </c>
      <c r="E5319" s="5">
        <f>Table4[[#This Row],[qty]]*(VLOOKUP(Table4[[#This Row],[item_sold]],Table1[],5,FALSE))</f>
        <v>70</v>
      </c>
      <c r="F5319" s="5">
        <f>(VLOOKUP(Table4[[#This Row],[item_sold]],Table1[],4,FALSE))*Table4[[#This Row],[qty]]</f>
        <v>58.333333333333336</v>
      </c>
      <c r="G5319">
        <f t="shared" si="793"/>
        <v>11.666666666666664</v>
      </c>
      <c r="H5319" t="s">
        <v>361</v>
      </c>
    </row>
    <row r="5320" spans="1:12" x14ac:dyDescent="0.25">
      <c r="A5320" s="1">
        <f t="shared" si="801"/>
        <v>45570</v>
      </c>
      <c r="B5320" s="31">
        <f t="shared" si="806"/>
        <v>0.4513888888888889</v>
      </c>
      <c r="C5320" t="str">
        <f>'Inventory as of 12th Aug 2024'!A17</f>
        <v>Brookside milk 500ml</v>
      </c>
      <c r="D5320">
        <v>2</v>
      </c>
      <c r="E5320" s="5">
        <f>Table4[[#This Row],[qty]]*(VLOOKUP(Table4[[#This Row],[item_sold]],Table1[],5,FALSE))</f>
        <v>140</v>
      </c>
      <c r="F5320" s="5">
        <f>(VLOOKUP(Table4[[#This Row],[item_sold]],Table1[],4,FALSE))*Table4[[#This Row],[qty]]</f>
        <v>118</v>
      </c>
      <c r="G5320">
        <f t="shared" si="793"/>
        <v>22</v>
      </c>
      <c r="H5320" t="s">
        <v>361</v>
      </c>
    </row>
    <row r="5321" spans="1:12" x14ac:dyDescent="0.25">
      <c r="A5321" s="1">
        <f t="shared" si="801"/>
        <v>45570</v>
      </c>
      <c r="B5321" s="31">
        <f t="shared" si="806"/>
        <v>0.4513888888888889</v>
      </c>
      <c r="C5321" t="str">
        <f>'Inventory as of 12th Aug 2024'!A69</f>
        <v>Royco Beef Mchuzi Mix</v>
      </c>
      <c r="D5321">
        <v>1</v>
      </c>
      <c r="E5321" s="5">
        <f>Table4[[#This Row],[qty]]*(VLOOKUP(Table4[[#This Row],[item_sold]],Table1[],5,FALSE))</f>
        <v>10</v>
      </c>
      <c r="F5321" s="5">
        <f>(VLOOKUP(Table4[[#This Row],[item_sold]],Table1[],4,FALSE))*Table4[[#This Row],[qty]]</f>
        <v>8.3333333333333339</v>
      </c>
      <c r="G5321">
        <f t="shared" si="793"/>
        <v>1.6666666666666661</v>
      </c>
      <c r="H5321" t="s">
        <v>361</v>
      </c>
    </row>
    <row r="5322" spans="1:12" x14ac:dyDescent="0.25">
      <c r="A5322" s="1">
        <f t="shared" si="801"/>
        <v>45570</v>
      </c>
      <c r="B5322" s="31">
        <f>TIME(12,54,0)</f>
        <v>0.53749999999999998</v>
      </c>
      <c r="C5322" t="str">
        <f>'Inventory as of 12th Aug 2024'!A8</f>
        <v>eggs</v>
      </c>
      <c r="D5322">
        <v>2</v>
      </c>
      <c r="E5322" s="5">
        <f>Table4[[#This Row],[qty]]*(VLOOKUP(Table4[[#This Row],[item_sold]],Table1[],5,FALSE))</f>
        <v>40</v>
      </c>
      <c r="F5322" s="5">
        <f>(VLOOKUP(Table4[[#This Row],[item_sold]],Table1[],4,FALSE))*Table4[[#This Row],[qty]]</f>
        <v>28.666666666666668</v>
      </c>
      <c r="G5322">
        <f t="shared" si="793"/>
        <v>11.333333333333332</v>
      </c>
      <c r="H5322" t="s">
        <v>361</v>
      </c>
    </row>
    <row r="5323" spans="1:12" x14ac:dyDescent="0.25">
      <c r="A5323" s="1">
        <f t="shared" si="801"/>
        <v>45570</v>
      </c>
      <c r="B5323" s="31">
        <f t="shared" ref="B5323:B5324" si="807">TIME(12,54,0)</f>
        <v>0.53749999999999998</v>
      </c>
      <c r="C5323" t="str">
        <f>'Inventory as of 12th Aug 2024'!A75</f>
        <v>Cooking Oil Measured</v>
      </c>
      <c r="D5323">
        <v>0.5</v>
      </c>
      <c r="E5323" s="5">
        <f>Table4[[#This Row],[qty]]*(VLOOKUP(Table4[[#This Row],[item_sold]],Table1[],5,FALSE))</f>
        <v>140</v>
      </c>
      <c r="F5323" s="5">
        <f>(VLOOKUP(Table4[[#This Row],[item_sold]],Table1[],4,FALSE))*Table4[[#This Row],[qty]]</f>
        <v>100</v>
      </c>
      <c r="G5323">
        <f t="shared" si="793"/>
        <v>40</v>
      </c>
      <c r="H5323" t="s">
        <v>361</v>
      </c>
    </row>
    <row r="5324" spans="1:12" x14ac:dyDescent="0.25">
      <c r="A5324" s="1">
        <f t="shared" si="801"/>
        <v>45570</v>
      </c>
      <c r="B5324" s="31">
        <f t="shared" si="807"/>
        <v>0.53749999999999998</v>
      </c>
      <c r="C5324" t="str">
        <f>'Inventory as of 12th Aug 2024'!A91</f>
        <v>Tomatoes</v>
      </c>
      <c r="D5324">
        <v>1</v>
      </c>
      <c r="E5324" s="5">
        <f>Table4[[#This Row],[qty]]*(VLOOKUP(Table4[[#This Row],[item_sold]],Table1[],5,FALSE))</f>
        <v>10</v>
      </c>
      <c r="F5324" s="5">
        <f>(VLOOKUP(Table4[[#This Row],[item_sold]],Table1[],4,FALSE))*Table4[[#This Row],[qty]]</f>
        <v>5</v>
      </c>
      <c r="G5324">
        <f t="shared" si="793"/>
        <v>5</v>
      </c>
      <c r="H5324" t="s">
        <v>361</v>
      </c>
    </row>
    <row r="5325" spans="1:12" x14ac:dyDescent="0.25">
      <c r="A5325" s="1">
        <f t="shared" si="801"/>
        <v>45570</v>
      </c>
      <c r="B5325" s="31">
        <f>TIME(14,1,0)</f>
        <v>0.58402777777777781</v>
      </c>
      <c r="C5325" t="str">
        <f>'Inventory as of 12th Aug 2024'!A75</f>
        <v>Cooking Oil Measured</v>
      </c>
      <c r="D5325">
        <v>0.25</v>
      </c>
      <c r="E5325" s="5">
        <f>Table4[[#This Row],[qty]]*(VLOOKUP(Table4[[#This Row],[item_sold]],Table1[],5,FALSE))</f>
        <v>70</v>
      </c>
      <c r="F5325" s="5">
        <f>(VLOOKUP(Table4[[#This Row],[item_sold]],Table1[],4,FALSE))*Table4[[#This Row],[qty]]</f>
        <v>50</v>
      </c>
      <c r="G5325">
        <f t="shared" si="793"/>
        <v>20</v>
      </c>
      <c r="H5325" t="s">
        <v>361</v>
      </c>
    </row>
    <row r="5326" spans="1:12" x14ac:dyDescent="0.25">
      <c r="A5326" s="1">
        <f t="shared" si="801"/>
        <v>45570</v>
      </c>
      <c r="B5326" s="31">
        <f t="shared" ref="B5326:B5327" si="808">TIME(14,1,0)</f>
        <v>0.58402777777777781</v>
      </c>
      <c r="C5326" t="str">
        <f>'Inventory as of 12th Aug 2024'!A7</f>
        <v>Airtel 50 Credit</v>
      </c>
      <c r="D5326">
        <v>1</v>
      </c>
      <c r="E5326" s="5">
        <f>Table4[[#This Row],[qty]]*(VLOOKUP(Table4[[#This Row],[item_sold]],Table1[],5,FALSE))</f>
        <v>50</v>
      </c>
      <c r="F5326" s="5">
        <f>(VLOOKUP(Table4[[#This Row],[item_sold]],Table1[],4,FALSE))*Table4[[#This Row],[qty]]</f>
        <v>47</v>
      </c>
      <c r="G5326">
        <f t="shared" si="793"/>
        <v>3</v>
      </c>
      <c r="H5326" t="s">
        <v>247</v>
      </c>
    </row>
    <row r="5327" spans="1:12" x14ac:dyDescent="0.25">
      <c r="A5327" s="1">
        <f t="shared" si="801"/>
        <v>45570</v>
      </c>
      <c r="B5327" s="31">
        <f t="shared" si="808"/>
        <v>0.58402777777777781</v>
      </c>
      <c r="C5327" t="str">
        <f>'Inventory as of 12th Aug 2024'!A33</f>
        <v>BB Bread 400g</v>
      </c>
      <c r="D5327">
        <v>1</v>
      </c>
      <c r="E5327" s="5">
        <f>Table4[[#This Row],[qty]]*(VLOOKUP(Table4[[#This Row],[item_sold]],Table1[],5,FALSE))</f>
        <v>65</v>
      </c>
      <c r="F5327" s="5">
        <f>(VLOOKUP(Table4[[#This Row],[item_sold]],Table1[],4,FALSE))*Table4[[#This Row],[qty]]</f>
        <v>60</v>
      </c>
      <c r="G5327">
        <f t="shared" si="793"/>
        <v>5</v>
      </c>
      <c r="H5327" t="s">
        <v>247</v>
      </c>
      <c r="J5327" t="s">
        <v>460</v>
      </c>
      <c r="K5327">
        <v>30</v>
      </c>
      <c r="L5327" t="s">
        <v>247</v>
      </c>
    </row>
    <row r="5328" spans="1:12" x14ac:dyDescent="0.25">
      <c r="A5328" s="1">
        <f t="shared" si="801"/>
        <v>45570</v>
      </c>
      <c r="B5328" s="31">
        <f>TIME(14,9,0)</f>
        <v>0.58958333333333335</v>
      </c>
      <c r="C5328" t="str">
        <f>'Inventory as of 12th Aug 2024'!A126</f>
        <v>action</v>
      </c>
      <c r="D5328">
        <v>1</v>
      </c>
      <c r="E5328" s="5">
        <f>Table4[[#This Row],[qty]]*(VLOOKUP(Table4[[#This Row],[item_sold]],Table1[],5,FALSE))</f>
        <v>10</v>
      </c>
      <c r="F5328" s="5">
        <f>(VLOOKUP(Table4[[#This Row],[item_sold]],Table1[],4,FALSE))*Table4[[#This Row],[qty]]</f>
        <v>6</v>
      </c>
      <c r="G5328">
        <f t="shared" si="793"/>
        <v>4</v>
      </c>
      <c r="H5328" t="s">
        <v>361</v>
      </c>
    </row>
    <row r="5329" spans="1:8" x14ac:dyDescent="0.25">
      <c r="A5329" s="1">
        <f t="shared" si="801"/>
        <v>45570</v>
      </c>
      <c r="B5329" s="31">
        <f t="shared" ref="B5329" si="809">TIME(14,9,0)</f>
        <v>0.58958333333333335</v>
      </c>
      <c r="C5329" t="str">
        <f>'Inventory as of 12th Aug 2024'!A239</f>
        <v>Gumballs</v>
      </c>
      <c r="D5329">
        <v>15</v>
      </c>
      <c r="E5329" s="5">
        <f>Table4[[#This Row],[qty]]*(VLOOKUP(Table4[[#This Row],[item_sold]],Table1[],5,FALSE))</f>
        <v>15</v>
      </c>
      <c r="F5329" s="5">
        <f>(VLOOKUP(Table4[[#This Row],[item_sold]],Table1[],4,FALSE))*Table4[[#This Row],[qty]]</f>
        <v>10.5</v>
      </c>
      <c r="G5329">
        <f t="shared" si="793"/>
        <v>4.5</v>
      </c>
      <c r="H5329" t="s">
        <v>247</v>
      </c>
    </row>
    <row r="5330" spans="1:8" x14ac:dyDescent="0.25">
      <c r="A5330" s="1">
        <f t="shared" si="801"/>
        <v>45570</v>
      </c>
      <c r="B5330" s="31">
        <f>TIME(15,26,0)</f>
        <v>0.6430555555555556</v>
      </c>
      <c r="C5330" t="str">
        <f>'Inventory as of 12th Aug 2024'!A68</f>
        <v>Royco cubes</v>
      </c>
      <c r="D5330">
        <v>1</v>
      </c>
      <c r="E5330" s="5">
        <f>Table4[[#This Row],[qty]]*(VLOOKUP(Table4[[#This Row],[item_sold]],Table1[],5,FALSE))</f>
        <v>5</v>
      </c>
      <c r="F5330" s="5">
        <f>(VLOOKUP(Table4[[#This Row],[item_sold]],Table1[],4,FALSE))*Table4[[#This Row],[qty]]</f>
        <v>3</v>
      </c>
      <c r="G5330">
        <f t="shared" si="793"/>
        <v>2</v>
      </c>
      <c r="H5330" t="s">
        <v>361</v>
      </c>
    </row>
    <row r="5331" spans="1:8" x14ac:dyDescent="0.25">
      <c r="A5331" s="1">
        <f t="shared" si="801"/>
        <v>45570</v>
      </c>
      <c r="B5331" s="31">
        <f t="shared" ref="B5331" si="810">TIME(15,26,0)</f>
        <v>0.6430555555555556</v>
      </c>
      <c r="C5331" t="str">
        <f>'Inventory as of 12th Aug 2024'!A69</f>
        <v>Royco Beef Mchuzi Mix</v>
      </c>
      <c r="D5331">
        <v>1</v>
      </c>
      <c r="E5331" s="5">
        <f>Table4[[#This Row],[qty]]*(VLOOKUP(Table4[[#This Row],[item_sold]],Table1[],5,FALSE))</f>
        <v>10</v>
      </c>
      <c r="F5331" s="5">
        <f>(VLOOKUP(Table4[[#This Row],[item_sold]],Table1[],4,FALSE))*Table4[[#This Row],[qty]]</f>
        <v>8.3333333333333339</v>
      </c>
      <c r="G5331">
        <f t="shared" si="793"/>
        <v>1.6666666666666661</v>
      </c>
      <c r="H5331" t="s">
        <v>361</v>
      </c>
    </row>
    <row r="5332" spans="1:8" x14ac:dyDescent="0.25">
      <c r="A5332" s="1">
        <f t="shared" si="801"/>
        <v>45570</v>
      </c>
      <c r="B5332" s="31">
        <f>TIME(16,2,0)</f>
        <v>0.66805555555555562</v>
      </c>
      <c r="C5332" t="str">
        <f>'Inventory as of 12th Aug 2024'!A2</f>
        <v>Safaricom 20 Credit</v>
      </c>
      <c r="D5332">
        <v>1</v>
      </c>
      <c r="E5332" s="5">
        <f>Table4[[#This Row],[qty]]*(VLOOKUP(Table4[[#This Row],[item_sold]],Table1[],5,FALSE))</f>
        <v>20</v>
      </c>
      <c r="F5332" s="5">
        <f>(VLOOKUP(Table4[[#This Row],[item_sold]],Table1[],4,FALSE))*Table4[[#This Row],[qty]]</f>
        <v>18</v>
      </c>
      <c r="G5332">
        <f t="shared" ref="G5332:G5395" si="811">E5332-F5332</f>
        <v>2</v>
      </c>
      <c r="H5332" t="s">
        <v>247</v>
      </c>
    </row>
    <row r="5333" spans="1:8" x14ac:dyDescent="0.25">
      <c r="A5333" s="1">
        <f t="shared" si="801"/>
        <v>45570</v>
      </c>
      <c r="B5333" s="31">
        <f t="shared" ref="B5333:B5335" si="812">TIME(16,2,0)</f>
        <v>0.66805555555555562</v>
      </c>
      <c r="C5333" t="str">
        <f>'Inventory as of 12th Aug 2024'!A120</f>
        <v>Maramoja</v>
      </c>
      <c r="D5333">
        <v>1</v>
      </c>
      <c r="E5333" s="5">
        <f>Table4[[#This Row],[qty]]*(VLOOKUP(Table4[[#This Row],[item_sold]],Table1[],5,FALSE))</f>
        <v>10</v>
      </c>
      <c r="F5333" s="5">
        <f>(VLOOKUP(Table4[[#This Row],[item_sold]],Table1[],4,FALSE))*Table4[[#This Row],[qty]]</f>
        <v>7</v>
      </c>
      <c r="G5333">
        <f t="shared" si="811"/>
        <v>3</v>
      </c>
      <c r="H5333" t="s">
        <v>247</v>
      </c>
    </row>
    <row r="5334" spans="1:8" x14ac:dyDescent="0.25">
      <c r="A5334" s="1">
        <f t="shared" si="801"/>
        <v>45570</v>
      </c>
      <c r="B5334" s="31">
        <f t="shared" si="812"/>
        <v>0.66805555555555562</v>
      </c>
      <c r="C5334" t="str">
        <f>'Inventory as of 12th Aug 2024'!A234</f>
        <v>Bigdaddy</v>
      </c>
      <c r="D5334">
        <v>1</v>
      </c>
      <c r="E5334" s="5">
        <f>Table4[[#This Row],[qty]]*(VLOOKUP(Table4[[#This Row],[item_sold]],Table1[],5,FALSE))</f>
        <v>10</v>
      </c>
      <c r="F5334" s="5">
        <f>(VLOOKUP(Table4[[#This Row],[item_sold]],Table1[],4,FALSE))*Table4[[#This Row],[qty]]</f>
        <v>6</v>
      </c>
      <c r="G5334">
        <f t="shared" si="811"/>
        <v>4</v>
      </c>
      <c r="H5334" t="s">
        <v>247</v>
      </c>
    </row>
    <row r="5335" spans="1:8" x14ac:dyDescent="0.25">
      <c r="A5335" s="1">
        <f t="shared" si="801"/>
        <v>45570</v>
      </c>
      <c r="B5335" s="31">
        <f t="shared" si="812"/>
        <v>0.66805555555555562</v>
      </c>
      <c r="C5335" t="str">
        <f>'Inventory as of 12th Aug 2024'!A233</f>
        <v>Lollipop</v>
      </c>
      <c r="D5335">
        <v>3</v>
      </c>
      <c r="E5335" s="5">
        <f>Table4[[#This Row],[qty]]*(VLOOKUP(Table4[[#This Row],[item_sold]],Table1[],5,FALSE))</f>
        <v>15</v>
      </c>
      <c r="F5335" s="5">
        <f>(VLOOKUP(Table4[[#This Row],[item_sold]],Table1[],4,FALSE))*Table4[[#This Row],[qty]]</f>
        <v>7.1999999999999993</v>
      </c>
      <c r="G5335">
        <f t="shared" si="811"/>
        <v>7.8000000000000007</v>
      </c>
      <c r="H5335" t="s">
        <v>247</v>
      </c>
    </row>
    <row r="5336" spans="1:8" x14ac:dyDescent="0.25">
      <c r="A5336" s="1">
        <f t="shared" si="801"/>
        <v>45570</v>
      </c>
      <c r="B5336" s="31">
        <f>TIME(17,18,0)</f>
        <v>0.72083333333333333</v>
      </c>
      <c r="C5336" t="str">
        <f>'Inventory as of 12th Aug 2024'!A58</f>
        <v>Safari</v>
      </c>
      <c r="D5336">
        <v>1</v>
      </c>
      <c r="E5336" s="5">
        <f>Table4[[#This Row],[qty]]*(VLOOKUP(Table4[[#This Row],[item_sold]],Table1[],5,FALSE))</f>
        <v>15</v>
      </c>
      <c r="F5336" s="5">
        <f>(VLOOKUP(Table4[[#This Row],[item_sold]],Table1[],4,FALSE))*Table4[[#This Row],[qty]]</f>
        <v>8.5</v>
      </c>
      <c r="G5336">
        <f t="shared" si="811"/>
        <v>6.5</v>
      </c>
      <c r="H5336" t="s">
        <v>247</v>
      </c>
    </row>
    <row r="5337" spans="1:8" x14ac:dyDescent="0.25">
      <c r="A5337" s="1">
        <f t="shared" si="801"/>
        <v>45570</v>
      </c>
      <c r="B5337" s="31">
        <f>TIME(17,31,0)</f>
        <v>0.72986111111111107</v>
      </c>
      <c r="C5337" t="str">
        <f>'Inventory as of 12th Aug 2024'!A107</f>
        <v>Match Box</v>
      </c>
      <c r="D5337">
        <v>4</v>
      </c>
      <c r="E5337" s="5">
        <f>Table4[[#This Row],[qty]]*(VLOOKUP(Table4[[#This Row],[item_sold]],Table1[],5,FALSE))</f>
        <v>20</v>
      </c>
      <c r="F5337" s="5">
        <f>(VLOOKUP(Table4[[#This Row],[item_sold]],Table1[],4,FALSE))*Table4[[#This Row],[qty]]</f>
        <v>9.4444444444444446</v>
      </c>
      <c r="G5337">
        <f t="shared" si="811"/>
        <v>10.555555555555555</v>
      </c>
      <c r="H5337" t="s">
        <v>247</v>
      </c>
    </row>
    <row r="5338" spans="1:8" x14ac:dyDescent="0.25">
      <c r="A5338" s="1">
        <f t="shared" si="801"/>
        <v>45570</v>
      </c>
      <c r="B5338" s="31">
        <f t="shared" ref="B5338:B5340" si="813">TIME(17,31,0)</f>
        <v>0.72986111111111107</v>
      </c>
      <c r="C5338" t="str">
        <f>'Inventory as of 12th Aug 2024'!A91</f>
        <v>Tomatoes</v>
      </c>
      <c r="D5338">
        <v>2</v>
      </c>
      <c r="E5338" s="5">
        <f>Table4[[#This Row],[qty]]*(VLOOKUP(Table4[[#This Row],[item_sold]],Table1[],5,FALSE))</f>
        <v>20</v>
      </c>
      <c r="F5338" s="5">
        <f>(VLOOKUP(Table4[[#This Row],[item_sold]],Table1[],4,FALSE))*Table4[[#This Row],[qty]]</f>
        <v>10</v>
      </c>
      <c r="G5338">
        <f t="shared" si="811"/>
        <v>10</v>
      </c>
      <c r="H5338" t="s">
        <v>247</v>
      </c>
    </row>
    <row r="5339" spans="1:8" x14ac:dyDescent="0.25">
      <c r="A5339" s="1">
        <f t="shared" si="801"/>
        <v>45570</v>
      </c>
      <c r="B5339" s="31">
        <f t="shared" si="813"/>
        <v>0.72986111111111107</v>
      </c>
      <c r="C5339" t="str">
        <f>'Inventory as of 12th Aug 2024'!A234</f>
        <v>Bigdaddy</v>
      </c>
      <c r="D5339">
        <v>6</v>
      </c>
      <c r="E5339" s="5">
        <f>Table4[[#This Row],[qty]]*(VLOOKUP(Table4[[#This Row],[item_sold]],Table1[],5,FALSE))</f>
        <v>60</v>
      </c>
      <c r="F5339" s="5">
        <f>(VLOOKUP(Table4[[#This Row],[item_sold]],Table1[],4,FALSE))*Table4[[#This Row],[qty]]</f>
        <v>36</v>
      </c>
      <c r="G5339">
        <f t="shared" si="811"/>
        <v>24</v>
      </c>
      <c r="H5339" t="s">
        <v>247</v>
      </c>
    </row>
    <row r="5340" spans="1:8" x14ac:dyDescent="0.25">
      <c r="A5340" s="1">
        <f t="shared" si="801"/>
        <v>45570</v>
      </c>
      <c r="B5340" s="31">
        <f t="shared" si="813"/>
        <v>0.72986111111111107</v>
      </c>
      <c r="C5340" t="str">
        <f>'Inventory as of 12th Aug 2024'!A233</f>
        <v>Lollipop</v>
      </c>
      <c r="D5340">
        <v>2</v>
      </c>
      <c r="E5340" s="5">
        <f>Table4[[#This Row],[qty]]*(VLOOKUP(Table4[[#This Row],[item_sold]],Table1[],5,FALSE))</f>
        <v>10</v>
      </c>
      <c r="F5340" s="5">
        <f>(VLOOKUP(Table4[[#This Row],[item_sold]],Table1[],4,FALSE))*Table4[[#This Row],[qty]]</f>
        <v>4.8</v>
      </c>
      <c r="G5340">
        <f t="shared" si="811"/>
        <v>5.2</v>
      </c>
      <c r="H5340" t="s">
        <v>247</v>
      </c>
    </row>
    <row r="5341" spans="1:8" x14ac:dyDescent="0.25">
      <c r="A5341" s="1">
        <f t="shared" si="801"/>
        <v>45570</v>
      </c>
      <c r="B5341" s="31">
        <f>TIME(17,33,0)</f>
        <v>0.73125000000000007</v>
      </c>
      <c r="C5341" t="str">
        <f>'Inventory as of 12th Aug 2024'!A16</f>
        <v>Mt kenya milk 500ml</v>
      </c>
      <c r="D5341">
        <v>1</v>
      </c>
      <c r="E5341" s="5">
        <f>Table4[[#This Row],[qty]]*(VLOOKUP(Table4[[#This Row],[item_sold]],Table1[],5,FALSE))</f>
        <v>65</v>
      </c>
      <c r="F5341" s="5">
        <f>(VLOOKUP(Table4[[#This Row],[item_sold]],Table1[],4,FALSE))*Table4[[#This Row],[qty]]</f>
        <v>48.333333333333336</v>
      </c>
      <c r="G5341">
        <f t="shared" si="811"/>
        <v>16.666666666666664</v>
      </c>
      <c r="H5341" t="s">
        <v>361</v>
      </c>
    </row>
    <row r="5342" spans="1:8" x14ac:dyDescent="0.25">
      <c r="A5342" s="1">
        <f t="shared" si="801"/>
        <v>45570</v>
      </c>
      <c r="B5342" s="31">
        <f>TIME(17,33,0)</f>
        <v>0.73125000000000007</v>
      </c>
      <c r="C5342" t="str">
        <f>'Inventory as of 12th Aug 2024'!A92</f>
        <v>Banana</v>
      </c>
      <c r="D5342">
        <v>7</v>
      </c>
      <c r="E5342" s="5">
        <f>Table4[[#This Row],[qty]]*(VLOOKUP(Table4[[#This Row],[item_sold]],Table1[],5,FALSE))</f>
        <v>70</v>
      </c>
      <c r="F5342" s="5">
        <f>(VLOOKUP(Table4[[#This Row],[item_sold]],Table1[],4,FALSE))*Table4[[#This Row],[qty]]</f>
        <v>58.333333333333336</v>
      </c>
      <c r="G5342">
        <f t="shared" si="811"/>
        <v>11.666666666666664</v>
      </c>
      <c r="H5342" t="s">
        <v>361</v>
      </c>
    </row>
    <row r="5343" spans="1:8" x14ac:dyDescent="0.25">
      <c r="A5343" s="1">
        <f t="shared" si="801"/>
        <v>45570</v>
      </c>
      <c r="B5343" s="31">
        <f>TIME(17,58,0)</f>
        <v>0.74861111111111101</v>
      </c>
      <c r="C5343" t="str">
        <f>'Inventory as of 12th Aug 2024'!A58</f>
        <v>Safari</v>
      </c>
      <c r="D5343">
        <v>1</v>
      </c>
      <c r="E5343" s="5">
        <f>Table4[[#This Row],[qty]]*(VLOOKUP(Table4[[#This Row],[item_sold]],Table1[],5,FALSE))</f>
        <v>15</v>
      </c>
      <c r="F5343" s="5">
        <f>(VLOOKUP(Table4[[#This Row],[item_sold]],Table1[],4,FALSE))*Table4[[#This Row],[qty]]</f>
        <v>8.5</v>
      </c>
      <c r="G5343">
        <f t="shared" si="811"/>
        <v>6.5</v>
      </c>
      <c r="H5343" t="s">
        <v>247</v>
      </c>
    </row>
    <row r="5344" spans="1:8" x14ac:dyDescent="0.25">
      <c r="A5344" s="1">
        <f t="shared" si="801"/>
        <v>45570</v>
      </c>
      <c r="B5344" s="31">
        <f t="shared" ref="B5344" si="814">TIME(17,58,0)</f>
        <v>0.74861111111111101</v>
      </c>
      <c r="C5344" t="str">
        <f>'Inventory as of 12th Aug 2024'!A107</f>
        <v>Match Box</v>
      </c>
      <c r="D5344">
        <v>1</v>
      </c>
      <c r="E5344" s="5">
        <f>Table4[[#This Row],[qty]]*(VLOOKUP(Table4[[#This Row],[item_sold]],Table1[],5,FALSE))</f>
        <v>5</v>
      </c>
      <c r="F5344" s="5">
        <f>(VLOOKUP(Table4[[#This Row],[item_sold]],Table1[],4,FALSE))*Table4[[#This Row],[qty]]</f>
        <v>2.3611111111111112</v>
      </c>
      <c r="G5344">
        <f t="shared" si="811"/>
        <v>2.6388888888888888</v>
      </c>
      <c r="H5344" t="s">
        <v>247</v>
      </c>
    </row>
    <row r="5345" spans="1:9" x14ac:dyDescent="0.25">
      <c r="A5345" s="1">
        <f t="shared" si="801"/>
        <v>45570</v>
      </c>
      <c r="B5345" s="31">
        <f>TIME(18,9,0)</f>
        <v>0.75624999999999998</v>
      </c>
      <c r="C5345" t="str">
        <f>'Inventory as of 12th Aug 2024'!A236</f>
        <v>Gomba</v>
      </c>
      <c r="D5345">
        <v>4</v>
      </c>
      <c r="E5345" s="5">
        <f>Table4[[#This Row],[qty]]*(VLOOKUP(Table4[[#This Row],[item_sold]],Table1[],5,FALSE))</f>
        <v>10</v>
      </c>
      <c r="F5345" s="5">
        <f>(VLOOKUP(Table4[[#This Row],[item_sold]],Table1[],4,FALSE))*Table4[[#This Row],[qty]]</f>
        <v>7.2</v>
      </c>
      <c r="G5345">
        <f t="shared" si="811"/>
        <v>2.8</v>
      </c>
      <c r="H5345" t="s">
        <v>247</v>
      </c>
    </row>
    <row r="5346" spans="1:9" x14ac:dyDescent="0.25">
      <c r="A5346" s="1">
        <f t="shared" si="801"/>
        <v>45570</v>
      </c>
      <c r="B5346" s="31">
        <f t="shared" ref="B5346:B5347" si="815">TIME(18,9,0)</f>
        <v>0.75624999999999998</v>
      </c>
      <c r="C5346" t="str">
        <f>'Inventory as of 12th Aug 2024'!A234</f>
        <v>Bigdaddy</v>
      </c>
      <c r="D5346">
        <v>2</v>
      </c>
      <c r="E5346" s="5">
        <f>Table4[[#This Row],[qty]]*(VLOOKUP(Table4[[#This Row],[item_sold]],Table1[],5,FALSE))</f>
        <v>20</v>
      </c>
      <c r="F5346" s="5">
        <f>(VLOOKUP(Table4[[#This Row],[item_sold]],Table1[],4,FALSE))*Table4[[#This Row],[qty]]</f>
        <v>12</v>
      </c>
      <c r="G5346">
        <f t="shared" si="811"/>
        <v>8</v>
      </c>
      <c r="H5346" t="s">
        <v>247</v>
      </c>
    </row>
    <row r="5347" spans="1:9" x14ac:dyDescent="0.25">
      <c r="A5347" s="1">
        <f t="shared" si="801"/>
        <v>45570</v>
      </c>
      <c r="B5347" s="31">
        <f t="shared" si="815"/>
        <v>0.75624999999999998</v>
      </c>
      <c r="C5347" t="str">
        <f>'Inventory as of 12th Aug 2024'!A242</f>
        <v>Icepop</v>
      </c>
      <c r="D5347">
        <v>1</v>
      </c>
      <c r="E5347" s="5">
        <f>Table4[[#This Row],[qty]]*(VLOOKUP(Table4[[#This Row],[item_sold]],Table1[],5,FALSE))</f>
        <v>15</v>
      </c>
      <c r="F5347" s="5">
        <f>(VLOOKUP(Table4[[#This Row],[item_sold]],Table1[],4,FALSE))*Table4[[#This Row],[qty]]</f>
        <v>7.5</v>
      </c>
      <c r="G5347">
        <f t="shared" si="811"/>
        <v>7.5</v>
      </c>
      <c r="H5347" t="s">
        <v>361</v>
      </c>
    </row>
    <row r="5348" spans="1:9" x14ac:dyDescent="0.25">
      <c r="A5348" s="1">
        <f t="shared" si="801"/>
        <v>45570</v>
      </c>
      <c r="B5348" s="31">
        <f>TIME(18,29,0)</f>
        <v>0.77013888888888893</v>
      </c>
      <c r="C5348" t="str">
        <f>'Inventory as of 12th Aug 2024'!A33</f>
        <v>BB Bread 400g</v>
      </c>
      <c r="D5348">
        <v>1</v>
      </c>
      <c r="E5348" s="5">
        <f>Table4[[#This Row],[qty]]*(VLOOKUP(Table4[[#This Row],[item_sold]],Table1[],5,FALSE))</f>
        <v>65</v>
      </c>
      <c r="F5348" s="5">
        <f>(VLOOKUP(Table4[[#This Row],[item_sold]],Table1[],4,FALSE))*Table4[[#This Row],[qty]]</f>
        <v>60</v>
      </c>
      <c r="G5348">
        <f t="shared" si="811"/>
        <v>5</v>
      </c>
      <c r="H5348" t="s">
        <v>361</v>
      </c>
    </row>
    <row r="5349" spans="1:9" x14ac:dyDescent="0.25">
      <c r="A5349" s="1">
        <f t="shared" si="801"/>
        <v>45570</v>
      </c>
      <c r="B5349" s="31">
        <f t="shared" ref="B5349" si="816">TIME(18,29,0)</f>
        <v>0.77013888888888893</v>
      </c>
      <c r="C5349" t="str">
        <f>'Inventory as of 12th Aug 2024'!A7</f>
        <v>Airtel 50 Credit</v>
      </c>
      <c r="D5349">
        <v>1</v>
      </c>
      <c r="E5349" s="5">
        <f>Table4[[#This Row],[qty]]*(VLOOKUP(Table4[[#This Row],[item_sold]],Table1[],5,FALSE))</f>
        <v>50</v>
      </c>
      <c r="F5349" s="5">
        <f>(VLOOKUP(Table4[[#This Row],[item_sold]],Table1[],4,FALSE))*Table4[[#This Row],[qty]]</f>
        <v>47</v>
      </c>
      <c r="G5349">
        <f t="shared" si="811"/>
        <v>3</v>
      </c>
      <c r="H5349" t="s">
        <v>247</v>
      </c>
    </row>
    <row r="5350" spans="1:9" x14ac:dyDescent="0.25">
      <c r="A5350" s="1">
        <f t="shared" si="801"/>
        <v>45570</v>
      </c>
      <c r="B5350" s="31">
        <f>TIME(18,48,0)</f>
        <v>0.78333333333333333</v>
      </c>
      <c r="C5350" t="str">
        <f>'Inventory as of 12th Aug 2024'!A58</f>
        <v>Safari</v>
      </c>
      <c r="D5350">
        <v>1</v>
      </c>
      <c r="E5350" s="5">
        <f>Table4[[#This Row],[qty]]*(VLOOKUP(Table4[[#This Row],[item_sold]],Table1[],5,FALSE))</f>
        <v>15</v>
      </c>
      <c r="F5350" s="5">
        <f>(VLOOKUP(Table4[[#This Row],[item_sold]],Table1[],4,FALSE))*Table4[[#This Row],[qty]]</f>
        <v>8.5</v>
      </c>
      <c r="G5350">
        <f t="shared" si="811"/>
        <v>6.5</v>
      </c>
      <c r="H5350" t="s">
        <v>247</v>
      </c>
    </row>
    <row r="5351" spans="1:9" x14ac:dyDescent="0.25">
      <c r="A5351" s="1">
        <f t="shared" si="801"/>
        <v>45570</v>
      </c>
      <c r="B5351" s="31">
        <f>TIME(18,51,0)</f>
        <v>0.78541666666666676</v>
      </c>
      <c r="C5351" t="str">
        <f>'Inventory as of 12th Aug 2024'!A202</f>
        <v>funtime snacks</v>
      </c>
      <c r="D5351">
        <v>1</v>
      </c>
      <c r="E5351" s="5">
        <f>Table4[[#This Row],[qty]]*(VLOOKUP(Table4[[#This Row],[item_sold]],Table1[],5,FALSE))</f>
        <v>15</v>
      </c>
      <c r="F5351" s="5">
        <f>(VLOOKUP(Table4[[#This Row],[item_sold]],Table1[],4,FALSE))*Table4[[#This Row],[qty]]</f>
        <v>9</v>
      </c>
      <c r="G5351">
        <f t="shared" si="811"/>
        <v>6</v>
      </c>
      <c r="H5351" t="s">
        <v>361</v>
      </c>
    </row>
    <row r="5352" spans="1:9" x14ac:dyDescent="0.25">
      <c r="A5352" s="1">
        <f t="shared" si="801"/>
        <v>45570</v>
      </c>
      <c r="B5352" s="31">
        <f t="shared" ref="B5352" si="817">TIME(18,51,0)</f>
        <v>0.78541666666666676</v>
      </c>
      <c r="C5352" t="str">
        <f>'Inventory as of 12th Aug 2024'!A16</f>
        <v>Mt kenya milk 500ml</v>
      </c>
      <c r="D5352">
        <v>1</v>
      </c>
      <c r="E5352" s="5">
        <f>Table4[[#This Row],[qty]]*(VLOOKUP(Table4[[#This Row],[item_sold]],Table1[],5,FALSE))</f>
        <v>65</v>
      </c>
      <c r="F5352" s="5">
        <f>(VLOOKUP(Table4[[#This Row],[item_sold]],Table1[],4,FALSE))*Table4[[#This Row],[qty]]</f>
        <v>48.333333333333336</v>
      </c>
      <c r="G5352">
        <f t="shared" si="811"/>
        <v>16.666666666666664</v>
      </c>
      <c r="H5352" t="s">
        <v>361</v>
      </c>
    </row>
    <row r="5353" spans="1:9" x14ac:dyDescent="0.25">
      <c r="A5353" s="1">
        <f t="shared" si="801"/>
        <v>45570</v>
      </c>
      <c r="B5353" s="31">
        <f>TIME(18,57,0)</f>
        <v>0.7895833333333333</v>
      </c>
      <c r="C5353" t="str">
        <f>'Inventory as of 12th Aug 2024'!A5</f>
        <v>Airtel 20 Credit</v>
      </c>
      <c r="D5353">
        <v>1</v>
      </c>
      <c r="E5353" s="5">
        <f>Table4[[#This Row],[qty]]*(VLOOKUP(Table4[[#This Row],[item_sold]],Table1[],5,FALSE))</f>
        <v>20</v>
      </c>
      <c r="F5353" s="5">
        <f>(VLOOKUP(Table4[[#This Row],[item_sold]],Table1[],4,FALSE))*Table4[[#This Row],[qty]]</f>
        <v>18</v>
      </c>
      <c r="G5353">
        <f t="shared" si="811"/>
        <v>2</v>
      </c>
      <c r="H5353" t="s">
        <v>247</v>
      </c>
    </row>
    <row r="5354" spans="1:9" x14ac:dyDescent="0.25">
      <c r="A5354" s="1">
        <f t="shared" si="801"/>
        <v>45570</v>
      </c>
      <c r="B5354" s="31">
        <f>TIME(19,22,0)</f>
        <v>0.80694444444444446</v>
      </c>
      <c r="C5354" t="str">
        <f>'Inventory as of 12th Aug 2024'!A59</f>
        <v>kabras sugar 1kg</v>
      </c>
      <c r="D5354">
        <v>1</v>
      </c>
      <c r="E5354" s="5">
        <f>Table4[[#This Row],[qty]]*(VLOOKUP(Table4[[#This Row],[item_sold]],Table1[],5,FALSE))</f>
        <v>180</v>
      </c>
      <c r="F5354" s="5">
        <f>(VLOOKUP(Table4[[#This Row],[item_sold]],Table1[],4,FALSE))*Table4[[#This Row],[qty]]</f>
        <v>140</v>
      </c>
      <c r="G5354">
        <f t="shared" si="811"/>
        <v>40</v>
      </c>
      <c r="H5354" t="s">
        <v>247</v>
      </c>
    </row>
    <row r="5355" spans="1:9" x14ac:dyDescent="0.25">
      <c r="A5355" s="1">
        <f t="shared" si="801"/>
        <v>45570</v>
      </c>
      <c r="B5355" s="31">
        <f>TIME(19,33,0)</f>
        <v>0.81458333333333333</v>
      </c>
      <c r="C5355" t="str">
        <f>'Inventory as of 12th Aug 2024'!A90</f>
        <v>Onion</v>
      </c>
      <c r="D5355">
        <v>10</v>
      </c>
      <c r="E5355" s="5">
        <f>Table4[[#This Row],[qty]]*(VLOOKUP(Table4[[#This Row],[item_sold]],Table1[],5,FALSE))</f>
        <v>100</v>
      </c>
      <c r="F5355" s="5">
        <f>(VLOOKUP(Table4[[#This Row],[item_sold]],Table1[],4,FALSE))*Table4[[#This Row],[qty]]</f>
        <v>80</v>
      </c>
      <c r="G5355">
        <f t="shared" si="811"/>
        <v>20</v>
      </c>
      <c r="H5355" t="s">
        <v>430</v>
      </c>
      <c r="I5355" t="s">
        <v>459</v>
      </c>
    </row>
    <row r="5356" spans="1:9" x14ac:dyDescent="0.25">
      <c r="A5356" s="1">
        <f t="shared" si="801"/>
        <v>45570</v>
      </c>
      <c r="B5356" s="31">
        <f>TIME(20,12,0)</f>
        <v>0.84166666666666667</v>
      </c>
      <c r="C5356" t="str">
        <f>'Inventory as of 12th Aug 2024'!A209</f>
        <v>afia 500ml</v>
      </c>
      <c r="D5356">
        <v>1</v>
      </c>
      <c r="E5356" s="5">
        <f>Table4[[#This Row],[qty]]*(VLOOKUP(Table4[[#This Row],[item_sold]],Table1[],5,FALSE))</f>
        <v>85</v>
      </c>
      <c r="F5356" s="5">
        <f>(VLOOKUP(Table4[[#This Row],[item_sold]],Table1[],4,FALSE))*Table4[[#This Row],[qty]]</f>
        <v>70.833333333333329</v>
      </c>
      <c r="G5356">
        <f t="shared" si="811"/>
        <v>14.166666666666671</v>
      </c>
      <c r="H5356" t="s">
        <v>361</v>
      </c>
    </row>
    <row r="5357" spans="1:9" x14ac:dyDescent="0.25">
      <c r="A5357" s="1">
        <f t="shared" si="801"/>
        <v>45570</v>
      </c>
      <c r="B5357" s="31">
        <f>TIME(20,14,0)</f>
        <v>0.84305555555555556</v>
      </c>
      <c r="C5357" t="str">
        <f>'Inventory as of 12th Aug 2024'!A50</f>
        <v>Pishori rice</v>
      </c>
      <c r="D5357">
        <v>1</v>
      </c>
      <c r="E5357" s="5">
        <f>Table4[[#This Row],[qty]]*(VLOOKUP(Table4[[#This Row],[item_sold]],Table1[],5,FALSE))</f>
        <v>220</v>
      </c>
      <c r="F5357" s="5">
        <f>(VLOOKUP(Table4[[#This Row],[item_sold]],Table1[],4,FALSE))*Table4[[#This Row],[qty]]</f>
        <v>180</v>
      </c>
      <c r="G5357">
        <f t="shared" si="811"/>
        <v>40</v>
      </c>
      <c r="H5357" t="s">
        <v>247</v>
      </c>
    </row>
    <row r="5358" spans="1:9" x14ac:dyDescent="0.25">
      <c r="A5358" s="1">
        <f t="shared" si="801"/>
        <v>45570</v>
      </c>
      <c r="B5358" s="31">
        <f t="shared" ref="B5358:B5360" si="818">TIME(20,14,0)</f>
        <v>0.84305555555555556</v>
      </c>
      <c r="C5358" t="str">
        <f>'Inventory as of 12th Aug 2024'!A91</f>
        <v>Tomatoes</v>
      </c>
      <c r="D5358">
        <v>2</v>
      </c>
      <c r="E5358" s="5">
        <f>Table4[[#This Row],[qty]]*(VLOOKUP(Table4[[#This Row],[item_sold]],Table1[],5,FALSE))</f>
        <v>20</v>
      </c>
      <c r="F5358" s="5">
        <f>(VLOOKUP(Table4[[#This Row],[item_sold]],Table1[],4,FALSE))*Table4[[#This Row],[qty]]</f>
        <v>10</v>
      </c>
      <c r="G5358">
        <f t="shared" si="811"/>
        <v>10</v>
      </c>
      <c r="H5358" t="s">
        <v>430</v>
      </c>
      <c r="I5358" t="s">
        <v>591</v>
      </c>
    </row>
    <row r="5359" spans="1:9" x14ac:dyDescent="0.25">
      <c r="A5359" s="1">
        <f t="shared" si="801"/>
        <v>45570</v>
      </c>
      <c r="B5359" s="31">
        <f t="shared" si="818"/>
        <v>0.84305555555555556</v>
      </c>
      <c r="C5359" t="str">
        <f>'Inventory as of 12th Aug 2024'!A91</f>
        <v>Tomatoes</v>
      </c>
      <c r="D5359">
        <v>2</v>
      </c>
      <c r="E5359" s="5">
        <f>Table4[[#This Row],[qty]]*(VLOOKUP(Table4[[#This Row],[item_sold]],Table1[],5,FALSE))</f>
        <v>20</v>
      </c>
      <c r="F5359" s="5">
        <f>(VLOOKUP(Table4[[#This Row],[item_sold]],Table1[],4,FALSE))*Table4[[#This Row],[qty]]</f>
        <v>10</v>
      </c>
      <c r="G5359">
        <f t="shared" si="811"/>
        <v>10</v>
      </c>
      <c r="H5359" t="s">
        <v>430</v>
      </c>
      <c r="I5359" t="s">
        <v>591</v>
      </c>
    </row>
    <row r="5360" spans="1:9" x14ac:dyDescent="0.25">
      <c r="A5360" s="1">
        <f t="shared" si="801"/>
        <v>45570</v>
      </c>
      <c r="B5360" s="31">
        <f t="shared" si="818"/>
        <v>0.84305555555555556</v>
      </c>
      <c r="C5360" t="str">
        <f>'Inventory as of 12th Aug 2024'!A195</f>
        <v>Ring Cake</v>
      </c>
      <c r="D5360">
        <v>1</v>
      </c>
      <c r="E5360" s="5">
        <f>Table4[[#This Row],[qty]]*(VLOOKUP(Table4[[#This Row],[item_sold]],Table1[],5,FALSE))</f>
        <v>50</v>
      </c>
      <c r="F5360" s="5">
        <f>(VLOOKUP(Table4[[#This Row],[item_sold]],Table1[],4,FALSE))*Table4[[#This Row],[qty]]</f>
        <v>45</v>
      </c>
      <c r="G5360">
        <f t="shared" si="811"/>
        <v>5</v>
      </c>
      <c r="H5360" t="s">
        <v>430</v>
      </c>
      <c r="I5360" t="s">
        <v>591</v>
      </c>
    </row>
    <row r="5361" spans="1:12" x14ac:dyDescent="0.25">
      <c r="A5361" s="1">
        <f>DATE(2024,10,6)</f>
        <v>45571</v>
      </c>
      <c r="B5361" s="31">
        <f>TIME(7,35,0)</f>
        <v>0.31597222222222221</v>
      </c>
      <c r="C5361" t="str">
        <f>'Inventory as of 12th Aug 2024'!A37</f>
        <v>Festive Bread 400g</v>
      </c>
      <c r="D5361">
        <v>1</v>
      </c>
      <c r="E5361" s="5">
        <f>Table4[[#This Row],[qty]]*(VLOOKUP(Table4[[#This Row],[item_sold]],Table1[],5,FALSE))</f>
        <v>65</v>
      </c>
      <c r="F5361" s="5">
        <f>(VLOOKUP(Table4[[#This Row],[item_sold]],Table1[],4,FALSE))*Table4[[#This Row],[qty]]</f>
        <v>60</v>
      </c>
      <c r="G5361">
        <f t="shared" si="811"/>
        <v>5</v>
      </c>
      <c r="H5361" t="s">
        <v>430</v>
      </c>
      <c r="I5361" t="s">
        <v>390</v>
      </c>
    </row>
    <row r="5362" spans="1:12" x14ac:dyDescent="0.25">
      <c r="A5362" s="1">
        <f t="shared" ref="A5362:A5425" si="819">DATE(2024,10,6)</f>
        <v>45571</v>
      </c>
      <c r="B5362" s="31">
        <f>TIME(7,49,0)</f>
        <v>0.32569444444444445</v>
      </c>
      <c r="C5362" t="str">
        <f>'Inventory as of 12th Aug 2024'!A58</f>
        <v>Safari</v>
      </c>
      <c r="D5362">
        <v>1</v>
      </c>
      <c r="E5362" s="5">
        <f>Table4[[#This Row],[qty]]*(VLOOKUP(Table4[[#This Row],[item_sold]],Table1[],5,FALSE))</f>
        <v>15</v>
      </c>
      <c r="F5362" s="5">
        <f>(VLOOKUP(Table4[[#This Row],[item_sold]],Table1[],4,FALSE))*Table4[[#This Row],[qty]]</f>
        <v>8.5</v>
      </c>
      <c r="G5362">
        <f t="shared" si="811"/>
        <v>6.5</v>
      </c>
      <c r="H5362" t="s">
        <v>361</v>
      </c>
    </row>
    <row r="5363" spans="1:12" x14ac:dyDescent="0.25">
      <c r="A5363" s="1">
        <f t="shared" si="819"/>
        <v>45571</v>
      </c>
      <c r="B5363" s="31">
        <f>TIME(7,49,0)</f>
        <v>0.32569444444444445</v>
      </c>
      <c r="C5363" t="str">
        <f>'Inventory as of 12th Aug 2024'!A238</f>
        <v>Tropical</v>
      </c>
      <c r="D5363">
        <v>1</v>
      </c>
      <c r="E5363" s="5">
        <f>Table4[[#This Row],[qty]]*(VLOOKUP(Table4[[#This Row],[item_sold]],Table1[],5,FALSE))</f>
        <v>5</v>
      </c>
      <c r="F5363" s="5">
        <f>(VLOOKUP(Table4[[#This Row],[item_sold]],Table1[],4,FALSE))*Table4[[#This Row],[qty]]</f>
        <v>1.5</v>
      </c>
      <c r="G5363">
        <f t="shared" si="811"/>
        <v>3.5</v>
      </c>
      <c r="H5363" t="s">
        <v>361</v>
      </c>
    </row>
    <row r="5364" spans="1:12" x14ac:dyDescent="0.25">
      <c r="A5364" s="1">
        <f t="shared" si="819"/>
        <v>45571</v>
      </c>
      <c r="B5364" s="31">
        <f>TIME(7,50,0)</f>
        <v>0.3263888888888889</v>
      </c>
      <c r="C5364" t="str">
        <f>'Inventory as of 12th Aug 2024'!A9</f>
        <v>Kinangop Fresh Milk 500ml</v>
      </c>
      <c r="D5364">
        <v>1</v>
      </c>
      <c r="E5364" s="5">
        <f>Table4[[#This Row],[qty]]*(VLOOKUP(Table4[[#This Row],[item_sold]],Table1[],5,FALSE))</f>
        <v>60</v>
      </c>
      <c r="F5364" s="5">
        <f>(VLOOKUP(Table4[[#This Row],[item_sold]],Table1[],4,FALSE))*Table4[[#This Row],[qty]]</f>
        <v>55</v>
      </c>
      <c r="G5364">
        <f t="shared" si="811"/>
        <v>5</v>
      </c>
      <c r="H5364" t="s">
        <v>430</v>
      </c>
      <c r="I5364" t="s">
        <v>385</v>
      </c>
    </row>
    <row r="5365" spans="1:12" x14ac:dyDescent="0.25">
      <c r="A5365" s="1">
        <f t="shared" si="819"/>
        <v>45571</v>
      </c>
      <c r="B5365" s="31">
        <f t="shared" ref="B5365" si="820">TIME(7,50,0)</f>
        <v>0.3263888888888889</v>
      </c>
      <c r="C5365" t="str">
        <f>'Inventory as of 12th Aug 2024'!A10</f>
        <v>Mt Kenya milk 200ml</v>
      </c>
      <c r="D5365">
        <v>1</v>
      </c>
      <c r="E5365" s="5">
        <f>Table4[[#This Row],[qty]]*(VLOOKUP(Table4[[#This Row],[item_sold]],Table1[],5,FALSE))</f>
        <v>35</v>
      </c>
      <c r="F5365" s="5">
        <f>(VLOOKUP(Table4[[#This Row],[item_sold]],Table1[],4,FALSE))*Table4[[#This Row],[qty]]</f>
        <v>24.285714285714285</v>
      </c>
      <c r="G5365">
        <f t="shared" si="811"/>
        <v>10.714285714285715</v>
      </c>
      <c r="H5365" t="s">
        <v>430</v>
      </c>
      <c r="I5365" t="s">
        <v>385</v>
      </c>
    </row>
    <row r="5366" spans="1:12" x14ac:dyDescent="0.25">
      <c r="A5366" s="1">
        <f t="shared" si="819"/>
        <v>45571</v>
      </c>
      <c r="B5366" s="31">
        <f>TIME(8,56,0)</f>
        <v>0.37222222222222223</v>
      </c>
      <c r="C5366" t="str">
        <f>'Inventory as of 12th Aug 2024'!A136</f>
        <v>Poa Pekee Tissue</v>
      </c>
      <c r="D5366">
        <v>1</v>
      </c>
      <c r="E5366" s="5">
        <f>Table4[[#This Row],[qty]]*(VLOOKUP(Table4[[#This Row],[item_sold]],Table1[],5,FALSE))</f>
        <v>30</v>
      </c>
      <c r="F5366" s="5">
        <f>(VLOOKUP(Table4[[#This Row],[item_sold]],Table1[],4,FALSE))*Table4[[#This Row],[qty]]</f>
        <v>13.333333333333334</v>
      </c>
      <c r="G5366">
        <f t="shared" si="811"/>
        <v>16.666666666666664</v>
      </c>
      <c r="H5366" t="s">
        <v>361</v>
      </c>
    </row>
    <row r="5367" spans="1:12" x14ac:dyDescent="0.25">
      <c r="A5367" s="1">
        <f t="shared" si="819"/>
        <v>45571</v>
      </c>
      <c r="B5367" s="31">
        <f t="shared" ref="B5367" si="821">TIME(8,56,0)</f>
        <v>0.37222222222222223</v>
      </c>
      <c r="C5367" t="str">
        <f>'Inventory as of 12th Aug 2024'!A58</f>
        <v>Safari</v>
      </c>
      <c r="D5367">
        <v>1</v>
      </c>
      <c r="E5367" s="5">
        <f>Table4[[#This Row],[qty]]*(VLOOKUP(Table4[[#This Row],[item_sold]],Table1[],5,FALSE))</f>
        <v>15</v>
      </c>
      <c r="F5367" s="5">
        <f>(VLOOKUP(Table4[[#This Row],[item_sold]],Table1[],4,FALSE))*Table4[[#This Row],[qty]]</f>
        <v>8.5</v>
      </c>
      <c r="G5367">
        <f t="shared" si="811"/>
        <v>6.5</v>
      </c>
      <c r="H5367" t="s">
        <v>361</v>
      </c>
    </row>
    <row r="5368" spans="1:12" x14ac:dyDescent="0.25">
      <c r="A5368" s="1">
        <f t="shared" si="819"/>
        <v>45571</v>
      </c>
      <c r="B5368" s="31">
        <f>TIME(9,8,0)</f>
        <v>0.38055555555555554</v>
      </c>
      <c r="C5368" t="str">
        <f>'Inventory as of 12th Aug 2024'!A2</f>
        <v>Safaricom 20 Credit</v>
      </c>
      <c r="D5368">
        <v>1</v>
      </c>
      <c r="E5368" s="5">
        <f>Table4[[#This Row],[qty]]*(VLOOKUP(Table4[[#This Row],[item_sold]],Table1[],5,FALSE))</f>
        <v>20</v>
      </c>
      <c r="F5368" s="5">
        <f>(VLOOKUP(Table4[[#This Row],[item_sold]],Table1[],4,FALSE))*Table4[[#This Row],[qty]]</f>
        <v>18</v>
      </c>
      <c r="G5368">
        <f t="shared" si="811"/>
        <v>2</v>
      </c>
      <c r="H5368" t="s">
        <v>247</v>
      </c>
    </row>
    <row r="5369" spans="1:12" x14ac:dyDescent="0.25">
      <c r="A5369" s="1">
        <f t="shared" si="819"/>
        <v>45571</v>
      </c>
      <c r="B5369" s="31">
        <f>TIME(9,33,0)</f>
        <v>0.3979166666666667</v>
      </c>
      <c r="C5369" t="str">
        <f>'Inventory as of 12th Aug 2024'!A9</f>
        <v>Kinangop Fresh Milk 500ml</v>
      </c>
      <c r="D5369">
        <v>1</v>
      </c>
      <c r="E5369" s="5">
        <f>Table4[[#This Row],[qty]]*(VLOOKUP(Table4[[#This Row],[item_sold]],Table1[],5,FALSE))</f>
        <v>60</v>
      </c>
      <c r="F5369" s="5">
        <f>(VLOOKUP(Table4[[#This Row],[item_sold]],Table1[],4,FALSE))*Table4[[#This Row],[qty]]</f>
        <v>55</v>
      </c>
      <c r="G5369">
        <f t="shared" si="811"/>
        <v>5</v>
      </c>
      <c r="H5369" t="s">
        <v>430</v>
      </c>
      <c r="I5369" t="s">
        <v>385</v>
      </c>
    </row>
    <row r="5370" spans="1:12" x14ac:dyDescent="0.25">
      <c r="A5370" s="1">
        <f t="shared" si="819"/>
        <v>45571</v>
      </c>
      <c r="B5370" s="31">
        <f t="shared" ref="B5370" si="822">TIME(9,33,0)</f>
        <v>0.3979166666666667</v>
      </c>
      <c r="C5370" t="str">
        <f>'Inventory as of 12th Aug 2024'!A33</f>
        <v>BB Bread 400g</v>
      </c>
      <c r="D5370">
        <v>1</v>
      </c>
      <c r="E5370" s="5">
        <f>Table4[[#This Row],[qty]]*(VLOOKUP(Table4[[#This Row],[item_sold]],Table1[],5,FALSE))</f>
        <v>65</v>
      </c>
      <c r="F5370" s="5">
        <f>(VLOOKUP(Table4[[#This Row],[item_sold]],Table1[],4,FALSE))*Table4[[#This Row],[qty]]</f>
        <v>60</v>
      </c>
      <c r="G5370">
        <f t="shared" si="811"/>
        <v>5</v>
      </c>
      <c r="H5370" t="s">
        <v>430</v>
      </c>
      <c r="I5370" t="s">
        <v>385</v>
      </c>
    </row>
    <row r="5371" spans="1:12" x14ac:dyDescent="0.25">
      <c r="A5371" s="1">
        <f t="shared" si="819"/>
        <v>45571</v>
      </c>
      <c r="B5371" s="31">
        <f>TIME(10,2,0)</f>
        <v>0.41805555555555557</v>
      </c>
      <c r="C5371" t="str">
        <f>'Inventory as of 12th Aug 2024'!A191</f>
        <v>Nuvita Bisquit</v>
      </c>
      <c r="D5371">
        <v>2</v>
      </c>
      <c r="E5371" s="5">
        <f>Table4[[#This Row],[qty]]*(VLOOKUP(Table4[[#This Row],[item_sold]],Table1[],5,FALSE))</f>
        <v>10</v>
      </c>
      <c r="F5371" s="5">
        <f>(VLOOKUP(Table4[[#This Row],[item_sold]],Table1[],4,FALSE))*Table4[[#This Row],[qty]]</f>
        <v>8.3333333333333339</v>
      </c>
      <c r="G5371">
        <f t="shared" si="811"/>
        <v>1.6666666666666661</v>
      </c>
      <c r="H5371" t="s">
        <v>361</v>
      </c>
      <c r="J5371" t="s">
        <v>456</v>
      </c>
      <c r="K5371">
        <v>1095</v>
      </c>
      <c r="L5371" t="s">
        <v>361</v>
      </c>
    </row>
    <row r="5372" spans="1:12" x14ac:dyDescent="0.25">
      <c r="A5372" s="1">
        <f t="shared" si="819"/>
        <v>45571</v>
      </c>
      <c r="B5372" s="31">
        <f t="shared" ref="B5372:B5376" si="823">TIME(10,2,0)</f>
        <v>0.41805555555555557</v>
      </c>
      <c r="C5372" t="str">
        <f>'Inventory as of 12th Aug 2024'!A91</f>
        <v>Tomatoes</v>
      </c>
      <c r="D5372">
        <v>5</v>
      </c>
      <c r="E5372" s="5">
        <f>Table4[[#This Row],[qty]]*(VLOOKUP(Table4[[#This Row],[item_sold]],Table1[],5,FALSE))</f>
        <v>50</v>
      </c>
      <c r="F5372" s="5">
        <f>(VLOOKUP(Table4[[#This Row],[item_sold]],Table1[],4,FALSE))*Table4[[#This Row],[qty]]</f>
        <v>25</v>
      </c>
      <c r="G5372">
        <f t="shared" si="811"/>
        <v>25</v>
      </c>
      <c r="H5372" t="s">
        <v>361</v>
      </c>
    </row>
    <row r="5373" spans="1:12" x14ac:dyDescent="0.25">
      <c r="A5373" s="1">
        <f t="shared" si="819"/>
        <v>45571</v>
      </c>
      <c r="B5373" s="31">
        <f t="shared" si="823"/>
        <v>0.41805555555555557</v>
      </c>
      <c r="C5373" t="str">
        <f>'Inventory as of 12th Aug 2024'!A90</f>
        <v>Onion</v>
      </c>
      <c r="D5373">
        <v>4</v>
      </c>
      <c r="E5373" s="5">
        <f>Table4[[#This Row],[qty]]*(VLOOKUP(Table4[[#This Row],[item_sold]],Table1[],5,FALSE))</f>
        <v>40</v>
      </c>
      <c r="F5373" s="5">
        <f>(VLOOKUP(Table4[[#This Row],[item_sold]],Table1[],4,FALSE))*Table4[[#This Row],[qty]]</f>
        <v>32</v>
      </c>
      <c r="G5373">
        <f t="shared" si="811"/>
        <v>8</v>
      </c>
      <c r="H5373" t="s">
        <v>361</v>
      </c>
    </row>
    <row r="5374" spans="1:12" x14ac:dyDescent="0.25">
      <c r="A5374" s="1">
        <f t="shared" si="819"/>
        <v>45571</v>
      </c>
      <c r="B5374" s="31">
        <f t="shared" si="823"/>
        <v>0.41805555555555557</v>
      </c>
      <c r="C5374" t="str">
        <f>'Inventory as of 12th Aug 2024'!A16</f>
        <v>Mt kenya milk 500ml</v>
      </c>
      <c r="D5374">
        <v>2</v>
      </c>
      <c r="E5374" s="5">
        <f>Table4[[#This Row],[qty]]*(VLOOKUP(Table4[[#This Row],[item_sold]],Table1[],5,FALSE))</f>
        <v>130</v>
      </c>
      <c r="F5374" s="5">
        <f>(VLOOKUP(Table4[[#This Row],[item_sold]],Table1[],4,FALSE))*Table4[[#This Row],[qty]]</f>
        <v>96.666666666666671</v>
      </c>
      <c r="G5374">
        <f t="shared" si="811"/>
        <v>33.333333333333329</v>
      </c>
      <c r="H5374" t="s">
        <v>361</v>
      </c>
    </row>
    <row r="5375" spans="1:12" x14ac:dyDescent="0.25">
      <c r="A5375" s="1">
        <f t="shared" si="819"/>
        <v>45571</v>
      </c>
      <c r="B5375" s="31">
        <f t="shared" si="823"/>
        <v>0.41805555555555557</v>
      </c>
      <c r="C5375" t="str">
        <f>'Inventory as of 12th Aug 2024'!A58</f>
        <v>Safari</v>
      </c>
      <c r="D5375">
        <v>1</v>
      </c>
      <c r="E5375" s="5">
        <f>Table4[[#This Row],[qty]]*(VLOOKUP(Table4[[#This Row],[item_sold]],Table1[],5,FALSE))</f>
        <v>15</v>
      </c>
      <c r="F5375" s="5">
        <f>(VLOOKUP(Table4[[#This Row],[item_sold]],Table1[],4,FALSE))*Table4[[#This Row],[qty]]</f>
        <v>8.5</v>
      </c>
      <c r="G5375">
        <f t="shared" si="811"/>
        <v>6.5</v>
      </c>
      <c r="H5375" t="s">
        <v>361</v>
      </c>
    </row>
    <row r="5376" spans="1:12" x14ac:dyDescent="0.25">
      <c r="A5376" s="1">
        <f t="shared" si="819"/>
        <v>45571</v>
      </c>
      <c r="B5376" s="31">
        <f t="shared" si="823"/>
        <v>0.41805555555555557</v>
      </c>
      <c r="C5376" t="str">
        <f>'Inventory as of 12th Aug 2024'!A5</f>
        <v>Airtel 20 Credit</v>
      </c>
      <c r="D5376">
        <v>1</v>
      </c>
      <c r="E5376" s="5">
        <f>Table4[[#This Row],[qty]]*(VLOOKUP(Table4[[#This Row],[item_sold]],Table1[],5,FALSE))</f>
        <v>20</v>
      </c>
      <c r="F5376" s="5">
        <f>(VLOOKUP(Table4[[#This Row],[item_sold]],Table1[],4,FALSE))*Table4[[#This Row],[qty]]</f>
        <v>18</v>
      </c>
      <c r="G5376">
        <f t="shared" si="811"/>
        <v>2</v>
      </c>
      <c r="H5376" t="s">
        <v>361</v>
      </c>
    </row>
    <row r="5377" spans="1:12" x14ac:dyDescent="0.25">
      <c r="A5377" s="1">
        <f t="shared" si="819"/>
        <v>45571</v>
      </c>
      <c r="B5377" s="31">
        <f>TIME(10,15,0)</f>
        <v>0.42708333333333331</v>
      </c>
      <c r="C5377" t="str">
        <f>'Inventory as of 12th Aug 2024'!A243</f>
        <v>Ballon</v>
      </c>
      <c r="D5377">
        <v>2</v>
      </c>
      <c r="E5377" s="5">
        <f>Table4[[#This Row],[qty]]*(VLOOKUP(Table4[[#This Row],[item_sold]],Table1[],5,FALSE))</f>
        <v>20</v>
      </c>
      <c r="F5377" s="5">
        <f>(VLOOKUP(Table4[[#This Row],[item_sold]],Table1[],4,FALSE))*Table4[[#This Row],[qty]]</f>
        <v>15</v>
      </c>
      <c r="G5377">
        <f t="shared" si="811"/>
        <v>5</v>
      </c>
      <c r="H5377" t="s">
        <v>247</v>
      </c>
    </row>
    <row r="5378" spans="1:12" x14ac:dyDescent="0.25">
      <c r="A5378" s="1">
        <f t="shared" si="819"/>
        <v>45571</v>
      </c>
      <c r="B5378" s="31">
        <f t="shared" ref="B5378:B5381" si="824">TIME(10,15,0)</f>
        <v>0.42708333333333331</v>
      </c>
      <c r="C5378" t="str">
        <f>'Inventory as of 12th Aug 2024'!A233</f>
        <v>Lollipop</v>
      </c>
      <c r="D5378">
        <v>1</v>
      </c>
      <c r="E5378" s="5">
        <f>Table4[[#This Row],[qty]]*(VLOOKUP(Table4[[#This Row],[item_sold]],Table1[],5,FALSE))</f>
        <v>5</v>
      </c>
      <c r="F5378" s="5">
        <f>(VLOOKUP(Table4[[#This Row],[item_sold]],Table1[],4,FALSE))*Table4[[#This Row],[qty]]</f>
        <v>2.4</v>
      </c>
      <c r="G5378">
        <f t="shared" si="811"/>
        <v>2.6</v>
      </c>
      <c r="H5378" t="s">
        <v>247</v>
      </c>
    </row>
    <row r="5379" spans="1:12" x14ac:dyDescent="0.25">
      <c r="A5379" s="1">
        <f t="shared" si="819"/>
        <v>45571</v>
      </c>
      <c r="B5379" s="31">
        <f t="shared" si="824"/>
        <v>0.42708333333333331</v>
      </c>
      <c r="C5379" t="str">
        <f>'Inventory as of 12th Aug 2024'!A240</f>
        <v>Bigboss</v>
      </c>
      <c r="D5379">
        <v>1</v>
      </c>
      <c r="E5379" s="5">
        <f>Table4[[#This Row],[qty]]*(VLOOKUP(Table4[[#This Row],[item_sold]],Table1[],5,FALSE))</f>
        <v>5</v>
      </c>
      <c r="F5379" s="5">
        <f>(VLOOKUP(Table4[[#This Row],[item_sold]],Table1[],4,FALSE))*Table4[[#This Row],[qty]]</f>
        <v>3.5</v>
      </c>
      <c r="G5379">
        <f t="shared" si="811"/>
        <v>1.5</v>
      </c>
      <c r="H5379" t="s">
        <v>247</v>
      </c>
    </row>
    <row r="5380" spans="1:12" x14ac:dyDescent="0.25">
      <c r="A5380" s="1">
        <f t="shared" si="819"/>
        <v>45571</v>
      </c>
      <c r="B5380" s="31">
        <f t="shared" si="824"/>
        <v>0.42708333333333331</v>
      </c>
      <c r="C5380" t="str">
        <f>'Inventory as of 12th Aug 2024'!A234</f>
        <v>Bigdaddy</v>
      </c>
      <c r="D5380">
        <v>4</v>
      </c>
      <c r="E5380" s="5">
        <f>Table4[[#This Row],[qty]]*(VLOOKUP(Table4[[#This Row],[item_sold]],Table1[],5,FALSE))</f>
        <v>40</v>
      </c>
      <c r="F5380" s="5">
        <f>(VLOOKUP(Table4[[#This Row],[item_sold]],Table1[],4,FALSE))*Table4[[#This Row],[qty]]</f>
        <v>24</v>
      </c>
      <c r="G5380">
        <f t="shared" si="811"/>
        <v>16</v>
      </c>
      <c r="H5380" t="s">
        <v>361</v>
      </c>
    </row>
    <row r="5381" spans="1:12" x14ac:dyDescent="0.25">
      <c r="A5381" s="1">
        <f t="shared" si="819"/>
        <v>45571</v>
      </c>
      <c r="B5381" s="31">
        <f t="shared" si="824"/>
        <v>0.42708333333333331</v>
      </c>
      <c r="C5381" t="str">
        <f>'Inventory as of 12th Aug 2024'!A179</f>
        <v>Bitez</v>
      </c>
      <c r="D5381">
        <v>2</v>
      </c>
      <c r="E5381" s="5">
        <f>Table4[[#This Row],[qty]]*(VLOOKUP(Table4[[#This Row],[item_sold]],Table1[],5,FALSE))</f>
        <v>30</v>
      </c>
      <c r="F5381" s="5">
        <f>(VLOOKUP(Table4[[#This Row],[item_sold]],Table1[],4,FALSE))*Table4[[#This Row],[qty]]</f>
        <v>17.600000000000001</v>
      </c>
      <c r="G5381">
        <f t="shared" si="811"/>
        <v>12.399999999999999</v>
      </c>
      <c r="H5381" t="s">
        <v>361</v>
      </c>
    </row>
    <row r="5382" spans="1:12" x14ac:dyDescent="0.25">
      <c r="A5382" s="1">
        <f t="shared" si="819"/>
        <v>45571</v>
      </c>
      <c r="B5382" s="31">
        <f>TIME(10,23,0)</f>
        <v>0.43263888888888885</v>
      </c>
      <c r="C5382" t="str">
        <f>'Inventory as of 12th Aug 2024'!A9</f>
        <v>Kinangop Fresh Milk 500ml</v>
      </c>
      <c r="D5382">
        <v>1</v>
      </c>
      <c r="E5382" s="5">
        <f>Table4[[#This Row],[qty]]*(VLOOKUP(Table4[[#This Row],[item_sold]],Table1[],5,FALSE))</f>
        <v>60</v>
      </c>
      <c r="F5382" s="5">
        <f>(VLOOKUP(Table4[[#This Row],[item_sold]],Table1[],4,FALSE))*Table4[[#This Row],[qty]]</f>
        <v>55</v>
      </c>
      <c r="G5382">
        <f t="shared" si="811"/>
        <v>5</v>
      </c>
      <c r="H5382" t="s">
        <v>361</v>
      </c>
    </row>
    <row r="5383" spans="1:12" x14ac:dyDescent="0.25">
      <c r="A5383" s="1">
        <f t="shared" si="819"/>
        <v>45571</v>
      </c>
      <c r="B5383" s="31">
        <f t="shared" ref="B5383" si="825">TIME(10,23,0)</f>
        <v>0.43263888888888885</v>
      </c>
      <c r="C5383" t="str">
        <f>'Inventory as of 12th Aug 2024'!A35</f>
        <v>Festive 600g</v>
      </c>
      <c r="D5383">
        <v>1</v>
      </c>
      <c r="E5383" s="5">
        <f>Table4[[#This Row],[qty]]*(VLOOKUP(Table4[[#This Row],[item_sold]],Table1[],5,FALSE))</f>
        <v>100</v>
      </c>
      <c r="F5383" s="5">
        <f>(VLOOKUP(Table4[[#This Row],[item_sold]],Table1[],4,FALSE))*Table4[[#This Row],[qty]]</f>
        <v>90</v>
      </c>
      <c r="G5383">
        <f t="shared" si="811"/>
        <v>10</v>
      </c>
      <c r="H5383" t="s">
        <v>361</v>
      </c>
      <c r="J5383" t="s">
        <v>591</v>
      </c>
      <c r="K5383">
        <v>90</v>
      </c>
      <c r="L5383" t="s">
        <v>361</v>
      </c>
    </row>
    <row r="5384" spans="1:12" x14ac:dyDescent="0.25">
      <c r="A5384" s="1">
        <f t="shared" si="819"/>
        <v>45571</v>
      </c>
      <c r="B5384" s="31">
        <f>TIME(10,31,0)</f>
        <v>0.4381944444444445</v>
      </c>
      <c r="C5384" t="str">
        <f>'Inventory as of 12th Aug 2024'!A202</f>
        <v>funtime snacks</v>
      </c>
      <c r="D5384">
        <v>1</v>
      </c>
      <c r="E5384" s="5">
        <f>Table4[[#This Row],[qty]]*(VLOOKUP(Table4[[#This Row],[item_sold]],Table1[],5,FALSE))</f>
        <v>15</v>
      </c>
      <c r="F5384" s="5">
        <f>(VLOOKUP(Table4[[#This Row],[item_sold]],Table1[],4,FALSE))*Table4[[#This Row],[qty]]</f>
        <v>9</v>
      </c>
      <c r="G5384">
        <f t="shared" si="811"/>
        <v>6</v>
      </c>
      <c r="H5384" t="s">
        <v>361</v>
      </c>
    </row>
    <row r="5385" spans="1:12" x14ac:dyDescent="0.25">
      <c r="A5385" s="1">
        <f t="shared" si="819"/>
        <v>45571</v>
      </c>
      <c r="B5385" s="31">
        <f t="shared" ref="B5385:B5386" si="826">TIME(10,31,0)</f>
        <v>0.4381944444444445</v>
      </c>
      <c r="C5385" t="str">
        <f>'Inventory as of 12th Aug 2024'!A8</f>
        <v>eggs</v>
      </c>
      <c r="D5385">
        <v>2</v>
      </c>
      <c r="E5385" s="5">
        <f>Table4[[#This Row],[qty]]*(VLOOKUP(Table4[[#This Row],[item_sold]],Table1[],5,FALSE))</f>
        <v>40</v>
      </c>
      <c r="F5385" s="5">
        <f>(VLOOKUP(Table4[[#This Row],[item_sold]],Table1[],4,FALSE))*Table4[[#This Row],[qty]]</f>
        <v>28.666666666666668</v>
      </c>
      <c r="G5385">
        <f t="shared" si="811"/>
        <v>11.333333333333332</v>
      </c>
      <c r="H5385" t="s">
        <v>361</v>
      </c>
    </row>
    <row r="5386" spans="1:12" x14ac:dyDescent="0.25">
      <c r="A5386" s="1">
        <f t="shared" si="819"/>
        <v>45571</v>
      </c>
      <c r="B5386" s="31">
        <f t="shared" si="826"/>
        <v>0.4381944444444445</v>
      </c>
      <c r="C5386" t="str">
        <f>'Inventory as of 12th Aug 2024'!A92</f>
        <v>Banana</v>
      </c>
      <c r="D5386">
        <v>2</v>
      </c>
      <c r="E5386" s="5">
        <f>Table4[[#This Row],[qty]]*(VLOOKUP(Table4[[#This Row],[item_sold]],Table1[],5,FALSE))</f>
        <v>20</v>
      </c>
      <c r="F5386" s="5">
        <f>(VLOOKUP(Table4[[#This Row],[item_sold]],Table1[],4,FALSE))*Table4[[#This Row],[qty]]</f>
        <v>16.666666666666668</v>
      </c>
      <c r="G5386">
        <f t="shared" si="811"/>
        <v>3.3333333333333321</v>
      </c>
      <c r="H5386" t="s">
        <v>361</v>
      </c>
    </row>
    <row r="5387" spans="1:12" x14ac:dyDescent="0.25">
      <c r="A5387" s="1">
        <f t="shared" si="819"/>
        <v>45571</v>
      </c>
      <c r="B5387" s="31">
        <f>TIME(11,30,0)</f>
        <v>0.47916666666666669</v>
      </c>
      <c r="C5387" t="str">
        <f>'Inventory as of 12th Aug 2024'!A135</f>
        <v>Bella Tissue</v>
      </c>
      <c r="D5387">
        <v>1</v>
      </c>
      <c r="E5387" s="5">
        <f>Table4[[#This Row],[qty]]*(VLOOKUP(Table4[[#This Row],[item_sold]],Table1[],5,FALSE))</f>
        <v>50</v>
      </c>
      <c r="F5387" s="5">
        <f>(VLOOKUP(Table4[[#This Row],[item_sold]],Table1[],4,FALSE))*Table4[[#This Row],[qty]]</f>
        <v>35</v>
      </c>
      <c r="G5387">
        <f t="shared" si="811"/>
        <v>15</v>
      </c>
      <c r="H5387" t="s">
        <v>361</v>
      </c>
    </row>
    <row r="5388" spans="1:12" x14ac:dyDescent="0.25">
      <c r="A5388" s="1">
        <f t="shared" si="819"/>
        <v>45571</v>
      </c>
      <c r="B5388" s="31">
        <f>TIME(12,8,0)</f>
        <v>0.50555555555555554</v>
      </c>
      <c r="C5388" t="str">
        <f>'Inventory as of 12th Aug 2024'!A182</f>
        <v>T.Heat Potato crisps salted 25g</v>
      </c>
      <c r="D5388">
        <v>1</v>
      </c>
      <c r="E5388" s="5">
        <f>Table4[[#This Row],[qty]]*(VLOOKUP(Table4[[#This Row],[item_sold]],Table1[],5,FALSE))</f>
        <v>30</v>
      </c>
      <c r="F5388" s="5">
        <f>(VLOOKUP(Table4[[#This Row],[item_sold]],Table1[],4,FALSE))*Table4[[#This Row],[qty]]</f>
        <v>22.916666666666668</v>
      </c>
      <c r="G5388">
        <f t="shared" si="811"/>
        <v>7.0833333333333321</v>
      </c>
      <c r="H5388" t="s">
        <v>361</v>
      </c>
    </row>
    <row r="5389" spans="1:12" x14ac:dyDescent="0.25">
      <c r="A5389" s="1">
        <f t="shared" si="819"/>
        <v>45571</v>
      </c>
      <c r="B5389" s="31">
        <f>TIME(11,56,0)</f>
        <v>0.49722222222222223</v>
      </c>
      <c r="C5389" t="str">
        <f>'Inventory as of 12th Aug 2024'!A193</f>
        <v>Ginger Bisquit</v>
      </c>
      <c r="D5389">
        <v>8</v>
      </c>
      <c r="E5389" s="5">
        <f>Table4[[#This Row],[qty]]*(VLOOKUP(Table4[[#This Row],[item_sold]],Table1[],5,FALSE))</f>
        <v>40</v>
      </c>
      <c r="F5389" s="5">
        <f>(VLOOKUP(Table4[[#This Row],[item_sold]],Table1[],4,FALSE))*Table4[[#This Row],[qty]]</f>
        <v>34.666666666666664</v>
      </c>
      <c r="G5389">
        <f t="shared" si="811"/>
        <v>5.3333333333333357</v>
      </c>
      <c r="H5389" t="s">
        <v>247</v>
      </c>
    </row>
    <row r="5390" spans="1:12" x14ac:dyDescent="0.25">
      <c r="A5390" s="1">
        <f t="shared" si="819"/>
        <v>45571</v>
      </c>
      <c r="B5390" s="31">
        <f>TIME(12,11,0)</f>
        <v>0.50763888888888886</v>
      </c>
      <c r="C5390" t="str">
        <f>'Inventory as of 12th Aug 2024'!A178</f>
        <v>Ringoz Paprika</v>
      </c>
      <c r="D5390">
        <v>2</v>
      </c>
      <c r="E5390" s="5">
        <f>Table4[[#This Row],[qty]]*(VLOOKUP(Table4[[#This Row],[item_sold]],Table1[],5,FALSE))</f>
        <v>30</v>
      </c>
      <c r="F5390" s="5">
        <f>(VLOOKUP(Table4[[#This Row],[item_sold]],Table1[],4,FALSE))*Table4[[#This Row],[qty]]</f>
        <v>17.600000000000001</v>
      </c>
      <c r="G5390">
        <f t="shared" si="811"/>
        <v>12.399999999999999</v>
      </c>
      <c r="H5390" t="s">
        <v>430</v>
      </c>
      <c r="I5390" t="s">
        <v>386</v>
      </c>
    </row>
    <row r="5391" spans="1:12" x14ac:dyDescent="0.25">
      <c r="A5391" s="1">
        <f t="shared" si="819"/>
        <v>45571</v>
      </c>
      <c r="B5391" s="31">
        <f t="shared" ref="B5391" si="827">TIME(12,11,0)</f>
        <v>0.50763888888888886</v>
      </c>
      <c r="C5391" t="str">
        <f>'Inventory as of 12th Aug 2024'!A207</f>
        <v>soda 350ml plastic</v>
      </c>
      <c r="D5391">
        <v>1</v>
      </c>
      <c r="E5391" s="5">
        <f>Table4[[#This Row],[qty]]*(VLOOKUP(Table4[[#This Row],[item_sold]],Table1[],5,FALSE))</f>
        <v>50</v>
      </c>
      <c r="F5391" s="5">
        <f>(VLOOKUP(Table4[[#This Row],[item_sold]],Table1[],4,FALSE))*Table4[[#This Row],[qty]]</f>
        <v>41.666666666666664</v>
      </c>
      <c r="G5391">
        <f t="shared" si="811"/>
        <v>8.3333333333333357</v>
      </c>
      <c r="H5391" t="s">
        <v>430</v>
      </c>
      <c r="I5391" t="s">
        <v>386</v>
      </c>
    </row>
    <row r="5392" spans="1:12" x14ac:dyDescent="0.25">
      <c r="A5392" s="1">
        <f t="shared" si="819"/>
        <v>45571</v>
      </c>
      <c r="B5392" s="31">
        <f>TIME(12,14,0)</f>
        <v>0.50972222222222219</v>
      </c>
      <c r="C5392" t="str">
        <f>'Inventory as of 12th Aug 2024'!A256</f>
        <v>Family bisquit</v>
      </c>
      <c r="D5392">
        <v>1</v>
      </c>
      <c r="E5392" s="5">
        <f>Table4[[#This Row],[qty]]*(VLOOKUP(Table4[[#This Row],[item_sold]],Table1[],5,FALSE))</f>
        <v>35</v>
      </c>
      <c r="F5392" s="5">
        <f>(VLOOKUP(Table4[[#This Row],[item_sold]],Table1[],4,FALSE))*Table4[[#This Row],[qty]]</f>
        <v>23.333333333333332</v>
      </c>
      <c r="G5392">
        <f t="shared" si="811"/>
        <v>11.666666666666668</v>
      </c>
      <c r="H5392" t="s">
        <v>361</v>
      </c>
    </row>
    <row r="5393" spans="1:12" x14ac:dyDescent="0.25">
      <c r="A5393" s="1">
        <f t="shared" si="819"/>
        <v>45571</v>
      </c>
      <c r="B5393" s="31">
        <f t="shared" ref="B5393" si="828">TIME(12,14,0)</f>
        <v>0.50972222222222219</v>
      </c>
      <c r="C5393" t="str">
        <f>'Inventory as of 12th Aug 2024'!A187</f>
        <v>Njugu</v>
      </c>
      <c r="D5393">
        <v>5</v>
      </c>
      <c r="E5393" s="5">
        <f>Table4[[#This Row],[qty]]*(VLOOKUP(Table4[[#This Row],[item_sold]],Table1[],5,FALSE))</f>
        <v>100</v>
      </c>
      <c r="F5393" s="5">
        <f>(VLOOKUP(Table4[[#This Row],[item_sold]],Table1[],4,FALSE))*Table4[[#This Row],[qty]]</f>
        <v>53.333333333333329</v>
      </c>
      <c r="G5393">
        <f t="shared" si="811"/>
        <v>46.666666666666671</v>
      </c>
      <c r="H5393" t="s">
        <v>361</v>
      </c>
    </row>
    <row r="5394" spans="1:12" x14ac:dyDescent="0.25">
      <c r="A5394" s="1">
        <f t="shared" si="819"/>
        <v>45571</v>
      </c>
      <c r="B5394" s="31">
        <f>TIME(12,33,0)</f>
        <v>0.5229166666666667</v>
      </c>
      <c r="C5394" t="str">
        <f>'Inventory as of 12th Aug 2024'!A91</f>
        <v>Tomatoes</v>
      </c>
      <c r="D5394">
        <v>1</v>
      </c>
      <c r="E5394" s="5">
        <f>Table4[[#This Row],[qty]]*(VLOOKUP(Table4[[#This Row],[item_sold]],Table1[],5,FALSE))</f>
        <v>10</v>
      </c>
      <c r="F5394" s="5">
        <f>(VLOOKUP(Table4[[#This Row],[item_sold]],Table1[],4,FALSE))*Table4[[#This Row],[qty]]</f>
        <v>5</v>
      </c>
      <c r="G5394">
        <f t="shared" si="811"/>
        <v>5</v>
      </c>
      <c r="H5394" t="s">
        <v>430</v>
      </c>
      <c r="I5394" t="s">
        <v>447</v>
      </c>
    </row>
    <row r="5395" spans="1:12" x14ac:dyDescent="0.25">
      <c r="A5395" s="1">
        <f t="shared" si="819"/>
        <v>45571</v>
      </c>
      <c r="B5395" s="31">
        <f t="shared" ref="B5395" si="829">TIME(12,33,0)</f>
        <v>0.5229166666666667</v>
      </c>
      <c r="C5395" t="str">
        <f>'Inventory as of 12th Aug 2024'!A90</f>
        <v>Onion</v>
      </c>
      <c r="D5395">
        <v>1</v>
      </c>
      <c r="E5395" s="5">
        <f>Table4[[#This Row],[qty]]*(VLOOKUP(Table4[[#This Row],[item_sold]],Table1[],5,FALSE))</f>
        <v>10</v>
      </c>
      <c r="F5395" s="5">
        <f>(VLOOKUP(Table4[[#This Row],[item_sold]],Table1[],4,FALSE))*Table4[[#This Row],[qty]]</f>
        <v>8</v>
      </c>
      <c r="G5395">
        <f t="shared" si="811"/>
        <v>2</v>
      </c>
      <c r="H5395" t="s">
        <v>430</v>
      </c>
      <c r="I5395" t="s">
        <v>447</v>
      </c>
    </row>
    <row r="5396" spans="1:12" x14ac:dyDescent="0.25">
      <c r="A5396" s="1">
        <f t="shared" si="819"/>
        <v>45571</v>
      </c>
      <c r="B5396" s="31">
        <f>TIME(12,53,0)</f>
        <v>0.53680555555555554</v>
      </c>
      <c r="C5396" t="str">
        <f>'Inventory as of 12th Aug 2024'!A90</f>
        <v>Onion</v>
      </c>
      <c r="D5396">
        <v>5</v>
      </c>
      <c r="E5396" s="5">
        <f>Table4[[#This Row],[qty]]*(VLOOKUP(Table4[[#This Row],[item_sold]],Table1[],5,FALSE))</f>
        <v>50</v>
      </c>
      <c r="F5396" s="5">
        <f>(VLOOKUP(Table4[[#This Row],[item_sold]],Table1[],4,FALSE))*Table4[[#This Row],[qty]]</f>
        <v>40</v>
      </c>
      <c r="G5396">
        <f t="shared" ref="G5396:G5459" si="830">E5396-F5396</f>
        <v>10</v>
      </c>
      <c r="H5396" t="s">
        <v>430</v>
      </c>
      <c r="I5396" t="s">
        <v>456</v>
      </c>
    </row>
    <row r="5397" spans="1:12" x14ac:dyDescent="0.25">
      <c r="A5397" s="1">
        <f t="shared" si="819"/>
        <v>45571</v>
      </c>
      <c r="B5397" s="31">
        <f>TIME(13,10,0)</f>
        <v>0.54861111111111105</v>
      </c>
      <c r="C5397" t="str">
        <f>'Inventory as of 12th Aug 2024'!A213</f>
        <v>soda 500ml glass</v>
      </c>
      <c r="D5397">
        <v>1</v>
      </c>
      <c r="E5397" s="5">
        <f>Table4[[#This Row],[qty]]*(VLOOKUP(Table4[[#This Row],[item_sold]],Table1[],5,FALSE))</f>
        <v>55</v>
      </c>
      <c r="F5397" s="5">
        <f>(VLOOKUP(Table4[[#This Row],[item_sold]],Table1[],4,FALSE))*Table4[[#This Row],[qty]]</f>
        <v>50</v>
      </c>
      <c r="G5397">
        <f t="shared" si="830"/>
        <v>5</v>
      </c>
      <c r="H5397" t="s">
        <v>247</v>
      </c>
    </row>
    <row r="5398" spans="1:12" x14ac:dyDescent="0.25">
      <c r="A5398" s="1">
        <f t="shared" si="819"/>
        <v>45571</v>
      </c>
      <c r="B5398" s="31">
        <f t="shared" ref="B5398:B5403" si="831">TIME(13,10,0)</f>
        <v>0.54861111111111105</v>
      </c>
      <c r="C5398" t="str">
        <f>'Inventory as of 12th Aug 2024'!A176</f>
        <v>Queen cake</v>
      </c>
      <c r="D5398">
        <v>2</v>
      </c>
      <c r="E5398" s="5">
        <f>Table4[[#This Row],[qty]]*(VLOOKUP(Table4[[#This Row],[item_sold]],Table1[],5,FALSE))</f>
        <v>20</v>
      </c>
      <c r="F5398" s="5">
        <f>(VLOOKUP(Table4[[#This Row],[item_sold]],Table1[],4,FALSE))*Table4[[#This Row],[qty]]</f>
        <v>16.666666666666668</v>
      </c>
      <c r="G5398">
        <f t="shared" si="830"/>
        <v>3.3333333333333321</v>
      </c>
      <c r="H5398" t="s">
        <v>247</v>
      </c>
    </row>
    <row r="5399" spans="1:12" x14ac:dyDescent="0.25">
      <c r="A5399" s="1">
        <f t="shared" si="819"/>
        <v>45571</v>
      </c>
      <c r="B5399" s="31">
        <f t="shared" si="831"/>
        <v>0.54861111111111105</v>
      </c>
      <c r="C5399" t="str">
        <f>'Inventory as of 12th Aug 2024'!A213</f>
        <v>soda 500ml glass</v>
      </c>
      <c r="D5399">
        <v>1</v>
      </c>
      <c r="E5399" s="5">
        <f>Table4[[#This Row],[qty]]*(VLOOKUP(Table4[[#This Row],[item_sold]],Table1[],5,FALSE))</f>
        <v>55</v>
      </c>
      <c r="F5399" s="5">
        <f>(VLOOKUP(Table4[[#This Row],[item_sold]],Table1[],4,FALSE))*Table4[[#This Row],[qty]]</f>
        <v>50</v>
      </c>
      <c r="G5399">
        <f t="shared" si="830"/>
        <v>5</v>
      </c>
      <c r="H5399" s="25" t="s">
        <v>247</v>
      </c>
    </row>
    <row r="5400" spans="1:12" x14ac:dyDescent="0.25">
      <c r="A5400" s="1">
        <f t="shared" si="819"/>
        <v>45571</v>
      </c>
      <c r="B5400" s="31">
        <f t="shared" si="831"/>
        <v>0.54861111111111105</v>
      </c>
      <c r="C5400" t="str">
        <f>'Inventory as of 12th Aug 2024'!A211</f>
        <v>predator</v>
      </c>
      <c r="D5400">
        <v>1</v>
      </c>
      <c r="E5400" s="5">
        <f>Table4[[#This Row],[qty]]*(VLOOKUP(Table4[[#This Row],[item_sold]],Table1[],5,FALSE))</f>
        <v>70</v>
      </c>
      <c r="F5400" s="5">
        <f>(VLOOKUP(Table4[[#This Row],[item_sold]],Table1[],4,FALSE))*Table4[[#This Row],[qty]]</f>
        <v>54.166666666666664</v>
      </c>
      <c r="G5400">
        <f t="shared" si="830"/>
        <v>15.833333333333336</v>
      </c>
      <c r="H5400" s="25" t="s">
        <v>247</v>
      </c>
    </row>
    <row r="5401" spans="1:12" x14ac:dyDescent="0.25">
      <c r="A5401" s="1">
        <f t="shared" si="819"/>
        <v>45571</v>
      </c>
      <c r="B5401" s="31">
        <f t="shared" si="831"/>
        <v>0.54861111111111105</v>
      </c>
      <c r="C5401" t="str">
        <f>'Inventory as of 12th Aug 2024'!A33</f>
        <v>BB Bread 400g</v>
      </c>
      <c r="D5401">
        <v>1</v>
      </c>
      <c r="E5401" s="5">
        <f>Table4[[#This Row],[qty]]*(VLOOKUP(Table4[[#This Row],[item_sold]],Table1[],5,FALSE))</f>
        <v>65</v>
      </c>
      <c r="F5401" s="5">
        <f>(VLOOKUP(Table4[[#This Row],[item_sold]],Table1[],4,FALSE))*Table4[[#This Row],[qty]]</f>
        <v>60</v>
      </c>
      <c r="G5401">
        <f t="shared" si="830"/>
        <v>5</v>
      </c>
      <c r="H5401" s="25" t="s">
        <v>247</v>
      </c>
    </row>
    <row r="5402" spans="1:12" x14ac:dyDescent="0.25">
      <c r="A5402" s="1">
        <f t="shared" si="819"/>
        <v>45571</v>
      </c>
      <c r="B5402" s="31">
        <f t="shared" si="831"/>
        <v>0.54861111111111105</v>
      </c>
      <c r="C5402" t="str">
        <f>'Inventory as of 12th Aug 2024'!A16</f>
        <v>Mt kenya milk 500ml</v>
      </c>
      <c r="D5402">
        <v>1</v>
      </c>
      <c r="E5402" s="5">
        <f>Table4[[#This Row],[qty]]*(VLOOKUP(Table4[[#This Row],[item_sold]],Table1[],5,FALSE))</f>
        <v>65</v>
      </c>
      <c r="F5402" s="5">
        <f>(VLOOKUP(Table4[[#This Row],[item_sold]],Table1[],4,FALSE))*Table4[[#This Row],[qty]]</f>
        <v>48.333333333333336</v>
      </c>
      <c r="G5402">
        <f t="shared" si="830"/>
        <v>16.666666666666664</v>
      </c>
      <c r="H5402" t="s">
        <v>247</v>
      </c>
    </row>
    <row r="5403" spans="1:12" x14ac:dyDescent="0.25">
      <c r="A5403" s="1">
        <f t="shared" si="819"/>
        <v>45571</v>
      </c>
      <c r="B5403" s="31">
        <f t="shared" si="831"/>
        <v>0.54861111111111105</v>
      </c>
      <c r="C5403" t="str">
        <f>'Inventory as of 12th Aug 2024'!A33</f>
        <v>BB Bread 400g</v>
      </c>
      <c r="D5403">
        <v>1</v>
      </c>
      <c r="E5403" s="5">
        <f>Table4[[#This Row],[qty]]*(VLOOKUP(Table4[[#This Row],[item_sold]],Table1[],5,FALSE))</f>
        <v>65</v>
      </c>
      <c r="F5403" s="5">
        <f>(VLOOKUP(Table4[[#This Row],[item_sold]],Table1[],4,FALSE))*Table4[[#This Row],[qty]]</f>
        <v>60</v>
      </c>
      <c r="G5403">
        <f t="shared" si="830"/>
        <v>5</v>
      </c>
      <c r="H5403" t="s">
        <v>247</v>
      </c>
    </row>
    <row r="5404" spans="1:12" x14ac:dyDescent="0.25">
      <c r="A5404" s="1">
        <f t="shared" si="819"/>
        <v>45571</v>
      </c>
      <c r="B5404" s="31">
        <f>TIME(13,14,0)</f>
        <v>0.55138888888888882</v>
      </c>
      <c r="C5404" t="str">
        <f>'Inventory as of 12th Aug 2024'!A16</f>
        <v>Mt kenya milk 500ml</v>
      </c>
      <c r="D5404">
        <v>1</v>
      </c>
      <c r="E5404" s="5">
        <f>Table4[[#This Row],[qty]]*(VLOOKUP(Table4[[#This Row],[item_sold]],Table1[],5,FALSE))</f>
        <v>65</v>
      </c>
      <c r="F5404" s="5">
        <f>(VLOOKUP(Table4[[#This Row],[item_sold]],Table1[],4,FALSE))*Table4[[#This Row],[qty]]</f>
        <v>48.333333333333336</v>
      </c>
      <c r="G5404">
        <f t="shared" si="830"/>
        <v>16.666666666666664</v>
      </c>
      <c r="H5404" t="s">
        <v>361</v>
      </c>
    </row>
    <row r="5405" spans="1:12" x14ac:dyDescent="0.25">
      <c r="A5405" s="1">
        <f t="shared" si="819"/>
        <v>45571</v>
      </c>
      <c r="B5405" s="31">
        <f>TIME(13,22,0)</f>
        <v>0.55694444444444446</v>
      </c>
      <c r="C5405" t="str">
        <f>'Inventory as of 12th Aug 2024'!A58</f>
        <v>Safari</v>
      </c>
      <c r="D5405">
        <v>2</v>
      </c>
      <c r="E5405" s="5">
        <f>Table4[[#This Row],[qty]]*(VLOOKUP(Table4[[#This Row],[item_sold]],Table1[],5,FALSE))</f>
        <v>30</v>
      </c>
      <c r="F5405" s="5">
        <f>(VLOOKUP(Table4[[#This Row],[item_sold]],Table1[],4,FALSE))*Table4[[#This Row],[qty]]</f>
        <v>17</v>
      </c>
      <c r="G5405">
        <f t="shared" si="830"/>
        <v>13</v>
      </c>
      <c r="H5405" s="25" t="s">
        <v>247</v>
      </c>
    </row>
    <row r="5406" spans="1:12" x14ac:dyDescent="0.25">
      <c r="A5406" s="1">
        <f t="shared" si="819"/>
        <v>45571</v>
      </c>
      <c r="B5406" s="31">
        <f>TIME(13,17,0)</f>
        <v>0.55347222222222225</v>
      </c>
      <c r="C5406" t="str">
        <f>'Inventory as of 12th Aug 2024'!A122</f>
        <v>Sonaplast</v>
      </c>
      <c r="D5406">
        <v>1</v>
      </c>
      <c r="E5406" s="5">
        <f>Table4[[#This Row],[qty]]*(VLOOKUP(Table4[[#This Row],[item_sold]],Table1[],5,FALSE))</f>
        <v>10</v>
      </c>
      <c r="F5406" s="5">
        <f>(VLOOKUP(Table4[[#This Row],[item_sold]],Table1[],4,FALSE))*Table4[[#This Row],[qty]]</f>
        <v>7</v>
      </c>
      <c r="G5406">
        <f t="shared" si="830"/>
        <v>3</v>
      </c>
      <c r="H5406" t="s">
        <v>361</v>
      </c>
    </row>
    <row r="5407" spans="1:12" x14ac:dyDescent="0.25">
      <c r="A5407" s="1">
        <f t="shared" si="819"/>
        <v>45571</v>
      </c>
      <c r="B5407" s="31">
        <f>TIME(13,10,0)</f>
        <v>0.54861111111111105</v>
      </c>
      <c r="C5407" t="str">
        <f>'Inventory as of 12th Aug 2024'!A58</f>
        <v>Safari</v>
      </c>
      <c r="D5407">
        <v>1</v>
      </c>
      <c r="E5407" s="5">
        <f>Table4[[#This Row],[qty]]*(VLOOKUP(Table4[[#This Row],[item_sold]],Table1[],5,FALSE))</f>
        <v>15</v>
      </c>
      <c r="F5407" s="5">
        <f>(VLOOKUP(Table4[[#This Row],[item_sold]],Table1[],4,FALSE))*Table4[[#This Row],[qty]]</f>
        <v>8.5</v>
      </c>
      <c r="G5407">
        <f t="shared" si="830"/>
        <v>6.5</v>
      </c>
      <c r="H5407" t="s">
        <v>361</v>
      </c>
      <c r="J5407" t="s">
        <v>447</v>
      </c>
      <c r="K5407">
        <v>20</v>
      </c>
      <c r="L5407" t="s">
        <v>361</v>
      </c>
    </row>
    <row r="5408" spans="1:12" x14ac:dyDescent="0.25">
      <c r="A5408" s="1">
        <f t="shared" si="819"/>
        <v>45571</v>
      </c>
      <c r="B5408" s="31">
        <f>TIME(13,45,0)</f>
        <v>0.57291666666666663</v>
      </c>
      <c r="C5408" t="str">
        <f>'Inventory as of 12th Aug 2024'!A41</f>
        <v>Indomie beef</v>
      </c>
      <c r="D5408">
        <v>1</v>
      </c>
      <c r="E5408" s="5">
        <f>Table4[[#This Row],[qty]]*(VLOOKUP(Table4[[#This Row],[item_sold]],Table1[],5,FALSE))</f>
        <v>50</v>
      </c>
      <c r="F5408" s="5">
        <f>(VLOOKUP(Table4[[#This Row],[item_sold]],Table1[],4,FALSE))*Table4[[#This Row],[qty]]</f>
        <v>38</v>
      </c>
      <c r="G5408">
        <f t="shared" si="830"/>
        <v>12</v>
      </c>
      <c r="H5408" t="s">
        <v>361</v>
      </c>
    </row>
    <row r="5409" spans="1:12" x14ac:dyDescent="0.25">
      <c r="A5409" s="1">
        <f t="shared" si="819"/>
        <v>45571</v>
      </c>
      <c r="B5409" s="31">
        <f>TIME(13,47,0)</f>
        <v>0.57430555555555551</v>
      </c>
      <c r="C5409" t="str">
        <f>'Inventory as of 12th Aug 2024'!A256</f>
        <v>Family bisquit</v>
      </c>
      <c r="D5409">
        <v>2</v>
      </c>
      <c r="E5409" s="5">
        <f>Table4[[#This Row],[qty]]*(VLOOKUP(Table4[[#This Row],[item_sold]],Table1[],5,FALSE))</f>
        <v>70</v>
      </c>
      <c r="F5409" s="5">
        <f>(VLOOKUP(Table4[[#This Row],[item_sold]],Table1[],4,FALSE))*Table4[[#This Row],[qty]]</f>
        <v>46.666666666666664</v>
      </c>
      <c r="G5409">
        <f t="shared" si="830"/>
        <v>23.333333333333336</v>
      </c>
      <c r="H5409" t="s">
        <v>430</v>
      </c>
      <c r="I5409" t="s">
        <v>591</v>
      </c>
    </row>
    <row r="5410" spans="1:12" x14ac:dyDescent="0.25">
      <c r="A5410" s="1">
        <f t="shared" si="819"/>
        <v>45571</v>
      </c>
      <c r="B5410" s="31">
        <f t="shared" ref="B5410" si="832">TIME(13,47,0)</f>
        <v>0.57430555555555551</v>
      </c>
      <c r="C5410" s="25"/>
      <c r="D5410">
        <v>2</v>
      </c>
      <c r="E5410" s="5" t="e">
        <f>Table4[[#This Row],[qty]]*(VLOOKUP(Table4[[#This Row],[item_sold]],Table1[],5,FALSE))</f>
        <v>#N/A</v>
      </c>
      <c r="F5410" s="5" t="e">
        <f>(VLOOKUP(Table4[[#This Row],[item_sold]],Table1[],4,FALSE))*Table4[[#This Row],[qty]]</f>
        <v>#N/A</v>
      </c>
      <c r="G5410" t="e">
        <f t="shared" si="830"/>
        <v>#N/A</v>
      </c>
      <c r="H5410" t="s">
        <v>430</v>
      </c>
      <c r="I5410" t="s">
        <v>591</v>
      </c>
    </row>
    <row r="5411" spans="1:12" x14ac:dyDescent="0.25">
      <c r="A5411" s="1">
        <f t="shared" si="819"/>
        <v>45571</v>
      </c>
      <c r="B5411" s="31">
        <f>TIME(13,52,0)</f>
        <v>0.57777777777777783</v>
      </c>
      <c r="C5411" t="str">
        <f>'Inventory as of 12th Aug 2024'!A68</f>
        <v>Royco cubes</v>
      </c>
      <c r="D5411">
        <v>2</v>
      </c>
      <c r="E5411" s="5">
        <f>Table4[[#This Row],[qty]]*(VLOOKUP(Table4[[#This Row],[item_sold]],Table1[],5,FALSE))</f>
        <v>10</v>
      </c>
      <c r="F5411" s="5">
        <f>(VLOOKUP(Table4[[#This Row],[item_sold]],Table1[],4,FALSE))*Table4[[#This Row],[qty]]</f>
        <v>6</v>
      </c>
      <c r="G5411">
        <f t="shared" si="830"/>
        <v>4</v>
      </c>
      <c r="H5411" t="s">
        <v>430</v>
      </c>
      <c r="I5411" t="s">
        <v>385</v>
      </c>
    </row>
    <row r="5412" spans="1:12" x14ac:dyDescent="0.25">
      <c r="A5412" s="1">
        <f t="shared" si="819"/>
        <v>45571</v>
      </c>
      <c r="B5412" s="31">
        <f>TIME(13,56,0)</f>
        <v>0.5805555555555556</v>
      </c>
      <c r="C5412" t="str">
        <f>'Inventory as of 12th Aug 2024'!A58</f>
        <v>Safari</v>
      </c>
      <c r="D5412">
        <v>2</v>
      </c>
      <c r="E5412" s="5">
        <f>Table4[[#This Row],[qty]]*(VLOOKUP(Table4[[#This Row],[item_sold]],Table1[],5,FALSE))</f>
        <v>30</v>
      </c>
      <c r="F5412" s="5">
        <f>(VLOOKUP(Table4[[#This Row],[item_sold]],Table1[],4,FALSE))*Table4[[#This Row],[qty]]</f>
        <v>17</v>
      </c>
      <c r="G5412">
        <f t="shared" si="830"/>
        <v>13</v>
      </c>
      <c r="H5412" t="s">
        <v>361</v>
      </c>
    </row>
    <row r="5413" spans="1:12" x14ac:dyDescent="0.25">
      <c r="A5413" s="1">
        <f t="shared" si="819"/>
        <v>45571</v>
      </c>
      <c r="B5413" s="31">
        <f>TIME(14,16,0)</f>
        <v>0.59444444444444444</v>
      </c>
      <c r="C5413" t="str">
        <f>'Inventory as of 12th Aug 2024'!A16</f>
        <v>Mt kenya milk 500ml</v>
      </c>
      <c r="D5413">
        <v>2</v>
      </c>
      <c r="E5413" s="5">
        <f>Table4[[#This Row],[qty]]*(VLOOKUP(Table4[[#This Row],[item_sold]],Table1[],5,FALSE))</f>
        <v>130</v>
      </c>
      <c r="F5413" s="5">
        <f>(VLOOKUP(Table4[[#This Row],[item_sold]],Table1[],4,FALSE))*Table4[[#This Row],[qty]]</f>
        <v>96.666666666666671</v>
      </c>
      <c r="G5413">
        <f t="shared" si="830"/>
        <v>33.333333333333329</v>
      </c>
      <c r="H5413" t="s">
        <v>430</v>
      </c>
      <c r="I5413" t="s">
        <v>456</v>
      </c>
    </row>
    <row r="5414" spans="1:12" x14ac:dyDescent="0.25">
      <c r="A5414" s="1">
        <f t="shared" si="819"/>
        <v>45571</v>
      </c>
      <c r="B5414" s="31">
        <f>TIME(14,56,0)</f>
        <v>0.62222222222222223</v>
      </c>
      <c r="C5414" t="str">
        <f>'Inventory as of 12th Aug 2024'!A33</f>
        <v>BB Bread 400g</v>
      </c>
      <c r="D5414">
        <v>1</v>
      </c>
      <c r="E5414" s="5">
        <f>Table4[[#This Row],[qty]]*(VLOOKUP(Table4[[#This Row],[item_sold]],Table1[],5,FALSE))</f>
        <v>65</v>
      </c>
      <c r="F5414" s="5">
        <f>(VLOOKUP(Table4[[#This Row],[item_sold]],Table1[],4,FALSE))*Table4[[#This Row],[qty]]</f>
        <v>60</v>
      </c>
      <c r="G5414">
        <f t="shared" si="830"/>
        <v>5</v>
      </c>
      <c r="H5414" t="s">
        <v>361</v>
      </c>
    </row>
    <row r="5415" spans="1:12" x14ac:dyDescent="0.25">
      <c r="A5415" s="1">
        <f t="shared" si="819"/>
        <v>45571</v>
      </c>
      <c r="B5415" s="31">
        <f>TIME(16,6,0)</f>
        <v>0.67083333333333339</v>
      </c>
      <c r="C5415" t="str">
        <f>'Inventory as of 12th Aug 2024'!A8</f>
        <v>eggs</v>
      </c>
      <c r="D5415">
        <v>2</v>
      </c>
      <c r="E5415" s="5">
        <f>Table4[[#This Row],[qty]]*(VLOOKUP(Table4[[#This Row],[item_sold]],Table1[],5,FALSE))</f>
        <v>40</v>
      </c>
      <c r="F5415" s="5">
        <f>(VLOOKUP(Table4[[#This Row],[item_sold]],Table1[],4,FALSE))*Table4[[#This Row],[qty]]</f>
        <v>28.666666666666668</v>
      </c>
      <c r="G5415">
        <f t="shared" si="830"/>
        <v>11.333333333333332</v>
      </c>
      <c r="H5415" t="s">
        <v>247</v>
      </c>
    </row>
    <row r="5416" spans="1:12" x14ac:dyDescent="0.25">
      <c r="A5416" s="1">
        <f t="shared" si="819"/>
        <v>45571</v>
      </c>
      <c r="B5416" s="31">
        <f t="shared" ref="B5416" si="833">TIME(16,6,0)</f>
        <v>0.67083333333333339</v>
      </c>
      <c r="C5416" t="str">
        <f>'Inventory as of 12th Aug 2024'!A68</f>
        <v>Royco cubes</v>
      </c>
      <c r="D5416">
        <v>2</v>
      </c>
      <c r="E5416" s="5">
        <f>Table4[[#This Row],[qty]]*(VLOOKUP(Table4[[#This Row],[item_sold]],Table1[],5,FALSE))</f>
        <v>10</v>
      </c>
      <c r="F5416" s="5">
        <f>(VLOOKUP(Table4[[#This Row],[item_sold]],Table1[],4,FALSE))*Table4[[#This Row],[qty]]</f>
        <v>6</v>
      </c>
      <c r="G5416">
        <f t="shared" si="830"/>
        <v>4</v>
      </c>
      <c r="H5416" t="s">
        <v>247</v>
      </c>
    </row>
    <row r="5417" spans="1:12" x14ac:dyDescent="0.25">
      <c r="A5417" s="1">
        <f t="shared" si="819"/>
        <v>45571</v>
      </c>
      <c r="B5417" s="31">
        <f>TIME(16,25,0)</f>
        <v>0.68402777777777779</v>
      </c>
      <c r="C5417" t="str">
        <f>'Inventory as of 12th Aug 2024'!A234</f>
        <v>Bigdaddy</v>
      </c>
      <c r="D5417">
        <v>1</v>
      </c>
      <c r="E5417" s="5">
        <f>Table4[[#This Row],[qty]]*(VLOOKUP(Table4[[#This Row],[item_sold]],Table1[],5,FALSE))</f>
        <v>10</v>
      </c>
      <c r="F5417" s="5">
        <f>(VLOOKUP(Table4[[#This Row],[item_sold]],Table1[],4,FALSE))*Table4[[#This Row],[qty]]</f>
        <v>6</v>
      </c>
      <c r="G5417">
        <f t="shared" si="830"/>
        <v>4</v>
      </c>
      <c r="H5417" t="s">
        <v>247</v>
      </c>
    </row>
    <row r="5418" spans="1:12" x14ac:dyDescent="0.25">
      <c r="A5418" s="1">
        <f t="shared" si="819"/>
        <v>45571</v>
      </c>
      <c r="B5418" s="31">
        <f t="shared" ref="B5418:B5420" si="834">TIME(16,25,0)</f>
        <v>0.68402777777777779</v>
      </c>
      <c r="C5418" t="str">
        <f>'Inventory as of 12th Aug 2024'!A120</f>
        <v>Maramoja</v>
      </c>
      <c r="D5418">
        <v>1</v>
      </c>
      <c r="E5418" s="5">
        <f>Table4[[#This Row],[qty]]*(VLOOKUP(Table4[[#This Row],[item_sold]],Table1[],5,FALSE))</f>
        <v>10</v>
      </c>
      <c r="F5418" s="5">
        <f>(VLOOKUP(Table4[[#This Row],[item_sold]],Table1[],4,FALSE))*Table4[[#This Row],[qty]]</f>
        <v>7</v>
      </c>
      <c r="G5418">
        <f t="shared" si="830"/>
        <v>3</v>
      </c>
      <c r="H5418" t="s">
        <v>247</v>
      </c>
    </row>
    <row r="5419" spans="1:12" x14ac:dyDescent="0.25">
      <c r="A5419" s="1">
        <f t="shared" si="819"/>
        <v>45571</v>
      </c>
      <c r="B5419" s="31">
        <f t="shared" si="834"/>
        <v>0.68402777777777779</v>
      </c>
      <c r="C5419" t="str">
        <f>'Inventory as of 12th Aug 2024'!A251</f>
        <v>Piriton</v>
      </c>
      <c r="D5419">
        <v>5</v>
      </c>
      <c r="E5419" s="5">
        <f>Table4[[#This Row],[qty]]*(VLOOKUP(Table4[[#This Row],[item_sold]],Table1[],5,FALSE))</f>
        <v>5</v>
      </c>
      <c r="F5419" s="5">
        <f>(VLOOKUP(Table4[[#This Row],[item_sold]],Table1[],4,FALSE))*Table4[[#This Row],[qty]]</f>
        <v>2.5</v>
      </c>
      <c r="G5419">
        <f t="shared" si="830"/>
        <v>2.5</v>
      </c>
      <c r="H5419" t="s">
        <v>247</v>
      </c>
    </row>
    <row r="5420" spans="1:12" x14ac:dyDescent="0.25">
      <c r="A5420" s="1">
        <f t="shared" si="819"/>
        <v>45571</v>
      </c>
      <c r="B5420" s="31">
        <f t="shared" si="834"/>
        <v>0.68402777777777779</v>
      </c>
      <c r="C5420" t="str">
        <f>'Inventory as of 12th Aug 2024'!A151</f>
        <v>Arimis big</v>
      </c>
      <c r="D5420">
        <v>1</v>
      </c>
      <c r="E5420" s="5">
        <f>Table4[[#This Row],[qty]]*(VLOOKUP(Table4[[#This Row],[item_sold]],Table1[],5,FALSE))</f>
        <v>60</v>
      </c>
      <c r="F5420" s="5">
        <f>(VLOOKUP(Table4[[#This Row],[item_sold]],Table1[],4,FALSE))*Table4[[#This Row],[qty]]</f>
        <v>45.833333333333336</v>
      </c>
      <c r="G5420">
        <f t="shared" si="830"/>
        <v>14.166666666666664</v>
      </c>
      <c r="H5420" t="s">
        <v>247</v>
      </c>
      <c r="J5420" t="s">
        <v>591</v>
      </c>
      <c r="K5420">
        <v>170</v>
      </c>
      <c r="L5420" t="s">
        <v>361</v>
      </c>
    </row>
    <row r="5421" spans="1:12" x14ac:dyDescent="0.25">
      <c r="A5421" s="1">
        <f t="shared" si="819"/>
        <v>45571</v>
      </c>
      <c r="B5421" s="31">
        <f>TIME(16,44,0)</f>
        <v>0.6972222222222223</v>
      </c>
      <c r="C5421" t="str">
        <f>'Inventory as of 12th Aug 2024'!A58</f>
        <v>Safari</v>
      </c>
      <c r="D5421">
        <v>1</v>
      </c>
      <c r="E5421" s="5">
        <f>Table4[[#This Row],[qty]]*(VLOOKUP(Table4[[#This Row],[item_sold]],Table1[],5,FALSE))</f>
        <v>15</v>
      </c>
      <c r="F5421" s="5">
        <f>(VLOOKUP(Table4[[#This Row],[item_sold]],Table1[],4,FALSE))*Table4[[#This Row],[qty]]</f>
        <v>8.5</v>
      </c>
      <c r="G5421">
        <f t="shared" si="830"/>
        <v>6.5</v>
      </c>
      <c r="H5421" t="s">
        <v>361</v>
      </c>
    </row>
    <row r="5422" spans="1:12" x14ac:dyDescent="0.25">
      <c r="A5422" s="1">
        <f t="shared" si="819"/>
        <v>45571</v>
      </c>
      <c r="B5422" s="31">
        <f>TIME(18,5,0)</f>
        <v>0.75347222222222221</v>
      </c>
      <c r="C5422" s="25"/>
      <c r="D5422">
        <v>6</v>
      </c>
      <c r="E5422" s="5" t="e">
        <f>Table4[[#This Row],[qty]]*(VLOOKUP(Table4[[#This Row],[item_sold]],Table1[],5,FALSE))</f>
        <v>#N/A</v>
      </c>
      <c r="F5422" s="5" t="e">
        <f>(VLOOKUP(Table4[[#This Row],[item_sold]],Table1[],4,FALSE))*Table4[[#This Row],[qty]]</f>
        <v>#N/A</v>
      </c>
      <c r="G5422" t="e">
        <f t="shared" si="830"/>
        <v>#N/A</v>
      </c>
      <c r="H5422" t="s">
        <v>247</v>
      </c>
    </row>
    <row r="5423" spans="1:12" x14ac:dyDescent="0.25">
      <c r="A5423" s="1">
        <f t="shared" si="819"/>
        <v>45571</v>
      </c>
      <c r="B5423" s="31">
        <f t="shared" ref="B5423:B5424" si="835">TIME(18,5,0)</f>
        <v>0.75347222222222221</v>
      </c>
      <c r="C5423" t="str">
        <f>'Inventory as of 12th Aug 2024'!A178</f>
        <v>Ringoz Paprika</v>
      </c>
      <c r="D5423">
        <v>1</v>
      </c>
      <c r="E5423" s="5">
        <f>Table4[[#This Row],[qty]]*(VLOOKUP(Table4[[#This Row],[item_sold]],Table1[],5,FALSE))</f>
        <v>15</v>
      </c>
      <c r="F5423" s="5">
        <f>(VLOOKUP(Table4[[#This Row],[item_sold]],Table1[],4,FALSE))*Table4[[#This Row],[qty]]</f>
        <v>8.8000000000000007</v>
      </c>
      <c r="G5423">
        <f t="shared" si="830"/>
        <v>6.1999999999999993</v>
      </c>
      <c r="H5423" t="s">
        <v>247</v>
      </c>
      <c r="J5423" t="s">
        <v>460</v>
      </c>
      <c r="K5423">
        <v>20</v>
      </c>
      <c r="L5423" t="s">
        <v>247</v>
      </c>
    </row>
    <row r="5424" spans="1:12" x14ac:dyDescent="0.25">
      <c r="A5424" s="1">
        <f t="shared" si="819"/>
        <v>45571</v>
      </c>
      <c r="B5424" s="31">
        <f t="shared" si="835"/>
        <v>0.75347222222222221</v>
      </c>
      <c r="C5424" t="str">
        <f>'Inventory as of 12th Aug 2024'!A177</f>
        <v>Ringoz Barbeque</v>
      </c>
      <c r="D5424">
        <v>1</v>
      </c>
      <c r="E5424" s="5">
        <f>Table4[[#This Row],[qty]]*(VLOOKUP(Table4[[#This Row],[item_sold]],Table1[],5,FALSE))</f>
        <v>15</v>
      </c>
      <c r="F5424" s="5">
        <f>(VLOOKUP(Table4[[#This Row],[item_sold]],Table1[],4,FALSE))*Table4[[#This Row],[qty]]</f>
        <v>8.6</v>
      </c>
      <c r="G5424">
        <f t="shared" si="830"/>
        <v>6.4</v>
      </c>
      <c r="H5424" t="s">
        <v>247</v>
      </c>
    </row>
    <row r="5425" spans="1:12" x14ac:dyDescent="0.25">
      <c r="A5425" s="1">
        <f t="shared" si="819"/>
        <v>45571</v>
      </c>
      <c r="B5425" s="31">
        <f>TIME(18,23,0)</f>
        <v>0.76597222222222217</v>
      </c>
      <c r="C5425" t="str">
        <f>'Inventory as of 12th Aug 2024'!A202</f>
        <v>funtime snacks</v>
      </c>
      <c r="D5425">
        <v>1</v>
      </c>
      <c r="E5425" s="5">
        <f>Table4[[#This Row],[qty]]*(VLOOKUP(Table4[[#This Row],[item_sold]],Table1[],5,FALSE))</f>
        <v>15</v>
      </c>
      <c r="F5425" s="5">
        <f>(VLOOKUP(Table4[[#This Row],[item_sold]],Table1[],4,FALSE))*Table4[[#This Row],[qty]]</f>
        <v>9</v>
      </c>
      <c r="G5425">
        <f t="shared" si="830"/>
        <v>6</v>
      </c>
      <c r="H5425" t="s">
        <v>361</v>
      </c>
    </row>
    <row r="5426" spans="1:12" x14ac:dyDescent="0.25">
      <c r="A5426" s="1">
        <f t="shared" ref="A5426:A5453" si="836">DATE(2024,10,6)</f>
        <v>45571</v>
      </c>
      <c r="B5426" s="31">
        <f t="shared" ref="B5426:B5427" si="837">TIME(18,23,0)</f>
        <v>0.76597222222222217</v>
      </c>
      <c r="C5426" t="str">
        <f>'Inventory as of 12th Aug 2024'!A91</f>
        <v>Tomatoes</v>
      </c>
      <c r="D5426">
        <v>1</v>
      </c>
      <c r="E5426" s="5">
        <f>Table4[[#This Row],[qty]]*(VLOOKUP(Table4[[#This Row],[item_sold]],Table1[],5,FALSE))</f>
        <v>10</v>
      </c>
      <c r="F5426" s="5">
        <f>(VLOOKUP(Table4[[#This Row],[item_sold]],Table1[],4,FALSE))*Table4[[#This Row],[qty]]</f>
        <v>5</v>
      </c>
      <c r="G5426">
        <f t="shared" si="830"/>
        <v>5</v>
      </c>
      <c r="H5426" t="s">
        <v>361</v>
      </c>
    </row>
    <row r="5427" spans="1:12" x14ac:dyDescent="0.25">
      <c r="A5427" s="1">
        <f t="shared" si="836"/>
        <v>45571</v>
      </c>
      <c r="B5427" s="31">
        <f t="shared" si="837"/>
        <v>0.76597222222222217</v>
      </c>
      <c r="C5427" t="str">
        <f>'Inventory as of 12th Aug 2024'!A90</f>
        <v>Onion</v>
      </c>
      <c r="D5427">
        <v>1</v>
      </c>
      <c r="E5427" s="5">
        <f>Table4[[#This Row],[qty]]*(VLOOKUP(Table4[[#This Row],[item_sold]],Table1[],5,FALSE))</f>
        <v>10</v>
      </c>
      <c r="F5427" s="5">
        <f>(VLOOKUP(Table4[[#This Row],[item_sold]],Table1[],4,FALSE))*Table4[[#This Row],[qty]]</f>
        <v>8</v>
      </c>
      <c r="G5427">
        <f t="shared" si="830"/>
        <v>2</v>
      </c>
      <c r="H5427" t="s">
        <v>361</v>
      </c>
    </row>
    <row r="5428" spans="1:12" x14ac:dyDescent="0.25">
      <c r="A5428" s="1">
        <f t="shared" si="836"/>
        <v>45571</v>
      </c>
      <c r="B5428" s="31">
        <f>TIME(18,34,0)</f>
        <v>0.77361111111111114</v>
      </c>
      <c r="C5428" t="str">
        <f>'Inventory as of 12th Aug 2024'!A16</f>
        <v>Mt kenya milk 500ml</v>
      </c>
      <c r="D5428">
        <v>1</v>
      </c>
      <c r="E5428" s="5">
        <f>Table4[[#This Row],[qty]]*(VLOOKUP(Table4[[#This Row],[item_sold]],Table1[],5,FALSE))</f>
        <v>65</v>
      </c>
      <c r="F5428" s="5">
        <f>(VLOOKUP(Table4[[#This Row],[item_sold]],Table1[],4,FALSE))*Table4[[#This Row],[qty]]</f>
        <v>48.333333333333336</v>
      </c>
      <c r="G5428">
        <f t="shared" si="830"/>
        <v>16.666666666666664</v>
      </c>
      <c r="H5428" t="s">
        <v>361</v>
      </c>
    </row>
    <row r="5429" spans="1:12" x14ac:dyDescent="0.25">
      <c r="A5429" s="1">
        <f t="shared" si="836"/>
        <v>45571</v>
      </c>
      <c r="B5429" s="31">
        <f>TIME(18,35,0)</f>
        <v>0.77430555555555547</v>
      </c>
      <c r="C5429" t="str">
        <f>'Inventory as of 12th Aug 2024'!A144</f>
        <v>Kiwi</v>
      </c>
      <c r="D5429">
        <v>1</v>
      </c>
      <c r="E5429" s="5">
        <f>Table4[[#This Row],[qty]]*(VLOOKUP(Table4[[#This Row],[item_sold]],Table1[],5,FALSE))</f>
        <v>50</v>
      </c>
      <c r="F5429" s="5">
        <f>(VLOOKUP(Table4[[#This Row],[item_sold]],Table1[],4,FALSE))*Table4[[#This Row],[qty]]</f>
        <v>37.5</v>
      </c>
      <c r="G5429">
        <f t="shared" si="830"/>
        <v>12.5</v>
      </c>
      <c r="H5429" t="s">
        <v>361</v>
      </c>
      <c r="J5429" t="s">
        <v>408</v>
      </c>
      <c r="K5429">
        <v>100</v>
      </c>
      <c r="L5429" t="s">
        <v>247</v>
      </c>
    </row>
    <row r="5430" spans="1:12" x14ac:dyDescent="0.25">
      <c r="A5430" s="1">
        <f t="shared" si="836"/>
        <v>45571</v>
      </c>
      <c r="B5430" s="31">
        <f>TIME(18,40,0)</f>
        <v>0.77777777777777779</v>
      </c>
      <c r="C5430" t="str">
        <f>'Inventory as of 12th Aug 2024'!A153</f>
        <v>mosquito stick</v>
      </c>
      <c r="D5430">
        <v>1</v>
      </c>
      <c r="E5430" s="5">
        <f>Table4[[#This Row],[qty]]*(VLOOKUP(Table4[[#This Row],[item_sold]],Table1[],5,FALSE))</f>
        <v>10</v>
      </c>
      <c r="F5430" s="5">
        <f>(VLOOKUP(Table4[[#This Row],[item_sold]],Table1[],4,FALSE))*Table4[[#This Row],[qty]]</f>
        <v>9</v>
      </c>
      <c r="G5430">
        <f t="shared" si="830"/>
        <v>1</v>
      </c>
      <c r="H5430" t="s">
        <v>361</v>
      </c>
    </row>
    <row r="5431" spans="1:12" x14ac:dyDescent="0.25">
      <c r="A5431" s="1">
        <f t="shared" si="836"/>
        <v>45571</v>
      </c>
      <c r="B5431" s="31">
        <f t="shared" ref="B5431:B5433" si="838">TIME(18,40,0)</f>
        <v>0.77777777777777779</v>
      </c>
      <c r="C5431" t="str">
        <f>'Inventory as of 12th Aug 2024'!A58</f>
        <v>Safari</v>
      </c>
      <c r="D5431">
        <v>1</v>
      </c>
      <c r="E5431" s="5">
        <f>Table4[[#This Row],[qty]]*(VLOOKUP(Table4[[#This Row],[item_sold]],Table1[],5,FALSE))</f>
        <v>15</v>
      </c>
      <c r="F5431" s="5">
        <f>(VLOOKUP(Table4[[#This Row],[item_sold]],Table1[],4,FALSE))*Table4[[#This Row],[qty]]</f>
        <v>8.5</v>
      </c>
      <c r="G5431">
        <f t="shared" si="830"/>
        <v>6.5</v>
      </c>
      <c r="H5431" t="s">
        <v>361</v>
      </c>
    </row>
    <row r="5432" spans="1:12" x14ac:dyDescent="0.25">
      <c r="A5432" s="1">
        <f t="shared" si="836"/>
        <v>45571</v>
      </c>
      <c r="B5432" s="31">
        <f t="shared" si="838"/>
        <v>0.77777777777777779</v>
      </c>
      <c r="C5432" s="25"/>
      <c r="D5432">
        <v>2</v>
      </c>
      <c r="E5432" s="5" t="e">
        <f>Table4[[#This Row],[qty]]*(VLOOKUP(Table4[[#This Row],[item_sold]],Table1[],5,FALSE))</f>
        <v>#N/A</v>
      </c>
      <c r="F5432" s="5" t="e">
        <f>(VLOOKUP(Table4[[#This Row],[item_sold]],Table1[],4,FALSE))*Table4[[#This Row],[qty]]</f>
        <v>#N/A</v>
      </c>
      <c r="G5432" t="e">
        <f t="shared" si="830"/>
        <v>#N/A</v>
      </c>
      <c r="H5432" t="s">
        <v>430</v>
      </c>
      <c r="I5432" t="s">
        <v>385</v>
      </c>
    </row>
    <row r="5433" spans="1:12" x14ac:dyDescent="0.25">
      <c r="A5433" s="1">
        <f t="shared" si="836"/>
        <v>45571</v>
      </c>
      <c r="B5433" s="31">
        <f t="shared" si="838"/>
        <v>0.77777777777777779</v>
      </c>
      <c r="C5433" s="25"/>
      <c r="D5433">
        <v>1</v>
      </c>
      <c r="E5433" s="5" t="e">
        <f>Table4[[#This Row],[qty]]*(VLOOKUP(Table4[[#This Row],[item_sold]],Table1[],5,FALSE))</f>
        <v>#N/A</v>
      </c>
      <c r="F5433" s="5" t="e">
        <f>(VLOOKUP(Table4[[#This Row],[item_sold]],Table1[],4,FALSE))*Table4[[#This Row],[qty]]</f>
        <v>#N/A</v>
      </c>
      <c r="G5433" t="e">
        <f t="shared" si="830"/>
        <v>#N/A</v>
      </c>
      <c r="H5433" t="s">
        <v>430</v>
      </c>
      <c r="I5433" t="s">
        <v>385</v>
      </c>
    </row>
    <row r="5434" spans="1:12" x14ac:dyDescent="0.25">
      <c r="A5434" s="1">
        <f t="shared" si="836"/>
        <v>45571</v>
      </c>
      <c r="B5434" s="31">
        <f>TIME(19,17,0)</f>
        <v>0.80347222222222225</v>
      </c>
      <c r="C5434" t="str">
        <f>'Inventory as of 12th Aug 2024'!A58</f>
        <v>Safari</v>
      </c>
      <c r="D5434">
        <v>1</v>
      </c>
      <c r="E5434" s="5">
        <f>Table4[[#This Row],[qty]]*(VLOOKUP(Table4[[#This Row],[item_sold]],Table1[],5,FALSE))</f>
        <v>15</v>
      </c>
      <c r="F5434" s="5">
        <f>(VLOOKUP(Table4[[#This Row],[item_sold]],Table1[],4,FALSE))*Table4[[#This Row],[qty]]</f>
        <v>8.5</v>
      </c>
      <c r="G5434">
        <f t="shared" si="830"/>
        <v>6.5</v>
      </c>
      <c r="H5434" t="s">
        <v>361</v>
      </c>
    </row>
    <row r="5435" spans="1:12" x14ac:dyDescent="0.25">
      <c r="A5435" s="1">
        <f t="shared" si="836"/>
        <v>45571</v>
      </c>
      <c r="B5435" s="31">
        <f t="shared" ref="B5435:B5436" si="839">TIME(19,17,0)</f>
        <v>0.80347222222222225</v>
      </c>
      <c r="C5435" t="str">
        <f>'Inventory as of 12th Aug 2024'!A91</f>
        <v>Tomatoes</v>
      </c>
      <c r="D5435">
        <v>2</v>
      </c>
      <c r="E5435" s="5">
        <f>Table4[[#This Row],[qty]]*(VLOOKUP(Table4[[#This Row],[item_sold]],Table1[],5,FALSE))</f>
        <v>20</v>
      </c>
      <c r="F5435" s="5">
        <f>(VLOOKUP(Table4[[#This Row],[item_sold]],Table1[],4,FALSE))*Table4[[#This Row],[qty]]</f>
        <v>10</v>
      </c>
      <c r="G5435">
        <f t="shared" si="830"/>
        <v>10</v>
      </c>
      <c r="H5435" t="s">
        <v>361</v>
      </c>
    </row>
    <row r="5436" spans="1:12" x14ac:dyDescent="0.25">
      <c r="A5436" s="1">
        <f t="shared" si="836"/>
        <v>45571</v>
      </c>
      <c r="B5436" s="31">
        <f t="shared" si="839"/>
        <v>0.80347222222222225</v>
      </c>
      <c r="C5436" t="str">
        <f>'Inventory as of 12th Aug 2024'!A75</f>
        <v>Cooking Oil Measured</v>
      </c>
      <c r="D5436">
        <v>0.25</v>
      </c>
      <c r="E5436" s="5">
        <f>Table4[[#This Row],[qty]]*(VLOOKUP(Table4[[#This Row],[item_sold]],Table1[],5,FALSE))</f>
        <v>70</v>
      </c>
      <c r="F5436" s="5">
        <f>(VLOOKUP(Table4[[#This Row],[item_sold]],Table1[],4,FALSE))*Table4[[#This Row],[qty]]</f>
        <v>50</v>
      </c>
      <c r="G5436">
        <f t="shared" si="830"/>
        <v>20</v>
      </c>
      <c r="H5436" t="s">
        <v>361</v>
      </c>
    </row>
    <row r="5437" spans="1:12" x14ac:dyDescent="0.25">
      <c r="A5437" s="1">
        <f t="shared" si="836"/>
        <v>45571</v>
      </c>
      <c r="B5437" s="31">
        <f>TIME(19,19,0)</f>
        <v>0.80486111111111114</v>
      </c>
      <c r="C5437" t="str">
        <f>'Inventory as of 12th Aug 2024'!A211</f>
        <v>predator</v>
      </c>
      <c r="D5437">
        <v>1</v>
      </c>
      <c r="E5437" s="5">
        <f>Table4[[#This Row],[qty]]*(VLOOKUP(Table4[[#This Row],[item_sold]],Table1[],5,FALSE))</f>
        <v>70</v>
      </c>
      <c r="F5437" s="5">
        <f>(VLOOKUP(Table4[[#This Row],[item_sold]],Table1[],4,FALSE))*Table4[[#This Row],[qty]]</f>
        <v>54.166666666666664</v>
      </c>
      <c r="G5437">
        <f t="shared" si="830"/>
        <v>15.833333333333336</v>
      </c>
      <c r="H5437" t="s">
        <v>361</v>
      </c>
    </row>
    <row r="5438" spans="1:12" x14ac:dyDescent="0.25">
      <c r="A5438" s="1">
        <f t="shared" si="836"/>
        <v>45571</v>
      </c>
      <c r="B5438" s="31">
        <f t="shared" ref="B5438" si="840">TIME(19,19,0)</f>
        <v>0.80486111111111114</v>
      </c>
      <c r="C5438" t="str">
        <f>'Inventory as of 12th Aug 2024'!A86</f>
        <v>Downy sunrise fresh</v>
      </c>
      <c r="D5438">
        <v>4</v>
      </c>
      <c r="E5438" s="5">
        <f>Table4[[#This Row],[qty]]*(VLOOKUP(Table4[[#This Row],[item_sold]],Table1[],5,FALSE))</f>
        <v>80</v>
      </c>
      <c r="F5438" s="5">
        <f>(VLOOKUP(Table4[[#This Row],[item_sold]],Table1[],4,FALSE))*Table4[[#This Row],[qty]]</f>
        <v>69.333333333333329</v>
      </c>
      <c r="G5438">
        <f t="shared" si="830"/>
        <v>10.666666666666671</v>
      </c>
      <c r="H5438" t="s">
        <v>361</v>
      </c>
    </row>
    <row r="5439" spans="1:12" x14ac:dyDescent="0.25">
      <c r="A5439" s="1">
        <f t="shared" si="836"/>
        <v>45571</v>
      </c>
      <c r="B5439" s="31">
        <f>TIME(19,35,0)</f>
        <v>0.81597222222222221</v>
      </c>
      <c r="C5439" t="str">
        <f>'Inventory as of 12th Aug 2024'!A8</f>
        <v>eggs</v>
      </c>
      <c r="D5439">
        <v>5</v>
      </c>
      <c r="E5439" s="5">
        <f>Table4[[#This Row],[qty]]*(VLOOKUP(Table4[[#This Row],[item_sold]],Table1[],5,FALSE))</f>
        <v>100</v>
      </c>
      <c r="F5439" s="5">
        <f>(VLOOKUP(Table4[[#This Row],[item_sold]],Table1[],4,FALSE))*Table4[[#This Row],[qty]]</f>
        <v>71.666666666666671</v>
      </c>
      <c r="G5439">
        <f t="shared" si="830"/>
        <v>28.333333333333329</v>
      </c>
      <c r="H5439" t="s">
        <v>430</v>
      </c>
      <c r="I5439" t="s">
        <v>390</v>
      </c>
    </row>
    <row r="5440" spans="1:12" x14ac:dyDescent="0.25">
      <c r="A5440" s="1">
        <f t="shared" si="836"/>
        <v>45571</v>
      </c>
      <c r="B5440" s="31">
        <f>TIME(19,35,0)</f>
        <v>0.81597222222222221</v>
      </c>
      <c r="C5440" t="str">
        <f>'Inventory as of 12th Aug 2024'!A17</f>
        <v>Brookside milk 500ml</v>
      </c>
      <c r="D5440">
        <v>1</v>
      </c>
      <c r="E5440" s="5">
        <f>Table4[[#This Row],[qty]]*(VLOOKUP(Table4[[#This Row],[item_sold]],Table1[],5,FALSE))</f>
        <v>70</v>
      </c>
      <c r="F5440" s="5">
        <f>(VLOOKUP(Table4[[#This Row],[item_sold]],Table1[],4,FALSE))*Table4[[#This Row],[qty]]</f>
        <v>59</v>
      </c>
      <c r="G5440">
        <f t="shared" si="830"/>
        <v>11</v>
      </c>
      <c r="H5440" t="s">
        <v>430</v>
      </c>
      <c r="I5440" t="s">
        <v>390</v>
      </c>
    </row>
    <row r="5441" spans="1:12" x14ac:dyDescent="0.25">
      <c r="A5441" s="1">
        <f t="shared" si="836"/>
        <v>45571</v>
      </c>
      <c r="B5441" s="31">
        <f>TIME(20,15,0)</f>
        <v>0.84375</v>
      </c>
      <c r="C5441" t="str">
        <f>'Inventory as of 12th Aug 2024'!A75</f>
        <v>Cooking Oil Measured</v>
      </c>
      <c r="D5441">
        <v>0.25</v>
      </c>
      <c r="E5441" s="5">
        <f>Table4[[#This Row],[qty]]*(VLOOKUP(Table4[[#This Row],[item_sold]],Table1[],5,FALSE))</f>
        <v>70</v>
      </c>
      <c r="F5441" s="5">
        <f>(VLOOKUP(Table4[[#This Row],[item_sold]],Table1[],4,FALSE))*Table4[[#This Row],[qty]]</f>
        <v>50</v>
      </c>
      <c r="G5441">
        <f t="shared" si="830"/>
        <v>20</v>
      </c>
      <c r="H5441" t="s">
        <v>361</v>
      </c>
    </row>
    <row r="5442" spans="1:12" x14ac:dyDescent="0.25">
      <c r="A5442" s="1">
        <f t="shared" si="836"/>
        <v>45571</v>
      </c>
      <c r="B5442" s="31">
        <f>TIME(20,17,0)</f>
        <v>0.84513888888888899</v>
      </c>
      <c r="C5442" t="str">
        <f>'Inventory as of 12th Aug 2024'!A177</f>
        <v>Ringoz Barbeque</v>
      </c>
      <c r="D5442">
        <v>2</v>
      </c>
      <c r="E5442" s="5">
        <f>Table4[[#This Row],[qty]]*(VLOOKUP(Table4[[#This Row],[item_sold]],Table1[],5,FALSE))</f>
        <v>30</v>
      </c>
      <c r="F5442" s="5">
        <f>(VLOOKUP(Table4[[#This Row],[item_sold]],Table1[],4,FALSE))*Table4[[#This Row],[qty]]</f>
        <v>17.2</v>
      </c>
      <c r="G5442">
        <f t="shared" si="830"/>
        <v>12.8</v>
      </c>
      <c r="H5442" t="s">
        <v>361</v>
      </c>
    </row>
    <row r="5443" spans="1:12" x14ac:dyDescent="0.25">
      <c r="A5443" s="1">
        <f t="shared" si="836"/>
        <v>45571</v>
      </c>
      <c r="B5443" s="31">
        <f t="shared" ref="B5443:B5445" si="841">TIME(20,17,0)</f>
        <v>0.84513888888888899</v>
      </c>
      <c r="C5443" t="str">
        <f>'Inventory as of 12th Aug 2024'!A90</f>
        <v>Onion</v>
      </c>
      <c r="D5443">
        <v>5</v>
      </c>
      <c r="E5443" s="5">
        <f>Table4[[#This Row],[qty]]*(VLOOKUP(Table4[[#This Row],[item_sold]],Table1[],5,FALSE))</f>
        <v>50</v>
      </c>
      <c r="F5443" s="5">
        <f>(VLOOKUP(Table4[[#This Row],[item_sold]],Table1[],4,FALSE))*Table4[[#This Row],[qty]]</f>
        <v>40</v>
      </c>
      <c r="G5443">
        <f t="shared" si="830"/>
        <v>10</v>
      </c>
      <c r="H5443" t="s">
        <v>361</v>
      </c>
    </row>
    <row r="5444" spans="1:12" x14ac:dyDescent="0.25">
      <c r="A5444" s="1">
        <f t="shared" si="836"/>
        <v>45571</v>
      </c>
      <c r="B5444" s="31">
        <f t="shared" si="841"/>
        <v>0.84513888888888899</v>
      </c>
      <c r="C5444" t="str">
        <f>'Inventory as of 12th Aug 2024'!A50</f>
        <v>Pishori rice</v>
      </c>
      <c r="D5444">
        <v>0.5</v>
      </c>
      <c r="E5444" s="5">
        <f>Table4[[#This Row],[qty]]*(VLOOKUP(Table4[[#This Row],[item_sold]],Table1[],5,FALSE))</f>
        <v>110</v>
      </c>
      <c r="F5444" s="5">
        <f>(VLOOKUP(Table4[[#This Row],[item_sold]],Table1[],4,FALSE))*Table4[[#This Row],[qty]]</f>
        <v>90</v>
      </c>
      <c r="G5444">
        <f t="shared" si="830"/>
        <v>20</v>
      </c>
      <c r="H5444" t="s">
        <v>361</v>
      </c>
    </row>
    <row r="5445" spans="1:12" x14ac:dyDescent="0.25">
      <c r="A5445" s="1">
        <f t="shared" si="836"/>
        <v>45571</v>
      </c>
      <c r="B5445" s="31">
        <f t="shared" si="841"/>
        <v>0.84513888888888899</v>
      </c>
      <c r="C5445" t="str">
        <f>'Inventory as of 12th Aug 2024'!A8</f>
        <v>eggs</v>
      </c>
      <c r="D5445">
        <v>10</v>
      </c>
      <c r="E5445" s="5">
        <f>Table4[[#This Row],[qty]]*(VLOOKUP(Table4[[#This Row],[item_sold]],Table1[],5,FALSE))</f>
        <v>200</v>
      </c>
      <c r="F5445" s="5">
        <f>(VLOOKUP(Table4[[#This Row],[item_sold]],Table1[],4,FALSE))*Table4[[#This Row],[qty]]</f>
        <v>143.33333333333334</v>
      </c>
      <c r="G5445">
        <f t="shared" si="830"/>
        <v>56.666666666666657</v>
      </c>
      <c r="H5445" t="s">
        <v>361</v>
      </c>
      <c r="J5445" t="s">
        <v>455</v>
      </c>
      <c r="K5445">
        <v>230</v>
      </c>
      <c r="L5445" t="s">
        <v>247</v>
      </c>
    </row>
    <row r="5446" spans="1:12" x14ac:dyDescent="0.25">
      <c r="A5446" s="1">
        <f t="shared" si="836"/>
        <v>45571</v>
      </c>
      <c r="B5446" s="31">
        <f>TIME(20,26,0)</f>
        <v>0.85138888888888886</v>
      </c>
      <c r="C5446" t="str">
        <f>'Inventory as of 12th Aug 2024'!A7</f>
        <v>Airtel 50 Credit</v>
      </c>
      <c r="D5446">
        <v>1</v>
      </c>
      <c r="E5446" s="5">
        <f>Table4[[#This Row],[qty]]*(VLOOKUP(Table4[[#This Row],[item_sold]],Table1[],5,FALSE))</f>
        <v>50</v>
      </c>
      <c r="F5446" s="5">
        <f>(VLOOKUP(Table4[[#This Row],[item_sold]],Table1[],4,FALSE))*Table4[[#This Row],[qty]]</f>
        <v>47</v>
      </c>
      <c r="G5446">
        <f t="shared" si="830"/>
        <v>3</v>
      </c>
      <c r="H5446" t="s">
        <v>361</v>
      </c>
      <c r="J5446" t="s">
        <v>385</v>
      </c>
      <c r="K5446">
        <v>35</v>
      </c>
      <c r="L5446" t="s">
        <v>247</v>
      </c>
    </row>
    <row r="5447" spans="1:12" x14ac:dyDescent="0.25">
      <c r="A5447" s="1">
        <f t="shared" si="836"/>
        <v>45571</v>
      </c>
      <c r="B5447" s="31">
        <f>TIME(20,28,0)</f>
        <v>0.85277777777777775</v>
      </c>
      <c r="C5447" t="str">
        <f>'Inventory as of 12th Aug 2024'!A38</f>
        <v>AVC Led bulb</v>
      </c>
      <c r="D5447">
        <v>1</v>
      </c>
      <c r="E5447" s="5">
        <f>Table4[[#This Row],[qty]]*(VLOOKUP(Table4[[#This Row],[item_sold]],Table1[],5,FALSE))</f>
        <v>100</v>
      </c>
      <c r="F5447" s="5">
        <f>(VLOOKUP(Table4[[#This Row],[item_sold]],Table1[],4,FALSE))*Table4[[#This Row],[qty]]</f>
        <v>69</v>
      </c>
      <c r="G5447">
        <f t="shared" si="830"/>
        <v>31</v>
      </c>
      <c r="H5447" t="s">
        <v>247</v>
      </c>
    </row>
    <row r="5448" spans="1:12" x14ac:dyDescent="0.25">
      <c r="A5448" s="1">
        <f t="shared" si="836"/>
        <v>45571</v>
      </c>
      <c r="B5448" s="31">
        <f>TIME(20,34,0)</f>
        <v>0.8569444444444444</v>
      </c>
      <c r="C5448" t="str">
        <f>'Inventory as of 12th Aug 2024'!A10</f>
        <v>Mt Kenya milk 200ml</v>
      </c>
      <c r="D5448">
        <v>1</v>
      </c>
      <c r="E5448" s="5">
        <f>Table4[[#This Row],[qty]]*(VLOOKUP(Table4[[#This Row],[item_sold]],Table1[],5,FALSE))</f>
        <v>35</v>
      </c>
      <c r="F5448" s="5">
        <f>(VLOOKUP(Table4[[#This Row],[item_sold]],Table1[],4,FALSE))*Table4[[#This Row],[qty]]</f>
        <v>24.285714285714285</v>
      </c>
      <c r="G5448">
        <f t="shared" si="830"/>
        <v>10.714285714285715</v>
      </c>
      <c r="H5448" t="s">
        <v>247</v>
      </c>
    </row>
    <row r="5449" spans="1:12" x14ac:dyDescent="0.25">
      <c r="A5449" s="1">
        <f t="shared" si="836"/>
        <v>45571</v>
      </c>
      <c r="B5449" s="31">
        <f>TIME(20,39,0)</f>
        <v>0.86041666666666661</v>
      </c>
      <c r="C5449" t="str">
        <f>'Inventory as of 12th Aug 2024'!A58</f>
        <v>Safari</v>
      </c>
      <c r="D5449">
        <v>1</v>
      </c>
      <c r="E5449" s="5">
        <f>Table4[[#This Row],[qty]]*(VLOOKUP(Table4[[#This Row],[item_sold]],Table1[],5,FALSE))</f>
        <v>15</v>
      </c>
      <c r="F5449" s="5">
        <f>(VLOOKUP(Table4[[#This Row],[item_sold]],Table1[],4,FALSE))*Table4[[#This Row],[qty]]</f>
        <v>8.5</v>
      </c>
      <c r="G5449">
        <f t="shared" si="830"/>
        <v>6.5</v>
      </c>
      <c r="H5449" t="s">
        <v>361</v>
      </c>
    </row>
    <row r="5450" spans="1:12" x14ac:dyDescent="0.25">
      <c r="A5450" s="1">
        <f t="shared" si="836"/>
        <v>45571</v>
      </c>
      <c r="B5450" s="31">
        <f>TIME(18,28,0)</f>
        <v>0.76944444444444438</v>
      </c>
      <c r="C5450" t="str">
        <f>'Inventory as of 12th Aug 2024'!A153</f>
        <v>mosquito stick</v>
      </c>
      <c r="D5450">
        <v>2</v>
      </c>
      <c r="E5450" s="5">
        <f>Table4[[#This Row],[qty]]*(VLOOKUP(Table4[[#This Row],[item_sold]],Table1[],5,FALSE))</f>
        <v>20</v>
      </c>
      <c r="F5450" s="5">
        <f>(VLOOKUP(Table4[[#This Row],[item_sold]],Table1[],4,FALSE))*Table4[[#This Row],[qty]]</f>
        <v>18</v>
      </c>
      <c r="G5450">
        <f t="shared" si="830"/>
        <v>2</v>
      </c>
      <c r="H5450" s="25" t="s">
        <v>361</v>
      </c>
    </row>
    <row r="5451" spans="1:12" x14ac:dyDescent="0.25">
      <c r="A5451" s="1">
        <f t="shared" si="836"/>
        <v>45571</v>
      </c>
      <c r="B5451" s="31">
        <f t="shared" ref="B5451" si="842">TIME(18,28,0)</f>
        <v>0.76944444444444438</v>
      </c>
      <c r="C5451" t="str">
        <f>'Inventory as of 12th Aug 2024'!A191</f>
        <v>Nuvita Bisquit</v>
      </c>
      <c r="D5451">
        <v>2</v>
      </c>
      <c r="E5451" s="5">
        <f>Table4[[#This Row],[qty]]*(VLOOKUP(Table4[[#This Row],[item_sold]],Table1[],5,FALSE))</f>
        <v>10</v>
      </c>
      <c r="F5451" s="5">
        <f>(VLOOKUP(Table4[[#This Row],[item_sold]],Table1[],4,FALSE))*Table4[[#This Row],[qty]]</f>
        <v>8.3333333333333339</v>
      </c>
      <c r="G5451">
        <f t="shared" si="830"/>
        <v>1.6666666666666661</v>
      </c>
      <c r="H5451" t="s">
        <v>247</v>
      </c>
    </row>
    <row r="5452" spans="1:12" x14ac:dyDescent="0.25">
      <c r="A5452" s="1">
        <f t="shared" si="836"/>
        <v>45571</v>
      </c>
      <c r="B5452" s="31">
        <f>TIME(20,44,0)</f>
        <v>0.86388888888888893</v>
      </c>
      <c r="C5452" t="str">
        <f>'Inventory as of 12th Aug 2024'!A153</f>
        <v>mosquito stick</v>
      </c>
      <c r="D5452">
        <v>5</v>
      </c>
      <c r="E5452" s="5">
        <f>Table4[[#This Row],[qty]]*(VLOOKUP(Table4[[#This Row],[item_sold]],Table1[],5,FALSE))</f>
        <v>50</v>
      </c>
      <c r="F5452" s="5">
        <f>(VLOOKUP(Table4[[#This Row],[item_sold]],Table1[],4,FALSE))*Table4[[#This Row],[qty]]</f>
        <v>45</v>
      </c>
      <c r="G5452">
        <f t="shared" si="830"/>
        <v>5</v>
      </c>
      <c r="H5452" t="s">
        <v>361</v>
      </c>
    </row>
    <row r="5453" spans="1:12" x14ac:dyDescent="0.25">
      <c r="A5453" s="1">
        <f t="shared" si="836"/>
        <v>45571</v>
      </c>
      <c r="B5453" s="31">
        <f>TIME(20,50,0)</f>
        <v>0.86805555555555547</v>
      </c>
      <c r="C5453" t="str">
        <f>'Inventory as of 12th Aug 2024'!A59</f>
        <v>kabras sugar 1kg</v>
      </c>
      <c r="D5453">
        <v>1</v>
      </c>
      <c r="E5453" s="5">
        <f>Table4[[#This Row],[qty]]*(VLOOKUP(Table4[[#This Row],[item_sold]],Table1[],5,FALSE))</f>
        <v>180</v>
      </c>
      <c r="F5453" s="5">
        <f>(VLOOKUP(Table4[[#This Row],[item_sold]],Table1[],4,FALSE))*Table4[[#This Row],[qty]]</f>
        <v>140</v>
      </c>
      <c r="G5453">
        <f t="shared" si="830"/>
        <v>40</v>
      </c>
      <c r="H5453" t="s">
        <v>430</v>
      </c>
      <c r="I5453" t="s">
        <v>591</v>
      </c>
    </row>
    <row r="5454" spans="1:12" x14ac:dyDescent="0.25">
      <c r="A5454" s="1">
        <f>DATE(2024,10,7)</f>
        <v>45572</v>
      </c>
      <c r="B5454" s="31">
        <f>TIME(6,56,0)</f>
        <v>0.28888888888888892</v>
      </c>
      <c r="C5454" t="str">
        <f>'Inventory as of 12th Aug 2024'!A120</f>
        <v>Maramoja</v>
      </c>
      <c r="D5454">
        <v>3</v>
      </c>
      <c r="E5454" s="5">
        <f>Table4[[#This Row],[qty]]*(VLOOKUP(Table4[[#This Row],[item_sold]],Table1[],5,FALSE))</f>
        <v>30</v>
      </c>
      <c r="F5454" s="5">
        <f>(VLOOKUP(Table4[[#This Row],[item_sold]],Table1[],4,FALSE))*Table4[[#This Row],[qty]]</f>
        <v>21</v>
      </c>
      <c r="G5454">
        <f t="shared" si="830"/>
        <v>9</v>
      </c>
      <c r="H5454" t="s">
        <v>361</v>
      </c>
    </row>
    <row r="5455" spans="1:12" x14ac:dyDescent="0.25">
      <c r="A5455" s="1">
        <f t="shared" ref="A5455:A5518" si="843">DATE(2024,10,7)</f>
        <v>45572</v>
      </c>
      <c r="B5455" s="31">
        <f t="shared" ref="B5455" si="844">TIME(6,56,0)</f>
        <v>0.28888888888888892</v>
      </c>
      <c r="C5455" t="str">
        <f>'Inventory as of 12th Aug 2024'!A37</f>
        <v>Festive Bread 400g</v>
      </c>
      <c r="D5455">
        <v>1</v>
      </c>
      <c r="E5455" s="5">
        <f>Table4[[#This Row],[qty]]*(VLOOKUP(Table4[[#This Row],[item_sold]],Table1[],5,FALSE))</f>
        <v>65</v>
      </c>
      <c r="F5455" s="5">
        <f>(VLOOKUP(Table4[[#This Row],[item_sold]],Table1[],4,FALSE))*Table4[[#This Row],[qty]]</f>
        <v>60</v>
      </c>
      <c r="G5455">
        <f t="shared" si="830"/>
        <v>5</v>
      </c>
      <c r="H5455" t="s">
        <v>430</v>
      </c>
      <c r="I5455" t="s">
        <v>390</v>
      </c>
    </row>
    <row r="5456" spans="1:12" x14ac:dyDescent="0.25">
      <c r="A5456" s="1">
        <f t="shared" si="843"/>
        <v>45572</v>
      </c>
      <c r="B5456" s="31">
        <f>TIME(7,34,0)</f>
        <v>0.31527777777777777</v>
      </c>
      <c r="C5456" t="str">
        <f>'Inventory as of 12th Aug 2024'!A58</f>
        <v>Safari</v>
      </c>
      <c r="D5456">
        <v>1</v>
      </c>
      <c r="E5456" s="5">
        <f>Table4[[#This Row],[qty]]*(VLOOKUP(Table4[[#This Row],[item_sold]],Table1[],5,FALSE))</f>
        <v>15</v>
      </c>
      <c r="F5456" s="5">
        <f>(VLOOKUP(Table4[[#This Row],[item_sold]],Table1[],4,FALSE))*Table4[[#This Row],[qty]]</f>
        <v>8.5</v>
      </c>
      <c r="G5456">
        <f t="shared" si="830"/>
        <v>6.5</v>
      </c>
      <c r="H5456" t="s">
        <v>361</v>
      </c>
    </row>
    <row r="5457" spans="1:12" x14ac:dyDescent="0.25">
      <c r="A5457" s="1">
        <f t="shared" si="843"/>
        <v>45572</v>
      </c>
      <c r="B5457" s="31">
        <f>TIME(8,22,0)</f>
        <v>0.34861111111111115</v>
      </c>
      <c r="C5457" t="str">
        <f>'Inventory as of 12th Aug 2024'!A35</f>
        <v>Festive 600g</v>
      </c>
      <c r="D5457">
        <v>1</v>
      </c>
      <c r="E5457" s="5">
        <f>Table4[[#This Row],[qty]]*(VLOOKUP(Table4[[#This Row],[item_sold]],Table1[],5,FALSE))</f>
        <v>100</v>
      </c>
      <c r="F5457" s="5">
        <f>(VLOOKUP(Table4[[#This Row],[item_sold]],Table1[],4,FALSE))*Table4[[#This Row],[qty]]</f>
        <v>90</v>
      </c>
      <c r="G5457">
        <f t="shared" si="830"/>
        <v>10</v>
      </c>
      <c r="H5457" t="s">
        <v>430</v>
      </c>
      <c r="I5457" t="s">
        <v>385</v>
      </c>
    </row>
    <row r="5458" spans="1:12" x14ac:dyDescent="0.25">
      <c r="A5458" s="1">
        <f t="shared" si="843"/>
        <v>45572</v>
      </c>
      <c r="B5458" s="31">
        <f>TIME(8,34,0)</f>
        <v>0.35694444444444445</v>
      </c>
      <c r="C5458" t="str">
        <f>'Inventory as of 12th Aug 2024'!A37</f>
        <v>Festive Bread 400g</v>
      </c>
      <c r="D5458">
        <v>1</v>
      </c>
      <c r="E5458" s="5">
        <f>Table4[[#This Row],[qty]]*(VLOOKUP(Table4[[#This Row],[item_sold]],Table1[],5,FALSE))</f>
        <v>65</v>
      </c>
      <c r="F5458" s="5">
        <f>(VLOOKUP(Table4[[#This Row],[item_sold]],Table1[],4,FALSE))*Table4[[#This Row],[qty]]</f>
        <v>60</v>
      </c>
      <c r="G5458">
        <f t="shared" si="830"/>
        <v>5</v>
      </c>
      <c r="H5458" t="s">
        <v>247</v>
      </c>
    </row>
    <row r="5459" spans="1:12" x14ac:dyDescent="0.25">
      <c r="A5459" s="1">
        <f t="shared" si="843"/>
        <v>45572</v>
      </c>
      <c r="B5459" s="31">
        <f t="shared" ref="B5459" si="845">TIME(8,34,0)</f>
        <v>0.35694444444444445</v>
      </c>
      <c r="C5459" t="str">
        <f>'Inventory as of 12th Aug 2024'!A10</f>
        <v>Mt Kenya milk 200ml</v>
      </c>
      <c r="D5459">
        <v>1</v>
      </c>
      <c r="E5459" s="5">
        <f>Table4[[#This Row],[qty]]*(VLOOKUP(Table4[[#This Row],[item_sold]],Table1[],5,FALSE))</f>
        <v>35</v>
      </c>
      <c r="F5459" s="5">
        <f>(VLOOKUP(Table4[[#This Row],[item_sold]],Table1[],4,FALSE))*Table4[[#This Row],[qty]]</f>
        <v>24.285714285714285</v>
      </c>
      <c r="G5459">
        <f t="shared" si="830"/>
        <v>10.714285714285715</v>
      </c>
      <c r="H5459" t="s">
        <v>247</v>
      </c>
    </row>
    <row r="5460" spans="1:12" x14ac:dyDescent="0.25">
      <c r="A5460" s="1">
        <f t="shared" si="843"/>
        <v>45572</v>
      </c>
      <c r="B5460" s="31">
        <f>TIME(9,28,0)</f>
        <v>0.39444444444444443</v>
      </c>
      <c r="C5460" t="str">
        <f>'Inventory as of 12th Aug 2024'!A9</f>
        <v>Kinangop Fresh Milk 500ml</v>
      </c>
      <c r="D5460">
        <v>1</v>
      </c>
      <c r="E5460" s="5">
        <f>Table4[[#This Row],[qty]]*(VLOOKUP(Table4[[#This Row],[item_sold]],Table1[],5,FALSE))</f>
        <v>60</v>
      </c>
      <c r="F5460" s="5">
        <f>(VLOOKUP(Table4[[#This Row],[item_sold]],Table1[],4,FALSE))*Table4[[#This Row],[qty]]</f>
        <v>55</v>
      </c>
      <c r="G5460">
        <f t="shared" ref="G5460:G5523" si="846">E5460-F5460</f>
        <v>5</v>
      </c>
      <c r="H5460" t="s">
        <v>361</v>
      </c>
      <c r="J5460" t="s">
        <v>443</v>
      </c>
      <c r="K5460">
        <v>100</v>
      </c>
      <c r="L5460" t="s">
        <v>361</v>
      </c>
    </row>
    <row r="5461" spans="1:12" x14ac:dyDescent="0.25">
      <c r="A5461" s="1">
        <f t="shared" si="843"/>
        <v>45572</v>
      </c>
      <c r="B5461" s="31">
        <f>TIME(9,36,0)</f>
        <v>0.39999999999999997</v>
      </c>
      <c r="C5461" t="str">
        <f>'Inventory as of 12th Aug 2024'!A7</f>
        <v>Airtel 50 Credit</v>
      </c>
      <c r="D5461">
        <v>1</v>
      </c>
      <c r="E5461" s="5">
        <f>Table4[[#This Row],[qty]]*(VLOOKUP(Table4[[#This Row],[item_sold]],Table1[],5,FALSE))</f>
        <v>50</v>
      </c>
      <c r="F5461" s="5">
        <f>(VLOOKUP(Table4[[#This Row],[item_sold]],Table1[],4,FALSE))*Table4[[#This Row],[qty]]</f>
        <v>47</v>
      </c>
      <c r="G5461">
        <f t="shared" si="846"/>
        <v>3</v>
      </c>
      <c r="H5461" t="s">
        <v>247</v>
      </c>
    </row>
    <row r="5462" spans="1:12" x14ac:dyDescent="0.25">
      <c r="A5462" s="1">
        <f t="shared" si="843"/>
        <v>45572</v>
      </c>
      <c r="B5462" s="31">
        <f>TIME(9,47,0)</f>
        <v>0.40763888888888888</v>
      </c>
      <c r="C5462" t="str">
        <f>'Inventory as of 12th Aug 2024'!A205</f>
        <v xml:space="preserve"> soda 1.25lts</v>
      </c>
      <c r="D5462">
        <v>1</v>
      </c>
      <c r="E5462" s="5">
        <f>Table4[[#This Row],[qty]]*(VLOOKUP(Table4[[#This Row],[item_sold]],Table1[],5,FALSE))</f>
        <v>130</v>
      </c>
      <c r="F5462" s="5">
        <f>(VLOOKUP(Table4[[#This Row],[item_sold]],Table1[],4,FALSE))*Table4[[#This Row],[qty]]</f>
        <v>112.5</v>
      </c>
      <c r="G5462">
        <f t="shared" si="846"/>
        <v>17.5</v>
      </c>
      <c r="H5462" t="s">
        <v>361</v>
      </c>
    </row>
    <row r="5463" spans="1:12" x14ac:dyDescent="0.25">
      <c r="A5463" s="1">
        <f t="shared" si="843"/>
        <v>45572</v>
      </c>
      <c r="B5463" s="31">
        <f>TIME(9,55,0)</f>
        <v>0.41319444444444442</v>
      </c>
      <c r="C5463" t="str">
        <f>'Inventory as of 12th Aug 2024'!A86</f>
        <v>Downy sunrise fresh</v>
      </c>
      <c r="D5463">
        <v>2</v>
      </c>
      <c r="E5463" s="5">
        <f>Table4[[#This Row],[qty]]*(VLOOKUP(Table4[[#This Row],[item_sold]],Table1[],5,FALSE))</f>
        <v>40</v>
      </c>
      <c r="F5463" s="5">
        <f>(VLOOKUP(Table4[[#This Row],[item_sold]],Table1[],4,FALSE))*Table4[[#This Row],[qty]]</f>
        <v>34.666666666666664</v>
      </c>
      <c r="G5463">
        <f t="shared" si="846"/>
        <v>5.3333333333333357</v>
      </c>
      <c r="H5463" t="s">
        <v>361</v>
      </c>
    </row>
    <row r="5464" spans="1:12" x14ac:dyDescent="0.25">
      <c r="A5464" s="1">
        <f t="shared" si="843"/>
        <v>45572</v>
      </c>
      <c r="B5464" s="31">
        <f t="shared" ref="B5464:B5465" si="847">TIME(9,55,0)</f>
        <v>0.41319444444444442</v>
      </c>
      <c r="C5464" t="str">
        <f>'Inventory as of 12th Aug 2024'!A135</f>
        <v>Bella Tissue</v>
      </c>
      <c r="D5464">
        <v>1</v>
      </c>
      <c r="E5464" s="5">
        <f>Table4[[#This Row],[qty]]*(VLOOKUP(Table4[[#This Row],[item_sold]],Table1[],5,FALSE))</f>
        <v>50</v>
      </c>
      <c r="F5464" s="5">
        <f>(VLOOKUP(Table4[[#This Row],[item_sold]],Table1[],4,FALSE))*Table4[[#This Row],[qty]]</f>
        <v>35</v>
      </c>
      <c r="G5464">
        <f t="shared" si="846"/>
        <v>15</v>
      </c>
      <c r="H5464" t="s">
        <v>361</v>
      </c>
    </row>
    <row r="5465" spans="1:12" x14ac:dyDescent="0.25">
      <c r="A5465" s="1">
        <f t="shared" si="843"/>
        <v>45572</v>
      </c>
      <c r="B5465" s="31">
        <f t="shared" si="847"/>
        <v>0.41319444444444442</v>
      </c>
      <c r="C5465" t="str">
        <f>'Inventory as of 12th Aug 2024'!A81</f>
        <v>ariel 75g</v>
      </c>
      <c r="D5465">
        <v>1</v>
      </c>
      <c r="E5465" s="5">
        <f>Table4[[#This Row],[qty]]*(VLOOKUP(Table4[[#This Row],[item_sold]],Table1[],5,FALSE))</f>
        <v>35</v>
      </c>
      <c r="F5465" s="5">
        <f>(VLOOKUP(Table4[[#This Row],[item_sold]],Table1[],4,FALSE))*Table4[[#This Row],[qty]]</f>
        <v>27.5</v>
      </c>
      <c r="G5465">
        <f t="shared" si="846"/>
        <v>7.5</v>
      </c>
      <c r="H5465" t="s">
        <v>361</v>
      </c>
    </row>
    <row r="5466" spans="1:12" x14ac:dyDescent="0.25">
      <c r="A5466" s="1">
        <f t="shared" si="843"/>
        <v>45572</v>
      </c>
      <c r="B5466" s="31">
        <f>TIME(10,16,0)</f>
        <v>0.42777777777777781</v>
      </c>
      <c r="C5466" t="str">
        <f>'Inventory as of 12th Aug 2024'!A4</f>
        <v>Safaricom 50 Credit</v>
      </c>
      <c r="D5466">
        <v>2</v>
      </c>
      <c r="E5466" s="5">
        <f>Table4[[#This Row],[qty]]*(VLOOKUP(Table4[[#This Row],[item_sold]],Table1[],5,FALSE))</f>
        <v>100</v>
      </c>
      <c r="F5466" s="5">
        <f>(VLOOKUP(Table4[[#This Row],[item_sold]],Table1[],4,FALSE))*Table4[[#This Row],[qty]]</f>
        <v>94</v>
      </c>
      <c r="G5466">
        <f t="shared" si="846"/>
        <v>6</v>
      </c>
      <c r="H5466" t="s">
        <v>247</v>
      </c>
    </row>
    <row r="5467" spans="1:12" x14ac:dyDescent="0.25">
      <c r="A5467" s="1">
        <f t="shared" si="843"/>
        <v>45572</v>
      </c>
      <c r="B5467" s="31">
        <f t="shared" ref="B5467:B5468" si="848">TIME(10,16,0)</f>
        <v>0.42777777777777781</v>
      </c>
      <c r="C5467" t="str">
        <f>'Inventory as of 12th Aug 2024'!A175</f>
        <v>Coconut Cakes</v>
      </c>
      <c r="D5467">
        <v>3</v>
      </c>
      <c r="E5467" s="5">
        <f>Table4[[#This Row],[qty]]*(VLOOKUP(Table4[[#This Row],[item_sold]],Table1[],5,FALSE))</f>
        <v>30</v>
      </c>
      <c r="F5467" s="5">
        <f>(VLOOKUP(Table4[[#This Row],[item_sold]],Table1[],4,FALSE))*Table4[[#This Row],[qty]]</f>
        <v>25</v>
      </c>
      <c r="G5467">
        <f t="shared" si="846"/>
        <v>5</v>
      </c>
      <c r="H5467" t="s">
        <v>430</v>
      </c>
      <c r="I5467" t="s">
        <v>590</v>
      </c>
    </row>
    <row r="5468" spans="1:12" x14ac:dyDescent="0.25">
      <c r="A5468" s="1">
        <f t="shared" si="843"/>
        <v>45572</v>
      </c>
      <c r="B5468" s="31">
        <f t="shared" si="848"/>
        <v>0.42777777777777781</v>
      </c>
      <c r="C5468" t="str">
        <f>'Inventory as of 12th Aug 2024'!A261</f>
        <v>Black Tape</v>
      </c>
      <c r="D5468">
        <v>1</v>
      </c>
      <c r="E5468" s="5">
        <f>Table4[[#This Row],[qty]]*(VLOOKUP(Table4[[#This Row],[item_sold]],Table1[],5,FALSE))</f>
        <v>50</v>
      </c>
      <c r="F5468" s="5">
        <f>(VLOOKUP(Table4[[#This Row],[item_sold]],Table1[],4,FALSE))*Table4[[#This Row],[qty]]</f>
        <v>28</v>
      </c>
      <c r="G5468">
        <f t="shared" si="846"/>
        <v>22</v>
      </c>
      <c r="H5468" t="s">
        <v>430</v>
      </c>
      <c r="I5468" t="s">
        <v>590</v>
      </c>
    </row>
    <row r="5469" spans="1:12" x14ac:dyDescent="0.25">
      <c r="A5469" s="1">
        <f t="shared" si="843"/>
        <v>45572</v>
      </c>
      <c r="B5469" s="31">
        <f>TIME(11,57,0)</f>
        <v>0.49791666666666662</v>
      </c>
      <c r="C5469" t="str">
        <f>'Inventory as of 12th Aug 2024'!A235</f>
        <v>Cough drops</v>
      </c>
      <c r="D5469">
        <v>2</v>
      </c>
      <c r="E5469" s="5">
        <f>Table4[[#This Row],[qty]]*(VLOOKUP(Table4[[#This Row],[item_sold]],Table1[],5,FALSE))</f>
        <v>10</v>
      </c>
      <c r="F5469" s="5">
        <f>(VLOOKUP(Table4[[#This Row],[item_sold]],Table1[],4,FALSE))*Table4[[#This Row],[qty]]</f>
        <v>8</v>
      </c>
      <c r="G5469">
        <f t="shared" si="846"/>
        <v>2</v>
      </c>
      <c r="H5469" t="s">
        <v>247</v>
      </c>
    </row>
    <row r="5470" spans="1:12" x14ac:dyDescent="0.25">
      <c r="A5470" s="1">
        <f t="shared" si="843"/>
        <v>45572</v>
      </c>
      <c r="B5470" s="31">
        <f t="shared" ref="B5470" si="849">TIME(11,57,0)</f>
        <v>0.49791666666666662</v>
      </c>
      <c r="C5470" t="str">
        <f>'Inventory as of 12th Aug 2024'!A175</f>
        <v>Coconut Cakes</v>
      </c>
      <c r="D5470">
        <v>6</v>
      </c>
      <c r="E5470" s="5">
        <f>Table4[[#This Row],[qty]]*(VLOOKUP(Table4[[#This Row],[item_sold]],Table1[],5,FALSE))</f>
        <v>60</v>
      </c>
      <c r="F5470" s="5">
        <f>(VLOOKUP(Table4[[#This Row],[item_sold]],Table1[],4,FALSE))*Table4[[#This Row],[qty]]</f>
        <v>50</v>
      </c>
      <c r="G5470">
        <f t="shared" si="846"/>
        <v>10</v>
      </c>
      <c r="H5470" t="s">
        <v>361</v>
      </c>
    </row>
    <row r="5471" spans="1:12" x14ac:dyDescent="0.25">
      <c r="A5471" s="1">
        <f t="shared" si="843"/>
        <v>45572</v>
      </c>
      <c r="B5471" s="31">
        <f>TIME(12,27,0)</f>
        <v>0.51874999999999993</v>
      </c>
      <c r="C5471" t="str">
        <f>'Inventory as of 12th Aug 2024'!A16</f>
        <v>Mt kenya milk 500ml</v>
      </c>
      <c r="D5471">
        <v>1</v>
      </c>
      <c r="E5471" s="5">
        <f>Table4[[#This Row],[qty]]*(VLOOKUP(Table4[[#This Row],[item_sold]],Table1[],5,FALSE))</f>
        <v>65</v>
      </c>
      <c r="F5471" s="5">
        <f>(VLOOKUP(Table4[[#This Row],[item_sold]],Table1[],4,FALSE))*Table4[[#This Row],[qty]]</f>
        <v>48.333333333333336</v>
      </c>
      <c r="G5471">
        <f t="shared" si="846"/>
        <v>16.666666666666664</v>
      </c>
      <c r="H5471" t="s">
        <v>361</v>
      </c>
    </row>
    <row r="5472" spans="1:12" x14ac:dyDescent="0.25">
      <c r="A5472" s="1">
        <f t="shared" si="843"/>
        <v>45572</v>
      </c>
      <c r="B5472" s="31">
        <f>TIME(12,33,0)</f>
        <v>0.5229166666666667</v>
      </c>
      <c r="C5472" t="str">
        <f>'Inventory as of 12th Aug 2024'!A37</f>
        <v>Festive Bread 400g</v>
      </c>
      <c r="D5472">
        <v>1</v>
      </c>
      <c r="E5472" s="5">
        <f>Table4[[#This Row],[qty]]*(VLOOKUP(Table4[[#This Row],[item_sold]],Table1[],5,FALSE))</f>
        <v>65</v>
      </c>
      <c r="F5472" s="5">
        <f>(VLOOKUP(Table4[[#This Row],[item_sold]],Table1[],4,FALSE))*Table4[[#This Row],[qty]]</f>
        <v>60</v>
      </c>
      <c r="G5472">
        <f t="shared" si="846"/>
        <v>5</v>
      </c>
      <c r="H5472" t="s">
        <v>361</v>
      </c>
    </row>
    <row r="5473" spans="1:12" x14ac:dyDescent="0.25">
      <c r="A5473" s="1">
        <f t="shared" si="843"/>
        <v>45572</v>
      </c>
      <c r="B5473" s="31">
        <f>TIME(12,33,0)</f>
        <v>0.5229166666666667</v>
      </c>
      <c r="C5473" t="str">
        <f>'Inventory as of 12th Aug 2024'!A16</f>
        <v>Mt kenya milk 500ml</v>
      </c>
      <c r="D5473">
        <v>1</v>
      </c>
      <c r="E5473" s="5">
        <f>Table4[[#This Row],[qty]]*(VLOOKUP(Table4[[#This Row],[item_sold]],Table1[],5,FALSE))</f>
        <v>65</v>
      </c>
      <c r="F5473" s="5">
        <f>(VLOOKUP(Table4[[#This Row],[item_sold]],Table1[],4,FALSE))*Table4[[#This Row],[qty]]</f>
        <v>48.333333333333336</v>
      </c>
      <c r="G5473">
        <f t="shared" si="846"/>
        <v>16.666666666666664</v>
      </c>
      <c r="H5473" t="s">
        <v>361</v>
      </c>
    </row>
    <row r="5474" spans="1:12" x14ac:dyDescent="0.25">
      <c r="A5474" s="1">
        <f t="shared" si="843"/>
        <v>45572</v>
      </c>
      <c r="B5474" s="31">
        <f>TIME(12,39,0)</f>
        <v>0.52708333333333335</v>
      </c>
      <c r="C5474" t="str">
        <f>'Inventory as of 12th Aug 2024'!A178</f>
        <v>Ringoz Paprika</v>
      </c>
      <c r="D5474">
        <v>1</v>
      </c>
      <c r="E5474" s="5">
        <f>Table4[[#This Row],[qty]]*(VLOOKUP(Table4[[#This Row],[item_sold]],Table1[],5,FALSE))</f>
        <v>15</v>
      </c>
      <c r="F5474" s="5">
        <f>(VLOOKUP(Table4[[#This Row],[item_sold]],Table1[],4,FALSE))*Table4[[#This Row],[qty]]</f>
        <v>8.8000000000000007</v>
      </c>
      <c r="G5474">
        <f t="shared" si="846"/>
        <v>6.1999999999999993</v>
      </c>
      <c r="H5474" t="s">
        <v>247</v>
      </c>
    </row>
    <row r="5475" spans="1:12" x14ac:dyDescent="0.25">
      <c r="A5475" s="1">
        <f t="shared" si="843"/>
        <v>45572</v>
      </c>
      <c r="B5475" s="31">
        <f t="shared" ref="B5475" si="850">TIME(12,39,0)</f>
        <v>0.52708333333333335</v>
      </c>
      <c r="C5475" t="str">
        <f>'Inventory as of 12th Aug 2024'!A193</f>
        <v>Ginger Bisquit</v>
      </c>
      <c r="D5475">
        <v>1</v>
      </c>
      <c r="E5475" s="5">
        <f>Table4[[#This Row],[qty]]*(VLOOKUP(Table4[[#This Row],[item_sold]],Table1[],5,FALSE))</f>
        <v>5</v>
      </c>
      <c r="F5475" s="5">
        <f>(VLOOKUP(Table4[[#This Row],[item_sold]],Table1[],4,FALSE))*Table4[[#This Row],[qty]]</f>
        <v>4.333333333333333</v>
      </c>
      <c r="G5475">
        <f t="shared" si="846"/>
        <v>0.66666666666666696</v>
      </c>
      <c r="H5475" t="s">
        <v>247</v>
      </c>
    </row>
    <row r="5476" spans="1:12" x14ac:dyDescent="0.25">
      <c r="A5476" s="1">
        <f t="shared" si="843"/>
        <v>45572</v>
      </c>
      <c r="B5476" s="31">
        <f>TIME(13,25,0)</f>
        <v>0.55902777777777779</v>
      </c>
      <c r="C5476" t="str">
        <f>'Inventory as of 12th Aug 2024'!A58</f>
        <v>Safari</v>
      </c>
      <c r="D5476">
        <v>2</v>
      </c>
      <c r="E5476" s="5">
        <f>Table4[[#This Row],[qty]]*(VLOOKUP(Table4[[#This Row],[item_sold]],Table1[],5,FALSE))</f>
        <v>30</v>
      </c>
      <c r="F5476" s="5">
        <f>(VLOOKUP(Table4[[#This Row],[item_sold]],Table1[],4,FALSE))*Table4[[#This Row],[qty]]</f>
        <v>17</v>
      </c>
      <c r="G5476">
        <f t="shared" si="846"/>
        <v>13</v>
      </c>
      <c r="H5476" s="25" t="s">
        <v>247</v>
      </c>
    </row>
    <row r="5477" spans="1:12" x14ac:dyDescent="0.25">
      <c r="A5477" s="1">
        <f t="shared" si="843"/>
        <v>45572</v>
      </c>
      <c r="B5477" s="31">
        <f t="shared" ref="B5477:B5479" si="851">TIME(13,25,0)</f>
        <v>0.55902777777777779</v>
      </c>
      <c r="C5477" t="str">
        <f>'Inventory as of 12th Aug 2024'!A10</f>
        <v>Mt Kenya milk 200ml</v>
      </c>
      <c r="D5477">
        <v>1</v>
      </c>
      <c r="E5477" s="5">
        <f>Table4[[#This Row],[qty]]*(VLOOKUP(Table4[[#This Row],[item_sold]],Table1[],5,FALSE))</f>
        <v>35</v>
      </c>
      <c r="F5477" s="5">
        <f>(VLOOKUP(Table4[[#This Row],[item_sold]],Table1[],4,FALSE))*Table4[[#This Row],[qty]]</f>
        <v>24.285714285714285</v>
      </c>
      <c r="G5477">
        <f t="shared" si="846"/>
        <v>10.714285714285715</v>
      </c>
      <c r="H5477" t="s">
        <v>247</v>
      </c>
    </row>
    <row r="5478" spans="1:12" x14ac:dyDescent="0.25">
      <c r="A5478" s="1">
        <f t="shared" si="843"/>
        <v>45572</v>
      </c>
      <c r="B5478" s="31">
        <f t="shared" si="851"/>
        <v>0.55902777777777779</v>
      </c>
      <c r="C5478" t="str">
        <f>'Inventory as of 12th Aug 2024'!A175</f>
        <v>Coconut Cakes</v>
      </c>
      <c r="D5478">
        <v>1</v>
      </c>
      <c r="E5478" s="5">
        <f>Table4[[#This Row],[qty]]*(VLOOKUP(Table4[[#This Row],[item_sold]],Table1[],5,FALSE))</f>
        <v>10</v>
      </c>
      <c r="F5478" s="5">
        <f>(VLOOKUP(Table4[[#This Row],[item_sold]],Table1[],4,FALSE))*Table4[[#This Row],[qty]]</f>
        <v>8.3333333333333339</v>
      </c>
      <c r="G5478">
        <f t="shared" si="846"/>
        <v>1.6666666666666661</v>
      </c>
      <c r="H5478" t="s">
        <v>247</v>
      </c>
    </row>
    <row r="5479" spans="1:12" x14ac:dyDescent="0.25">
      <c r="A5479" s="1">
        <f t="shared" si="843"/>
        <v>45572</v>
      </c>
      <c r="B5479" s="31">
        <f t="shared" si="851"/>
        <v>0.55902777777777779</v>
      </c>
      <c r="C5479" t="str">
        <f>'Inventory as of 12th Aug 2024'!A107</f>
        <v>Match Box</v>
      </c>
      <c r="D5479">
        <v>1</v>
      </c>
      <c r="E5479" s="5">
        <f>Table4[[#This Row],[qty]]*(VLOOKUP(Table4[[#This Row],[item_sold]],Table1[],5,FALSE))</f>
        <v>5</v>
      </c>
      <c r="F5479" s="5">
        <f>(VLOOKUP(Table4[[#This Row],[item_sold]],Table1[],4,FALSE))*Table4[[#This Row],[qty]]</f>
        <v>2.3611111111111112</v>
      </c>
      <c r="G5479">
        <f t="shared" si="846"/>
        <v>2.6388888888888888</v>
      </c>
      <c r="H5479" t="s">
        <v>247</v>
      </c>
    </row>
    <row r="5480" spans="1:12" x14ac:dyDescent="0.25">
      <c r="A5480" s="1">
        <f t="shared" si="843"/>
        <v>45572</v>
      </c>
      <c r="B5480" s="31">
        <f>TIME(13,40,0)</f>
        <v>0.56944444444444442</v>
      </c>
      <c r="C5480" t="str">
        <f>'Inventory as of 12th Aug 2024'!A131</f>
        <v>Zycet (cetrizine)</v>
      </c>
      <c r="D5480">
        <v>1</v>
      </c>
      <c r="E5480" s="5">
        <f>Table4[[#This Row],[qty]]*(VLOOKUP(Table4[[#This Row],[item_sold]],Table1[],5,FALSE))</f>
        <v>15</v>
      </c>
      <c r="F5480" s="5">
        <f>(VLOOKUP(Table4[[#This Row],[item_sold]],Table1[],4,FALSE))*Table4[[#This Row],[qty]]</f>
        <v>8</v>
      </c>
      <c r="G5480">
        <f t="shared" si="846"/>
        <v>7</v>
      </c>
      <c r="H5480" t="s">
        <v>430</v>
      </c>
      <c r="I5480" t="s">
        <v>593</v>
      </c>
    </row>
    <row r="5481" spans="1:12" x14ac:dyDescent="0.25">
      <c r="A5481" s="1">
        <f t="shared" si="843"/>
        <v>45572</v>
      </c>
      <c r="B5481" s="31">
        <f t="shared" ref="B5481" si="852">TIME(13,40,0)</f>
        <v>0.56944444444444442</v>
      </c>
      <c r="C5481" t="str">
        <f>'Inventory as of 12th Aug 2024'!A127</f>
        <v>tumbocide</v>
      </c>
      <c r="D5481">
        <v>1</v>
      </c>
      <c r="E5481" s="5">
        <f>Table4[[#This Row],[qty]]*(VLOOKUP(Table4[[#This Row],[item_sold]],Table1[],5,FALSE))</f>
        <v>10</v>
      </c>
      <c r="F5481" s="5">
        <f>(VLOOKUP(Table4[[#This Row],[item_sold]],Table1[],4,FALSE))*Table4[[#This Row],[qty]]</f>
        <v>7</v>
      </c>
      <c r="G5481">
        <f t="shared" si="846"/>
        <v>3</v>
      </c>
      <c r="H5481" t="s">
        <v>430</v>
      </c>
      <c r="I5481" t="s">
        <v>593</v>
      </c>
    </row>
    <row r="5482" spans="1:12" x14ac:dyDescent="0.25">
      <c r="A5482" s="1">
        <f t="shared" si="843"/>
        <v>45572</v>
      </c>
      <c r="B5482" s="31">
        <f>TIME(13,53,0)</f>
        <v>0.57847222222222217</v>
      </c>
      <c r="C5482" t="str">
        <f>'Inventory as of 12th Aug 2024'!A44</f>
        <v>Ajab 2kg</v>
      </c>
      <c r="D5482">
        <v>1</v>
      </c>
      <c r="E5482" s="5">
        <f>Table4[[#This Row],[qty]]*(VLOOKUP(Table4[[#This Row],[item_sold]],Table1[],5,FALSE))</f>
        <v>220</v>
      </c>
      <c r="F5482" s="5">
        <f>(VLOOKUP(Table4[[#This Row],[item_sold]],Table1[],4,FALSE))*Table4[[#This Row],[qty]]</f>
        <v>175</v>
      </c>
      <c r="G5482">
        <f t="shared" si="846"/>
        <v>45</v>
      </c>
      <c r="H5482" t="s">
        <v>361</v>
      </c>
    </row>
    <row r="5483" spans="1:12" x14ac:dyDescent="0.25">
      <c r="A5483" s="1">
        <f t="shared" si="843"/>
        <v>45572</v>
      </c>
      <c r="B5483" s="31">
        <f t="shared" ref="B5483" si="853">TIME(13,53,0)</f>
        <v>0.57847222222222217</v>
      </c>
      <c r="C5483" t="str">
        <f>'Inventory as of 12th Aug 2024'!A17</f>
        <v>Brookside milk 500ml</v>
      </c>
      <c r="D5483">
        <v>1</v>
      </c>
      <c r="E5483" s="5">
        <f>Table4[[#This Row],[qty]]*(VLOOKUP(Table4[[#This Row],[item_sold]],Table1[],5,FALSE))</f>
        <v>70</v>
      </c>
      <c r="F5483" s="5">
        <f>(VLOOKUP(Table4[[#This Row],[item_sold]],Table1[],4,FALSE))*Table4[[#This Row],[qty]]</f>
        <v>59</v>
      </c>
      <c r="G5483">
        <f t="shared" si="846"/>
        <v>11</v>
      </c>
      <c r="H5483" t="s">
        <v>361</v>
      </c>
    </row>
    <row r="5484" spans="1:12" x14ac:dyDescent="0.25">
      <c r="A5484" s="1">
        <f t="shared" si="843"/>
        <v>45572</v>
      </c>
      <c r="B5484" s="31">
        <f>TIME(13,55,0)</f>
        <v>0.57986111111111105</v>
      </c>
      <c r="C5484" t="str">
        <f>'Inventory as of 12th Aug 2024'!A173</f>
        <v>Carrier bag big</v>
      </c>
      <c r="D5484">
        <v>1</v>
      </c>
      <c r="E5484" s="5">
        <f>Table4[[#This Row],[qty]]*(VLOOKUP(Table4[[#This Row],[item_sold]],Table1[],5,FALSE))</f>
        <v>20</v>
      </c>
      <c r="F5484" s="5">
        <f>(VLOOKUP(Table4[[#This Row],[item_sold]],Table1[],4,FALSE))*Table4[[#This Row],[qty]]</f>
        <v>5</v>
      </c>
      <c r="G5484">
        <f t="shared" si="846"/>
        <v>15</v>
      </c>
      <c r="H5484" t="s">
        <v>361</v>
      </c>
      <c r="J5484" t="s">
        <v>591</v>
      </c>
      <c r="K5484">
        <v>180</v>
      </c>
      <c r="L5484" t="s">
        <v>247</v>
      </c>
    </row>
    <row r="5485" spans="1:12" x14ac:dyDescent="0.25">
      <c r="A5485" s="1">
        <f t="shared" si="843"/>
        <v>45572</v>
      </c>
      <c r="B5485" s="31">
        <f>TIME(14,49,0)</f>
        <v>0.61736111111111114</v>
      </c>
      <c r="C5485" t="str">
        <f>'Inventory as of 12th Aug 2024'!A178</f>
        <v>Ringoz Paprika</v>
      </c>
      <c r="D5485">
        <v>2</v>
      </c>
      <c r="E5485" s="5">
        <f>Table4[[#This Row],[qty]]*(VLOOKUP(Table4[[#This Row],[item_sold]],Table1[],5,FALSE))</f>
        <v>30</v>
      </c>
      <c r="F5485" s="5">
        <f>(VLOOKUP(Table4[[#This Row],[item_sold]],Table1[],4,FALSE))*Table4[[#This Row],[qty]]</f>
        <v>17.600000000000001</v>
      </c>
      <c r="G5485">
        <f t="shared" si="846"/>
        <v>12.399999999999999</v>
      </c>
      <c r="H5485" t="s">
        <v>247</v>
      </c>
    </row>
    <row r="5486" spans="1:12" x14ac:dyDescent="0.25">
      <c r="A5486" s="1">
        <f t="shared" si="843"/>
        <v>45572</v>
      </c>
      <c r="B5486" s="31">
        <f t="shared" ref="B5486" si="854">TIME(14,49,0)</f>
        <v>0.61736111111111114</v>
      </c>
      <c r="C5486" t="str">
        <f>'Inventory as of 12th Aug 2024'!A65</f>
        <v>Tomato sauce</v>
      </c>
      <c r="D5486">
        <v>1</v>
      </c>
      <c r="E5486" s="5">
        <f>Table4[[#This Row],[qty]]*(VLOOKUP(Table4[[#This Row],[item_sold]],Table1[],5,FALSE))</f>
        <v>70</v>
      </c>
      <c r="F5486" s="5">
        <f>(VLOOKUP(Table4[[#This Row],[item_sold]],Table1[],4,FALSE))*Table4[[#This Row],[qty]]</f>
        <v>50</v>
      </c>
      <c r="G5486">
        <f t="shared" si="846"/>
        <v>20</v>
      </c>
      <c r="H5486" t="s">
        <v>430</v>
      </c>
      <c r="I5486" t="s">
        <v>385</v>
      </c>
    </row>
    <row r="5487" spans="1:12" x14ac:dyDescent="0.25">
      <c r="A5487" s="1">
        <f t="shared" si="843"/>
        <v>45572</v>
      </c>
      <c r="B5487" s="31">
        <f>TIME(15,35,0)</f>
        <v>0.64930555555555558</v>
      </c>
      <c r="C5487" t="str">
        <f>'Inventory as of 12th Aug 2024'!A87</f>
        <v>Menengai Bar 1kg</v>
      </c>
      <c r="D5487">
        <v>0.2</v>
      </c>
      <c r="E5487" s="5">
        <f>Table4[[#This Row],[qty]]*(VLOOKUP(Table4[[#This Row],[item_sold]],Table1[],5,FALSE))</f>
        <v>50</v>
      </c>
      <c r="F5487" s="5">
        <f>(VLOOKUP(Table4[[#This Row],[item_sold]],Table1[],4,FALSE))*Table4[[#This Row],[qty]]</f>
        <v>38</v>
      </c>
      <c r="G5487">
        <f t="shared" si="846"/>
        <v>12</v>
      </c>
      <c r="H5487" t="s">
        <v>361</v>
      </c>
    </row>
    <row r="5488" spans="1:12" x14ac:dyDescent="0.25">
      <c r="A5488" s="1">
        <f t="shared" si="843"/>
        <v>45572</v>
      </c>
      <c r="B5488" s="31">
        <f t="shared" ref="B5488" si="855">TIME(15,35,0)</f>
        <v>0.64930555555555558</v>
      </c>
      <c r="C5488" t="str">
        <f>'Inventory as of 12th Aug 2024'!A149</f>
        <v>Arimis small</v>
      </c>
      <c r="D5488">
        <v>1</v>
      </c>
      <c r="E5488" s="5">
        <f>Table4[[#This Row],[qty]]*(VLOOKUP(Table4[[#This Row],[item_sold]],Table1[],5,FALSE))</f>
        <v>35</v>
      </c>
      <c r="F5488" s="5">
        <f>(VLOOKUP(Table4[[#This Row],[item_sold]],Table1[],4,FALSE))*Table4[[#This Row],[qty]]</f>
        <v>23.333333333333332</v>
      </c>
      <c r="G5488">
        <f t="shared" si="846"/>
        <v>11.666666666666668</v>
      </c>
      <c r="H5488" t="s">
        <v>361</v>
      </c>
    </row>
    <row r="5489" spans="1:12" x14ac:dyDescent="0.25">
      <c r="A5489" s="1">
        <f t="shared" si="843"/>
        <v>45572</v>
      </c>
      <c r="B5489" s="31">
        <f>TIME(16,6,0)</f>
        <v>0.67083333333333339</v>
      </c>
      <c r="C5489" s="25"/>
      <c r="D5489">
        <v>1</v>
      </c>
      <c r="E5489" s="5" t="e">
        <f>Table4[[#This Row],[qty]]*(VLOOKUP(Table4[[#This Row],[item_sold]],Table1[],5,FALSE))</f>
        <v>#N/A</v>
      </c>
      <c r="F5489" s="5" t="e">
        <f>(VLOOKUP(Table4[[#This Row],[item_sold]],Table1[],4,FALSE))*Table4[[#This Row],[qty]]</f>
        <v>#N/A</v>
      </c>
      <c r="G5489" t="e">
        <f t="shared" si="846"/>
        <v>#N/A</v>
      </c>
      <c r="H5489" t="s">
        <v>247</v>
      </c>
    </row>
    <row r="5490" spans="1:12" x14ac:dyDescent="0.25">
      <c r="A5490" s="1">
        <f t="shared" si="843"/>
        <v>45572</v>
      </c>
      <c r="B5490" s="31">
        <f t="shared" ref="B5490" si="856">TIME(16,6,0)</f>
        <v>0.67083333333333339</v>
      </c>
      <c r="C5490" t="str">
        <f>'Inventory as of 12th Aug 2024'!A233</f>
        <v>Lollipop</v>
      </c>
      <c r="D5490">
        <v>3</v>
      </c>
      <c r="E5490" s="5">
        <f>Table4[[#This Row],[qty]]*(VLOOKUP(Table4[[#This Row],[item_sold]],Table1[],5,FALSE))</f>
        <v>15</v>
      </c>
      <c r="F5490" s="5">
        <f>(VLOOKUP(Table4[[#This Row],[item_sold]],Table1[],4,FALSE))*Table4[[#This Row],[qty]]</f>
        <v>7.1999999999999993</v>
      </c>
      <c r="G5490">
        <f t="shared" si="846"/>
        <v>7.8000000000000007</v>
      </c>
      <c r="H5490" t="s">
        <v>247</v>
      </c>
    </row>
    <row r="5491" spans="1:12" x14ac:dyDescent="0.25">
      <c r="A5491" s="1">
        <f t="shared" si="843"/>
        <v>45572</v>
      </c>
      <c r="B5491" s="31">
        <f>TIME(16,37,0)</f>
        <v>0.69236111111111109</v>
      </c>
      <c r="C5491" t="str">
        <f>'Inventory as of 12th Aug 2024'!A213</f>
        <v>soda 500ml glass</v>
      </c>
      <c r="D5491">
        <v>1</v>
      </c>
      <c r="E5491" s="5">
        <f>Table4[[#This Row],[qty]]*(VLOOKUP(Table4[[#This Row],[item_sold]],Table1[],5,FALSE))</f>
        <v>55</v>
      </c>
      <c r="F5491" s="5">
        <f>(VLOOKUP(Table4[[#This Row],[item_sold]],Table1[],4,FALSE))*Table4[[#This Row],[qty]]</f>
        <v>50</v>
      </c>
      <c r="G5491">
        <f t="shared" si="846"/>
        <v>5</v>
      </c>
      <c r="H5491" t="s">
        <v>361</v>
      </c>
    </row>
    <row r="5492" spans="1:12" x14ac:dyDescent="0.25">
      <c r="A5492" s="1">
        <f t="shared" si="843"/>
        <v>45572</v>
      </c>
      <c r="B5492" s="31">
        <f t="shared" ref="B5492:B5493" si="857">TIME(16,37,0)</f>
        <v>0.69236111111111109</v>
      </c>
      <c r="C5492" t="str">
        <f>'Inventory as of 12th Aug 2024'!A17</f>
        <v>Brookside milk 500ml</v>
      </c>
      <c r="D5492">
        <v>1</v>
      </c>
      <c r="E5492" s="5">
        <f>Table4[[#This Row],[qty]]*(VLOOKUP(Table4[[#This Row],[item_sold]],Table1[],5,FALSE))</f>
        <v>70</v>
      </c>
      <c r="F5492" s="5">
        <f>(VLOOKUP(Table4[[#This Row],[item_sold]],Table1[],4,FALSE))*Table4[[#This Row],[qty]]</f>
        <v>59</v>
      </c>
      <c r="G5492">
        <f t="shared" si="846"/>
        <v>11</v>
      </c>
      <c r="H5492" t="s">
        <v>361</v>
      </c>
    </row>
    <row r="5493" spans="1:12" x14ac:dyDescent="0.25">
      <c r="A5493" s="1">
        <f t="shared" si="843"/>
        <v>45572</v>
      </c>
      <c r="B5493" s="31">
        <f t="shared" si="857"/>
        <v>0.69236111111111109</v>
      </c>
      <c r="C5493" t="str">
        <f>'Inventory as of 12th Aug 2024'!A37</f>
        <v>Festive Bread 400g</v>
      </c>
      <c r="D5493">
        <v>1</v>
      </c>
      <c r="E5493" s="5">
        <f>Table4[[#This Row],[qty]]*(VLOOKUP(Table4[[#This Row],[item_sold]],Table1[],5,FALSE))</f>
        <v>65</v>
      </c>
      <c r="F5493" s="5">
        <f>(VLOOKUP(Table4[[#This Row],[item_sold]],Table1[],4,FALSE))*Table4[[#This Row],[qty]]</f>
        <v>60</v>
      </c>
      <c r="G5493">
        <f t="shared" si="846"/>
        <v>5</v>
      </c>
      <c r="H5493" t="s">
        <v>361</v>
      </c>
    </row>
    <row r="5494" spans="1:12" x14ac:dyDescent="0.25">
      <c r="A5494" s="1">
        <f t="shared" si="843"/>
        <v>45572</v>
      </c>
      <c r="B5494" s="31">
        <f>TIME(16,39,0)</f>
        <v>0.69374999999999998</v>
      </c>
      <c r="C5494" t="str">
        <f>'Inventory as of 12th Aug 2024'!A191</f>
        <v>Nuvita Bisquit</v>
      </c>
      <c r="D5494">
        <v>2</v>
      </c>
      <c r="E5494" s="5">
        <f>Table4[[#This Row],[qty]]*(VLOOKUP(Table4[[#This Row],[item_sold]],Table1[],5,FALSE))</f>
        <v>10</v>
      </c>
      <c r="F5494" s="5">
        <f>(VLOOKUP(Table4[[#This Row],[item_sold]],Table1[],4,FALSE))*Table4[[#This Row],[qty]]</f>
        <v>8.3333333333333339</v>
      </c>
      <c r="G5494">
        <f t="shared" si="846"/>
        <v>1.6666666666666661</v>
      </c>
      <c r="H5494" t="s">
        <v>247</v>
      </c>
    </row>
    <row r="5495" spans="1:12" x14ac:dyDescent="0.25">
      <c r="A5495" s="1">
        <f t="shared" si="843"/>
        <v>45572</v>
      </c>
      <c r="B5495" s="31">
        <f t="shared" ref="B5495:B5497" si="858">TIME(16,39,0)</f>
        <v>0.69374999999999998</v>
      </c>
      <c r="C5495" t="str">
        <f>'Inventory as of 12th Aug 2024'!A7</f>
        <v>Airtel 50 Credit</v>
      </c>
      <c r="D5495">
        <v>1</v>
      </c>
      <c r="E5495" s="5">
        <f>Table4[[#This Row],[qty]]*(VLOOKUP(Table4[[#This Row],[item_sold]],Table1[],5,FALSE))</f>
        <v>50</v>
      </c>
      <c r="F5495" s="5">
        <f>(VLOOKUP(Table4[[#This Row],[item_sold]],Table1[],4,FALSE))*Table4[[#This Row],[qty]]</f>
        <v>47</v>
      </c>
      <c r="G5495">
        <f t="shared" si="846"/>
        <v>3</v>
      </c>
      <c r="H5495" t="s">
        <v>247</v>
      </c>
    </row>
    <row r="5496" spans="1:12" x14ac:dyDescent="0.25">
      <c r="A5496" s="1">
        <f t="shared" si="843"/>
        <v>45572</v>
      </c>
      <c r="B5496" s="31">
        <f t="shared" si="858"/>
        <v>0.69374999999999998</v>
      </c>
      <c r="C5496" t="str">
        <f>'Inventory as of 12th Aug 2024'!A6</f>
        <v>Airtel 10 Credit</v>
      </c>
      <c r="D5496">
        <v>2</v>
      </c>
      <c r="E5496" s="5">
        <f>Table4[[#This Row],[qty]]*(VLOOKUP(Table4[[#This Row],[item_sold]],Table1[],5,FALSE))</f>
        <v>20</v>
      </c>
      <c r="F5496" s="5">
        <f>(VLOOKUP(Table4[[#This Row],[item_sold]],Table1[],4,FALSE))*Table4[[#This Row],[qty]]</f>
        <v>18</v>
      </c>
      <c r="G5496">
        <f t="shared" si="846"/>
        <v>2</v>
      </c>
      <c r="H5496" t="s">
        <v>247</v>
      </c>
    </row>
    <row r="5497" spans="1:12" x14ac:dyDescent="0.25">
      <c r="A5497" s="1">
        <f t="shared" si="843"/>
        <v>45572</v>
      </c>
      <c r="B5497" s="31">
        <f t="shared" si="858"/>
        <v>0.69374999999999998</v>
      </c>
      <c r="C5497" t="str">
        <f>'Inventory as of 12th Aug 2024'!A181</f>
        <v>Tamu Tamu Red</v>
      </c>
      <c r="D5497">
        <v>2</v>
      </c>
      <c r="E5497" s="5">
        <f>Table4[[#This Row],[qty]]*(VLOOKUP(Table4[[#This Row],[item_sold]],Table1[],5,FALSE))</f>
        <v>30</v>
      </c>
      <c r="F5497" s="5">
        <f>(VLOOKUP(Table4[[#This Row],[item_sold]],Table1[],4,FALSE))*Table4[[#This Row],[qty]]</f>
        <v>17.2</v>
      </c>
      <c r="G5497">
        <f t="shared" si="846"/>
        <v>12.8</v>
      </c>
      <c r="H5497" t="s">
        <v>247</v>
      </c>
    </row>
    <row r="5498" spans="1:12" x14ac:dyDescent="0.25">
      <c r="A5498" s="1">
        <f t="shared" si="843"/>
        <v>45572</v>
      </c>
      <c r="B5498" s="31">
        <f>TIME(16,54,0)</f>
        <v>0.70416666666666661</v>
      </c>
      <c r="C5498" t="str">
        <f>'Inventory as of 12th Aug 2024'!A9</f>
        <v>Kinangop Fresh Milk 500ml</v>
      </c>
      <c r="D5498">
        <v>1</v>
      </c>
      <c r="E5498" s="5">
        <f>Table4[[#This Row],[qty]]*(VLOOKUP(Table4[[#This Row],[item_sold]],Table1[],5,FALSE))</f>
        <v>60</v>
      </c>
      <c r="F5498" s="5">
        <f>(VLOOKUP(Table4[[#This Row],[item_sold]],Table1[],4,FALSE))*Table4[[#This Row],[qty]]</f>
        <v>55</v>
      </c>
      <c r="G5498">
        <f t="shared" si="846"/>
        <v>5</v>
      </c>
      <c r="H5498" t="s">
        <v>361</v>
      </c>
    </row>
    <row r="5499" spans="1:12" x14ac:dyDescent="0.25">
      <c r="A5499" s="1">
        <f t="shared" si="843"/>
        <v>45572</v>
      </c>
      <c r="B5499" s="31">
        <f>TIME(17,5,0)</f>
        <v>0.71180555555555547</v>
      </c>
      <c r="C5499" t="str">
        <f>'Inventory as of 12th Aug 2024'!A92</f>
        <v>Banana</v>
      </c>
      <c r="D5499">
        <v>2</v>
      </c>
      <c r="E5499" s="5">
        <f>Table4[[#This Row],[qty]]*(VLOOKUP(Table4[[#This Row],[item_sold]],Table1[],5,FALSE))</f>
        <v>20</v>
      </c>
      <c r="F5499" s="5">
        <f>(VLOOKUP(Table4[[#This Row],[item_sold]],Table1[],4,FALSE))*Table4[[#This Row],[qty]]</f>
        <v>16.666666666666668</v>
      </c>
      <c r="G5499">
        <f t="shared" si="846"/>
        <v>3.3333333333333321</v>
      </c>
      <c r="H5499" t="s">
        <v>430</v>
      </c>
      <c r="I5499" t="s">
        <v>419</v>
      </c>
      <c r="J5499" t="s">
        <v>419</v>
      </c>
      <c r="K5499">
        <v>60</v>
      </c>
      <c r="L5499" t="s">
        <v>247</v>
      </c>
    </row>
    <row r="5500" spans="1:12" x14ac:dyDescent="0.25">
      <c r="A5500" s="1">
        <f t="shared" si="843"/>
        <v>45572</v>
      </c>
      <c r="B5500" s="31">
        <f>TIME(17,50,0)</f>
        <v>0.74305555555555547</v>
      </c>
      <c r="C5500" t="str">
        <f>'Inventory as of 12th Aug 2024'!A202</f>
        <v>funtime snacks</v>
      </c>
      <c r="D5500">
        <v>1</v>
      </c>
      <c r="E5500" s="5">
        <f>Table4[[#This Row],[qty]]*(VLOOKUP(Table4[[#This Row],[item_sold]],Table1[],5,FALSE))</f>
        <v>15</v>
      </c>
      <c r="F5500" s="5">
        <f>(VLOOKUP(Table4[[#This Row],[item_sold]],Table1[],4,FALSE))*Table4[[#This Row],[qty]]</f>
        <v>9</v>
      </c>
      <c r="G5500">
        <f t="shared" si="846"/>
        <v>6</v>
      </c>
      <c r="H5500" t="s">
        <v>247</v>
      </c>
      <c r="J5500" t="s">
        <v>419</v>
      </c>
      <c r="K5500">
        <v>30</v>
      </c>
      <c r="L5500" t="s">
        <v>361</v>
      </c>
    </row>
    <row r="5501" spans="1:12" x14ac:dyDescent="0.25">
      <c r="A5501" s="1">
        <f t="shared" si="843"/>
        <v>45572</v>
      </c>
      <c r="B5501" s="31">
        <f t="shared" ref="B5501:B5503" si="859">TIME(17,50,0)</f>
        <v>0.74305555555555547</v>
      </c>
      <c r="C5501" t="str">
        <f>'Inventory as of 12th Aug 2024'!A233</f>
        <v>Lollipop</v>
      </c>
      <c r="D5501">
        <v>2</v>
      </c>
      <c r="E5501" s="5">
        <f>Table4[[#This Row],[qty]]*(VLOOKUP(Table4[[#This Row],[item_sold]],Table1[],5,FALSE))</f>
        <v>10</v>
      </c>
      <c r="F5501" s="5">
        <f>(VLOOKUP(Table4[[#This Row],[item_sold]],Table1[],4,FALSE))*Table4[[#This Row],[qty]]</f>
        <v>4.8</v>
      </c>
      <c r="G5501">
        <f t="shared" si="846"/>
        <v>5.2</v>
      </c>
      <c r="H5501" t="s">
        <v>247</v>
      </c>
    </row>
    <row r="5502" spans="1:12" x14ac:dyDescent="0.25">
      <c r="A5502" s="1">
        <f t="shared" si="843"/>
        <v>45572</v>
      </c>
      <c r="B5502" s="31">
        <f t="shared" si="859"/>
        <v>0.74305555555555547</v>
      </c>
      <c r="C5502" t="str">
        <f>'Inventory as of 12th Aug 2024'!A2</f>
        <v>Safaricom 20 Credit</v>
      </c>
      <c r="D5502">
        <v>1</v>
      </c>
      <c r="E5502" s="5">
        <f>Table4[[#This Row],[qty]]*(VLOOKUP(Table4[[#This Row],[item_sold]],Table1[],5,FALSE))</f>
        <v>20</v>
      </c>
      <c r="F5502" s="5">
        <f>(VLOOKUP(Table4[[#This Row],[item_sold]],Table1[],4,FALSE))*Table4[[#This Row],[qty]]</f>
        <v>18</v>
      </c>
      <c r="G5502">
        <f t="shared" si="846"/>
        <v>2</v>
      </c>
      <c r="H5502" t="s">
        <v>247</v>
      </c>
    </row>
    <row r="5503" spans="1:12" x14ac:dyDescent="0.25">
      <c r="A5503" s="1">
        <f t="shared" si="843"/>
        <v>45572</v>
      </c>
      <c r="B5503" s="31">
        <f t="shared" si="859"/>
        <v>0.74305555555555547</v>
      </c>
      <c r="C5503" t="str">
        <f>'Inventory as of 12th Aug 2024'!A188</f>
        <v>Choc-chip Cookies</v>
      </c>
      <c r="D5503">
        <v>1</v>
      </c>
      <c r="E5503" s="5">
        <f>Table4[[#This Row],[qty]]*(VLOOKUP(Table4[[#This Row],[item_sold]],Table1[],5,FALSE))</f>
        <v>35</v>
      </c>
      <c r="F5503" s="5">
        <f>(VLOOKUP(Table4[[#This Row],[item_sold]],Table1[],4,FALSE))*Table4[[#This Row],[qty]]</f>
        <v>25</v>
      </c>
      <c r="G5503">
        <f t="shared" si="846"/>
        <v>10</v>
      </c>
      <c r="H5503" t="s">
        <v>247</v>
      </c>
    </row>
    <row r="5504" spans="1:12" x14ac:dyDescent="0.25">
      <c r="A5504" s="1">
        <f t="shared" si="843"/>
        <v>45572</v>
      </c>
      <c r="B5504" s="31">
        <f>TIME(17,51,0)</f>
        <v>0.74375000000000002</v>
      </c>
      <c r="C5504" t="str">
        <f>'Inventory as of 12th Aug 2024'!A158</f>
        <v>Vaseline</v>
      </c>
      <c r="D5504">
        <v>1</v>
      </c>
      <c r="E5504" s="5">
        <f>Table4[[#This Row],[qty]]*(VLOOKUP(Table4[[#This Row],[item_sold]],Table1[],5,FALSE))</f>
        <v>40</v>
      </c>
      <c r="F5504" s="5">
        <f>(VLOOKUP(Table4[[#This Row],[item_sold]],Table1[],4,FALSE))*Table4[[#This Row],[qty]]</f>
        <v>30</v>
      </c>
      <c r="G5504">
        <f t="shared" si="846"/>
        <v>10</v>
      </c>
      <c r="H5504" t="s">
        <v>430</v>
      </c>
      <c r="I5504" t="s">
        <v>590</v>
      </c>
    </row>
    <row r="5505" spans="1:9" x14ac:dyDescent="0.25">
      <c r="A5505" s="1">
        <f t="shared" si="843"/>
        <v>45572</v>
      </c>
      <c r="B5505" s="31">
        <f>TIME(18,45,0)</f>
        <v>0.78125</v>
      </c>
      <c r="C5505" t="str">
        <f>'Inventory as of 12th Aug 2024'!A248</f>
        <v>Soko Maize meal</v>
      </c>
      <c r="D5505">
        <v>1</v>
      </c>
      <c r="E5505" s="5">
        <f>Table4[[#This Row],[qty]]*(VLOOKUP(Table4[[#This Row],[item_sold]],Table1[],5,FALSE))</f>
        <v>160</v>
      </c>
      <c r="F5505" s="5">
        <f>(VLOOKUP(Table4[[#This Row],[item_sold]],Table1[],4,FALSE))*Table4[[#This Row],[qty]]</f>
        <v>125</v>
      </c>
      <c r="G5505">
        <f t="shared" si="846"/>
        <v>35</v>
      </c>
      <c r="H5505" t="s">
        <v>430</v>
      </c>
      <c r="I5505" t="s">
        <v>456</v>
      </c>
    </row>
    <row r="5506" spans="1:9" x14ac:dyDescent="0.25">
      <c r="A5506" s="1">
        <f t="shared" si="843"/>
        <v>45572</v>
      </c>
      <c r="B5506" s="31">
        <f t="shared" ref="B5506" si="860">TIME(18,45,0)</f>
        <v>0.78125</v>
      </c>
      <c r="C5506" t="str">
        <f>'Inventory as of 12th Aug 2024'!A90</f>
        <v>Onion</v>
      </c>
      <c r="D5506">
        <v>1</v>
      </c>
      <c r="E5506" s="5">
        <f>Table4[[#This Row],[qty]]*(VLOOKUP(Table4[[#This Row],[item_sold]],Table1[],5,FALSE))</f>
        <v>10</v>
      </c>
      <c r="F5506" s="5">
        <f>(VLOOKUP(Table4[[#This Row],[item_sold]],Table1[],4,FALSE))*Table4[[#This Row],[qty]]</f>
        <v>8</v>
      </c>
      <c r="G5506">
        <f t="shared" si="846"/>
        <v>2</v>
      </c>
      <c r="H5506" t="s">
        <v>430</v>
      </c>
      <c r="I5506" t="s">
        <v>456</v>
      </c>
    </row>
    <row r="5507" spans="1:9" x14ac:dyDescent="0.25">
      <c r="A5507" s="1">
        <f t="shared" si="843"/>
        <v>45572</v>
      </c>
      <c r="B5507" s="31">
        <f>TIME(19,0,0)</f>
        <v>0.79166666666666663</v>
      </c>
      <c r="C5507" t="str">
        <f>'Inventory as of 12th Aug 2024'!A17</f>
        <v>Brookside milk 500ml</v>
      </c>
      <c r="D5507">
        <v>1</v>
      </c>
      <c r="E5507" s="5">
        <f>Table4[[#This Row],[qty]]*(VLOOKUP(Table4[[#This Row],[item_sold]],Table1[],5,FALSE))</f>
        <v>70</v>
      </c>
      <c r="F5507" s="5">
        <f>(VLOOKUP(Table4[[#This Row],[item_sold]],Table1[],4,FALSE))*Table4[[#This Row],[qty]]</f>
        <v>59</v>
      </c>
      <c r="G5507">
        <f t="shared" si="846"/>
        <v>11</v>
      </c>
      <c r="H5507" t="s">
        <v>361</v>
      </c>
    </row>
    <row r="5508" spans="1:9" x14ac:dyDescent="0.25">
      <c r="A5508" s="1">
        <f t="shared" si="843"/>
        <v>45572</v>
      </c>
      <c r="B5508" s="31">
        <f>TIME(19,8,0)</f>
        <v>0.79722222222222217</v>
      </c>
      <c r="C5508" t="str">
        <f>'Inventory as of 12th Aug 2024'!A75</f>
        <v>Cooking Oil Measured</v>
      </c>
      <c r="D5508">
        <v>0.5</v>
      </c>
      <c r="E5508" s="5">
        <f>Table4[[#This Row],[qty]]*(VLOOKUP(Table4[[#This Row],[item_sold]],Table1[],5,FALSE))</f>
        <v>140</v>
      </c>
      <c r="F5508" s="5">
        <f>(VLOOKUP(Table4[[#This Row],[item_sold]],Table1[],4,FALSE))*Table4[[#This Row],[qty]]</f>
        <v>100</v>
      </c>
      <c r="G5508">
        <f t="shared" si="846"/>
        <v>40</v>
      </c>
      <c r="H5508" t="s">
        <v>361</v>
      </c>
    </row>
    <row r="5509" spans="1:9" x14ac:dyDescent="0.25">
      <c r="A5509" s="1">
        <f t="shared" si="843"/>
        <v>45572</v>
      </c>
      <c r="B5509" s="31">
        <f t="shared" ref="B5509" si="861">TIME(19,8,0)</f>
        <v>0.79722222222222217</v>
      </c>
      <c r="C5509" t="str">
        <f>'Inventory as of 12th Aug 2024'!A153</f>
        <v>mosquito stick</v>
      </c>
      <c r="D5509">
        <v>1</v>
      </c>
      <c r="E5509" s="5">
        <f>Table4[[#This Row],[qty]]*(VLOOKUP(Table4[[#This Row],[item_sold]],Table1[],5,FALSE))</f>
        <v>10</v>
      </c>
      <c r="F5509" s="5">
        <f>(VLOOKUP(Table4[[#This Row],[item_sold]],Table1[],4,FALSE))*Table4[[#This Row],[qty]]</f>
        <v>9</v>
      </c>
      <c r="G5509">
        <f t="shared" si="846"/>
        <v>1</v>
      </c>
      <c r="H5509" t="s">
        <v>361</v>
      </c>
    </row>
    <row r="5510" spans="1:9" x14ac:dyDescent="0.25">
      <c r="A5510" s="1">
        <f t="shared" si="843"/>
        <v>45572</v>
      </c>
      <c r="B5510" s="31">
        <f>TIME(19,10,0)</f>
        <v>0.79861111111111116</v>
      </c>
      <c r="C5510" s="25"/>
      <c r="D5510">
        <v>1</v>
      </c>
      <c r="E5510" s="5" t="e">
        <f>Table4[[#This Row],[qty]]*(VLOOKUP(Table4[[#This Row],[item_sold]],Table1[],5,FALSE))</f>
        <v>#N/A</v>
      </c>
      <c r="F5510" s="5" t="e">
        <f>(VLOOKUP(Table4[[#This Row],[item_sold]],Table1[],4,FALSE))*Table4[[#This Row],[qty]]</f>
        <v>#N/A</v>
      </c>
      <c r="G5510" t="e">
        <f t="shared" si="846"/>
        <v>#N/A</v>
      </c>
      <c r="H5510" t="s">
        <v>361</v>
      </c>
    </row>
    <row r="5511" spans="1:9" x14ac:dyDescent="0.25">
      <c r="A5511" s="1">
        <f t="shared" si="843"/>
        <v>45572</v>
      </c>
      <c r="B5511" s="31">
        <f>TIME(19,16,0)</f>
        <v>0.8027777777777777</v>
      </c>
      <c r="C5511" t="str">
        <f>'Inventory as of 12th Aug 2024'!A16</f>
        <v>Mt kenya milk 500ml</v>
      </c>
      <c r="D5511">
        <v>1</v>
      </c>
      <c r="E5511" s="5">
        <f>Table4[[#This Row],[qty]]*(VLOOKUP(Table4[[#This Row],[item_sold]],Table1[],5,FALSE))</f>
        <v>65</v>
      </c>
      <c r="F5511" s="5">
        <f>(VLOOKUP(Table4[[#This Row],[item_sold]],Table1[],4,FALSE))*Table4[[#This Row],[qty]]</f>
        <v>48.333333333333336</v>
      </c>
      <c r="G5511">
        <f t="shared" si="846"/>
        <v>16.666666666666664</v>
      </c>
      <c r="H5511" t="s">
        <v>430</v>
      </c>
      <c r="I5511" t="s">
        <v>455</v>
      </c>
    </row>
    <row r="5512" spans="1:9" x14ac:dyDescent="0.25">
      <c r="A5512" s="1">
        <f t="shared" si="843"/>
        <v>45572</v>
      </c>
      <c r="B5512" s="31">
        <f t="shared" ref="B5512" si="862">TIME(19,16,0)</f>
        <v>0.8027777777777777</v>
      </c>
      <c r="C5512" t="str">
        <f>'Inventory as of 12th Aug 2024'!A16</f>
        <v>Mt kenya milk 500ml</v>
      </c>
      <c r="D5512">
        <v>2</v>
      </c>
      <c r="E5512" s="5">
        <f>Table4[[#This Row],[qty]]*(VLOOKUP(Table4[[#This Row],[item_sold]],Table1[],5,FALSE))</f>
        <v>130</v>
      </c>
      <c r="F5512" s="5">
        <f>(VLOOKUP(Table4[[#This Row],[item_sold]],Table1[],4,FALSE))*Table4[[#This Row],[qty]]</f>
        <v>96.666666666666671</v>
      </c>
      <c r="G5512">
        <f t="shared" si="846"/>
        <v>33.333333333333329</v>
      </c>
      <c r="H5512" t="s">
        <v>594</v>
      </c>
      <c r="I5512" t="s">
        <v>451</v>
      </c>
    </row>
    <row r="5513" spans="1:9" x14ac:dyDescent="0.25">
      <c r="A5513" s="1">
        <f t="shared" si="843"/>
        <v>45572</v>
      </c>
      <c r="B5513" s="31">
        <f>TIME(19,27,0)</f>
        <v>0.81041666666666667</v>
      </c>
      <c r="C5513" t="str">
        <f>'Inventory as of 12th Aug 2024'!A37</f>
        <v>Festive Bread 400g</v>
      </c>
      <c r="D5513">
        <v>1</v>
      </c>
      <c r="E5513" s="5">
        <f>Table4[[#This Row],[qty]]*(VLOOKUP(Table4[[#This Row],[item_sold]],Table1[],5,FALSE))</f>
        <v>65</v>
      </c>
      <c r="F5513" s="5">
        <f>(VLOOKUP(Table4[[#This Row],[item_sold]],Table1[],4,FALSE))*Table4[[#This Row],[qty]]</f>
        <v>60</v>
      </c>
      <c r="G5513">
        <f t="shared" si="846"/>
        <v>5</v>
      </c>
      <c r="H5513" t="s">
        <v>594</v>
      </c>
      <c r="I5513" t="s">
        <v>451</v>
      </c>
    </row>
    <row r="5514" spans="1:9" x14ac:dyDescent="0.25">
      <c r="A5514" s="1">
        <f t="shared" si="843"/>
        <v>45572</v>
      </c>
      <c r="B5514" s="31">
        <f t="shared" ref="B5514:B5515" si="863">TIME(19,27,0)</f>
        <v>0.81041666666666667</v>
      </c>
      <c r="C5514" t="str">
        <f>'Inventory as of 12th Aug 2024'!A91</f>
        <v>Tomatoes</v>
      </c>
      <c r="D5514">
        <v>2</v>
      </c>
      <c r="E5514" s="5">
        <f>Table4[[#This Row],[qty]]*(VLOOKUP(Table4[[#This Row],[item_sold]],Table1[],5,FALSE))</f>
        <v>20</v>
      </c>
      <c r="F5514" s="5">
        <f>(VLOOKUP(Table4[[#This Row],[item_sold]],Table1[],4,FALSE))*Table4[[#This Row],[qty]]</f>
        <v>10</v>
      </c>
      <c r="G5514">
        <f t="shared" si="846"/>
        <v>10</v>
      </c>
      <c r="H5514" t="s">
        <v>361</v>
      </c>
    </row>
    <row r="5515" spans="1:9" x14ac:dyDescent="0.25">
      <c r="A5515" s="1">
        <f t="shared" si="843"/>
        <v>45572</v>
      </c>
      <c r="B5515" s="31">
        <f t="shared" si="863"/>
        <v>0.81041666666666667</v>
      </c>
      <c r="C5515" t="str">
        <f>'Inventory as of 12th Aug 2024'!A92</f>
        <v>Banana</v>
      </c>
      <c r="D5515">
        <v>4</v>
      </c>
      <c r="E5515" s="5">
        <f>Table4[[#This Row],[qty]]*(VLOOKUP(Table4[[#This Row],[item_sold]],Table1[],5,FALSE))</f>
        <v>40</v>
      </c>
      <c r="F5515" s="5">
        <f>(VLOOKUP(Table4[[#This Row],[item_sold]],Table1[],4,FALSE))*Table4[[#This Row],[qty]]</f>
        <v>33.333333333333336</v>
      </c>
      <c r="G5515">
        <f t="shared" si="846"/>
        <v>6.6666666666666643</v>
      </c>
      <c r="H5515" t="s">
        <v>430</v>
      </c>
      <c r="I5515" t="s">
        <v>390</v>
      </c>
    </row>
    <row r="5516" spans="1:9" x14ac:dyDescent="0.25">
      <c r="A5516" s="1">
        <f t="shared" si="843"/>
        <v>45572</v>
      </c>
      <c r="B5516" s="31">
        <f t="shared" ref="B5516:B5517" si="864">TIME(19,56,0)</f>
        <v>0.8305555555555556</v>
      </c>
      <c r="C5516" t="str">
        <f>'Inventory as of 12th Aug 2024'!A207</f>
        <v>soda 350ml plastic</v>
      </c>
      <c r="D5516">
        <v>1</v>
      </c>
      <c r="E5516" s="5">
        <f>Table4[[#This Row],[qty]]*(VLOOKUP(Table4[[#This Row],[item_sold]],Table1[],5,FALSE))</f>
        <v>50</v>
      </c>
      <c r="F5516" s="5">
        <f>(VLOOKUP(Table4[[#This Row],[item_sold]],Table1[],4,FALSE))*Table4[[#This Row],[qty]]</f>
        <v>41.666666666666664</v>
      </c>
      <c r="G5516">
        <f t="shared" si="846"/>
        <v>8.3333333333333357</v>
      </c>
      <c r="H5516" t="s">
        <v>247</v>
      </c>
    </row>
    <row r="5517" spans="1:9" x14ac:dyDescent="0.25">
      <c r="A5517" s="1">
        <f t="shared" si="843"/>
        <v>45572</v>
      </c>
      <c r="B5517" s="31">
        <f t="shared" si="864"/>
        <v>0.8305555555555556</v>
      </c>
      <c r="C5517" t="str">
        <f>'Inventory as of 12th Aug 2024'!A234</f>
        <v>Bigdaddy</v>
      </c>
      <c r="D5517">
        <v>2</v>
      </c>
      <c r="E5517" s="5">
        <f>Table4[[#This Row],[qty]]*(VLOOKUP(Table4[[#This Row],[item_sold]],Table1[],5,FALSE))</f>
        <v>20</v>
      </c>
      <c r="F5517" s="5">
        <f>(VLOOKUP(Table4[[#This Row],[item_sold]],Table1[],4,FALSE))*Table4[[#This Row],[qty]]</f>
        <v>12</v>
      </c>
      <c r="G5517">
        <f t="shared" si="846"/>
        <v>8</v>
      </c>
      <c r="H5517" t="s">
        <v>247</v>
      </c>
    </row>
    <row r="5518" spans="1:9" x14ac:dyDescent="0.25">
      <c r="A5518" s="1">
        <f t="shared" si="843"/>
        <v>45572</v>
      </c>
      <c r="B5518" s="31">
        <f>TIME(19,59,0)</f>
        <v>0.83263888888888893</v>
      </c>
      <c r="C5518" t="str">
        <f>'Inventory as of 12th Aug 2024'!A234</f>
        <v>Bigdaddy</v>
      </c>
      <c r="D5518">
        <v>2</v>
      </c>
      <c r="E5518" s="5">
        <f>Table4[[#This Row],[qty]]*(VLOOKUP(Table4[[#This Row],[item_sold]],Table1[],5,FALSE))</f>
        <v>20</v>
      </c>
      <c r="F5518" s="5">
        <f>(VLOOKUP(Table4[[#This Row],[item_sold]],Table1[],4,FALSE))*Table4[[#This Row],[qty]]</f>
        <v>12</v>
      </c>
      <c r="G5518">
        <f t="shared" si="846"/>
        <v>8</v>
      </c>
      <c r="H5518" t="s">
        <v>361</v>
      </c>
    </row>
    <row r="5519" spans="1:9" x14ac:dyDescent="0.25">
      <c r="A5519" s="1">
        <f t="shared" ref="A5519:A5528" si="865">DATE(2024,10,7)</f>
        <v>45572</v>
      </c>
      <c r="B5519" s="31">
        <f t="shared" ref="B5519" si="866">TIME(19,59,0)</f>
        <v>0.83263888888888893</v>
      </c>
      <c r="C5519" t="str">
        <f>'Inventory as of 12th Aug 2024'!A191</f>
        <v>Nuvita Bisquit</v>
      </c>
      <c r="D5519">
        <v>4</v>
      </c>
      <c r="E5519" s="5">
        <f>Table4[[#This Row],[qty]]*(VLOOKUP(Table4[[#This Row],[item_sold]],Table1[],5,FALSE))</f>
        <v>20</v>
      </c>
      <c r="F5519" s="5">
        <f>(VLOOKUP(Table4[[#This Row],[item_sold]],Table1[],4,FALSE))*Table4[[#This Row],[qty]]</f>
        <v>16.666666666666668</v>
      </c>
      <c r="G5519">
        <f t="shared" si="846"/>
        <v>3.3333333333333321</v>
      </c>
      <c r="H5519" t="s">
        <v>361</v>
      </c>
    </row>
    <row r="5520" spans="1:9" x14ac:dyDescent="0.25">
      <c r="A5520" s="1">
        <f t="shared" si="865"/>
        <v>45572</v>
      </c>
      <c r="B5520" s="31">
        <f>TIME(20,12,0)</f>
        <v>0.84166666666666667</v>
      </c>
      <c r="C5520" t="str">
        <f>'Inventory as of 12th Aug 2024'!A248</f>
        <v>Soko Maize meal</v>
      </c>
      <c r="D5520">
        <v>1</v>
      </c>
      <c r="E5520" s="5">
        <f>Table4[[#This Row],[qty]]*(VLOOKUP(Table4[[#This Row],[item_sold]],Table1[],5,FALSE))</f>
        <v>160</v>
      </c>
      <c r="F5520" s="5">
        <f>(VLOOKUP(Table4[[#This Row],[item_sold]],Table1[],4,FALSE))*Table4[[#This Row],[qty]]</f>
        <v>125</v>
      </c>
      <c r="G5520">
        <f t="shared" si="846"/>
        <v>35</v>
      </c>
      <c r="H5520" t="s">
        <v>361</v>
      </c>
    </row>
    <row r="5521" spans="1:12" x14ac:dyDescent="0.25">
      <c r="A5521" s="1">
        <f t="shared" si="865"/>
        <v>45572</v>
      </c>
      <c r="B5521" s="31">
        <f t="shared" ref="B5521:B5522" si="867">TIME(20,12,0)</f>
        <v>0.84166666666666667</v>
      </c>
      <c r="C5521" t="str">
        <f>'Inventory as of 12th Aug 2024'!A68</f>
        <v>Royco cubes</v>
      </c>
      <c r="D5521">
        <v>4</v>
      </c>
      <c r="E5521" s="5">
        <f>Table4[[#This Row],[qty]]*(VLOOKUP(Table4[[#This Row],[item_sold]],Table1[],5,FALSE))</f>
        <v>20</v>
      </c>
      <c r="F5521" s="5">
        <f>(VLOOKUP(Table4[[#This Row],[item_sold]],Table1[],4,FALSE))*Table4[[#This Row],[qty]]</f>
        <v>12</v>
      </c>
      <c r="G5521">
        <f t="shared" si="846"/>
        <v>8</v>
      </c>
      <c r="H5521" t="s">
        <v>361</v>
      </c>
    </row>
    <row r="5522" spans="1:12" x14ac:dyDescent="0.25">
      <c r="A5522" s="1">
        <f t="shared" si="865"/>
        <v>45572</v>
      </c>
      <c r="B5522" s="31">
        <f t="shared" si="867"/>
        <v>0.84166666666666667</v>
      </c>
      <c r="C5522" t="str">
        <f>'Inventory as of 12th Aug 2024'!A3</f>
        <v>Safaricom 10 Credit</v>
      </c>
      <c r="D5522">
        <v>1</v>
      </c>
      <c r="E5522" s="5">
        <f>Table4[[#This Row],[qty]]*(VLOOKUP(Table4[[#This Row],[item_sold]],Table1[],5,FALSE))</f>
        <v>10</v>
      </c>
      <c r="F5522" s="5">
        <f>(VLOOKUP(Table4[[#This Row],[item_sold]],Table1[],4,FALSE))*Table4[[#This Row],[qty]]</f>
        <v>9</v>
      </c>
      <c r="G5522">
        <f t="shared" si="846"/>
        <v>1</v>
      </c>
      <c r="H5522" t="s">
        <v>361</v>
      </c>
    </row>
    <row r="5523" spans="1:12" x14ac:dyDescent="0.25">
      <c r="A5523" s="1">
        <f t="shared" si="865"/>
        <v>45572</v>
      </c>
      <c r="B5523" s="31">
        <f>TIME(20,35,0)</f>
        <v>0.85763888888888884</v>
      </c>
      <c r="C5523" t="str">
        <f>'Inventory as of 12th Aug 2024'!A42</f>
        <v>Indomie chicken</v>
      </c>
      <c r="D5523">
        <v>1</v>
      </c>
      <c r="E5523" s="5">
        <f>Table4[[#This Row],[qty]]*(VLOOKUP(Table4[[#This Row],[item_sold]],Table1[],5,FALSE))</f>
        <v>50</v>
      </c>
      <c r="F5523" s="5">
        <f>(VLOOKUP(Table4[[#This Row],[item_sold]],Table1[],4,FALSE))*Table4[[#This Row],[qty]]</f>
        <v>37.5</v>
      </c>
      <c r="G5523">
        <f t="shared" si="846"/>
        <v>12.5</v>
      </c>
      <c r="H5523" t="s">
        <v>247</v>
      </c>
    </row>
    <row r="5524" spans="1:12" x14ac:dyDescent="0.25">
      <c r="A5524" s="1">
        <f t="shared" si="865"/>
        <v>45572</v>
      </c>
      <c r="B5524" s="31">
        <f>TIME(20,38,0)</f>
        <v>0.85972222222222217</v>
      </c>
      <c r="C5524" t="str">
        <f>'Inventory as of 12th Aug 2024'!A219</f>
        <v>candle</v>
      </c>
      <c r="D5524">
        <v>3</v>
      </c>
      <c r="E5524" s="5">
        <f>Table4[[#This Row],[qty]]*(VLOOKUP(Table4[[#This Row],[item_sold]],Table1[],5,FALSE))</f>
        <v>45</v>
      </c>
      <c r="F5524" s="5">
        <f>(VLOOKUP(Table4[[#This Row],[item_sold]],Table1[],4,FALSE))*Table4[[#This Row],[qty]]</f>
        <v>28.125</v>
      </c>
      <c r="G5524">
        <f t="shared" ref="G5524:G5587" si="868">E5524-F5524</f>
        <v>16.875</v>
      </c>
      <c r="H5524" t="s">
        <v>247</v>
      </c>
      <c r="J5524" t="s">
        <v>456</v>
      </c>
      <c r="K5524">
        <v>5</v>
      </c>
      <c r="L5524" t="s">
        <v>247</v>
      </c>
    </row>
    <row r="5525" spans="1:12" x14ac:dyDescent="0.25">
      <c r="A5525" s="1">
        <f t="shared" si="865"/>
        <v>45572</v>
      </c>
      <c r="B5525" s="31">
        <f>TIME(20,44,0)</f>
        <v>0.86388888888888893</v>
      </c>
      <c r="C5525" t="str">
        <f>'Inventory as of 12th Aug 2024'!A75</f>
        <v>Cooking Oil Measured</v>
      </c>
      <c r="D5525">
        <v>0.25</v>
      </c>
      <c r="E5525" s="5">
        <f>Table4[[#This Row],[qty]]*(VLOOKUP(Table4[[#This Row],[item_sold]],Table1[],5,FALSE))</f>
        <v>70</v>
      </c>
      <c r="F5525" s="5">
        <f>(VLOOKUP(Table4[[#This Row],[item_sold]],Table1[],4,FALSE))*Table4[[#This Row],[qty]]</f>
        <v>50</v>
      </c>
      <c r="G5525">
        <f t="shared" si="868"/>
        <v>20</v>
      </c>
      <c r="H5525" t="s">
        <v>247</v>
      </c>
    </row>
    <row r="5526" spans="1:12" x14ac:dyDescent="0.25">
      <c r="A5526" s="1">
        <f t="shared" si="865"/>
        <v>45572</v>
      </c>
      <c r="B5526" s="31">
        <f>TIME(20,52,0)</f>
        <v>0.86944444444444446</v>
      </c>
      <c r="C5526" t="str">
        <f>'Inventory as of 12th Aug 2024'!A10</f>
        <v>Mt Kenya milk 200ml</v>
      </c>
      <c r="D5526">
        <v>1</v>
      </c>
      <c r="E5526" s="5">
        <f>Table4[[#This Row],[qty]]*(VLOOKUP(Table4[[#This Row],[item_sold]],Table1[],5,FALSE))</f>
        <v>35</v>
      </c>
      <c r="F5526" s="5">
        <f>(VLOOKUP(Table4[[#This Row],[item_sold]],Table1[],4,FALSE))*Table4[[#This Row],[qty]]</f>
        <v>24.285714285714285</v>
      </c>
      <c r="G5526">
        <f t="shared" si="868"/>
        <v>10.714285714285715</v>
      </c>
      <c r="H5526" t="s">
        <v>361</v>
      </c>
    </row>
    <row r="5527" spans="1:12" x14ac:dyDescent="0.25">
      <c r="A5527" s="1">
        <f t="shared" si="865"/>
        <v>45572</v>
      </c>
      <c r="B5527" s="31">
        <f>TIME(20,57,0)</f>
        <v>0.87291666666666667</v>
      </c>
      <c r="C5527" t="str">
        <f>'Inventory as of 12th Aug 2024'!A58</f>
        <v>Safari</v>
      </c>
      <c r="D5527">
        <v>2</v>
      </c>
      <c r="E5527" s="5">
        <f>Table4[[#This Row],[qty]]*(VLOOKUP(Table4[[#This Row],[item_sold]],Table1[],5,FALSE))</f>
        <v>30</v>
      </c>
      <c r="F5527" s="5">
        <f>(VLOOKUP(Table4[[#This Row],[item_sold]],Table1[],4,FALSE))*Table4[[#This Row],[qty]]</f>
        <v>17</v>
      </c>
      <c r="G5527">
        <f t="shared" si="868"/>
        <v>13</v>
      </c>
      <c r="H5527" t="s">
        <v>361</v>
      </c>
    </row>
    <row r="5528" spans="1:12" x14ac:dyDescent="0.25">
      <c r="A5528" s="1">
        <f t="shared" si="865"/>
        <v>45572</v>
      </c>
      <c r="B5528" s="31">
        <f>TIME(20,52,0)</f>
        <v>0.86944444444444446</v>
      </c>
      <c r="C5528" t="str">
        <f>'Inventory as of 12th Aug 2024'!A10</f>
        <v>Mt Kenya milk 200ml</v>
      </c>
      <c r="D5528">
        <v>1</v>
      </c>
      <c r="E5528" s="5">
        <f>Table4[[#This Row],[qty]]*(VLOOKUP(Table4[[#This Row],[item_sold]],Table1[],5,FALSE))</f>
        <v>35</v>
      </c>
      <c r="F5528" s="5">
        <f>(VLOOKUP(Table4[[#This Row],[item_sold]],Table1[],4,FALSE))*Table4[[#This Row],[qty]]</f>
        <v>24.285714285714285</v>
      </c>
      <c r="G5528">
        <f t="shared" si="868"/>
        <v>10.714285714285715</v>
      </c>
      <c r="H5528" t="s">
        <v>361</v>
      </c>
    </row>
    <row r="5529" spans="1:12" x14ac:dyDescent="0.25">
      <c r="A5529" s="1">
        <f>DATE(2024,10,8)</f>
        <v>45573</v>
      </c>
      <c r="B5529" s="31">
        <f>TIME(8,8,0)</f>
        <v>0.33888888888888885</v>
      </c>
      <c r="C5529" t="str">
        <f>'Inventory as of 12th Aug 2024'!A208</f>
        <v>minutemaid 400ml</v>
      </c>
      <c r="D5529">
        <v>1</v>
      </c>
      <c r="E5529" s="5">
        <f>Table4[[#This Row],[qty]]*(VLOOKUP(Table4[[#This Row],[item_sold]],Table1[],5,FALSE))</f>
        <v>85</v>
      </c>
      <c r="F5529" s="5">
        <f>(VLOOKUP(Table4[[#This Row],[item_sold]],Table1[],4,FALSE))*Table4[[#This Row],[qty]]</f>
        <v>62.5</v>
      </c>
      <c r="G5529">
        <f t="shared" si="868"/>
        <v>22.5</v>
      </c>
      <c r="H5529" t="s">
        <v>247</v>
      </c>
    </row>
    <row r="5530" spans="1:12" x14ac:dyDescent="0.25">
      <c r="A5530" s="1">
        <f t="shared" ref="A5530:A5577" si="869">DATE(2024,10,8)</f>
        <v>45573</v>
      </c>
      <c r="B5530" s="31">
        <f t="shared" ref="B5530:B5532" si="870">TIME(8,8,0)</f>
        <v>0.33888888888888885</v>
      </c>
      <c r="C5530" t="str">
        <f>'Inventory as of 12th Aug 2024'!A7</f>
        <v>Airtel 50 Credit</v>
      </c>
      <c r="D5530">
        <v>1</v>
      </c>
      <c r="E5530" s="5">
        <f>Table4[[#This Row],[qty]]*(VLOOKUP(Table4[[#This Row],[item_sold]],Table1[],5,FALSE))</f>
        <v>50</v>
      </c>
      <c r="F5530" s="5">
        <f>(VLOOKUP(Table4[[#This Row],[item_sold]],Table1[],4,FALSE))*Table4[[#This Row],[qty]]</f>
        <v>47</v>
      </c>
      <c r="G5530">
        <f t="shared" si="868"/>
        <v>3</v>
      </c>
      <c r="H5530" t="s">
        <v>247</v>
      </c>
    </row>
    <row r="5531" spans="1:12" x14ac:dyDescent="0.25">
      <c r="A5531" s="1">
        <f t="shared" si="869"/>
        <v>45573</v>
      </c>
      <c r="B5531" s="31">
        <f t="shared" si="870"/>
        <v>0.33888888888888885</v>
      </c>
      <c r="C5531" t="str">
        <f>'Inventory as of 12th Aug 2024'!A240</f>
        <v>Bigboss</v>
      </c>
      <c r="D5531">
        <v>1</v>
      </c>
      <c r="E5531" s="5">
        <f>Table4[[#This Row],[qty]]*(VLOOKUP(Table4[[#This Row],[item_sold]],Table1[],5,FALSE))</f>
        <v>5</v>
      </c>
      <c r="F5531" s="5">
        <f>(VLOOKUP(Table4[[#This Row],[item_sold]],Table1[],4,FALSE))*Table4[[#This Row],[qty]]</f>
        <v>3.5</v>
      </c>
      <c r="G5531">
        <f t="shared" si="868"/>
        <v>1.5</v>
      </c>
      <c r="H5531" t="s">
        <v>247</v>
      </c>
    </row>
    <row r="5532" spans="1:12" x14ac:dyDescent="0.25">
      <c r="A5532" s="1">
        <f t="shared" si="869"/>
        <v>45573</v>
      </c>
      <c r="B5532" s="31">
        <f t="shared" si="870"/>
        <v>0.33888888888888885</v>
      </c>
      <c r="C5532" t="str">
        <f>'Inventory as of 12th Aug 2024'!A179</f>
        <v>Bitez</v>
      </c>
      <c r="D5532">
        <v>1</v>
      </c>
      <c r="E5532" s="5">
        <f>Table4[[#This Row],[qty]]*(VLOOKUP(Table4[[#This Row],[item_sold]],Table1[],5,FALSE))</f>
        <v>15</v>
      </c>
      <c r="F5532" s="5">
        <f>(VLOOKUP(Table4[[#This Row],[item_sold]],Table1[],4,FALSE))*Table4[[#This Row],[qty]]</f>
        <v>8.8000000000000007</v>
      </c>
      <c r="G5532">
        <f t="shared" si="868"/>
        <v>6.1999999999999993</v>
      </c>
      <c r="H5532" s="25" t="s">
        <v>247</v>
      </c>
      <c r="I5532" t="s">
        <v>588</v>
      </c>
      <c r="J5532" t="s">
        <v>588</v>
      </c>
      <c r="K5532">
        <v>10</v>
      </c>
      <c r="L5532" t="s">
        <v>247</v>
      </c>
    </row>
    <row r="5533" spans="1:12" x14ac:dyDescent="0.25">
      <c r="A5533" s="1">
        <f t="shared" si="869"/>
        <v>45573</v>
      </c>
      <c r="B5533" s="31">
        <f>TIME(8,30,0)</f>
        <v>0.35416666666666669</v>
      </c>
      <c r="C5533" t="str">
        <f>'Inventory as of 12th Aug 2024'!A57</f>
        <v>Sportsman</v>
      </c>
      <c r="D5533">
        <v>1</v>
      </c>
      <c r="E5533" s="5">
        <f>Table4[[#This Row],[qty]]*(VLOOKUP(Table4[[#This Row],[item_sold]],Table1[],5,FALSE))</f>
        <v>20</v>
      </c>
      <c r="F5533" s="5">
        <f>(VLOOKUP(Table4[[#This Row],[item_sold]],Table1[],4,FALSE))*Table4[[#This Row],[qty]]</f>
        <v>13</v>
      </c>
      <c r="G5533">
        <f t="shared" si="868"/>
        <v>7</v>
      </c>
      <c r="H5533" t="s">
        <v>247</v>
      </c>
    </row>
    <row r="5534" spans="1:12" x14ac:dyDescent="0.25">
      <c r="A5534" s="1">
        <f t="shared" si="869"/>
        <v>45573</v>
      </c>
      <c r="B5534" s="31">
        <f>TIME(9,0,0)</f>
        <v>0.375</v>
      </c>
      <c r="C5534" t="str">
        <f>'Inventory as of 12th Aug 2024'!A212</f>
        <v>soda 300ml glass</v>
      </c>
      <c r="D5534">
        <v>1</v>
      </c>
      <c r="E5534" s="5">
        <f>Table4[[#This Row],[qty]]*(VLOOKUP(Table4[[#This Row],[item_sold]],Table1[],5,FALSE))</f>
        <v>40</v>
      </c>
      <c r="F5534" s="5">
        <f>(VLOOKUP(Table4[[#This Row],[item_sold]],Table1[],4,FALSE))*Table4[[#This Row],[qty]]</f>
        <v>32.5</v>
      </c>
      <c r="G5534">
        <f t="shared" si="868"/>
        <v>7.5</v>
      </c>
      <c r="H5534" t="s">
        <v>430</v>
      </c>
      <c r="I5534" t="s">
        <v>450</v>
      </c>
    </row>
    <row r="5535" spans="1:12" x14ac:dyDescent="0.25">
      <c r="A5535" s="1">
        <f t="shared" si="869"/>
        <v>45573</v>
      </c>
      <c r="B5535" s="31">
        <f>TIME(9,53,0)</f>
        <v>0.41180555555555554</v>
      </c>
      <c r="C5535" t="str">
        <f>'Inventory as of 12th Aug 2024'!A35</f>
        <v>Festive 600g</v>
      </c>
      <c r="D5535">
        <v>1</v>
      </c>
      <c r="E5535" s="5">
        <f>Table4[[#This Row],[qty]]*(VLOOKUP(Table4[[#This Row],[item_sold]],Table1[],5,FALSE))</f>
        <v>100</v>
      </c>
      <c r="F5535" s="5">
        <f>(VLOOKUP(Table4[[#This Row],[item_sold]],Table1[],4,FALSE))*Table4[[#This Row],[qty]]</f>
        <v>90</v>
      </c>
      <c r="G5535">
        <f t="shared" si="868"/>
        <v>10</v>
      </c>
      <c r="H5535" t="s">
        <v>361</v>
      </c>
    </row>
    <row r="5536" spans="1:12" x14ac:dyDescent="0.25">
      <c r="A5536" s="1">
        <f t="shared" si="869"/>
        <v>45573</v>
      </c>
      <c r="B5536" s="31">
        <f>TIME(9,55,0)</f>
        <v>0.41319444444444442</v>
      </c>
      <c r="C5536" t="str">
        <f>'Inventory as of 12th Aug 2024'!A12</f>
        <v>Kienyeji  Eggs</v>
      </c>
      <c r="D5536">
        <v>2</v>
      </c>
      <c r="E5536" s="5">
        <f>Table4[[#This Row],[qty]]*(VLOOKUP(Table4[[#This Row],[item_sold]],Table1[],5,FALSE))</f>
        <v>60</v>
      </c>
      <c r="F5536" s="5">
        <f>(VLOOKUP(Table4[[#This Row],[item_sold]],Table1[],4,FALSE))*Table4[[#This Row],[qty]]</f>
        <v>40</v>
      </c>
      <c r="G5536">
        <f t="shared" si="868"/>
        <v>20</v>
      </c>
      <c r="H5536" t="s">
        <v>361</v>
      </c>
    </row>
    <row r="5537" spans="1:9" x14ac:dyDescent="0.25">
      <c r="A5537" s="1">
        <f t="shared" si="869"/>
        <v>45573</v>
      </c>
      <c r="B5537" s="31">
        <f>TIME(10,3,0)</f>
        <v>0.41875000000000001</v>
      </c>
      <c r="C5537" t="str">
        <f>'Inventory as of 12th Aug 2024'!A8</f>
        <v>eggs</v>
      </c>
      <c r="D5537">
        <v>2</v>
      </c>
      <c r="E5537" s="5">
        <f>Table4[[#This Row],[qty]]*(VLOOKUP(Table4[[#This Row],[item_sold]],Table1[],5,FALSE))</f>
        <v>40</v>
      </c>
      <c r="F5537" s="5">
        <f>(VLOOKUP(Table4[[#This Row],[item_sold]],Table1[],4,FALSE))*Table4[[#This Row],[qty]]</f>
        <v>28.666666666666668</v>
      </c>
      <c r="G5537">
        <f t="shared" si="868"/>
        <v>11.333333333333332</v>
      </c>
      <c r="H5537" t="s">
        <v>361</v>
      </c>
    </row>
    <row r="5538" spans="1:9" x14ac:dyDescent="0.25">
      <c r="A5538" s="1">
        <f t="shared" si="869"/>
        <v>45573</v>
      </c>
      <c r="B5538" s="31">
        <f>TIME(10,26,0)</f>
        <v>0.43472222222222223</v>
      </c>
      <c r="C5538" t="str">
        <f>'Inventory as of 12th Aug 2024'!A42</f>
        <v>Indomie chicken</v>
      </c>
      <c r="D5538">
        <v>2</v>
      </c>
      <c r="E5538" s="5">
        <f>Table4[[#This Row],[qty]]*(VLOOKUP(Table4[[#This Row],[item_sold]],Table1[],5,FALSE))</f>
        <v>100</v>
      </c>
      <c r="F5538" s="5">
        <f>(VLOOKUP(Table4[[#This Row],[item_sold]],Table1[],4,FALSE))*Table4[[#This Row],[qty]]</f>
        <v>75</v>
      </c>
      <c r="G5538">
        <f t="shared" si="868"/>
        <v>25</v>
      </c>
      <c r="H5538" t="s">
        <v>361</v>
      </c>
    </row>
    <row r="5539" spans="1:9" x14ac:dyDescent="0.25">
      <c r="A5539" s="1">
        <f t="shared" si="869"/>
        <v>45573</v>
      </c>
      <c r="B5539" s="31">
        <f t="shared" ref="B5539" si="871">TIME(10,26,0)</f>
        <v>0.43472222222222223</v>
      </c>
      <c r="C5539" t="str">
        <f>'Inventory as of 12th Aug 2024'!A8</f>
        <v>eggs</v>
      </c>
      <c r="D5539">
        <v>4</v>
      </c>
      <c r="E5539" s="5">
        <f>Table4[[#This Row],[qty]]*(VLOOKUP(Table4[[#This Row],[item_sold]],Table1[],5,FALSE))</f>
        <v>80</v>
      </c>
      <c r="F5539" s="5">
        <f>(VLOOKUP(Table4[[#This Row],[item_sold]],Table1[],4,FALSE))*Table4[[#This Row],[qty]]</f>
        <v>57.333333333333336</v>
      </c>
      <c r="G5539">
        <f t="shared" si="868"/>
        <v>22.666666666666664</v>
      </c>
      <c r="H5539" t="s">
        <v>361</v>
      </c>
    </row>
    <row r="5540" spans="1:9" x14ac:dyDescent="0.25">
      <c r="A5540" s="1">
        <f t="shared" si="869"/>
        <v>45573</v>
      </c>
      <c r="B5540" s="31">
        <f>TIME(10,46,0)</f>
        <v>0.44861111111111113</v>
      </c>
      <c r="C5540" t="str">
        <f>'Inventory as of 12th Aug 2024'!A41</f>
        <v>Indomie beef</v>
      </c>
      <c r="D5540">
        <v>1</v>
      </c>
      <c r="E5540" s="5">
        <f>Table4[[#This Row],[qty]]*(VLOOKUP(Table4[[#This Row],[item_sold]],Table1[],5,FALSE))</f>
        <v>50</v>
      </c>
      <c r="F5540" s="5">
        <f>(VLOOKUP(Table4[[#This Row],[item_sold]],Table1[],4,FALSE))*Table4[[#This Row],[qty]]</f>
        <v>38</v>
      </c>
      <c r="G5540">
        <f t="shared" si="868"/>
        <v>12</v>
      </c>
      <c r="H5540" t="s">
        <v>361</v>
      </c>
    </row>
    <row r="5541" spans="1:9" x14ac:dyDescent="0.25">
      <c r="A5541" s="1">
        <f t="shared" si="869"/>
        <v>45573</v>
      </c>
      <c r="B5541" s="31">
        <f t="shared" ref="B5541" si="872">TIME(10,46,0)</f>
        <v>0.44861111111111113</v>
      </c>
      <c r="C5541" t="str">
        <f>'Inventory as of 12th Aug 2024'!A8</f>
        <v>eggs</v>
      </c>
      <c r="D5541">
        <v>2</v>
      </c>
      <c r="E5541" s="5">
        <f>Table4[[#This Row],[qty]]*(VLOOKUP(Table4[[#This Row],[item_sold]],Table1[],5,FALSE))</f>
        <v>40</v>
      </c>
      <c r="F5541" s="5">
        <f>(VLOOKUP(Table4[[#This Row],[item_sold]],Table1[],4,FALSE))*Table4[[#This Row],[qty]]</f>
        <v>28.666666666666668</v>
      </c>
      <c r="G5541">
        <f t="shared" si="868"/>
        <v>11.333333333333332</v>
      </c>
      <c r="H5541" t="s">
        <v>361</v>
      </c>
    </row>
    <row r="5542" spans="1:9" x14ac:dyDescent="0.25">
      <c r="A5542" s="1">
        <f t="shared" si="869"/>
        <v>45573</v>
      </c>
      <c r="B5542" s="31">
        <f>TIME(10,47,0)</f>
        <v>0.44930555555555557</v>
      </c>
      <c r="C5542" t="str">
        <f>'Inventory as of 12th Aug 2024'!A138</f>
        <v>Softcare pads</v>
      </c>
      <c r="D5542">
        <v>1</v>
      </c>
      <c r="E5542" s="5">
        <f>Table4[[#This Row],[qty]]*(VLOOKUP(Table4[[#This Row],[item_sold]],Table1[],5,FALSE))</f>
        <v>85</v>
      </c>
      <c r="F5542" s="5">
        <f>(VLOOKUP(Table4[[#This Row],[item_sold]],Table1[],4,FALSE))*Table4[[#This Row],[qty]]</f>
        <v>66</v>
      </c>
      <c r="G5542">
        <f t="shared" si="868"/>
        <v>19</v>
      </c>
      <c r="H5542" t="s">
        <v>247</v>
      </c>
    </row>
    <row r="5543" spans="1:9" x14ac:dyDescent="0.25">
      <c r="A5543" s="1">
        <f t="shared" si="869"/>
        <v>45573</v>
      </c>
      <c r="B5543" s="31">
        <f t="shared" ref="B5543" si="873">TIME(10,47,0)</f>
        <v>0.44930555555555557</v>
      </c>
      <c r="C5543" t="str">
        <f>'Inventory as of 12th Aug 2024'!A192</f>
        <v>Lemon Bisquit</v>
      </c>
      <c r="D5543">
        <v>1</v>
      </c>
      <c r="E5543" s="5">
        <f>Table4[[#This Row],[qty]]*(VLOOKUP(Table4[[#This Row],[item_sold]],Table1[],5,FALSE))</f>
        <v>5</v>
      </c>
      <c r="F5543" s="5">
        <f>(VLOOKUP(Table4[[#This Row],[item_sold]],Table1[],4,FALSE))*Table4[[#This Row],[qty]]</f>
        <v>4.333333333333333</v>
      </c>
      <c r="G5543">
        <f t="shared" si="868"/>
        <v>0.66666666666666696</v>
      </c>
      <c r="H5543" t="s">
        <v>247</v>
      </c>
    </row>
    <row r="5544" spans="1:9" x14ac:dyDescent="0.25">
      <c r="A5544" s="1">
        <f t="shared" si="869"/>
        <v>45573</v>
      </c>
      <c r="B5544" s="31">
        <f>TIME(11,39,0)</f>
        <v>0.48541666666666666</v>
      </c>
      <c r="C5544" t="str">
        <f>'Inventory as of 12th Aug 2024'!A245</f>
        <v>1.5ltrs water</v>
      </c>
      <c r="D5544">
        <v>1</v>
      </c>
      <c r="E5544" s="5">
        <f>Table4[[#This Row],[qty]]*(VLOOKUP(Table4[[#This Row],[item_sold]],Table1[],5,FALSE))</f>
        <v>70</v>
      </c>
      <c r="F5544" s="5">
        <f>(VLOOKUP(Table4[[#This Row],[item_sold]],Table1[],4,FALSE))*Table4[[#This Row],[qty]]</f>
        <v>25</v>
      </c>
      <c r="G5544">
        <f t="shared" si="868"/>
        <v>45</v>
      </c>
      <c r="H5544" t="s">
        <v>247</v>
      </c>
    </row>
    <row r="5545" spans="1:9" x14ac:dyDescent="0.25">
      <c r="A5545" s="1">
        <f t="shared" si="869"/>
        <v>45573</v>
      </c>
      <c r="B5545" s="31">
        <f t="shared" ref="B5545:B5546" si="874">TIME(11,39,0)</f>
        <v>0.48541666666666666</v>
      </c>
      <c r="C5545" t="str">
        <f>'Inventory as of 12th Aug 2024'!A212</f>
        <v>soda 300ml glass</v>
      </c>
      <c r="D5545">
        <v>1</v>
      </c>
      <c r="E5545" s="5">
        <f>Table4[[#This Row],[qty]]*(VLOOKUP(Table4[[#This Row],[item_sold]],Table1[],5,FALSE))</f>
        <v>40</v>
      </c>
      <c r="F5545" s="5">
        <f>(VLOOKUP(Table4[[#This Row],[item_sold]],Table1[],4,FALSE))*Table4[[#This Row],[qty]]</f>
        <v>32.5</v>
      </c>
      <c r="G5545">
        <f t="shared" si="868"/>
        <v>7.5</v>
      </c>
      <c r="H5545" t="s">
        <v>247</v>
      </c>
    </row>
    <row r="5546" spans="1:9" x14ac:dyDescent="0.25">
      <c r="A5546" s="1">
        <f t="shared" si="869"/>
        <v>45573</v>
      </c>
      <c r="B5546" s="31">
        <f t="shared" si="874"/>
        <v>0.48541666666666666</v>
      </c>
      <c r="C5546" t="str">
        <f>'Inventory as of 12th Aug 2024'!A175</f>
        <v>Coconut Cakes</v>
      </c>
      <c r="D5546">
        <v>1</v>
      </c>
      <c r="E5546" s="5">
        <f>Table4[[#This Row],[qty]]*(VLOOKUP(Table4[[#This Row],[item_sold]],Table1[],5,FALSE))</f>
        <v>10</v>
      </c>
      <c r="F5546" s="5">
        <f>(VLOOKUP(Table4[[#This Row],[item_sold]],Table1[],4,FALSE))*Table4[[#This Row],[qty]]</f>
        <v>8.3333333333333339</v>
      </c>
      <c r="G5546">
        <f t="shared" si="868"/>
        <v>1.6666666666666661</v>
      </c>
      <c r="H5546" t="s">
        <v>247</v>
      </c>
    </row>
    <row r="5547" spans="1:9" x14ac:dyDescent="0.25">
      <c r="A5547" s="1">
        <f t="shared" si="869"/>
        <v>45573</v>
      </c>
      <c r="B5547" s="31">
        <f>TIME(12,36,0)</f>
        <v>0.52500000000000002</v>
      </c>
      <c r="C5547" t="str">
        <f>'Inventory as of 12th Aug 2024'!A206</f>
        <v>soda 500ml plastic</v>
      </c>
      <c r="D5547">
        <v>1</v>
      </c>
      <c r="E5547" s="5">
        <f>Table4[[#This Row],[qty]]*(VLOOKUP(Table4[[#This Row],[item_sold]],Table1[],5,FALSE))</f>
        <v>70</v>
      </c>
      <c r="F5547" s="5">
        <f>(VLOOKUP(Table4[[#This Row],[item_sold]],Table1[],4,FALSE))*Table4[[#This Row],[qty]]</f>
        <v>60.416666666666664</v>
      </c>
      <c r="G5547">
        <f t="shared" si="868"/>
        <v>9.5833333333333357</v>
      </c>
      <c r="H5547" s="25" t="s">
        <v>361</v>
      </c>
    </row>
    <row r="5548" spans="1:9" x14ac:dyDescent="0.25">
      <c r="A5548" s="1">
        <f t="shared" si="869"/>
        <v>45573</v>
      </c>
      <c r="B5548" s="31">
        <f>TIME(12,43,0)</f>
        <v>0.52986111111111112</v>
      </c>
      <c r="C5548" t="str">
        <f>'Inventory as of 12th Aug 2024'!A205</f>
        <v xml:space="preserve"> soda 1.25lts</v>
      </c>
      <c r="D5548">
        <v>1</v>
      </c>
      <c r="E5548" s="5">
        <f>Table4[[#This Row],[qty]]*(VLOOKUP(Table4[[#This Row],[item_sold]],Table1[],5,FALSE))</f>
        <v>130</v>
      </c>
      <c r="F5548" s="5">
        <f>(VLOOKUP(Table4[[#This Row],[item_sold]],Table1[],4,FALSE))*Table4[[#This Row],[qty]]</f>
        <v>112.5</v>
      </c>
      <c r="G5548">
        <f t="shared" si="868"/>
        <v>17.5</v>
      </c>
      <c r="H5548" t="s">
        <v>361</v>
      </c>
    </row>
    <row r="5549" spans="1:9" x14ac:dyDescent="0.25">
      <c r="A5549" s="1">
        <f t="shared" si="869"/>
        <v>45573</v>
      </c>
      <c r="B5549" s="31">
        <f t="shared" ref="B5549:B5550" si="875">TIME(12,43,0)</f>
        <v>0.52986111111111112</v>
      </c>
      <c r="C5549" t="str">
        <f>'Inventory as of 12th Aug 2024'!A175</f>
        <v>Coconut Cakes</v>
      </c>
      <c r="D5549">
        <v>2</v>
      </c>
      <c r="E5549" s="5">
        <f>Table4[[#This Row],[qty]]*(VLOOKUP(Table4[[#This Row],[item_sold]],Table1[],5,FALSE))</f>
        <v>20</v>
      </c>
      <c r="F5549" s="5">
        <f>(VLOOKUP(Table4[[#This Row],[item_sold]],Table1[],4,FALSE))*Table4[[#This Row],[qty]]</f>
        <v>16.666666666666668</v>
      </c>
      <c r="G5549">
        <f t="shared" si="868"/>
        <v>3.3333333333333321</v>
      </c>
      <c r="H5549" t="s">
        <v>361</v>
      </c>
    </row>
    <row r="5550" spans="1:9" x14ac:dyDescent="0.25">
      <c r="A5550" s="1">
        <f t="shared" si="869"/>
        <v>45573</v>
      </c>
      <c r="B5550" s="31">
        <f t="shared" si="875"/>
        <v>0.52986111111111112</v>
      </c>
      <c r="C5550" t="str">
        <f>'Inventory as of 12th Aug 2024'!A58</f>
        <v>Safari</v>
      </c>
      <c r="D5550">
        <v>2</v>
      </c>
      <c r="E5550" s="5">
        <f>Table4[[#This Row],[qty]]*(VLOOKUP(Table4[[#This Row],[item_sold]],Table1[],5,FALSE))</f>
        <v>30</v>
      </c>
      <c r="F5550" s="5">
        <f>(VLOOKUP(Table4[[#This Row],[item_sold]],Table1[],4,FALSE))*Table4[[#This Row],[qty]]</f>
        <v>17</v>
      </c>
      <c r="G5550">
        <f t="shared" si="868"/>
        <v>13</v>
      </c>
      <c r="H5550" t="s">
        <v>361</v>
      </c>
    </row>
    <row r="5551" spans="1:9" x14ac:dyDescent="0.25">
      <c r="A5551" s="1">
        <f t="shared" si="869"/>
        <v>45573</v>
      </c>
      <c r="B5551" s="31">
        <f>TIME(12,44,0)</f>
        <v>0.53055555555555556</v>
      </c>
      <c r="C5551" t="str">
        <f>'Inventory as of 12th Aug 2024'!A91</f>
        <v>Tomatoes</v>
      </c>
      <c r="D5551">
        <v>1</v>
      </c>
      <c r="E5551" s="5">
        <f>Table4[[#This Row],[qty]]*(VLOOKUP(Table4[[#This Row],[item_sold]],Table1[],5,FALSE))</f>
        <v>10</v>
      </c>
      <c r="F5551" s="5">
        <f>(VLOOKUP(Table4[[#This Row],[item_sold]],Table1[],4,FALSE))*Table4[[#This Row],[qty]]</f>
        <v>5</v>
      </c>
      <c r="G5551">
        <f t="shared" si="868"/>
        <v>5</v>
      </c>
      <c r="H5551" t="s">
        <v>430</v>
      </c>
      <c r="I5551" t="s">
        <v>447</v>
      </c>
    </row>
    <row r="5552" spans="1:9" x14ac:dyDescent="0.25">
      <c r="A5552" s="1">
        <f t="shared" si="869"/>
        <v>45573</v>
      </c>
      <c r="B5552" s="31">
        <f>TIME(13,23,0)</f>
        <v>0.55763888888888891</v>
      </c>
      <c r="C5552" t="str">
        <f>'Inventory as of 12th Aug 2024'!A37</f>
        <v>Festive Bread 400g</v>
      </c>
      <c r="D5552">
        <v>1</v>
      </c>
      <c r="E5552" s="5">
        <f>Table4[[#This Row],[qty]]*(VLOOKUP(Table4[[#This Row],[item_sold]],Table1[],5,FALSE))</f>
        <v>65</v>
      </c>
      <c r="F5552" s="5">
        <f>(VLOOKUP(Table4[[#This Row],[item_sold]],Table1[],4,FALSE))*Table4[[#This Row],[qty]]</f>
        <v>60</v>
      </c>
      <c r="G5552">
        <f t="shared" si="868"/>
        <v>5</v>
      </c>
      <c r="H5552" t="s">
        <v>430</v>
      </c>
      <c r="I5552" t="s">
        <v>590</v>
      </c>
    </row>
    <row r="5553" spans="1:12" x14ac:dyDescent="0.25">
      <c r="A5553" s="1">
        <f t="shared" si="869"/>
        <v>45573</v>
      </c>
      <c r="B5553" s="31">
        <f>TIME(13,33,0)</f>
        <v>0.56458333333333333</v>
      </c>
      <c r="C5553" t="str">
        <f>'Inventory as of 12th Aug 2024'!A58</f>
        <v>Safari</v>
      </c>
      <c r="D5553">
        <v>2</v>
      </c>
      <c r="E5553" s="5">
        <f>Table4[[#This Row],[qty]]*(VLOOKUP(Table4[[#This Row],[item_sold]],Table1[],5,FALSE))</f>
        <v>30</v>
      </c>
      <c r="F5553" s="5">
        <f>(VLOOKUP(Table4[[#This Row],[item_sold]],Table1[],4,FALSE))*Table4[[#This Row],[qty]]</f>
        <v>17</v>
      </c>
      <c r="G5553">
        <f t="shared" si="868"/>
        <v>13</v>
      </c>
      <c r="H5553" t="s">
        <v>247</v>
      </c>
    </row>
    <row r="5554" spans="1:12" x14ac:dyDescent="0.25">
      <c r="A5554" s="1">
        <f t="shared" si="869"/>
        <v>45573</v>
      </c>
      <c r="B5554" s="31">
        <f>TIME(14,4,0)</f>
        <v>0.58611111111111114</v>
      </c>
      <c r="C5554" t="str">
        <f>'Inventory as of 12th Aug 2024'!A58</f>
        <v>Safari</v>
      </c>
      <c r="D5554">
        <v>3</v>
      </c>
      <c r="E5554" s="5">
        <f>Table4[[#This Row],[qty]]*(VLOOKUP(Table4[[#This Row],[item_sold]],Table1[],5,FALSE))</f>
        <v>45</v>
      </c>
      <c r="F5554" s="5">
        <f>(VLOOKUP(Table4[[#This Row],[item_sold]],Table1[],4,FALSE))*Table4[[#This Row],[qty]]</f>
        <v>25.5</v>
      </c>
      <c r="G5554">
        <f t="shared" si="868"/>
        <v>19.5</v>
      </c>
      <c r="H5554" t="s">
        <v>430</v>
      </c>
      <c r="I5554" t="s">
        <v>447</v>
      </c>
      <c r="J5554" t="s">
        <v>447</v>
      </c>
      <c r="K5554">
        <v>40</v>
      </c>
      <c r="L5554" t="s">
        <v>247</v>
      </c>
    </row>
    <row r="5555" spans="1:12" x14ac:dyDescent="0.25">
      <c r="A5555" s="1">
        <f t="shared" si="869"/>
        <v>45573</v>
      </c>
      <c r="B5555" s="31">
        <f>TIME(14,43,0)</f>
        <v>0.61319444444444449</v>
      </c>
      <c r="C5555" t="str">
        <f>'Inventory as of 12th Aug 2024'!A191</f>
        <v>Nuvita Bisquit</v>
      </c>
      <c r="D5555">
        <v>2</v>
      </c>
      <c r="E5555" s="5">
        <f>Table4[[#This Row],[qty]]*(VLOOKUP(Table4[[#This Row],[item_sold]],Table1[],5,FALSE))</f>
        <v>10</v>
      </c>
      <c r="F5555" s="5">
        <f>(VLOOKUP(Table4[[#This Row],[item_sold]],Table1[],4,FALSE))*Table4[[#This Row],[qty]]</f>
        <v>8.3333333333333339</v>
      </c>
      <c r="G5555">
        <f t="shared" si="868"/>
        <v>1.6666666666666661</v>
      </c>
      <c r="H5555" t="s">
        <v>247</v>
      </c>
    </row>
    <row r="5556" spans="1:12" x14ac:dyDescent="0.25">
      <c r="A5556" s="1">
        <f t="shared" si="869"/>
        <v>45573</v>
      </c>
      <c r="B5556" s="31">
        <f>TIME(16,25,0)</f>
        <v>0.68402777777777779</v>
      </c>
      <c r="C5556" t="str">
        <f>'Inventory as of 12th Aug 2024'!A138</f>
        <v>Softcare pads</v>
      </c>
      <c r="D5556">
        <v>1</v>
      </c>
      <c r="E5556" s="5">
        <f>Table4[[#This Row],[qty]]*(VLOOKUP(Table4[[#This Row],[item_sold]],Table1[],5,FALSE))</f>
        <v>85</v>
      </c>
      <c r="F5556" s="5">
        <f>(VLOOKUP(Table4[[#This Row],[item_sold]],Table1[],4,FALSE))*Table4[[#This Row],[qty]]</f>
        <v>66</v>
      </c>
      <c r="G5556">
        <f t="shared" si="868"/>
        <v>19</v>
      </c>
      <c r="H5556" t="s">
        <v>361</v>
      </c>
    </row>
    <row r="5557" spans="1:12" x14ac:dyDescent="0.25">
      <c r="A5557" s="1">
        <f t="shared" si="869"/>
        <v>45573</v>
      </c>
      <c r="B5557" s="31">
        <f t="shared" ref="B5557:B5560" si="876">TIME(16,25,0)</f>
        <v>0.68402777777777779</v>
      </c>
      <c r="C5557" s="25"/>
      <c r="D5557">
        <v>2</v>
      </c>
      <c r="E5557" s="5" t="e">
        <f>Table4[[#This Row],[qty]]*(VLOOKUP(Table4[[#This Row],[item_sold]],Table1[],5,FALSE))</f>
        <v>#N/A</v>
      </c>
      <c r="F5557" s="5" t="e">
        <f>(VLOOKUP(Table4[[#This Row],[item_sold]],Table1[],4,FALSE))*Table4[[#This Row],[qty]]</f>
        <v>#N/A</v>
      </c>
      <c r="G5557" t="e">
        <f t="shared" si="868"/>
        <v>#N/A</v>
      </c>
      <c r="H5557" t="s">
        <v>361</v>
      </c>
    </row>
    <row r="5558" spans="1:12" x14ac:dyDescent="0.25">
      <c r="A5558" s="1">
        <f t="shared" si="869"/>
        <v>45573</v>
      </c>
      <c r="B5558" s="31">
        <f t="shared" si="876"/>
        <v>0.68402777777777779</v>
      </c>
      <c r="C5558" t="str">
        <f>'Inventory as of 12th Aug 2024'!A191</f>
        <v>Nuvita Bisquit</v>
      </c>
      <c r="D5558">
        <v>2</v>
      </c>
      <c r="E5558" s="5">
        <f>Table4[[#This Row],[qty]]*(VLOOKUP(Table4[[#This Row],[item_sold]],Table1[],5,FALSE))</f>
        <v>10</v>
      </c>
      <c r="F5558" s="5">
        <f>(VLOOKUP(Table4[[#This Row],[item_sold]],Table1[],4,FALSE))*Table4[[#This Row],[qty]]</f>
        <v>8.3333333333333339</v>
      </c>
      <c r="G5558">
        <f t="shared" si="868"/>
        <v>1.6666666666666661</v>
      </c>
      <c r="H5558" t="s">
        <v>361</v>
      </c>
    </row>
    <row r="5559" spans="1:12" x14ac:dyDescent="0.25">
      <c r="A5559" s="1">
        <f t="shared" si="869"/>
        <v>45573</v>
      </c>
      <c r="B5559" s="31">
        <f t="shared" si="876"/>
        <v>0.68402777777777779</v>
      </c>
      <c r="C5559" t="str">
        <f>'Inventory as of 12th Aug 2024'!A193</f>
        <v>Ginger Bisquit</v>
      </c>
      <c r="D5559">
        <v>2</v>
      </c>
      <c r="E5559" s="5">
        <f>Table4[[#This Row],[qty]]*(VLOOKUP(Table4[[#This Row],[item_sold]],Table1[],5,FALSE))</f>
        <v>10</v>
      </c>
      <c r="F5559" s="5">
        <f>(VLOOKUP(Table4[[#This Row],[item_sold]],Table1[],4,FALSE))*Table4[[#This Row],[qty]]</f>
        <v>8.6666666666666661</v>
      </c>
      <c r="G5559">
        <f t="shared" si="868"/>
        <v>1.3333333333333339</v>
      </c>
      <c r="H5559" t="s">
        <v>361</v>
      </c>
    </row>
    <row r="5560" spans="1:12" x14ac:dyDescent="0.25">
      <c r="A5560" s="1">
        <f t="shared" si="869"/>
        <v>45573</v>
      </c>
      <c r="B5560" s="31">
        <f t="shared" si="876"/>
        <v>0.68402777777777779</v>
      </c>
      <c r="C5560" t="str">
        <f>'Inventory as of 12th Aug 2024'!A200</f>
        <v>Ngumu</v>
      </c>
      <c r="D5560">
        <v>3</v>
      </c>
      <c r="E5560" s="5">
        <f>Table4[[#This Row],[qty]]*(VLOOKUP(Table4[[#This Row],[item_sold]],Table1[],5,FALSE))</f>
        <v>30</v>
      </c>
      <c r="F5560" s="5">
        <f>(VLOOKUP(Table4[[#This Row],[item_sold]],Table1[],4,FALSE))*Table4[[#This Row],[qty]]</f>
        <v>25</v>
      </c>
      <c r="G5560">
        <f t="shared" si="868"/>
        <v>5</v>
      </c>
      <c r="H5560" t="s">
        <v>361</v>
      </c>
    </row>
    <row r="5561" spans="1:12" x14ac:dyDescent="0.25">
      <c r="A5561" s="1">
        <f t="shared" si="869"/>
        <v>45573</v>
      </c>
      <c r="B5561" s="31">
        <f>TIME(17,26,0)</f>
        <v>0.72638888888888886</v>
      </c>
      <c r="C5561" t="str">
        <f>'Inventory as of 12th Aug 2024'!A58</f>
        <v>Safari</v>
      </c>
      <c r="D5561">
        <v>2</v>
      </c>
      <c r="E5561" s="5">
        <f>Table4[[#This Row],[qty]]*(VLOOKUP(Table4[[#This Row],[item_sold]],Table1[],5,FALSE))</f>
        <v>30</v>
      </c>
      <c r="F5561" s="5">
        <f>(VLOOKUP(Table4[[#This Row],[item_sold]],Table1[],4,FALSE))*Table4[[#This Row],[qty]]</f>
        <v>17</v>
      </c>
      <c r="G5561">
        <f t="shared" si="868"/>
        <v>13</v>
      </c>
      <c r="H5561" t="s">
        <v>361</v>
      </c>
    </row>
    <row r="5562" spans="1:12" x14ac:dyDescent="0.25">
      <c r="A5562" s="1">
        <f t="shared" si="869"/>
        <v>45573</v>
      </c>
      <c r="B5562" s="31">
        <f>TIME(17,40,0)</f>
        <v>0.73611111111111116</v>
      </c>
      <c r="C5562" t="str">
        <f>'Inventory as of 12th Aug 2024'!A91</f>
        <v>Tomatoes</v>
      </c>
      <c r="D5562">
        <v>2</v>
      </c>
      <c r="E5562" s="5">
        <f>Table4[[#This Row],[qty]]*(VLOOKUP(Table4[[#This Row],[item_sold]],Table1[],5,FALSE))</f>
        <v>20</v>
      </c>
      <c r="F5562" s="5">
        <f>(VLOOKUP(Table4[[#This Row],[item_sold]],Table1[],4,FALSE))*Table4[[#This Row],[qty]]</f>
        <v>10</v>
      </c>
      <c r="G5562">
        <f t="shared" si="868"/>
        <v>10</v>
      </c>
      <c r="H5562" t="s">
        <v>430</v>
      </c>
      <c r="I5562" t="s">
        <v>427</v>
      </c>
    </row>
    <row r="5563" spans="1:12" x14ac:dyDescent="0.25">
      <c r="A5563" s="1">
        <f t="shared" si="869"/>
        <v>45573</v>
      </c>
      <c r="B5563" s="31">
        <f t="shared" ref="B5563" si="877">TIME(17,40,0)</f>
        <v>0.73611111111111116</v>
      </c>
      <c r="C5563" t="str">
        <f>'Inventory as of 12th Aug 2024'!A188</f>
        <v>Choc-chip Cookies</v>
      </c>
      <c r="D5563">
        <v>3</v>
      </c>
      <c r="E5563" s="5">
        <f>Table4[[#This Row],[qty]]*(VLOOKUP(Table4[[#This Row],[item_sold]],Table1[],5,FALSE))</f>
        <v>105</v>
      </c>
      <c r="F5563" s="5">
        <f>(VLOOKUP(Table4[[#This Row],[item_sold]],Table1[],4,FALSE))*Table4[[#This Row],[qty]]</f>
        <v>75</v>
      </c>
      <c r="G5563">
        <f t="shared" si="868"/>
        <v>30</v>
      </c>
      <c r="H5563" t="s">
        <v>430</v>
      </c>
      <c r="I5563" t="s">
        <v>427</v>
      </c>
    </row>
    <row r="5564" spans="1:12" x14ac:dyDescent="0.25">
      <c r="A5564" s="1">
        <f t="shared" si="869"/>
        <v>45573</v>
      </c>
      <c r="B5564" s="31">
        <f>TIME(17,56,0)</f>
        <v>0.74722222222222223</v>
      </c>
      <c r="C5564" t="str">
        <f>'Inventory as of 12th Aug 2024'!A3</f>
        <v>Safaricom 10 Credit</v>
      </c>
      <c r="D5564">
        <v>1</v>
      </c>
      <c r="E5564" s="5">
        <f>Table4[[#This Row],[qty]]*(VLOOKUP(Table4[[#This Row],[item_sold]],Table1[],5,FALSE))</f>
        <v>10</v>
      </c>
      <c r="F5564" s="5">
        <f>(VLOOKUP(Table4[[#This Row],[item_sold]],Table1[],4,FALSE))*Table4[[#This Row],[qty]]</f>
        <v>9</v>
      </c>
      <c r="G5564">
        <f t="shared" si="868"/>
        <v>1</v>
      </c>
      <c r="H5564" t="s">
        <v>247</v>
      </c>
    </row>
    <row r="5565" spans="1:12" x14ac:dyDescent="0.25">
      <c r="A5565" s="1">
        <f t="shared" si="869"/>
        <v>45573</v>
      </c>
      <c r="B5565" s="31">
        <f t="shared" ref="B5565:B5566" si="878">TIME(17,56,0)</f>
        <v>0.74722222222222223</v>
      </c>
      <c r="C5565" t="str">
        <f>'Inventory as of 12th Aug 2024'!A234</f>
        <v>Bigdaddy</v>
      </c>
      <c r="D5565">
        <v>2</v>
      </c>
      <c r="E5565" s="5">
        <f>Table4[[#This Row],[qty]]*(VLOOKUP(Table4[[#This Row],[item_sold]],Table1[],5,FALSE))</f>
        <v>20</v>
      </c>
      <c r="F5565" s="5">
        <f>(VLOOKUP(Table4[[#This Row],[item_sold]],Table1[],4,FALSE))*Table4[[#This Row],[qty]]</f>
        <v>12</v>
      </c>
      <c r="G5565">
        <f t="shared" si="868"/>
        <v>8</v>
      </c>
      <c r="H5565" t="s">
        <v>247</v>
      </c>
    </row>
    <row r="5566" spans="1:12" x14ac:dyDescent="0.25">
      <c r="A5566" s="1">
        <f t="shared" si="869"/>
        <v>45573</v>
      </c>
      <c r="B5566" s="31">
        <f t="shared" si="878"/>
        <v>0.74722222222222223</v>
      </c>
      <c r="C5566" t="str">
        <f>'Inventory as of 12th Aug 2024'!A192</f>
        <v>Lemon Bisquit</v>
      </c>
      <c r="D5566">
        <v>2</v>
      </c>
      <c r="E5566" s="5">
        <f>Table4[[#This Row],[qty]]*(VLOOKUP(Table4[[#This Row],[item_sold]],Table1[],5,FALSE))</f>
        <v>10</v>
      </c>
      <c r="F5566" s="5">
        <f>(VLOOKUP(Table4[[#This Row],[item_sold]],Table1[],4,FALSE))*Table4[[#This Row],[qty]]</f>
        <v>8.6666666666666661</v>
      </c>
      <c r="G5566">
        <f t="shared" si="868"/>
        <v>1.3333333333333339</v>
      </c>
      <c r="H5566" t="s">
        <v>247</v>
      </c>
    </row>
    <row r="5567" spans="1:12" x14ac:dyDescent="0.25">
      <c r="A5567" s="1">
        <f t="shared" si="869"/>
        <v>45573</v>
      </c>
      <c r="B5567" s="31">
        <f>TIME(18,29,0)</f>
        <v>0.77013888888888893</v>
      </c>
      <c r="C5567" t="str">
        <f>'Inventory as of 12th Aug 2024'!A37</f>
        <v>Festive Bread 400g</v>
      </c>
      <c r="D5567">
        <v>1</v>
      </c>
      <c r="E5567" s="5">
        <f>Table4[[#This Row],[qty]]*(VLOOKUP(Table4[[#This Row],[item_sold]],Table1[],5,FALSE))</f>
        <v>65</v>
      </c>
      <c r="F5567" s="5">
        <f>(VLOOKUP(Table4[[#This Row],[item_sold]],Table1[],4,FALSE))*Table4[[#This Row],[qty]]</f>
        <v>60</v>
      </c>
      <c r="G5567">
        <f t="shared" si="868"/>
        <v>5</v>
      </c>
      <c r="H5567" t="s">
        <v>430</v>
      </c>
      <c r="I5567" t="s">
        <v>456</v>
      </c>
    </row>
    <row r="5568" spans="1:12" x14ac:dyDescent="0.25">
      <c r="A5568" s="1">
        <f t="shared" si="869"/>
        <v>45573</v>
      </c>
      <c r="B5568" s="31">
        <f t="shared" ref="B5568" si="879">TIME(18,29,0)</f>
        <v>0.77013888888888893</v>
      </c>
      <c r="C5568" t="str">
        <f>'Inventory as of 12th Aug 2024'!A16</f>
        <v>Mt kenya milk 500ml</v>
      </c>
      <c r="D5568">
        <v>1</v>
      </c>
      <c r="E5568" s="5">
        <f>Table4[[#This Row],[qty]]*(VLOOKUP(Table4[[#This Row],[item_sold]],Table1[],5,FALSE))</f>
        <v>65</v>
      </c>
      <c r="F5568" s="5">
        <f>(VLOOKUP(Table4[[#This Row],[item_sold]],Table1[],4,FALSE))*Table4[[#This Row],[qty]]</f>
        <v>48.333333333333336</v>
      </c>
      <c r="G5568">
        <f t="shared" si="868"/>
        <v>16.666666666666664</v>
      </c>
      <c r="H5568" t="s">
        <v>430</v>
      </c>
      <c r="I5568" t="s">
        <v>455</v>
      </c>
    </row>
    <row r="5569" spans="1:12" x14ac:dyDescent="0.25">
      <c r="A5569" s="1">
        <f t="shared" si="869"/>
        <v>45573</v>
      </c>
      <c r="B5569" s="31">
        <f>TIME(18,33,0)</f>
        <v>0.7729166666666667</v>
      </c>
      <c r="C5569" t="str">
        <f>'Inventory as of 12th Aug 2024'!A7</f>
        <v>Airtel 50 Credit</v>
      </c>
      <c r="D5569">
        <v>1</v>
      </c>
      <c r="E5569" s="5">
        <f>Table4[[#This Row],[qty]]*(VLOOKUP(Table4[[#This Row],[item_sold]],Table1[],5,FALSE))</f>
        <v>50</v>
      </c>
      <c r="F5569" s="5">
        <f>(VLOOKUP(Table4[[#This Row],[item_sold]],Table1[],4,FALSE))*Table4[[#This Row],[qty]]</f>
        <v>47</v>
      </c>
      <c r="G5569">
        <f t="shared" si="868"/>
        <v>3</v>
      </c>
      <c r="H5569" t="s">
        <v>247</v>
      </c>
    </row>
    <row r="5570" spans="1:12" x14ac:dyDescent="0.25">
      <c r="A5570" s="1">
        <f t="shared" si="869"/>
        <v>45573</v>
      </c>
      <c r="B5570" s="31">
        <f>TIME(19,23,0)</f>
        <v>0.80763888888888891</v>
      </c>
      <c r="C5570" t="str">
        <f>'Inventory as of 12th Aug 2024'!A9</f>
        <v>Kinangop Fresh Milk 500ml</v>
      </c>
      <c r="D5570">
        <v>1</v>
      </c>
      <c r="E5570" s="5">
        <f>Table4[[#This Row],[qty]]*(VLOOKUP(Table4[[#This Row],[item_sold]],Table1[],5,FALSE))</f>
        <v>60</v>
      </c>
      <c r="F5570" s="5">
        <f>(VLOOKUP(Table4[[#This Row],[item_sold]],Table1[],4,FALSE))*Table4[[#This Row],[qty]]</f>
        <v>55</v>
      </c>
      <c r="G5570">
        <f t="shared" si="868"/>
        <v>5</v>
      </c>
      <c r="H5570" t="s">
        <v>361</v>
      </c>
    </row>
    <row r="5571" spans="1:12" x14ac:dyDescent="0.25">
      <c r="A5571" s="1">
        <f t="shared" si="869"/>
        <v>45573</v>
      </c>
      <c r="B5571" s="31">
        <f t="shared" ref="B5571:B5572" si="880">TIME(19,23,0)</f>
        <v>0.80763888888888891</v>
      </c>
      <c r="C5571" t="str">
        <f>'Inventory as of 12th Aug 2024'!A97</f>
        <v>Garlic</v>
      </c>
      <c r="D5571">
        <v>1</v>
      </c>
      <c r="E5571" s="5">
        <f>Table4[[#This Row],[qty]]*(VLOOKUP(Table4[[#This Row],[item_sold]],Table1[],5,FALSE))</f>
        <v>30</v>
      </c>
      <c r="F5571" s="5">
        <f>(VLOOKUP(Table4[[#This Row],[item_sold]],Table1[],4,FALSE))*Table4[[#This Row],[qty]]</f>
        <v>20</v>
      </c>
      <c r="G5571">
        <f t="shared" si="868"/>
        <v>10</v>
      </c>
      <c r="H5571" t="s">
        <v>361</v>
      </c>
    </row>
    <row r="5572" spans="1:12" x14ac:dyDescent="0.25">
      <c r="A5572" s="1">
        <f t="shared" si="869"/>
        <v>45573</v>
      </c>
      <c r="B5572" s="31">
        <f t="shared" si="880"/>
        <v>0.80763888888888891</v>
      </c>
      <c r="C5572" s="25"/>
      <c r="D5572">
        <v>1</v>
      </c>
      <c r="E5572" s="5" t="e">
        <f>Table4[[#This Row],[qty]]*(VLOOKUP(Table4[[#This Row],[item_sold]],Table1[],5,FALSE))</f>
        <v>#N/A</v>
      </c>
      <c r="F5572" s="5" t="e">
        <f>(VLOOKUP(Table4[[#This Row],[item_sold]],Table1[],4,FALSE))*Table4[[#This Row],[qty]]</f>
        <v>#N/A</v>
      </c>
      <c r="G5572" t="e">
        <f t="shared" si="868"/>
        <v>#N/A</v>
      </c>
      <c r="H5572" t="s">
        <v>361</v>
      </c>
    </row>
    <row r="5573" spans="1:12" x14ac:dyDescent="0.25">
      <c r="A5573" s="1">
        <f t="shared" si="869"/>
        <v>45573</v>
      </c>
      <c r="B5573" s="31">
        <f>TIME(19,42,0)</f>
        <v>0.8208333333333333</v>
      </c>
      <c r="C5573" t="str">
        <f>'Inventory as of 12th Aug 2024'!A37</f>
        <v>Festive Bread 400g</v>
      </c>
      <c r="D5573">
        <v>1</v>
      </c>
      <c r="E5573" s="5">
        <f>Table4[[#This Row],[qty]]*(VLOOKUP(Table4[[#This Row],[item_sold]],Table1[],5,FALSE))</f>
        <v>65</v>
      </c>
      <c r="F5573" s="5">
        <f>(VLOOKUP(Table4[[#This Row],[item_sold]],Table1[],4,FALSE))*Table4[[#This Row],[qty]]</f>
        <v>60</v>
      </c>
      <c r="G5573">
        <f t="shared" si="868"/>
        <v>5</v>
      </c>
      <c r="H5573" t="s">
        <v>247</v>
      </c>
    </row>
    <row r="5574" spans="1:12" x14ac:dyDescent="0.25">
      <c r="A5574" s="1">
        <f t="shared" si="869"/>
        <v>45573</v>
      </c>
      <c r="B5574" s="31">
        <f t="shared" ref="B5574" si="881">TIME(19,42,0)</f>
        <v>0.8208333333333333</v>
      </c>
      <c r="C5574" t="str">
        <f>'Inventory as of 12th Aug 2024'!A192</f>
        <v>Lemon Bisquit</v>
      </c>
      <c r="D5574">
        <v>1</v>
      </c>
      <c r="E5574" s="5">
        <f>Table4[[#This Row],[qty]]*(VLOOKUP(Table4[[#This Row],[item_sold]],Table1[],5,FALSE))</f>
        <v>5</v>
      </c>
      <c r="F5574" s="5">
        <f>(VLOOKUP(Table4[[#This Row],[item_sold]],Table1[],4,FALSE))*Table4[[#This Row],[qty]]</f>
        <v>4.333333333333333</v>
      </c>
      <c r="G5574">
        <f t="shared" si="868"/>
        <v>0.66666666666666696</v>
      </c>
      <c r="H5574" t="s">
        <v>247</v>
      </c>
    </row>
    <row r="5575" spans="1:12" x14ac:dyDescent="0.25">
      <c r="A5575" s="1">
        <f t="shared" si="869"/>
        <v>45573</v>
      </c>
      <c r="B5575" s="31">
        <f>TIME(20,18,0)</f>
        <v>0.84583333333333333</v>
      </c>
      <c r="C5575" t="str">
        <f>'Inventory as of 12th Aug 2024'!A58</f>
        <v>Safari</v>
      </c>
      <c r="D5575">
        <v>1</v>
      </c>
      <c r="E5575" s="5">
        <f>Table4[[#This Row],[qty]]*(VLOOKUP(Table4[[#This Row],[item_sold]],Table1[],5,FALSE))</f>
        <v>15</v>
      </c>
      <c r="F5575" s="5">
        <f>(VLOOKUP(Table4[[#This Row],[item_sold]],Table1[],4,FALSE))*Table4[[#This Row],[qty]]</f>
        <v>8.5</v>
      </c>
      <c r="G5575">
        <f t="shared" si="868"/>
        <v>6.5</v>
      </c>
      <c r="H5575" t="s">
        <v>430</v>
      </c>
      <c r="I5575" t="s">
        <v>447</v>
      </c>
      <c r="J5575" t="s">
        <v>447</v>
      </c>
      <c r="K5575">
        <v>10</v>
      </c>
      <c r="L5575" t="s">
        <v>247</v>
      </c>
    </row>
    <row r="5576" spans="1:12" x14ac:dyDescent="0.25">
      <c r="A5576" s="1">
        <f t="shared" si="869"/>
        <v>45573</v>
      </c>
      <c r="B5576" s="31">
        <f>TIME(20,19,0)</f>
        <v>0.84652777777777777</v>
      </c>
      <c r="C5576" t="str">
        <f>'Inventory as of 12th Aug 2024'!A211</f>
        <v>predator</v>
      </c>
      <c r="D5576">
        <v>1</v>
      </c>
      <c r="E5576" s="5">
        <f>Table4[[#This Row],[qty]]*(VLOOKUP(Table4[[#This Row],[item_sold]],Table1[],5,FALSE))</f>
        <v>70</v>
      </c>
      <c r="F5576" s="5">
        <f>(VLOOKUP(Table4[[#This Row],[item_sold]],Table1[],4,FALSE))*Table4[[#This Row],[qty]]</f>
        <v>54.166666666666664</v>
      </c>
      <c r="G5576">
        <f t="shared" si="868"/>
        <v>15.833333333333336</v>
      </c>
      <c r="H5576" t="s">
        <v>361</v>
      </c>
    </row>
    <row r="5577" spans="1:12" x14ac:dyDescent="0.25">
      <c r="A5577" s="1">
        <f t="shared" si="869"/>
        <v>45573</v>
      </c>
      <c r="B5577" s="31">
        <f>TIME(20,28,0)</f>
        <v>0.85277777777777775</v>
      </c>
      <c r="C5577" t="str">
        <f>'Inventory as of 12th Aug 2024'!A7</f>
        <v>Airtel 50 Credit</v>
      </c>
      <c r="D5577">
        <v>1</v>
      </c>
      <c r="E5577" s="5">
        <f>Table4[[#This Row],[qty]]*(VLOOKUP(Table4[[#This Row],[item_sold]],Table1[],5,FALSE))</f>
        <v>50</v>
      </c>
      <c r="F5577" s="5">
        <f>(VLOOKUP(Table4[[#This Row],[item_sold]],Table1[],4,FALSE))*Table4[[#This Row],[qty]]</f>
        <v>47</v>
      </c>
      <c r="G5577">
        <f t="shared" si="868"/>
        <v>3</v>
      </c>
      <c r="H5577" t="s">
        <v>361</v>
      </c>
    </row>
    <row r="5578" spans="1:12" x14ac:dyDescent="0.25">
      <c r="A5578" s="1">
        <f>DATE(2024,10,9)</f>
        <v>45574</v>
      </c>
      <c r="B5578" s="31">
        <f>TIME(7,0,0)</f>
        <v>0.29166666666666669</v>
      </c>
      <c r="C5578" t="str">
        <f>'Inventory as of 12th Aug 2024'!A33</f>
        <v>BB Bread 400g</v>
      </c>
      <c r="D5578">
        <v>1</v>
      </c>
      <c r="E5578" s="5">
        <f>Table4[[#This Row],[qty]]*(VLOOKUP(Table4[[#This Row],[item_sold]],Table1[],5,FALSE))</f>
        <v>65</v>
      </c>
      <c r="F5578" s="5">
        <f>(VLOOKUP(Table4[[#This Row],[item_sold]],Table1[],4,FALSE))*Table4[[#This Row],[qty]]</f>
        <v>60</v>
      </c>
      <c r="G5578">
        <f t="shared" si="868"/>
        <v>5</v>
      </c>
      <c r="H5578" t="s">
        <v>430</v>
      </c>
      <c r="I5578" t="s">
        <v>390</v>
      </c>
    </row>
    <row r="5579" spans="1:12" x14ac:dyDescent="0.25">
      <c r="A5579" s="1">
        <f t="shared" ref="A5579:A5636" si="882">DATE(2024,10,9)</f>
        <v>45574</v>
      </c>
      <c r="B5579" s="31">
        <f t="shared" ref="B5579:B5581" si="883">TIME(7,0,0)</f>
        <v>0.29166666666666669</v>
      </c>
      <c r="C5579" t="str">
        <f>'Inventory as of 12th Aug 2024'!A37</f>
        <v>Festive Bread 400g</v>
      </c>
      <c r="D5579">
        <v>1</v>
      </c>
      <c r="E5579" s="5">
        <f>Table4[[#This Row],[qty]]*(VLOOKUP(Table4[[#This Row],[item_sold]],Table1[],5,FALSE))</f>
        <v>65</v>
      </c>
      <c r="F5579" s="5">
        <f>(VLOOKUP(Table4[[#This Row],[item_sold]],Table1[],4,FALSE))*Table4[[#This Row],[qty]]</f>
        <v>60</v>
      </c>
      <c r="G5579">
        <f t="shared" si="868"/>
        <v>5</v>
      </c>
      <c r="H5579" t="s">
        <v>430</v>
      </c>
      <c r="I5579" t="s">
        <v>455</v>
      </c>
    </row>
    <row r="5580" spans="1:12" x14ac:dyDescent="0.25">
      <c r="A5580" s="1">
        <f t="shared" si="882"/>
        <v>45574</v>
      </c>
      <c r="B5580" s="31">
        <f t="shared" si="883"/>
        <v>0.29166666666666669</v>
      </c>
      <c r="C5580" t="str">
        <f>'Inventory as of 12th Aug 2024'!A16</f>
        <v>Mt kenya milk 500ml</v>
      </c>
      <c r="D5580">
        <v>1</v>
      </c>
      <c r="E5580" s="5">
        <f>Table4[[#This Row],[qty]]*(VLOOKUP(Table4[[#This Row],[item_sold]],Table1[],5,FALSE))</f>
        <v>65</v>
      </c>
      <c r="F5580" s="5">
        <f>(VLOOKUP(Table4[[#This Row],[item_sold]],Table1[],4,FALSE))*Table4[[#This Row],[qty]]</f>
        <v>48.333333333333336</v>
      </c>
      <c r="G5580">
        <f t="shared" si="868"/>
        <v>16.666666666666664</v>
      </c>
      <c r="H5580" t="s">
        <v>430</v>
      </c>
      <c r="I5580" t="s">
        <v>455</v>
      </c>
    </row>
    <row r="5581" spans="1:12" x14ac:dyDescent="0.25">
      <c r="A5581" s="1">
        <f t="shared" si="882"/>
        <v>45574</v>
      </c>
      <c r="B5581" s="31">
        <f t="shared" si="883"/>
        <v>0.29166666666666669</v>
      </c>
      <c r="C5581" t="str">
        <f>'Inventory as of 12th Aug 2024'!A8</f>
        <v>eggs</v>
      </c>
      <c r="D5581">
        <v>3</v>
      </c>
      <c r="E5581" s="5">
        <f>Table4[[#This Row],[qty]]*(VLOOKUP(Table4[[#This Row],[item_sold]],Table1[],5,FALSE))</f>
        <v>60</v>
      </c>
      <c r="F5581" s="5">
        <f>(VLOOKUP(Table4[[#This Row],[item_sold]],Table1[],4,FALSE))*Table4[[#This Row],[qty]]</f>
        <v>43</v>
      </c>
      <c r="G5581">
        <f t="shared" si="868"/>
        <v>17</v>
      </c>
      <c r="H5581" t="s">
        <v>430</v>
      </c>
      <c r="I5581" t="s">
        <v>455</v>
      </c>
    </row>
    <row r="5582" spans="1:12" x14ac:dyDescent="0.25">
      <c r="A5582" s="1">
        <f t="shared" si="882"/>
        <v>45574</v>
      </c>
      <c r="B5582" s="31">
        <f>TIME(7,57,0)</f>
        <v>0.33124999999999999</v>
      </c>
      <c r="C5582" t="str">
        <f>'Inventory as of 12th Aug 2024'!A16</f>
        <v>Mt kenya milk 500ml</v>
      </c>
      <c r="D5582">
        <v>1</v>
      </c>
      <c r="E5582" s="5">
        <f>Table4[[#This Row],[qty]]*(VLOOKUP(Table4[[#This Row],[item_sold]],Table1[],5,FALSE))</f>
        <v>65</v>
      </c>
      <c r="F5582" s="5">
        <f>(VLOOKUP(Table4[[#This Row],[item_sold]],Table1[],4,FALSE))*Table4[[#This Row],[qty]]</f>
        <v>48.333333333333336</v>
      </c>
      <c r="G5582">
        <f t="shared" si="868"/>
        <v>16.666666666666664</v>
      </c>
      <c r="H5582" t="s">
        <v>361</v>
      </c>
    </row>
    <row r="5583" spans="1:12" x14ac:dyDescent="0.25">
      <c r="A5583" s="1">
        <f t="shared" si="882"/>
        <v>45574</v>
      </c>
      <c r="B5583" s="31">
        <f t="shared" ref="B5583" si="884">TIME(7,57,0)</f>
        <v>0.33124999999999999</v>
      </c>
      <c r="C5583" t="str">
        <f>'Inventory as of 12th Aug 2024'!A33</f>
        <v>BB Bread 400g</v>
      </c>
      <c r="D5583">
        <v>1</v>
      </c>
      <c r="E5583" s="5">
        <f>Table4[[#This Row],[qty]]*(VLOOKUP(Table4[[#This Row],[item_sold]],Table1[],5,FALSE))</f>
        <v>65</v>
      </c>
      <c r="F5583" s="5">
        <f>(VLOOKUP(Table4[[#This Row],[item_sold]],Table1[],4,FALSE))*Table4[[#This Row],[qty]]</f>
        <v>60</v>
      </c>
      <c r="G5583">
        <f t="shared" si="868"/>
        <v>5</v>
      </c>
      <c r="H5583" t="s">
        <v>361</v>
      </c>
    </row>
    <row r="5584" spans="1:12" x14ac:dyDescent="0.25">
      <c r="A5584" s="1">
        <f t="shared" si="882"/>
        <v>45574</v>
      </c>
      <c r="B5584" s="31">
        <f>TIME(8,0,0)</f>
        <v>0.33333333333333331</v>
      </c>
      <c r="C5584" t="str">
        <f>'Inventory as of 12th Aug 2024'!A127</f>
        <v>tumbocide</v>
      </c>
      <c r="D5584">
        <v>1</v>
      </c>
      <c r="E5584" s="5">
        <f>Table4[[#This Row],[qty]]*(VLOOKUP(Table4[[#This Row],[item_sold]],Table1[],5,FALSE))</f>
        <v>10</v>
      </c>
      <c r="F5584" s="5">
        <f>(VLOOKUP(Table4[[#This Row],[item_sold]],Table1[],4,FALSE))*Table4[[#This Row],[qty]]</f>
        <v>7</v>
      </c>
      <c r="G5584">
        <f t="shared" si="868"/>
        <v>3</v>
      </c>
      <c r="H5584" t="s">
        <v>430</v>
      </c>
      <c r="I5584" t="s">
        <v>450</v>
      </c>
    </row>
    <row r="5585" spans="1:12" x14ac:dyDescent="0.25">
      <c r="A5585" s="1">
        <f t="shared" si="882"/>
        <v>45574</v>
      </c>
      <c r="B5585" s="31">
        <f>TIME(8,30,0)</f>
        <v>0.35416666666666669</v>
      </c>
      <c r="C5585" t="str">
        <f>'Inventory as of 12th Aug 2024'!A244</f>
        <v>5ltrs water</v>
      </c>
      <c r="D5585">
        <v>1</v>
      </c>
      <c r="E5585" s="5">
        <f>Table4[[#This Row],[qty]]*(VLOOKUP(Table4[[#This Row],[item_sold]],Table1[],5,FALSE))</f>
        <v>120</v>
      </c>
      <c r="F5585" s="5">
        <f>(VLOOKUP(Table4[[#This Row],[item_sold]],Table1[],4,FALSE))*Table4[[#This Row],[qty]]</f>
        <v>75</v>
      </c>
      <c r="G5585">
        <f t="shared" si="868"/>
        <v>45</v>
      </c>
      <c r="H5585" t="s">
        <v>361</v>
      </c>
    </row>
    <row r="5586" spans="1:12" x14ac:dyDescent="0.25">
      <c r="A5586" s="1">
        <f t="shared" si="882"/>
        <v>45574</v>
      </c>
      <c r="B5586" s="31">
        <f>TIME(8,41,0)</f>
        <v>0.36180555555555555</v>
      </c>
      <c r="C5586" t="str">
        <f>'Inventory as of 12th Aug 2024'!A199</f>
        <v>Kdf</v>
      </c>
      <c r="D5586">
        <v>2</v>
      </c>
      <c r="E5586" s="5">
        <f>Table4[[#This Row],[qty]]*(VLOOKUP(Table4[[#This Row],[item_sold]],Table1[],5,FALSE))</f>
        <v>20</v>
      </c>
      <c r="F5586" s="5">
        <f>(VLOOKUP(Table4[[#This Row],[item_sold]],Table1[],4,FALSE))*Table4[[#This Row],[qty]]</f>
        <v>16.666666666666668</v>
      </c>
      <c r="G5586">
        <f t="shared" si="868"/>
        <v>3.3333333333333321</v>
      </c>
      <c r="H5586" t="s">
        <v>430</v>
      </c>
      <c r="I5586" t="s">
        <v>590</v>
      </c>
    </row>
    <row r="5587" spans="1:12" x14ac:dyDescent="0.25">
      <c r="A5587" s="1">
        <f t="shared" si="882"/>
        <v>45574</v>
      </c>
      <c r="B5587" s="31">
        <f>TIME(8,42,0)</f>
        <v>0.36249999999999999</v>
      </c>
      <c r="C5587" t="str">
        <f>'Inventory as of 12th Aug 2024'!A199</f>
        <v>Kdf</v>
      </c>
      <c r="D5587">
        <v>5</v>
      </c>
      <c r="E5587" s="5">
        <f>Table4[[#This Row],[qty]]*(VLOOKUP(Table4[[#This Row],[item_sold]],Table1[],5,FALSE))</f>
        <v>50</v>
      </c>
      <c r="F5587" s="5">
        <f>(VLOOKUP(Table4[[#This Row],[item_sold]],Table1[],4,FALSE))*Table4[[#This Row],[qty]]</f>
        <v>41.666666666666671</v>
      </c>
      <c r="G5587">
        <f t="shared" si="868"/>
        <v>8.3333333333333286</v>
      </c>
      <c r="H5587" t="s">
        <v>361</v>
      </c>
      <c r="J5587" t="s">
        <v>385</v>
      </c>
      <c r="K5587">
        <v>370</v>
      </c>
      <c r="L5587" t="s">
        <v>361</v>
      </c>
    </row>
    <row r="5588" spans="1:12" x14ac:dyDescent="0.25">
      <c r="A5588" s="1">
        <f t="shared" si="882"/>
        <v>45574</v>
      </c>
      <c r="B5588" s="31">
        <f>TIME(9,17,0)</f>
        <v>0.38680555555555557</v>
      </c>
      <c r="C5588" t="str">
        <f>'Inventory as of 12th Aug 2024'!A4</f>
        <v>Safaricom 50 Credit</v>
      </c>
      <c r="D5588">
        <v>2</v>
      </c>
      <c r="E5588" s="5">
        <f>Table4[[#This Row],[qty]]*(VLOOKUP(Table4[[#This Row],[item_sold]],Table1[],5,FALSE))</f>
        <v>100</v>
      </c>
      <c r="F5588" s="5">
        <f>(VLOOKUP(Table4[[#This Row],[item_sold]],Table1[],4,FALSE))*Table4[[#This Row],[qty]]</f>
        <v>94</v>
      </c>
      <c r="G5588">
        <f t="shared" ref="G5588:G5651" si="885">E5588-F5588</f>
        <v>6</v>
      </c>
      <c r="H5588" t="s">
        <v>247</v>
      </c>
    </row>
    <row r="5589" spans="1:12" x14ac:dyDescent="0.25">
      <c r="A5589" s="1">
        <f t="shared" si="882"/>
        <v>45574</v>
      </c>
      <c r="B5589" s="31">
        <f t="shared" ref="B5589" si="886">TIME(9,17,0)</f>
        <v>0.38680555555555557</v>
      </c>
      <c r="C5589" t="str">
        <f>'Inventory as of 12th Aug 2024'!A200</f>
        <v>Ngumu</v>
      </c>
      <c r="D5589">
        <v>5</v>
      </c>
      <c r="E5589" s="5">
        <f>Table4[[#This Row],[qty]]*(VLOOKUP(Table4[[#This Row],[item_sold]],Table1[],5,FALSE))</f>
        <v>50</v>
      </c>
      <c r="F5589" s="5">
        <f>(VLOOKUP(Table4[[#This Row],[item_sold]],Table1[],4,FALSE))*Table4[[#This Row],[qty]]</f>
        <v>41.666666666666671</v>
      </c>
      <c r="G5589">
        <f t="shared" si="885"/>
        <v>8.3333333333333286</v>
      </c>
      <c r="H5589" t="s">
        <v>247</v>
      </c>
    </row>
    <row r="5590" spans="1:12" x14ac:dyDescent="0.25">
      <c r="A5590" s="1">
        <f t="shared" si="882"/>
        <v>45574</v>
      </c>
      <c r="B5590" s="31">
        <f>TIME(9,45,0)</f>
        <v>0.40625</v>
      </c>
      <c r="C5590" t="str">
        <f>'Inventory as of 12th Aug 2024'!A235</f>
        <v>Cough drops</v>
      </c>
      <c r="D5590">
        <v>1</v>
      </c>
      <c r="E5590" s="5">
        <f>Table4[[#This Row],[qty]]*(VLOOKUP(Table4[[#This Row],[item_sold]],Table1[],5,FALSE))</f>
        <v>5</v>
      </c>
      <c r="F5590" s="5">
        <f>(VLOOKUP(Table4[[#This Row],[item_sold]],Table1[],4,FALSE))*Table4[[#This Row],[qty]]</f>
        <v>4</v>
      </c>
      <c r="G5590">
        <f t="shared" si="885"/>
        <v>1</v>
      </c>
      <c r="H5590" t="s">
        <v>247</v>
      </c>
    </row>
    <row r="5591" spans="1:12" x14ac:dyDescent="0.25">
      <c r="A5591" s="1">
        <f t="shared" si="882"/>
        <v>45574</v>
      </c>
      <c r="B5591" s="31">
        <f t="shared" ref="B5591" si="887">TIME(9,45,0)</f>
        <v>0.40625</v>
      </c>
      <c r="C5591" t="str">
        <f>'Inventory as of 12th Aug 2024'!A233</f>
        <v>Lollipop</v>
      </c>
      <c r="D5591">
        <v>1</v>
      </c>
      <c r="E5591" s="5">
        <f>Table4[[#This Row],[qty]]*(VLOOKUP(Table4[[#This Row],[item_sold]],Table1[],5,FALSE))</f>
        <v>5</v>
      </c>
      <c r="F5591" s="5">
        <f>(VLOOKUP(Table4[[#This Row],[item_sold]],Table1[],4,FALSE))*Table4[[#This Row],[qty]]</f>
        <v>2.4</v>
      </c>
      <c r="G5591">
        <f t="shared" si="885"/>
        <v>2.6</v>
      </c>
      <c r="H5591" t="s">
        <v>247</v>
      </c>
    </row>
    <row r="5592" spans="1:12" x14ac:dyDescent="0.25">
      <c r="A5592" s="1">
        <f t="shared" si="882"/>
        <v>45574</v>
      </c>
      <c r="B5592" s="31">
        <f>TIME(10,32,0)</f>
        <v>0.43888888888888888</v>
      </c>
      <c r="C5592" t="str">
        <f>'Inventory as of 12th Aug 2024'!A4</f>
        <v>Safaricom 50 Credit</v>
      </c>
      <c r="D5592">
        <v>1</v>
      </c>
      <c r="E5592" s="5">
        <f>Table4[[#This Row],[qty]]*(VLOOKUP(Table4[[#This Row],[item_sold]],Table1[],5,FALSE))</f>
        <v>50</v>
      </c>
      <c r="F5592" s="5">
        <f>(VLOOKUP(Table4[[#This Row],[item_sold]],Table1[],4,FALSE))*Table4[[#This Row],[qty]]</f>
        <v>47</v>
      </c>
      <c r="G5592">
        <f t="shared" si="885"/>
        <v>3</v>
      </c>
      <c r="H5592" t="s">
        <v>247</v>
      </c>
    </row>
    <row r="5593" spans="1:12" x14ac:dyDescent="0.25">
      <c r="A5593" s="1">
        <f t="shared" si="882"/>
        <v>45574</v>
      </c>
      <c r="B5593" s="31">
        <f t="shared" ref="B5593:B5594" si="888">TIME(10,32,0)</f>
        <v>0.43888888888888888</v>
      </c>
      <c r="C5593" t="str">
        <f>'Inventory as of 12th Aug 2024'!A3</f>
        <v>Safaricom 10 Credit</v>
      </c>
      <c r="D5593">
        <v>1</v>
      </c>
      <c r="E5593" s="5">
        <f>Table4[[#This Row],[qty]]*(VLOOKUP(Table4[[#This Row],[item_sold]],Table1[],5,FALSE))</f>
        <v>10</v>
      </c>
      <c r="F5593" s="5">
        <f>(VLOOKUP(Table4[[#This Row],[item_sold]],Table1[],4,FALSE))*Table4[[#This Row],[qty]]</f>
        <v>9</v>
      </c>
      <c r="G5593">
        <f t="shared" si="885"/>
        <v>1</v>
      </c>
      <c r="H5593" t="s">
        <v>247</v>
      </c>
    </row>
    <row r="5594" spans="1:12" x14ac:dyDescent="0.25">
      <c r="A5594" s="1">
        <f t="shared" si="882"/>
        <v>45574</v>
      </c>
      <c r="B5594" s="31">
        <f t="shared" si="888"/>
        <v>0.43888888888888888</v>
      </c>
      <c r="C5594" t="str">
        <f>'Inventory as of 12th Aug 2024'!A5</f>
        <v>Airtel 20 Credit</v>
      </c>
      <c r="D5594">
        <v>2</v>
      </c>
      <c r="E5594" s="5">
        <f>Table4[[#This Row],[qty]]*(VLOOKUP(Table4[[#This Row],[item_sold]],Table1[],5,FALSE))</f>
        <v>40</v>
      </c>
      <c r="F5594" s="5">
        <f>(VLOOKUP(Table4[[#This Row],[item_sold]],Table1[],4,FALSE))*Table4[[#This Row],[qty]]</f>
        <v>36</v>
      </c>
      <c r="G5594">
        <f t="shared" si="885"/>
        <v>4</v>
      </c>
      <c r="H5594" t="s">
        <v>247</v>
      </c>
    </row>
    <row r="5595" spans="1:12" x14ac:dyDescent="0.25">
      <c r="A5595" s="1">
        <f t="shared" si="882"/>
        <v>45574</v>
      </c>
      <c r="B5595" s="31">
        <f>TIME(10,54,0)</f>
        <v>0.45416666666666666</v>
      </c>
      <c r="C5595" t="str">
        <f>'Inventory as of 12th Aug 2024'!A127</f>
        <v>tumbocide</v>
      </c>
      <c r="D5595">
        <v>2</v>
      </c>
      <c r="E5595" s="5">
        <f>Table4[[#This Row],[qty]]*(VLOOKUP(Table4[[#This Row],[item_sold]],Table1[],5,FALSE))</f>
        <v>20</v>
      </c>
      <c r="F5595" s="5">
        <f>(VLOOKUP(Table4[[#This Row],[item_sold]],Table1[],4,FALSE))*Table4[[#This Row],[qty]]</f>
        <v>14</v>
      </c>
      <c r="G5595">
        <f t="shared" si="885"/>
        <v>6</v>
      </c>
      <c r="H5595" t="s">
        <v>247</v>
      </c>
    </row>
    <row r="5596" spans="1:12" x14ac:dyDescent="0.25">
      <c r="A5596" s="1">
        <f t="shared" si="882"/>
        <v>45574</v>
      </c>
      <c r="B5596" s="31">
        <f t="shared" ref="B5596" si="889">TIME(10,54,0)</f>
        <v>0.45416666666666666</v>
      </c>
      <c r="C5596" t="str">
        <f>'Inventory as of 12th Aug 2024'!A238</f>
        <v>Tropical</v>
      </c>
      <c r="D5596">
        <v>1</v>
      </c>
      <c r="E5596" s="5">
        <f>Table4[[#This Row],[qty]]*(VLOOKUP(Table4[[#This Row],[item_sold]],Table1[],5,FALSE))</f>
        <v>5</v>
      </c>
      <c r="F5596" s="5">
        <f>(VLOOKUP(Table4[[#This Row],[item_sold]],Table1[],4,FALSE))*Table4[[#This Row],[qty]]</f>
        <v>1.5</v>
      </c>
      <c r="G5596">
        <f t="shared" si="885"/>
        <v>3.5</v>
      </c>
      <c r="H5596" t="s">
        <v>247</v>
      </c>
    </row>
    <row r="5597" spans="1:12" x14ac:dyDescent="0.25">
      <c r="A5597" s="1">
        <f t="shared" si="882"/>
        <v>45574</v>
      </c>
      <c r="B5597" s="31">
        <f>TIME(12,53,0)</f>
        <v>0.53680555555555554</v>
      </c>
      <c r="C5597" t="str">
        <f>'Inventory as of 12th Aug 2024'!A88</f>
        <v>Sunlight 400g</v>
      </c>
      <c r="D5597">
        <v>1</v>
      </c>
      <c r="E5597" s="5">
        <f>Table4[[#This Row],[qty]]*(VLOOKUP(Table4[[#This Row],[item_sold]],Table1[],5,FALSE))</f>
        <v>200</v>
      </c>
      <c r="F5597" s="5">
        <f>(VLOOKUP(Table4[[#This Row],[item_sold]],Table1[],4,FALSE))*Table4[[#This Row],[qty]]</f>
        <v>145</v>
      </c>
      <c r="G5597">
        <f t="shared" si="885"/>
        <v>55</v>
      </c>
      <c r="H5597" t="s">
        <v>430</v>
      </c>
      <c r="I5597" t="s">
        <v>390</v>
      </c>
    </row>
    <row r="5598" spans="1:12" x14ac:dyDescent="0.25">
      <c r="A5598" s="1">
        <f t="shared" si="882"/>
        <v>45574</v>
      </c>
      <c r="B5598" s="31">
        <f t="shared" ref="B5598" si="890">TIME(12,53,0)</f>
        <v>0.53680555555555554</v>
      </c>
      <c r="C5598" t="str">
        <f>'Inventory as of 12th Aug 2024'!A193</f>
        <v>Ginger Bisquit</v>
      </c>
      <c r="D5598">
        <v>2</v>
      </c>
      <c r="E5598" s="5">
        <f>Table4[[#This Row],[qty]]*(VLOOKUP(Table4[[#This Row],[item_sold]],Table1[],5,FALSE))</f>
        <v>10</v>
      </c>
      <c r="F5598" s="5">
        <f>(VLOOKUP(Table4[[#This Row],[item_sold]],Table1[],4,FALSE))*Table4[[#This Row],[qty]]</f>
        <v>8.6666666666666661</v>
      </c>
      <c r="G5598">
        <f t="shared" si="885"/>
        <v>1.3333333333333339</v>
      </c>
      <c r="H5598" t="s">
        <v>430</v>
      </c>
      <c r="I5598" t="s">
        <v>390</v>
      </c>
    </row>
    <row r="5599" spans="1:12" x14ac:dyDescent="0.25">
      <c r="A5599" s="1">
        <f t="shared" si="882"/>
        <v>45574</v>
      </c>
      <c r="B5599" s="31">
        <f>TIME(13,9,0)</f>
        <v>0.54791666666666672</v>
      </c>
      <c r="C5599" t="str">
        <f>'Inventory as of 12th Aug 2024'!A91</f>
        <v>Tomatoes</v>
      </c>
      <c r="D5599">
        <v>2</v>
      </c>
      <c r="E5599" s="5">
        <f>Table4[[#This Row],[qty]]*(VLOOKUP(Table4[[#This Row],[item_sold]],Table1[],5,FALSE))</f>
        <v>20</v>
      </c>
      <c r="F5599" s="5">
        <f>(VLOOKUP(Table4[[#This Row],[item_sold]],Table1[],4,FALSE))*Table4[[#This Row],[qty]]</f>
        <v>10</v>
      </c>
      <c r="G5599">
        <f t="shared" si="885"/>
        <v>10</v>
      </c>
      <c r="H5599" t="s">
        <v>247</v>
      </c>
    </row>
    <row r="5600" spans="1:12" x14ac:dyDescent="0.25">
      <c r="A5600" s="1">
        <f t="shared" si="882"/>
        <v>45574</v>
      </c>
      <c r="B5600" s="31">
        <f>TIME(13,9,0)</f>
        <v>0.54791666666666672</v>
      </c>
      <c r="C5600" t="str">
        <f>'Inventory as of 12th Aug 2024'!A8</f>
        <v>eggs</v>
      </c>
      <c r="D5600">
        <v>5</v>
      </c>
      <c r="E5600" s="5">
        <f>Table4[[#This Row],[qty]]*(VLOOKUP(Table4[[#This Row],[item_sold]],Table1[],5,FALSE))</f>
        <v>100</v>
      </c>
      <c r="F5600" s="5">
        <f>(VLOOKUP(Table4[[#This Row],[item_sold]],Table1[],4,FALSE))*Table4[[#This Row],[qty]]</f>
        <v>71.666666666666671</v>
      </c>
      <c r="G5600">
        <f t="shared" si="885"/>
        <v>28.333333333333329</v>
      </c>
      <c r="H5600" t="s">
        <v>430</v>
      </c>
      <c r="I5600" t="s">
        <v>590</v>
      </c>
    </row>
    <row r="5601" spans="1:9" x14ac:dyDescent="0.25">
      <c r="A5601" s="1">
        <f t="shared" si="882"/>
        <v>45574</v>
      </c>
      <c r="B5601" s="31">
        <f>TIME(13,25,0)</f>
        <v>0.55902777777777779</v>
      </c>
      <c r="C5601" t="str">
        <f>'Inventory as of 12th Aug 2024'!A91</f>
        <v>Tomatoes</v>
      </c>
      <c r="D5601">
        <v>1</v>
      </c>
      <c r="E5601" s="5">
        <f>Table4[[#This Row],[qty]]*(VLOOKUP(Table4[[#This Row],[item_sold]],Table1[],5,FALSE))</f>
        <v>10</v>
      </c>
      <c r="F5601" s="5">
        <f>(VLOOKUP(Table4[[#This Row],[item_sold]],Table1[],4,FALSE))*Table4[[#This Row],[qty]]</f>
        <v>5</v>
      </c>
      <c r="G5601">
        <f t="shared" si="885"/>
        <v>5</v>
      </c>
      <c r="H5601" t="s">
        <v>247</v>
      </c>
    </row>
    <row r="5602" spans="1:9" x14ac:dyDescent="0.25">
      <c r="A5602" s="1">
        <f t="shared" si="882"/>
        <v>45574</v>
      </c>
      <c r="B5602" s="31">
        <f t="shared" ref="B5602:B5604" si="891">TIME(13,25,0)</f>
        <v>0.55902777777777779</v>
      </c>
      <c r="C5602" t="str">
        <f>'Inventory as of 12th Aug 2024'!A212</f>
        <v>soda 300ml glass</v>
      </c>
      <c r="D5602">
        <v>1</v>
      </c>
      <c r="E5602" s="5">
        <f>Table4[[#This Row],[qty]]*(VLOOKUP(Table4[[#This Row],[item_sold]],Table1[],5,FALSE))</f>
        <v>40</v>
      </c>
      <c r="F5602" s="5">
        <f>(VLOOKUP(Table4[[#This Row],[item_sold]],Table1[],4,FALSE))*Table4[[#This Row],[qty]]</f>
        <v>32.5</v>
      </c>
      <c r="G5602">
        <f t="shared" si="885"/>
        <v>7.5</v>
      </c>
      <c r="H5602" t="s">
        <v>247</v>
      </c>
    </row>
    <row r="5603" spans="1:9" x14ac:dyDescent="0.25">
      <c r="A5603" s="1">
        <f t="shared" si="882"/>
        <v>45574</v>
      </c>
      <c r="B5603" s="31">
        <f t="shared" si="891"/>
        <v>0.55902777777777779</v>
      </c>
      <c r="C5603" t="str">
        <f>'Inventory as of 12th Aug 2024'!A175</f>
        <v>Coconut Cakes</v>
      </c>
      <c r="D5603">
        <v>1</v>
      </c>
      <c r="E5603" s="5">
        <f>Table4[[#This Row],[qty]]*(VLOOKUP(Table4[[#This Row],[item_sold]],Table1[],5,FALSE))</f>
        <v>10</v>
      </c>
      <c r="F5603" s="5">
        <f>(VLOOKUP(Table4[[#This Row],[item_sold]],Table1[],4,FALSE))*Table4[[#This Row],[qty]]</f>
        <v>8.3333333333333339</v>
      </c>
      <c r="G5603">
        <f t="shared" si="885"/>
        <v>1.6666666666666661</v>
      </c>
      <c r="H5603" t="s">
        <v>247</v>
      </c>
    </row>
    <row r="5604" spans="1:9" x14ac:dyDescent="0.25">
      <c r="A5604" s="1">
        <f t="shared" si="882"/>
        <v>45574</v>
      </c>
      <c r="B5604" s="31">
        <f t="shared" si="891"/>
        <v>0.55902777777777779</v>
      </c>
      <c r="C5604" t="str">
        <f>'Inventory as of 12th Aug 2024'!A191</f>
        <v>Nuvita Bisquit</v>
      </c>
      <c r="D5604">
        <v>2</v>
      </c>
      <c r="E5604" s="5">
        <f>Table4[[#This Row],[qty]]*(VLOOKUP(Table4[[#This Row],[item_sold]],Table1[],5,FALSE))</f>
        <v>10</v>
      </c>
      <c r="F5604" s="5">
        <f>(VLOOKUP(Table4[[#This Row],[item_sold]],Table1[],4,FALSE))*Table4[[#This Row],[qty]]</f>
        <v>8.3333333333333339</v>
      </c>
      <c r="G5604">
        <f t="shared" si="885"/>
        <v>1.6666666666666661</v>
      </c>
      <c r="H5604" t="s">
        <v>247</v>
      </c>
    </row>
    <row r="5605" spans="1:9" x14ac:dyDescent="0.25">
      <c r="A5605" s="1">
        <f t="shared" si="882"/>
        <v>45574</v>
      </c>
      <c r="B5605" s="31">
        <f>TIME(13,34,0)</f>
        <v>0.56527777777777777</v>
      </c>
      <c r="C5605" t="str">
        <f>'Inventory as of 12th Aug 2024'!A58</f>
        <v>Safari</v>
      </c>
      <c r="D5605">
        <v>1</v>
      </c>
      <c r="E5605" s="5">
        <f>Table4[[#This Row],[qty]]*(VLOOKUP(Table4[[#This Row],[item_sold]],Table1[],5,FALSE))</f>
        <v>15</v>
      </c>
      <c r="F5605" s="5">
        <f>(VLOOKUP(Table4[[#This Row],[item_sold]],Table1[],4,FALSE))*Table4[[#This Row],[qty]]</f>
        <v>8.5</v>
      </c>
      <c r="G5605">
        <f t="shared" si="885"/>
        <v>6.5</v>
      </c>
      <c r="H5605" t="s">
        <v>247</v>
      </c>
    </row>
    <row r="5606" spans="1:9" x14ac:dyDescent="0.25">
      <c r="A5606" s="1">
        <f t="shared" si="882"/>
        <v>45574</v>
      </c>
      <c r="B5606" s="31">
        <f>TIME(13,38,0)</f>
        <v>0.56805555555555554</v>
      </c>
      <c r="C5606" t="str">
        <f>'Inventory as of 12th Aug 2024'!A46</f>
        <v>Tukuza 1kg</v>
      </c>
      <c r="D5606">
        <v>1</v>
      </c>
      <c r="E5606" s="5">
        <f>Table4[[#This Row],[qty]]*(VLOOKUP(Table4[[#This Row],[item_sold]],Table1[],5,FALSE))</f>
        <v>90</v>
      </c>
      <c r="F5606" s="5">
        <f>(VLOOKUP(Table4[[#This Row],[item_sold]],Table1[],4,FALSE))*Table4[[#This Row],[qty]]</f>
        <v>61.25</v>
      </c>
      <c r="G5606">
        <f t="shared" si="885"/>
        <v>28.75</v>
      </c>
      <c r="H5606" t="s">
        <v>361</v>
      </c>
    </row>
    <row r="5607" spans="1:9" x14ac:dyDescent="0.25">
      <c r="A5607" s="1">
        <f t="shared" si="882"/>
        <v>45574</v>
      </c>
      <c r="B5607" s="31">
        <f>TIME(14,4,0)</f>
        <v>0.58611111111111114</v>
      </c>
      <c r="C5607" t="str">
        <f>'Inventory as of 12th Aug 2024'!A8</f>
        <v>eggs</v>
      </c>
      <c r="D5607">
        <v>2</v>
      </c>
      <c r="E5607" s="5">
        <f>Table4[[#This Row],[qty]]*(VLOOKUP(Table4[[#This Row],[item_sold]],Table1[],5,FALSE))</f>
        <v>40</v>
      </c>
      <c r="F5607" s="5">
        <f>(VLOOKUP(Table4[[#This Row],[item_sold]],Table1[],4,FALSE))*Table4[[#This Row],[qty]]</f>
        <v>28.666666666666668</v>
      </c>
      <c r="G5607">
        <f t="shared" si="885"/>
        <v>11.333333333333332</v>
      </c>
      <c r="H5607" s="25" t="s">
        <v>247</v>
      </c>
    </row>
    <row r="5608" spans="1:9" x14ac:dyDescent="0.25">
      <c r="A5608" s="1">
        <f t="shared" si="882"/>
        <v>45574</v>
      </c>
      <c r="B5608" s="31">
        <f t="shared" ref="B5608" si="892">TIME(14,4,0)</f>
        <v>0.58611111111111114</v>
      </c>
      <c r="C5608" t="str">
        <f>'Inventory as of 12th Aug 2024'!A75</f>
        <v>Cooking Oil Measured</v>
      </c>
      <c r="D5608">
        <v>0.25</v>
      </c>
      <c r="E5608" s="5">
        <f>Table4[[#This Row],[qty]]*(VLOOKUP(Table4[[#This Row],[item_sold]],Table1[],5,FALSE))</f>
        <v>70</v>
      </c>
      <c r="F5608" s="5">
        <f>(VLOOKUP(Table4[[#This Row],[item_sold]],Table1[],4,FALSE))*Table4[[#This Row],[qty]]</f>
        <v>50</v>
      </c>
      <c r="G5608">
        <f t="shared" si="885"/>
        <v>20</v>
      </c>
      <c r="H5608" t="s">
        <v>247</v>
      </c>
    </row>
    <row r="5609" spans="1:9" x14ac:dyDescent="0.25">
      <c r="A5609" s="1">
        <f t="shared" si="882"/>
        <v>45574</v>
      </c>
      <c r="B5609" s="31">
        <f>TIME(14,6,0)</f>
        <v>0.58750000000000002</v>
      </c>
      <c r="C5609" t="str">
        <f>'Inventory as of 12th Aug 2024'!A46</f>
        <v>Tukuza 1kg</v>
      </c>
      <c r="D5609">
        <v>1</v>
      </c>
      <c r="E5609" s="5">
        <f>Table4[[#This Row],[qty]]*(VLOOKUP(Table4[[#This Row],[item_sold]],Table1[],5,FALSE))</f>
        <v>90</v>
      </c>
      <c r="F5609" s="5">
        <f>(VLOOKUP(Table4[[#This Row],[item_sold]],Table1[],4,FALSE))*Table4[[#This Row],[qty]]</f>
        <v>61.25</v>
      </c>
      <c r="G5609">
        <f t="shared" si="885"/>
        <v>28.75</v>
      </c>
      <c r="H5609" t="s">
        <v>247</v>
      </c>
    </row>
    <row r="5610" spans="1:9" x14ac:dyDescent="0.25">
      <c r="A5610" s="1">
        <f t="shared" si="882"/>
        <v>45574</v>
      </c>
      <c r="B5610" s="31">
        <f>TIME(14,32,0)</f>
        <v>0.60555555555555551</v>
      </c>
      <c r="C5610" t="str">
        <f>'Inventory as of 12th Aug 2024'!A49</f>
        <v>Ndengu</v>
      </c>
      <c r="D5610">
        <v>0.5</v>
      </c>
      <c r="E5610" s="5">
        <f>Table4[[#This Row],[qty]]*(VLOOKUP(Table4[[#This Row],[item_sold]],Table1[],5,FALSE))</f>
        <v>80</v>
      </c>
      <c r="F5610" s="5">
        <f>(VLOOKUP(Table4[[#This Row],[item_sold]],Table1[],4,FALSE))*Table4[[#This Row],[qty]]</f>
        <v>60</v>
      </c>
      <c r="G5610">
        <f t="shared" si="885"/>
        <v>20</v>
      </c>
      <c r="H5610" t="s">
        <v>361</v>
      </c>
    </row>
    <row r="5611" spans="1:9" x14ac:dyDescent="0.25">
      <c r="A5611" s="1">
        <f t="shared" si="882"/>
        <v>45574</v>
      </c>
      <c r="B5611" s="31">
        <f t="shared" ref="B5611" si="893">TIME(14,32,0)</f>
        <v>0.60555555555555551</v>
      </c>
      <c r="C5611" t="str">
        <f>'Inventory as of 12th Aug 2024'!A33</f>
        <v>BB Bread 400g</v>
      </c>
      <c r="D5611">
        <v>2</v>
      </c>
      <c r="E5611" s="5">
        <f>Table4[[#This Row],[qty]]*(VLOOKUP(Table4[[#This Row],[item_sold]],Table1[],5,FALSE))</f>
        <v>130</v>
      </c>
      <c r="F5611" s="5">
        <f>(VLOOKUP(Table4[[#This Row],[item_sold]],Table1[],4,FALSE))*Table4[[#This Row],[qty]]</f>
        <v>120</v>
      </c>
      <c r="G5611">
        <f t="shared" si="885"/>
        <v>10</v>
      </c>
      <c r="H5611" t="s">
        <v>361</v>
      </c>
    </row>
    <row r="5612" spans="1:9" x14ac:dyDescent="0.25">
      <c r="A5612" s="1">
        <f t="shared" si="882"/>
        <v>45574</v>
      </c>
      <c r="B5612" s="31">
        <f>TIME(14,53,0)</f>
        <v>0.62013888888888891</v>
      </c>
      <c r="C5612" t="str">
        <f>'Inventory as of 12th Aug 2024'!A83</f>
        <v>omo 75g</v>
      </c>
      <c r="D5612">
        <v>2</v>
      </c>
      <c r="E5612" s="5">
        <f>Table4[[#This Row],[qty]]*(VLOOKUP(Table4[[#This Row],[item_sold]],Table1[],5,FALSE))</f>
        <v>70</v>
      </c>
      <c r="F5612" s="5">
        <f>(VLOOKUP(Table4[[#This Row],[item_sold]],Table1[],4,FALSE))*Table4[[#This Row],[qty]]</f>
        <v>55</v>
      </c>
      <c r="G5612">
        <f t="shared" si="885"/>
        <v>15</v>
      </c>
      <c r="H5612" t="s">
        <v>247</v>
      </c>
    </row>
    <row r="5613" spans="1:9" x14ac:dyDescent="0.25">
      <c r="A5613" s="1">
        <f t="shared" si="882"/>
        <v>45574</v>
      </c>
      <c r="B5613" s="31">
        <f t="shared" ref="B5613" si="894">TIME(14,53,0)</f>
        <v>0.62013888888888891</v>
      </c>
      <c r="C5613" t="str">
        <f>'Inventory as of 12th Aug 2024'!A17</f>
        <v>Brookside milk 500ml</v>
      </c>
      <c r="D5613">
        <v>1</v>
      </c>
      <c r="E5613" s="5">
        <f>Table4[[#This Row],[qty]]*(VLOOKUP(Table4[[#This Row],[item_sold]],Table1[],5,FALSE))</f>
        <v>70</v>
      </c>
      <c r="F5613" s="5">
        <f>(VLOOKUP(Table4[[#This Row],[item_sold]],Table1[],4,FALSE))*Table4[[#This Row],[qty]]</f>
        <v>59</v>
      </c>
      <c r="G5613">
        <f t="shared" si="885"/>
        <v>11</v>
      </c>
      <c r="H5613" t="s">
        <v>247</v>
      </c>
    </row>
    <row r="5614" spans="1:9" x14ac:dyDescent="0.25">
      <c r="A5614" s="1">
        <f t="shared" si="882"/>
        <v>45574</v>
      </c>
      <c r="B5614" s="31">
        <f>TIME(17,7,0)</f>
        <v>0.71319444444444446</v>
      </c>
      <c r="C5614" t="str">
        <f>'Inventory as of 12th Aug 2024'!A8</f>
        <v>eggs</v>
      </c>
      <c r="D5614">
        <v>4</v>
      </c>
      <c r="E5614" s="5">
        <f>Table4[[#This Row],[qty]]*(VLOOKUP(Table4[[#This Row],[item_sold]],Table1[],5,FALSE))</f>
        <v>80</v>
      </c>
      <c r="F5614" s="5">
        <f>(VLOOKUP(Table4[[#This Row],[item_sold]],Table1[],4,FALSE))*Table4[[#This Row],[qty]]</f>
        <v>57.333333333333336</v>
      </c>
      <c r="G5614">
        <f t="shared" si="885"/>
        <v>22.666666666666664</v>
      </c>
      <c r="H5614" t="s">
        <v>361</v>
      </c>
    </row>
    <row r="5615" spans="1:9" x14ac:dyDescent="0.25">
      <c r="A5615" s="1">
        <f t="shared" si="882"/>
        <v>45574</v>
      </c>
      <c r="B5615" s="31">
        <f t="shared" ref="B5615" si="895">TIME(17,7,0)</f>
        <v>0.71319444444444446</v>
      </c>
      <c r="C5615" t="str">
        <f>'Inventory as of 12th Aug 2024'!A12</f>
        <v>Kienyeji  Eggs</v>
      </c>
      <c r="D5615">
        <v>4</v>
      </c>
      <c r="E5615" s="5">
        <f>Table4[[#This Row],[qty]]*(VLOOKUP(Table4[[#This Row],[item_sold]],Table1[],5,FALSE))</f>
        <v>120</v>
      </c>
      <c r="F5615" s="5">
        <f>(VLOOKUP(Table4[[#This Row],[item_sold]],Table1[],4,FALSE))*Table4[[#This Row],[qty]]</f>
        <v>80</v>
      </c>
      <c r="G5615">
        <f t="shared" si="885"/>
        <v>40</v>
      </c>
      <c r="H5615" t="s">
        <v>361</v>
      </c>
    </row>
    <row r="5616" spans="1:9" x14ac:dyDescent="0.25">
      <c r="A5616" s="1">
        <f t="shared" si="882"/>
        <v>45574</v>
      </c>
      <c r="B5616" s="31">
        <f>TIME(18,3,0)</f>
        <v>0.75208333333333333</v>
      </c>
      <c r="C5616" t="str">
        <f>'Inventory as of 12th Aug 2024'!A10</f>
        <v>Mt Kenya milk 200ml</v>
      </c>
      <c r="D5616">
        <v>1</v>
      </c>
      <c r="E5616" s="5">
        <f>Table4[[#This Row],[qty]]*(VLOOKUP(Table4[[#This Row],[item_sold]],Table1[],5,FALSE))</f>
        <v>35</v>
      </c>
      <c r="F5616" s="5">
        <f>(VLOOKUP(Table4[[#This Row],[item_sold]],Table1[],4,FALSE))*Table4[[#This Row],[qty]]</f>
        <v>24.285714285714285</v>
      </c>
      <c r="G5616">
        <f t="shared" si="885"/>
        <v>10.714285714285715</v>
      </c>
      <c r="H5616" t="s">
        <v>430</v>
      </c>
      <c r="I5616" t="s">
        <v>385</v>
      </c>
    </row>
    <row r="5617" spans="1:12" x14ac:dyDescent="0.25">
      <c r="A5617" s="1">
        <f t="shared" si="882"/>
        <v>45574</v>
      </c>
      <c r="B5617" s="31">
        <f>TIME(18,3,0)</f>
        <v>0.75208333333333333</v>
      </c>
      <c r="C5617" t="str">
        <f>'Inventory as of 12th Aug 2024'!A199</f>
        <v>Kdf</v>
      </c>
      <c r="D5617">
        <v>3</v>
      </c>
      <c r="E5617" s="5">
        <f>Table4[[#This Row],[qty]]*(VLOOKUP(Table4[[#This Row],[item_sold]],Table1[],5,FALSE))</f>
        <v>30</v>
      </c>
      <c r="F5617" s="5">
        <f>(VLOOKUP(Table4[[#This Row],[item_sold]],Table1[],4,FALSE))*Table4[[#This Row],[qty]]</f>
        <v>25</v>
      </c>
      <c r="G5617">
        <f t="shared" si="885"/>
        <v>5</v>
      </c>
      <c r="H5617" t="s">
        <v>430</v>
      </c>
      <c r="I5617" t="s">
        <v>385</v>
      </c>
    </row>
    <row r="5618" spans="1:12" x14ac:dyDescent="0.25">
      <c r="A5618" s="1">
        <f t="shared" si="882"/>
        <v>45574</v>
      </c>
      <c r="B5618" s="31">
        <f>TIME(18,9,0)</f>
        <v>0.75624999999999998</v>
      </c>
      <c r="C5618" t="str">
        <f>'Inventory as of 12th Aug 2024'!A242</f>
        <v>Icepop</v>
      </c>
      <c r="D5618">
        <v>1</v>
      </c>
      <c r="E5618" s="5">
        <f>Table4[[#This Row],[qty]]*(VLOOKUP(Table4[[#This Row],[item_sold]],Table1[],5,FALSE))</f>
        <v>15</v>
      </c>
      <c r="F5618" s="5">
        <f>(VLOOKUP(Table4[[#This Row],[item_sold]],Table1[],4,FALSE))*Table4[[#This Row],[qty]]</f>
        <v>7.5</v>
      </c>
      <c r="G5618">
        <f t="shared" si="885"/>
        <v>7.5</v>
      </c>
      <c r="H5618" t="s">
        <v>247</v>
      </c>
      <c r="J5618" t="s">
        <v>590</v>
      </c>
      <c r="K5618">
        <v>265</v>
      </c>
      <c r="L5618" t="s">
        <v>247</v>
      </c>
    </row>
    <row r="5619" spans="1:12" x14ac:dyDescent="0.25">
      <c r="A5619" s="1">
        <f t="shared" si="882"/>
        <v>45574</v>
      </c>
      <c r="B5619" s="31">
        <f t="shared" ref="B5619" si="896">TIME(13,34,0)</f>
        <v>0.56527777777777777</v>
      </c>
      <c r="C5619" t="str">
        <f>'Inventory as of 12th Aug 2024'!A193</f>
        <v>Ginger Bisquit</v>
      </c>
      <c r="D5619">
        <v>1</v>
      </c>
      <c r="E5619" s="5">
        <f>Table4[[#This Row],[qty]]*(VLOOKUP(Table4[[#This Row],[item_sold]],Table1[],5,FALSE))</f>
        <v>5</v>
      </c>
      <c r="F5619" s="5">
        <f>(VLOOKUP(Table4[[#This Row],[item_sold]],Table1[],4,FALSE))*Table4[[#This Row],[qty]]</f>
        <v>4.333333333333333</v>
      </c>
      <c r="G5619">
        <f t="shared" si="885"/>
        <v>0.66666666666666696</v>
      </c>
      <c r="H5619" t="s">
        <v>247</v>
      </c>
    </row>
    <row r="5620" spans="1:12" x14ac:dyDescent="0.25">
      <c r="A5620" s="1">
        <f t="shared" si="882"/>
        <v>45574</v>
      </c>
      <c r="B5620" s="31">
        <f>TIME(18,17,0)</f>
        <v>0.76180555555555562</v>
      </c>
      <c r="C5620" t="str">
        <f>'Inventory as of 12th Aug 2024'!A33</f>
        <v>BB Bread 400g</v>
      </c>
      <c r="D5620">
        <v>1</v>
      </c>
      <c r="E5620" s="5">
        <f>Table4[[#This Row],[qty]]*(VLOOKUP(Table4[[#This Row],[item_sold]],Table1[],5,FALSE))</f>
        <v>65</v>
      </c>
      <c r="F5620" s="5">
        <f>(VLOOKUP(Table4[[#This Row],[item_sold]],Table1[],4,FALSE))*Table4[[#This Row],[qty]]</f>
        <v>60</v>
      </c>
      <c r="G5620">
        <f t="shared" si="885"/>
        <v>5</v>
      </c>
      <c r="H5620" s="25"/>
      <c r="I5620" t="s">
        <v>595</v>
      </c>
    </row>
    <row r="5621" spans="1:12" x14ac:dyDescent="0.25">
      <c r="A5621" s="1">
        <f t="shared" si="882"/>
        <v>45574</v>
      </c>
      <c r="B5621" s="31">
        <f>TIME(18,22,0)</f>
        <v>0.76527777777777783</v>
      </c>
      <c r="C5621" t="str">
        <f>'Inventory as of 12th Aug 2024'!A149</f>
        <v>Arimis small</v>
      </c>
      <c r="D5621">
        <v>1</v>
      </c>
      <c r="E5621" s="5">
        <f>Table4[[#This Row],[qty]]*(VLOOKUP(Table4[[#This Row],[item_sold]],Table1[],5,FALSE))</f>
        <v>35</v>
      </c>
      <c r="F5621" s="5">
        <f>(VLOOKUP(Table4[[#This Row],[item_sold]],Table1[],4,FALSE))*Table4[[#This Row],[qty]]</f>
        <v>23.333333333333332</v>
      </c>
      <c r="G5621">
        <f t="shared" si="885"/>
        <v>11.666666666666668</v>
      </c>
      <c r="H5621" t="s">
        <v>361</v>
      </c>
    </row>
    <row r="5622" spans="1:12" x14ac:dyDescent="0.25">
      <c r="A5622" s="1">
        <f t="shared" si="882"/>
        <v>45574</v>
      </c>
      <c r="B5622" s="31">
        <f>TIME(18,27,0)</f>
        <v>0.76874999999999993</v>
      </c>
      <c r="C5622" t="str">
        <f>'Inventory as of 12th Aug 2024'!A199</f>
        <v>Kdf</v>
      </c>
      <c r="D5622">
        <v>1</v>
      </c>
      <c r="E5622" s="5">
        <f>Table4[[#This Row],[qty]]*(VLOOKUP(Table4[[#This Row],[item_sold]],Table1[],5,FALSE))</f>
        <v>10</v>
      </c>
      <c r="F5622" s="5">
        <f>(VLOOKUP(Table4[[#This Row],[item_sold]],Table1[],4,FALSE))*Table4[[#This Row],[qty]]</f>
        <v>8.3333333333333339</v>
      </c>
      <c r="G5622">
        <f t="shared" si="885"/>
        <v>1.6666666666666661</v>
      </c>
      <c r="H5622" t="s">
        <v>361</v>
      </c>
    </row>
    <row r="5623" spans="1:12" x14ac:dyDescent="0.25">
      <c r="A5623" s="1">
        <f t="shared" si="882"/>
        <v>45574</v>
      </c>
      <c r="B5623" s="31">
        <f>TIME(18,38,0)</f>
        <v>0.77638888888888891</v>
      </c>
      <c r="C5623" t="str">
        <f>'Inventory as of 12th Aug 2024'!A58</f>
        <v>Safari</v>
      </c>
      <c r="D5623">
        <v>4</v>
      </c>
      <c r="E5623" s="5">
        <f>Table4[[#This Row],[qty]]*(VLOOKUP(Table4[[#This Row],[item_sold]],Table1[],5,FALSE))</f>
        <v>60</v>
      </c>
      <c r="F5623" s="5">
        <f>(VLOOKUP(Table4[[#This Row],[item_sold]],Table1[],4,FALSE))*Table4[[#This Row],[qty]]</f>
        <v>34</v>
      </c>
      <c r="G5623">
        <f t="shared" si="885"/>
        <v>26</v>
      </c>
      <c r="H5623" t="s">
        <v>361</v>
      </c>
    </row>
    <row r="5624" spans="1:12" x14ac:dyDescent="0.25">
      <c r="A5624" s="1">
        <f t="shared" si="882"/>
        <v>45574</v>
      </c>
      <c r="B5624" s="31">
        <f>TIME(18,40,0)</f>
        <v>0.77777777777777779</v>
      </c>
      <c r="C5624" t="str">
        <f>'Inventory as of 12th Aug 2024'!A200</f>
        <v>Ngumu</v>
      </c>
      <c r="D5624">
        <v>4</v>
      </c>
      <c r="E5624" s="5">
        <f>Table4[[#This Row],[qty]]*(VLOOKUP(Table4[[#This Row],[item_sold]],Table1[],5,FALSE))</f>
        <v>40</v>
      </c>
      <c r="F5624" s="5">
        <f>(VLOOKUP(Table4[[#This Row],[item_sold]],Table1[],4,FALSE))*Table4[[#This Row],[qty]]</f>
        <v>33.333333333333336</v>
      </c>
      <c r="G5624">
        <f t="shared" si="885"/>
        <v>6.6666666666666643</v>
      </c>
      <c r="H5624" t="s">
        <v>361</v>
      </c>
    </row>
    <row r="5625" spans="1:12" x14ac:dyDescent="0.25">
      <c r="A5625" s="1">
        <f t="shared" si="882"/>
        <v>45574</v>
      </c>
      <c r="B5625" s="31">
        <f t="shared" ref="B5625:B5626" si="897">TIME(18,40,0)</f>
        <v>0.77777777777777779</v>
      </c>
      <c r="C5625" t="str">
        <f>'Inventory as of 12th Aug 2024'!A9</f>
        <v>Kinangop Fresh Milk 500ml</v>
      </c>
      <c r="D5625">
        <v>1</v>
      </c>
      <c r="E5625" s="5">
        <f>Table4[[#This Row],[qty]]*(VLOOKUP(Table4[[#This Row],[item_sold]],Table1[],5,FALSE))</f>
        <v>60</v>
      </c>
      <c r="F5625" s="5">
        <f>(VLOOKUP(Table4[[#This Row],[item_sold]],Table1[],4,FALSE))*Table4[[#This Row],[qty]]</f>
        <v>55</v>
      </c>
      <c r="G5625">
        <f t="shared" si="885"/>
        <v>5</v>
      </c>
      <c r="H5625" t="s">
        <v>247</v>
      </c>
    </row>
    <row r="5626" spans="1:12" x14ac:dyDescent="0.25">
      <c r="A5626" s="1">
        <f t="shared" si="882"/>
        <v>45574</v>
      </c>
      <c r="B5626" s="31">
        <f t="shared" si="897"/>
        <v>0.77777777777777779</v>
      </c>
      <c r="C5626" t="str">
        <f>'Inventory as of 12th Aug 2024'!A33</f>
        <v>BB Bread 400g</v>
      </c>
      <c r="D5626">
        <v>1</v>
      </c>
      <c r="E5626" s="5">
        <f>Table4[[#This Row],[qty]]*(VLOOKUP(Table4[[#This Row],[item_sold]],Table1[],5,FALSE))</f>
        <v>65</v>
      </c>
      <c r="F5626" s="5">
        <f>(VLOOKUP(Table4[[#This Row],[item_sold]],Table1[],4,FALSE))*Table4[[#This Row],[qty]]</f>
        <v>60</v>
      </c>
      <c r="G5626">
        <f t="shared" si="885"/>
        <v>5</v>
      </c>
      <c r="H5626" t="s">
        <v>247</v>
      </c>
    </row>
    <row r="5627" spans="1:12" x14ac:dyDescent="0.25">
      <c r="A5627" s="1">
        <f t="shared" si="882"/>
        <v>45574</v>
      </c>
      <c r="B5627" s="31">
        <f>TIME(18,49,0)</f>
        <v>0.78402777777777777</v>
      </c>
      <c r="C5627" t="str">
        <f>'Inventory as of 12th Aug 2024'!A16</f>
        <v>Mt kenya milk 500ml</v>
      </c>
      <c r="D5627">
        <v>1</v>
      </c>
      <c r="E5627" s="5">
        <f>Table4[[#This Row],[qty]]*(VLOOKUP(Table4[[#This Row],[item_sold]],Table1[],5,FALSE))</f>
        <v>65</v>
      </c>
      <c r="F5627" s="5">
        <f>(VLOOKUP(Table4[[#This Row],[item_sold]],Table1[],4,FALSE))*Table4[[#This Row],[qty]]</f>
        <v>48.333333333333336</v>
      </c>
      <c r="G5627">
        <f t="shared" si="885"/>
        <v>16.666666666666664</v>
      </c>
      <c r="H5627" t="s">
        <v>247</v>
      </c>
      <c r="J5627" t="s">
        <v>455</v>
      </c>
      <c r="K5627">
        <v>135</v>
      </c>
      <c r="L5627" t="s">
        <v>247</v>
      </c>
    </row>
    <row r="5628" spans="1:12" x14ac:dyDescent="0.25">
      <c r="A5628" s="1">
        <f t="shared" si="882"/>
        <v>45574</v>
      </c>
      <c r="B5628" s="31">
        <f>TIME(19,30,0)</f>
        <v>0.8125</v>
      </c>
      <c r="C5628" t="str">
        <f>'Inventory as of 12th Aug 2024'!A16</f>
        <v>Mt kenya milk 500ml</v>
      </c>
      <c r="D5628">
        <v>1</v>
      </c>
      <c r="E5628" s="5">
        <f>Table4[[#This Row],[qty]]*(VLOOKUP(Table4[[#This Row],[item_sold]],Table1[],5,FALSE))</f>
        <v>65</v>
      </c>
      <c r="F5628" s="5">
        <f>(VLOOKUP(Table4[[#This Row],[item_sold]],Table1[],4,FALSE))*Table4[[#This Row],[qty]]</f>
        <v>48.333333333333336</v>
      </c>
      <c r="G5628">
        <f t="shared" si="885"/>
        <v>16.666666666666664</v>
      </c>
      <c r="H5628" t="s">
        <v>430</v>
      </c>
      <c r="I5628" t="s">
        <v>390</v>
      </c>
    </row>
    <row r="5629" spans="1:12" x14ac:dyDescent="0.25">
      <c r="A5629" s="1">
        <f t="shared" si="882"/>
        <v>45574</v>
      </c>
      <c r="B5629" s="31">
        <f>TIME(19,32,0)</f>
        <v>0.81388888888888899</v>
      </c>
      <c r="C5629" t="str">
        <f>'Inventory as of 12th Aug 2024'!A58</f>
        <v>Safari</v>
      </c>
      <c r="D5629">
        <v>1</v>
      </c>
      <c r="E5629" s="5">
        <f>Table4[[#This Row],[qty]]*(VLOOKUP(Table4[[#This Row],[item_sold]],Table1[],5,FALSE))</f>
        <v>15</v>
      </c>
      <c r="F5629" s="5">
        <f>(VLOOKUP(Table4[[#This Row],[item_sold]],Table1[],4,FALSE))*Table4[[#This Row],[qty]]</f>
        <v>8.5</v>
      </c>
      <c r="G5629">
        <f t="shared" si="885"/>
        <v>6.5</v>
      </c>
      <c r="H5629" t="s">
        <v>430</v>
      </c>
      <c r="I5629" t="s">
        <v>447</v>
      </c>
      <c r="J5629" t="s">
        <v>447</v>
      </c>
      <c r="K5629">
        <v>10</v>
      </c>
      <c r="L5629" t="s">
        <v>247</v>
      </c>
    </row>
    <row r="5630" spans="1:12" x14ac:dyDescent="0.25">
      <c r="A5630" s="1">
        <f t="shared" si="882"/>
        <v>45574</v>
      </c>
      <c r="B5630" s="31">
        <f t="shared" ref="B5630" si="898">TIME(19,32,0)</f>
        <v>0.81388888888888899</v>
      </c>
      <c r="C5630" t="str">
        <f>'Inventory as of 12th Aug 2024'!A130</f>
        <v>Kaluma pain killer</v>
      </c>
      <c r="D5630">
        <v>1</v>
      </c>
      <c r="E5630" s="5">
        <f>Table4[[#This Row],[qty]]*(VLOOKUP(Table4[[#This Row],[item_sold]],Table1[],5,FALSE))</f>
        <v>10</v>
      </c>
      <c r="F5630" s="5">
        <f>(VLOOKUP(Table4[[#This Row],[item_sold]],Table1[],4,FALSE))*Table4[[#This Row],[qty]]</f>
        <v>7</v>
      </c>
      <c r="G5630">
        <f t="shared" si="885"/>
        <v>3</v>
      </c>
      <c r="H5630" t="s">
        <v>430</v>
      </c>
      <c r="I5630" t="s">
        <v>591</v>
      </c>
    </row>
    <row r="5631" spans="1:12" x14ac:dyDescent="0.25">
      <c r="A5631" s="1">
        <f t="shared" si="882"/>
        <v>45574</v>
      </c>
      <c r="B5631" s="31">
        <f>TIME(19,45,0)</f>
        <v>0.82291666666666663</v>
      </c>
      <c r="C5631" t="str">
        <f>'Inventory as of 12th Aug 2024'!A236</f>
        <v>Gomba</v>
      </c>
      <c r="D5631">
        <v>6</v>
      </c>
      <c r="E5631" s="5">
        <f>Table4[[#This Row],[qty]]*(VLOOKUP(Table4[[#This Row],[item_sold]],Table1[],5,FALSE))</f>
        <v>15</v>
      </c>
      <c r="F5631" s="5">
        <f>(VLOOKUP(Table4[[#This Row],[item_sold]],Table1[],4,FALSE))*Table4[[#This Row],[qty]]</f>
        <v>10.8</v>
      </c>
      <c r="G5631">
        <f t="shared" si="885"/>
        <v>4.1999999999999993</v>
      </c>
      <c r="H5631" t="s">
        <v>247</v>
      </c>
      <c r="J5631" t="s">
        <v>447</v>
      </c>
      <c r="K5631">
        <v>20</v>
      </c>
      <c r="L5631" t="s">
        <v>247</v>
      </c>
    </row>
    <row r="5632" spans="1:12" x14ac:dyDescent="0.25">
      <c r="A5632" s="1">
        <f t="shared" si="882"/>
        <v>45574</v>
      </c>
      <c r="B5632" s="31">
        <f t="shared" ref="B5632" si="899">TIME(19,45,0)</f>
        <v>0.82291666666666663</v>
      </c>
      <c r="C5632" t="str">
        <f>'Inventory as of 12th Aug 2024'!A187</f>
        <v>Njugu</v>
      </c>
      <c r="D5632">
        <v>1</v>
      </c>
      <c r="E5632" s="5">
        <f>Table4[[#This Row],[qty]]*(VLOOKUP(Table4[[#This Row],[item_sold]],Table1[],5,FALSE))</f>
        <v>20</v>
      </c>
      <c r="F5632" s="5">
        <f>(VLOOKUP(Table4[[#This Row],[item_sold]],Table1[],4,FALSE))*Table4[[#This Row],[qty]]</f>
        <v>10.666666666666666</v>
      </c>
      <c r="G5632">
        <f t="shared" si="885"/>
        <v>9.3333333333333339</v>
      </c>
      <c r="H5632" t="s">
        <v>247</v>
      </c>
    </row>
    <row r="5633" spans="1:12" x14ac:dyDescent="0.25">
      <c r="A5633" s="1">
        <f t="shared" si="882"/>
        <v>45574</v>
      </c>
      <c r="B5633" s="31">
        <f>TIME(19,57,0)</f>
        <v>0.83124999999999993</v>
      </c>
      <c r="C5633" t="str">
        <f>'Inventory as of 12th Aug 2024'!A153</f>
        <v>mosquito stick</v>
      </c>
      <c r="D5633">
        <v>2</v>
      </c>
      <c r="E5633" s="5">
        <f>Table4[[#This Row],[qty]]*(VLOOKUP(Table4[[#This Row],[item_sold]],Table1[],5,FALSE))</f>
        <v>20</v>
      </c>
      <c r="F5633" s="5">
        <f>(VLOOKUP(Table4[[#This Row],[item_sold]],Table1[],4,FALSE))*Table4[[#This Row],[qty]]</f>
        <v>18</v>
      </c>
      <c r="G5633">
        <f t="shared" si="885"/>
        <v>2</v>
      </c>
      <c r="H5633" t="s">
        <v>361</v>
      </c>
    </row>
    <row r="5634" spans="1:12" x14ac:dyDescent="0.25">
      <c r="A5634" s="1">
        <f t="shared" si="882"/>
        <v>45574</v>
      </c>
      <c r="B5634" s="31">
        <f t="shared" ref="B5634:B5635" si="900">TIME(19,57,0)</f>
        <v>0.83124999999999993</v>
      </c>
      <c r="C5634" t="str">
        <f>'Inventory as of 12th Aug 2024'!A81</f>
        <v>ariel 75g</v>
      </c>
      <c r="D5634">
        <v>2</v>
      </c>
      <c r="E5634" s="5">
        <f>Table4[[#This Row],[qty]]*(VLOOKUP(Table4[[#This Row],[item_sold]],Table1[],5,FALSE))</f>
        <v>70</v>
      </c>
      <c r="F5634" s="5">
        <f>(VLOOKUP(Table4[[#This Row],[item_sold]],Table1[],4,FALSE))*Table4[[#This Row],[qty]]</f>
        <v>55</v>
      </c>
      <c r="G5634">
        <f t="shared" si="885"/>
        <v>15</v>
      </c>
      <c r="H5634" t="s">
        <v>361</v>
      </c>
    </row>
    <row r="5635" spans="1:12" x14ac:dyDescent="0.25">
      <c r="A5635" s="1">
        <f t="shared" si="882"/>
        <v>45574</v>
      </c>
      <c r="B5635" s="31">
        <f t="shared" si="900"/>
        <v>0.83124999999999993</v>
      </c>
      <c r="C5635" t="str">
        <f>'Inventory as of 12th Aug 2024'!A211</f>
        <v>predator</v>
      </c>
      <c r="D5635">
        <v>1</v>
      </c>
      <c r="E5635" s="5">
        <f>Table4[[#This Row],[qty]]*(VLOOKUP(Table4[[#This Row],[item_sold]],Table1[],5,FALSE))</f>
        <v>70</v>
      </c>
      <c r="F5635" s="5">
        <f>(VLOOKUP(Table4[[#This Row],[item_sold]],Table1[],4,FALSE))*Table4[[#This Row],[qty]]</f>
        <v>54.166666666666664</v>
      </c>
      <c r="G5635">
        <f t="shared" si="885"/>
        <v>15.833333333333336</v>
      </c>
      <c r="H5635" t="s">
        <v>361</v>
      </c>
    </row>
    <row r="5636" spans="1:12" x14ac:dyDescent="0.25">
      <c r="A5636" s="1">
        <f t="shared" si="882"/>
        <v>45574</v>
      </c>
      <c r="B5636" s="31">
        <f>TIME(18,27,0)</f>
        <v>0.76874999999999993</v>
      </c>
      <c r="C5636" t="str">
        <f>'Inventory as of 12th Aug 2024'!A127</f>
        <v>tumbocide</v>
      </c>
      <c r="D5636">
        <v>2</v>
      </c>
      <c r="E5636" s="5">
        <f>Table4[[#This Row],[qty]]*(VLOOKUP(Table4[[#This Row],[item_sold]],Table1[],5,FALSE))</f>
        <v>20</v>
      </c>
      <c r="F5636" s="5">
        <f>(VLOOKUP(Table4[[#This Row],[item_sold]],Table1[],4,FALSE))*Table4[[#This Row],[qty]]</f>
        <v>14</v>
      </c>
      <c r="G5636">
        <f t="shared" si="885"/>
        <v>6</v>
      </c>
      <c r="H5636" t="s">
        <v>430</v>
      </c>
      <c r="I5636" t="s">
        <v>450</v>
      </c>
    </row>
    <row r="5637" spans="1:12" x14ac:dyDescent="0.25">
      <c r="A5637" s="1">
        <f>DATE(2024,10,10)</f>
        <v>45575</v>
      </c>
      <c r="B5637" s="31">
        <f>TIME(8,9,0)</f>
        <v>0.33958333333333335</v>
      </c>
      <c r="C5637" t="str">
        <f>'Inventory as of 12th Aug 2024'!A244</f>
        <v>5ltrs water</v>
      </c>
      <c r="D5637">
        <v>1</v>
      </c>
      <c r="E5637" s="5">
        <f>Table4[[#This Row],[qty]]*(VLOOKUP(Table4[[#This Row],[item_sold]],Table1[],5,FALSE))</f>
        <v>120</v>
      </c>
      <c r="F5637" s="5">
        <f>(VLOOKUP(Table4[[#This Row],[item_sold]],Table1[],4,FALSE))*Table4[[#This Row],[qty]]</f>
        <v>75</v>
      </c>
      <c r="G5637">
        <f t="shared" si="885"/>
        <v>45</v>
      </c>
      <c r="H5637" t="s">
        <v>247</v>
      </c>
      <c r="J5637" t="s">
        <v>591</v>
      </c>
      <c r="K5637">
        <v>10</v>
      </c>
      <c r="L5637" t="s">
        <v>247</v>
      </c>
    </row>
    <row r="5638" spans="1:12" x14ac:dyDescent="0.25">
      <c r="A5638" s="1">
        <f t="shared" ref="A5638:A5701" si="901">DATE(2024,10,10)</f>
        <v>45575</v>
      </c>
      <c r="B5638" s="31">
        <f t="shared" ref="B5638:B5639" si="902">TIME(8,9,0)</f>
        <v>0.33958333333333335</v>
      </c>
      <c r="C5638" t="str">
        <f>'Inventory as of 12th Aug 2024'!A31</f>
        <v>Drinking Chocolate 20g</v>
      </c>
      <c r="D5638">
        <v>1</v>
      </c>
      <c r="E5638" s="5">
        <f>Table4[[#This Row],[qty]]*(VLOOKUP(Table4[[#This Row],[item_sold]],Table1[],5,FALSE))</f>
        <v>20</v>
      </c>
      <c r="F5638" s="5">
        <f>(VLOOKUP(Table4[[#This Row],[item_sold]],Table1[],4,FALSE))*Table4[[#This Row],[qty]]</f>
        <v>10.416666666666666</v>
      </c>
      <c r="G5638">
        <f t="shared" si="885"/>
        <v>9.5833333333333339</v>
      </c>
      <c r="H5638" t="s">
        <v>247</v>
      </c>
    </row>
    <row r="5639" spans="1:12" x14ac:dyDescent="0.25">
      <c r="A5639" s="1">
        <f t="shared" si="901"/>
        <v>45575</v>
      </c>
      <c r="B5639" s="31">
        <f t="shared" si="902"/>
        <v>0.33958333333333335</v>
      </c>
      <c r="C5639" t="str">
        <f>'Inventory as of 12th Aug 2024'!A58</f>
        <v>Safari</v>
      </c>
      <c r="D5639">
        <v>1</v>
      </c>
      <c r="E5639" s="5">
        <f>Table4[[#This Row],[qty]]*(VLOOKUP(Table4[[#This Row],[item_sold]],Table1[],5,FALSE))</f>
        <v>15</v>
      </c>
      <c r="F5639" s="5">
        <f>(VLOOKUP(Table4[[#This Row],[item_sold]],Table1[],4,FALSE))*Table4[[#This Row],[qty]]</f>
        <v>8.5</v>
      </c>
      <c r="G5639">
        <f t="shared" si="885"/>
        <v>6.5</v>
      </c>
      <c r="H5639" t="s">
        <v>430</v>
      </c>
      <c r="I5639" t="s">
        <v>447</v>
      </c>
      <c r="J5639" t="s">
        <v>447</v>
      </c>
      <c r="K5639">
        <v>10</v>
      </c>
      <c r="L5639" t="s">
        <v>247</v>
      </c>
    </row>
    <row r="5640" spans="1:12" x14ac:dyDescent="0.25">
      <c r="A5640" s="1">
        <f t="shared" si="901"/>
        <v>45575</v>
      </c>
      <c r="B5640" s="31">
        <f>TIME(8,11,0)</f>
        <v>0.34097222222222223</v>
      </c>
      <c r="C5640" t="str">
        <f>'Inventory as of 12th Aug 2024'!A33</f>
        <v>BB Bread 400g</v>
      </c>
      <c r="D5640">
        <v>1</v>
      </c>
      <c r="E5640" s="5">
        <f>Table4[[#This Row],[qty]]*(VLOOKUP(Table4[[#This Row],[item_sold]],Table1[],5,FALSE))</f>
        <v>65</v>
      </c>
      <c r="F5640" s="5">
        <f>(VLOOKUP(Table4[[#This Row],[item_sold]],Table1[],4,FALSE))*Table4[[#This Row],[qty]]</f>
        <v>60</v>
      </c>
      <c r="G5640">
        <f t="shared" si="885"/>
        <v>5</v>
      </c>
      <c r="H5640" t="s">
        <v>361</v>
      </c>
    </row>
    <row r="5641" spans="1:12" x14ac:dyDescent="0.25">
      <c r="A5641" s="1">
        <f t="shared" si="901"/>
        <v>45575</v>
      </c>
      <c r="B5641" s="31">
        <f>TIME(8,18,0)</f>
        <v>0.34583333333333338</v>
      </c>
      <c r="C5641" t="str">
        <f>'Inventory as of 12th Aug 2024'!A107</f>
        <v>Match Box</v>
      </c>
      <c r="D5641">
        <v>2</v>
      </c>
      <c r="E5641" s="5">
        <f>Table4[[#This Row],[qty]]*(VLOOKUP(Table4[[#This Row],[item_sold]],Table1[],5,FALSE))</f>
        <v>10</v>
      </c>
      <c r="F5641" s="5">
        <f>(VLOOKUP(Table4[[#This Row],[item_sold]],Table1[],4,FALSE))*Table4[[#This Row],[qty]]</f>
        <v>4.7222222222222223</v>
      </c>
      <c r="G5641">
        <f t="shared" si="885"/>
        <v>5.2777777777777777</v>
      </c>
      <c r="H5641" t="s">
        <v>247</v>
      </c>
    </row>
    <row r="5642" spans="1:12" x14ac:dyDescent="0.25">
      <c r="A5642" s="1">
        <f t="shared" si="901"/>
        <v>45575</v>
      </c>
      <c r="B5642" s="31">
        <f>TIME(8,25,0)</f>
        <v>0.35069444444444442</v>
      </c>
      <c r="C5642" t="str">
        <f>'Inventory as of 12th Aug 2024'!A57</f>
        <v>Sportsman</v>
      </c>
      <c r="D5642">
        <v>1</v>
      </c>
      <c r="E5642" s="5">
        <f>Table4[[#This Row],[qty]]*(VLOOKUP(Table4[[#This Row],[item_sold]],Table1[],5,FALSE))</f>
        <v>20</v>
      </c>
      <c r="F5642" s="5">
        <f>(VLOOKUP(Table4[[#This Row],[item_sold]],Table1[],4,FALSE))*Table4[[#This Row],[qty]]</f>
        <v>13</v>
      </c>
      <c r="G5642">
        <f t="shared" si="885"/>
        <v>7</v>
      </c>
      <c r="H5642" t="s">
        <v>361</v>
      </c>
      <c r="J5642" t="s">
        <v>406</v>
      </c>
      <c r="K5642">
        <v>390</v>
      </c>
      <c r="L5642" t="s">
        <v>361</v>
      </c>
    </row>
    <row r="5643" spans="1:12" x14ac:dyDescent="0.25">
      <c r="A5643" s="1">
        <f t="shared" si="901"/>
        <v>45575</v>
      </c>
      <c r="B5643" s="31">
        <f>TIME(8,31,0)</f>
        <v>0.35486111111111113</v>
      </c>
      <c r="C5643" t="str">
        <f>'Inventory as of 12th Aug 2024'!A58</f>
        <v>Safari</v>
      </c>
      <c r="D5643">
        <v>3</v>
      </c>
      <c r="E5643" s="5">
        <f>Table4[[#This Row],[qty]]*(VLOOKUP(Table4[[#This Row],[item_sold]],Table1[],5,FALSE))</f>
        <v>45</v>
      </c>
      <c r="F5643" s="5">
        <f>(VLOOKUP(Table4[[#This Row],[item_sold]],Table1[],4,FALSE))*Table4[[#This Row],[qty]]</f>
        <v>25.5</v>
      </c>
      <c r="G5643">
        <f t="shared" si="885"/>
        <v>19.5</v>
      </c>
      <c r="H5643" t="s">
        <v>361</v>
      </c>
    </row>
    <row r="5644" spans="1:12" x14ac:dyDescent="0.25">
      <c r="A5644" s="1">
        <f t="shared" si="901"/>
        <v>45575</v>
      </c>
      <c r="B5644" s="31">
        <f>TIME(8,34,0)</f>
        <v>0.35694444444444445</v>
      </c>
      <c r="C5644" t="str">
        <f>'Inventory as of 12th Aug 2024'!A33</f>
        <v>BB Bread 400g</v>
      </c>
      <c r="D5644">
        <v>1</v>
      </c>
      <c r="E5644" s="5">
        <f>Table4[[#This Row],[qty]]*(VLOOKUP(Table4[[#This Row],[item_sold]],Table1[],5,FALSE))</f>
        <v>65</v>
      </c>
      <c r="F5644" s="5">
        <f>(VLOOKUP(Table4[[#This Row],[item_sold]],Table1[],4,FALSE))*Table4[[#This Row],[qty]]</f>
        <v>60</v>
      </c>
      <c r="G5644">
        <f t="shared" si="885"/>
        <v>5</v>
      </c>
      <c r="H5644" t="s">
        <v>361</v>
      </c>
    </row>
    <row r="5645" spans="1:12" x14ac:dyDescent="0.25">
      <c r="A5645" s="1">
        <f t="shared" si="901"/>
        <v>45575</v>
      </c>
      <c r="B5645" s="31">
        <f t="shared" ref="B5645" si="903">TIME(8,34,0)</f>
        <v>0.35694444444444445</v>
      </c>
      <c r="C5645" t="str">
        <f>'Inventory as of 12th Aug 2024'!A58</f>
        <v>Safari</v>
      </c>
      <c r="D5645">
        <v>1</v>
      </c>
      <c r="E5645" s="5">
        <f>Table4[[#This Row],[qty]]*(VLOOKUP(Table4[[#This Row],[item_sold]],Table1[],5,FALSE))</f>
        <v>15</v>
      </c>
      <c r="F5645" s="5">
        <f>(VLOOKUP(Table4[[#This Row],[item_sold]],Table1[],4,FALSE))*Table4[[#This Row],[qty]]</f>
        <v>8.5</v>
      </c>
      <c r="G5645">
        <f t="shared" si="885"/>
        <v>6.5</v>
      </c>
      <c r="H5645" t="s">
        <v>247</v>
      </c>
    </row>
    <row r="5646" spans="1:12" x14ac:dyDescent="0.25">
      <c r="A5646" s="1">
        <f t="shared" si="901"/>
        <v>45575</v>
      </c>
      <c r="B5646" s="31">
        <f>TIME(8,52,0)</f>
        <v>0.36944444444444446</v>
      </c>
      <c r="C5646" t="str">
        <f>'Inventory as of 12th Aug 2024'!A10</f>
        <v>Mt Kenya milk 200ml</v>
      </c>
      <c r="D5646">
        <v>1</v>
      </c>
      <c r="E5646" s="5">
        <f>Table4[[#This Row],[qty]]*(VLOOKUP(Table4[[#This Row],[item_sold]],Table1[],5,FALSE))</f>
        <v>35</v>
      </c>
      <c r="F5646" s="5">
        <f>(VLOOKUP(Table4[[#This Row],[item_sold]],Table1[],4,FALSE))*Table4[[#This Row],[qty]]</f>
        <v>24.285714285714285</v>
      </c>
      <c r="G5646">
        <f t="shared" si="885"/>
        <v>10.714285714285715</v>
      </c>
      <c r="H5646" t="s">
        <v>430</v>
      </c>
      <c r="I5646" t="s">
        <v>385</v>
      </c>
    </row>
    <row r="5647" spans="1:12" x14ac:dyDescent="0.25">
      <c r="A5647" s="1">
        <f t="shared" si="901"/>
        <v>45575</v>
      </c>
      <c r="B5647" s="31">
        <f>TIME(9,3,0)</f>
        <v>0.37708333333333338</v>
      </c>
      <c r="C5647" t="str">
        <f>'Inventory as of 12th Aug 2024'!A57</f>
        <v>Sportsman</v>
      </c>
      <c r="D5647">
        <v>1</v>
      </c>
      <c r="E5647" s="5">
        <f>Table4[[#This Row],[qty]]*(VLOOKUP(Table4[[#This Row],[item_sold]],Table1[],5,FALSE))</f>
        <v>20</v>
      </c>
      <c r="F5647" s="5">
        <f>(VLOOKUP(Table4[[#This Row],[item_sold]],Table1[],4,FALSE))*Table4[[#This Row],[qty]]</f>
        <v>13</v>
      </c>
      <c r="G5647">
        <f t="shared" si="885"/>
        <v>7</v>
      </c>
      <c r="H5647" t="s">
        <v>361</v>
      </c>
    </row>
    <row r="5648" spans="1:12" x14ac:dyDescent="0.25">
      <c r="A5648" s="1">
        <f t="shared" si="901"/>
        <v>45575</v>
      </c>
      <c r="B5648" s="31">
        <f>TIME(9,46,0)</f>
        <v>0.4069444444444445</v>
      </c>
      <c r="C5648" t="str">
        <f>'Inventory as of 12th Aug 2024'!A58</f>
        <v>Safari</v>
      </c>
      <c r="D5648">
        <v>1</v>
      </c>
      <c r="E5648" s="5">
        <f>Table4[[#This Row],[qty]]*(VLOOKUP(Table4[[#This Row],[item_sold]],Table1[],5,FALSE))</f>
        <v>15</v>
      </c>
      <c r="F5648" s="5">
        <f>(VLOOKUP(Table4[[#This Row],[item_sold]],Table1[],4,FALSE))*Table4[[#This Row],[qty]]</f>
        <v>8.5</v>
      </c>
      <c r="G5648">
        <f t="shared" si="885"/>
        <v>6.5</v>
      </c>
      <c r="H5648" t="s">
        <v>361</v>
      </c>
    </row>
    <row r="5649" spans="1:12" x14ac:dyDescent="0.25">
      <c r="A5649" s="1">
        <f t="shared" si="901"/>
        <v>45575</v>
      </c>
      <c r="B5649" s="31">
        <f>TIME(9,51,0)</f>
        <v>0.41041666666666665</v>
      </c>
      <c r="C5649" s="25"/>
      <c r="D5649">
        <v>1</v>
      </c>
      <c r="E5649" s="5" t="e">
        <f>Table4[[#This Row],[qty]]*(VLOOKUP(Table4[[#This Row],[item_sold]],Table1[],5,FALSE))</f>
        <v>#N/A</v>
      </c>
      <c r="F5649" s="5" t="e">
        <f>(VLOOKUP(Table4[[#This Row],[item_sold]],Table1[],4,FALSE))*Table4[[#This Row],[qty]]</f>
        <v>#N/A</v>
      </c>
      <c r="G5649" t="e">
        <f t="shared" si="885"/>
        <v>#N/A</v>
      </c>
      <c r="H5649" t="s">
        <v>247</v>
      </c>
    </row>
    <row r="5650" spans="1:12" x14ac:dyDescent="0.25">
      <c r="A5650" s="1">
        <f t="shared" si="901"/>
        <v>45575</v>
      </c>
      <c r="B5650" s="31">
        <f t="shared" ref="B5650:B5651" si="904">TIME(9,51,0)</f>
        <v>0.41041666666666665</v>
      </c>
      <c r="C5650" t="str">
        <f>'Inventory as of 12th Aug 2024'!A238</f>
        <v>Tropical</v>
      </c>
      <c r="D5650">
        <v>1</v>
      </c>
      <c r="E5650" s="5">
        <f>Table4[[#This Row],[qty]]*(VLOOKUP(Table4[[#This Row],[item_sold]],Table1[],5,FALSE))</f>
        <v>5</v>
      </c>
      <c r="F5650" s="5">
        <f>(VLOOKUP(Table4[[#This Row],[item_sold]],Table1[],4,FALSE))*Table4[[#This Row],[qty]]</f>
        <v>1.5</v>
      </c>
      <c r="G5650">
        <f t="shared" si="885"/>
        <v>3.5</v>
      </c>
      <c r="H5650" t="s">
        <v>247</v>
      </c>
    </row>
    <row r="5651" spans="1:12" x14ac:dyDescent="0.25">
      <c r="A5651" s="1">
        <f t="shared" si="901"/>
        <v>45575</v>
      </c>
      <c r="B5651" s="31">
        <f t="shared" si="904"/>
        <v>0.41041666666666665</v>
      </c>
      <c r="C5651" t="str">
        <f>'Inventory as of 12th Aug 2024'!A187</f>
        <v>Njugu</v>
      </c>
      <c r="D5651">
        <v>2</v>
      </c>
      <c r="E5651" s="5">
        <f>Table4[[#This Row],[qty]]*(VLOOKUP(Table4[[#This Row],[item_sold]],Table1[],5,FALSE))</f>
        <v>40</v>
      </c>
      <c r="F5651" s="5">
        <f>(VLOOKUP(Table4[[#This Row],[item_sold]],Table1[],4,FALSE))*Table4[[#This Row],[qty]]</f>
        <v>21.333333333333332</v>
      </c>
      <c r="G5651">
        <f t="shared" si="885"/>
        <v>18.666666666666668</v>
      </c>
      <c r="H5651" t="s">
        <v>247</v>
      </c>
    </row>
    <row r="5652" spans="1:12" x14ac:dyDescent="0.25">
      <c r="A5652" s="1">
        <f t="shared" si="901"/>
        <v>45575</v>
      </c>
      <c r="B5652" s="31">
        <f>TIME(9,55,0)</f>
        <v>0.41319444444444442</v>
      </c>
      <c r="C5652" t="str">
        <f>'Inventory as of 12th Aug 2024'!A33</f>
        <v>BB Bread 400g</v>
      </c>
      <c r="D5652">
        <v>1</v>
      </c>
      <c r="E5652" s="5">
        <f>Table4[[#This Row],[qty]]*(VLOOKUP(Table4[[#This Row],[item_sold]],Table1[],5,FALSE))</f>
        <v>65</v>
      </c>
      <c r="F5652" s="5">
        <f>(VLOOKUP(Table4[[#This Row],[item_sold]],Table1[],4,FALSE))*Table4[[#This Row],[qty]]</f>
        <v>60</v>
      </c>
      <c r="G5652">
        <f t="shared" ref="G5652:G5715" si="905">E5652-F5652</f>
        <v>5</v>
      </c>
      <c r="H5652" t="s">
        <v>430</v>
      </c>
      <c r="I5652" t="s">
        <v>455</v>
      </c>
    </row>
    <row r="5653" spans="1:12" x14ac:dyDescent="0.25">
      <c r="A5653" s="1">
        <f t="shared" si="901"/>
        <v>45575</v>
      </c>
      <c r="B5653" s="31">
        <f>TIME(10,9,0)</f>
        <v>0.42291666666666666</v>
      </c>
      <c r="C5653" t="str">
        <f>'Inventory as of 12th Aug 2024'!A109</f>
        <v>Lighter</v>
      </c>
      <c r="D5653">
        <v>1</v>
      </c>
      <c r="E5653" s="5">
        <f>Table4[[#This Row],[qty]]*(VLOOKUP(Table4[[#This Row],[item_sold]],Table1[],5,FALSE))</f>
        <v>30</v>
      </c>
      <c r="F5653" s="5">
        <f>(VLOOKUP(Table4[[#This Row],[item_sold]],Table1[],4,FALSE))*Table4[[#This Row],[qty]]</f>
        <v>15</v>
      </c>
      <c r="G5653">
        <f t="shared" si="905"/>
        <v>15</v>
      </c>
      <c r="H5653" t="s">
        <v>430</v>
      </c>
      <c r="I5653" t="s">
        <v>427</v>
      </c>
    </row>
    <row r="5654" spans="1:12" x14ac:dyDescent="0.25">
      <c r="A5654" s="1">
        <f t="shared" si="901"/>
        <v>45575</v>
      </c>
      <c r="B5654" s="31">
        <f>TIME(10,9,0)</f>
        <v>0.42291666666666666</v>
      </c>
      <c r="C5654" t="str">
        <f>'Inventory as of 12th Aug 2024'!A91</f>
        <v>Tomatoes</v>
      </c>
      <c r="D5654">
        <v>1</v>
      </c>
      <c r="E5654" s="5">
        <f>Table4[[#This Row],[qty]]*(VLOOKUP(Table4[[#This Row],[item_sold]],Table1[],5,FALSE))</f>
        <v>10</v>
      </c>
      <c r="F5654" s="5">
        <f>(VLOOKUP(Table4[[#This Row],[item_sold]],Table1[],4,FALSE))*Table4[[#This Row],[qty]]</f>
        <v>5</v>
      </c>
      <c r="G5654">
        <f t="shared" si="905"/>
        <v>5</v>
      </c>
      <c r="H5654" t="s">
        <v>430</v>
      </c>
      <c r="I5654" t="s">
        <v>427</v>
      </c>
    </row>
    <row r="5655" spans="1:12" x14ac:dyDescent="0.25">
      <c r="A5655" s="1">
        <f t="shared" si="901"/>
        <v>45575</v>
      </c>
      <c r="B5655" s="31">
        <f>TIME(10,16,0)</f>
        <v>0.42777777777777781</v>
      </c>
      <c r="C5655" t="str">
        <f>'Inventory as of 12th Aug 2024'!A16</f>
        <v>Mt kenya milk 500ml</v>
      </c>
      <c r="D5655">
        <v>1</v>
      </c>
      <c r="E5655" s="5">
        <f>Table4[[#This Row],[qty]]*(VLOOKUP(Table4[[#This Row],[item_sold]],Table1[],5,FALSE))</f>
        <v>65</v>
      </c>
      <c r="F5655" s="5">
        <f>(VLOOKUP(Table4[[#This Row],[item_sold]],Table1[],4,FALSE))*Table4[[#This Row],[qty]]</f>
        <v>48.333333333333336</v>
      </c>
      <c r="G5655">
        <f t="shared" si="905"/>
        <v>16.666666666666664</v>
      </c>
      <c r="H5655" t="s">
        <v>430</v>
      </c>
      <c r="I5655" t="s">
        <v>391</v>
      </c>
      <c r="J5655" t="s">
        <v>391</v>
      </c>
      <c r="K5655">
        <v>150</v>
      </c>
      <c r="L5655" t="s">
        <v>361</v>
      </c>
    </row>
    <row r="5656" spans="1:12" x14ac:dyDescent="0.25">
      <c r="A5656" s="1">
        <f t="shared" si="901"/>
        <v>45575</v>
      </c>
      <c r="B5656" s="31">
        <f t="shared" ref="B5656:B5658" si="906">TIME(10,16,0)</f>
        <v>0.42777777777777781</v>
      </c>
      <c r="C5656" t="str">
        <f>'Inventory as of 12th Aug 2024'!A37</f>
        <v>Festive Bread 400g</v>
      </c>
      <c r="D5656">
        <v>1</v>
      </c>
      <c r="E5656" s="5">
        <f>Table4[[#This Row],[qty]]*(VLOOKUP(Table4[[#This Row],[item_sold]],Table1[],5,FALSE))</f>
        <v>65</v>
      </c>
      <c r="F5656" s="5">
        <f>(VLOOKUP(Table4[[#This Row],[item_sold]],Table1[],4,FALSE))*Table4[[#This Row],[qty]]</f>
        <v>60</v>
      </c>
      <c r="G5656">
        <f t="shared" si="905"/>
        <v>5</v>
      </c>
      <c r="H5656" t="s">
        <v>430</v>
      </c>
      <c r="I5656" t="s">
        <v>391</v>
      </c>
    </row>
    <row r="5657" spans="1:12" x14ac:dyDescent="0.25">
      <c r="A5657" s="1">
        <f t="shared" si="901"/>
        <v>45575</v>
      </c>
      <c r="B5657" s="31">
        <f t="shared" si="906"/>
        <v>0.42777777777777781</v>
      </c>
      <c r="C5657" t="str">
        <f>'Inventory as of 12th Aug 2024'!A29</f>
        <v>Fahari Tea 50g</v>
      </c>
      <c r="D5657">
        <v>1</v>
      </c>
      <c r="E5657" s="5">
        <f>Table4[[#This Row],[qty]]*(VLOOKUP(Table4[[#This Row],[item_sold]],Table1[],5,FALSE))</f>
        <v>30</v>
      </c>
      <c r="F5657" s="5">
        <f>(VLOOKUP(Table4[[#This Row],[item_sold]],Table1[],4,FALSE))*Table4[[#This Row],[qty]]</f>
        <v>17.5</v>
      </c>
      <c r="G5657">
        <f t="shared" si="905"/>
        <v>12.5</v>
      </c>
      <c r="H5657" t="s">
        <v>430</v>
      </c>
      <c r="I5657" t="s">
        <v>391</v>
      </c>
    </row>
    <row r="5658" spans="1:12" x14ac:dyDescent="0.25">
      <c r="A5658" s="1">
        <f t="shared" si="901"/>
        <v>45575</v>
      </c>
      <c r="B5658" s="31">
        <f t="shared" si="906"/>
        <v>0.42777777777777781</v>
      </c>
      <c r="C5658" t="str">
        <f>'Inventory as of 12th Aug 2024'!A58</f>
        <v>Safari</v>
      </c>
      <c r="D5658">
        <v>3</v>
      </c>
      <c r="E5658" s="5">
        <f>Table4[[#This Row],[qty]]*(VLOOKUP(Table4[[#This Row],[item_sold]],Table1[],5,FALSE))</f>
        <v>45</v>
      </c>
      <c r="F5658" s="5">
        <f>(VLOOKUP(Table4[[#This Row],[item_sold]],Table1[],4,FALSE))*Table4[[#This Row],[qty]]</f>
        <v>25.5</v>
      </c>
      <c r="G5658">
        <f t="shared" si="905"/>
        <v>19.5</v>
      </c>
      <c r="H5658" t="s">
        <v>430</v>
      </c>
      <c r="I5658" t="s">
        <v>391</v>
      </c>
    </row>
    <row r="5659" spans="1:12" x14ac:dyDescent="0.25">
      <c r="A5659" s="1">
        <f t="shared" si="901"/>
        <v>45575</v>
      </c>
      <c r="B5659" s="31">
        <f>TIME(10,31,0)</f>
        <v>0.4381944444444445</v>
      </c>
      <c r="C5659" t="str">
        <f>'Inventory as of 12th Aug 2024'!A199</f>
        <v>Kdf</v>
      </c>
      <c r="D5659">
        <v>1</v>
      </c>
      <c r="E5659" s="5">
        <f>Table4[[#This Row],[qty]]*(VLOOKUP(Table4[[#This Row],[item_sold]],Table1[],5,FALSE))</f>
        <v>10</v>
      </c>
      <c r="F5659" s="5">
        <f>(VLOOKUP(Table4[[#This Row],[item_sold]],Table1[],4,FALSE))*Table4[[#This Row],[qty]]</f>
        <v>8.3333333333333339</v>
      </c>
      <c r="G5659">
        <f t="shared" si="905"/>
        <v>1.6666666666666661</v>
      </c>
      <c r="H5659" t="s">
        <v>247</v>
      </c>
    </row>
    <row r="5660" spans="1:12" x14ac:dyDescent="0.25">
      <c r="A5660" s="1">
        <f t="shared" si="901"/>
        <v>45575</v>
      </c>
      <c r="B5660" s="31">
        <f t="shared" ref="B5660" si="907">TIME(10,31,0)</f>
        <v>0.4381944444444445</v>
      </c>
      <c r="C5660" t="str">
        <f>'Inventory as of 12th Aug 2024'!A200</f>
        <v>Ngumu</v>
      </c>
      <c r="D5660">
        <v>1</v>
      </c>
      <c r="E5660" s="5">
        <f>Table4[[#This Row],[qty]]*(VLOOKUP(Table4[[#This Row],[item_sold]],Table1[],5,FALSE))</f>
        <v>10</v>
      </c>
      <c r="F5660" s="5">
        <f>(VLOOKUP(Table4[[#This Row],[item_sold]],Table1[],4,FALSE))*Table4[[#This Row],[qty]]</f>
        <v>8.3333333333333339</v>
      </c>
      <c r="G5660">
        <f t="shared" si="905"/>
        <v>1.6666666666666661</v>
      </c>
      <c r="H5660" t="s">
        <v>247</v>
      </c>
    </row>
    <row r="5661" spans="1:12" x14ac:dyDescent="0.25">
      <c r="A5661" s="1">
        <f t="shared" si="901"/>
        <v>45575</v>
      </c>
      <c r="B5661" s="31">
        <f>TIME(11,18,0)</f>
        <v>0.47083333333333338</v>
      </c>
      <c r="C5661" t="str">
        <f>'Inventory as of 12th Aug 2024'!A27</f>
        <v>Nescafe 1.5g</v>
      </c>
      <c r="D5661">
        <v>2</v>
      </c>
      <c r="E5661" s="5">
        <f>Table4[[#This Row],[qty]]*(VLOOKUP(Table4[[#This Row],[item_sold]],Table1[],5,FALSE))</f>
        <v>30</v>
      </c>
      <c r="F5661" s="5">
        <f>(VLOOKUP(Table4[[#This Row],[item_sold]],Table1[],4,FALSE))*Table4[[#This Row],[qty]]</f>
        <v>18.333333333333332</v>
      </c>
      <c r="G5661">
        <f t="shared" si="905"/>
        <v>11.666666666666668</v>
      </c>
      <c r="H5661" t="s">
        <v>361</v>
      </c>
      <c r="J5661" t="s">
        <v>447</v>
      </c>
      <c r="K5661">
        <v>10</v>
      </c>
      <c r="L5661" t="s">
        <v>361</v>
      </c>
    </row>
    <row r="5662" spans="1:12" x14ac:dyDescent="0.25">
      <c r="A5662" s="1">
        <f t="shared" si="901"/>
        <v>45575</v>
      </c>
      <c r="B5662" s="31">
        <f t="shared" ref="B5662:B5664" si="908">TIME(11,18,0)</f>
        <v>0.47083333333333338</v>
      </c>
      <c r="C5662" t="str">
        <f>'Inventory as of 12th Aug 2024'!A254</f>
        <v>Maccofee</v>
      </c>
      <c r="D5662">
        <v>2</v>
      </c>
      <c r="E5662" s="5">
        <f>Table4[[#This Row],[qty]]*(VLOOKUP(Table4[[#This Row],[item_sold]],Table1[],5,FALSE))</f>
        <v>30</v>
      </c>
      <c r="F5662" s="5">
        <f>(VLOOKUP(Table4[[#This Row],[item_sold]],Table1[],4,FALSE))*Table4[[#This Row],[qty]]</f>
        <v>18.666666666666668</v>
      </c>
      <c r="G5662">
        <f t="shared" si="905"/>
        <v>11.333333333333332</v>
      </c>
      <c r="H5662" t="s">
        <v>361</v>
      </c>
    </row>
    <row r="5663" spans="1:12" x14ac:dyDescent="0.25">
      <c r="A5663" s="1">
        <f t="shared" si="901"/>
        <v>45575</v>
      </c>
      <c r="B5663" s="31">
        <f t="shared" si="908"/>
        <v>0.47083333333333338</v>
      </c>
      <c r="C5663" t="str">
        <f>'Inventory as of 12th Aug 2024'!A200</f>
        <v>Ngumu</v>
      </c>
      <c r="D5663">
        <v>2</v>
      </c>
      <c r="E5663" s="5">
        <f>Table4[[#This Row],[qty]]*(VLOOKUP(Table4[[#This Row],[item_sold]],Table1[],5,FALSE))</f>
        <v>20</v>
      </c>
      <c r="F5663" s="5">
        <f>(VLOOKUP(Table4[[#This Row],[item_sold]],Table1[],4,FALSE))*Table4[[#This Row],[qty]]</f>
        <v>16.666666666666668</v>
      </c>
      <c r="G5663">
        <f t="shared" si="905"/>
        <v>3.3333333333333321</v>
      </c>
      <c r="H5663" t="s">
        <v>361</v>
      </c>
    </row>
    <row r="5664" spans="1:12" x14ac:dyDescent="0.25">
      <c r="A5664" s="1">
        <f t="shared" si="901"/>
        <v>45575</v>
      </c>
      <c r="B5664" s="31">
        <f t="shared" si="908"/>
        <v>0.47083333333333338</v>
      </c>
      <c r="C5664" t="str">
        <f>'Inventory as of 12th Aug 2024'!A214</f>
        <v>smash juice</v>
      </c>
      <c r="D5664">
        <v>1</v>
      </c>
      <c r="E5664" s="5">
        <f>Table4[[#This Row],[qty]]*(VLOOKUP(Table4[[#This Row],[item_sold]],Table1[],5,FALSE))</f>
        <v>20</v>
      </c>
      <c r="F5664" s="5">
        <f>(VLOOKUP(Table4[[#This Row],[item_sold]],Table1[],4,FALSE))*Table4[[#This Row],[qty]]</f>
        <v>15</v>
      </c>
      <c r="G5664">
        <f t="shared" si="905"/>
        <v>5</v>
      </c>
      <c r="H5664" t="s">
        <v>361</v>
      </c>
    </row>
    <row r="5665" spans="1:12" x14ac:dyDescent="0.25">
      <c r="A5665" s="1">
        <f t="shared" si="901"/>
        <v>45575</v>
      </c>
      <c r="B5665" s="31">
        <f>TIME(11,15,0)</f>
        <v>0.46875</v>
      </c>
      <c r="C5665" t="str">
        <f>'Inventory as of 12th Aug 2024'!A58</f>
        <v>Safari</v>
      </c>
      <c r="D5665">
        <v>1</v>
      </c>
      <c r="E5665" s="5">
        <f>Table4[[#This Row],[qty]]*(VLOOKUP(Table4[[#This Row],[item_sold]],Table1[],5,FALSE))</f>
        <v>15</v>
      </c>
      <c r="F5665" s="5">
        <f>(VLOOKUP(Table4[[#This Row],[item_sold]],Table1[],4,FALSE))*Table4[[#This Row],[qty]]</f>
        <v>8.5</v>
      </c>
      <c r="G5665">
        <f t="shared" si="905"/>
        <v>6.5</v>
      </c>
      <c r="H5665" t="s">
        <v>361</v>
      </c>
    </row>
    <row r="5666" spans="1:12" x14ac:dyDescent="0.25">
      <c r="A5666" s="1">
        <f t="shared" si="901"/>
        <v>45575</v>
      </c>
      <c r="B5666" s="31">
        <f t="shared" ref="B5666" si="909">TIME(11,15,0)</f>
        <v>0.46875</v>
      </c>
      <c r="C5666" t="str">
        <f>'Inventory as of 12th Aug 2024'!A238</f>
        <v>Tropical</v>
      </c>
      <c r="D5666">
        <v>1</v>
      </c>
      <c r="E5666" s="5">
        <f>Table4[[#This Row],[qty]]*(VLOOKUP(Table4[[#This Row],[item_sold]],Table1[],5,FALSE))</f>
        <v>5</v>
      </c>
      <c r="F5666" s="5">
        <f>(VLOOKUP(Table4[[#This Row],[item_sold]],Table1[],4,FALSE))*Table4[[#This Row],[qty]]</f>
        <v>1.5</v>
      </c>
      <c r="G5666">
        <f t="shared" si="905"/>
        <v>3.5</v>
      </c>
      <c r="H5666" t="s">
        <v>361</v>
      </c>
    </row>
    <row r="5667" spans="1:12" x14ac:dyDescent="0.25">
      <c r="A5667" s="1">
        <f t="shared" si="901"/>
        <v>45575</v>
      </c>
      <c r="B5667" s="31">
        <f>TIME(11,26,0)</f>
        <v>0.47638888888888892</v>
      </c>
      <c r="C5667" t="str">
        <f>'Inventory as of 12th Aug 2024'!A205</f>
        <v xml:space="preserve"> soda 1.25lts</v>
      </c>
      <c r="D5667">
        <v>1</v>
      </c>
      <c r="E5667" s="5">
        <f>Table4[[#This Row],[qty]]*(VLOOKUP(Table4[[#This Row],[item_sold]],Table1[],5,FALSE))</f>
        <v>130</v>
      </c>
      <c r="F5667" s="5">
        <f>(VLOOKUP(Table4[[#This Row],[item_sold]],Table1[],4,FALSE))*Table4[[#This Row],[qty]]</f>
        <v>112.5</v>
      </c>
      <c r="G5667">
        <f t="shared" si="905"/>
        <v>17.5</v>
      </c>
      <c r="H5667" t="s">
        <v>361</v>
      </c>
    </row>
    <row r="5668" spans="1:12" x14ac:dyDescent="0.25">
      <c r="A5668" s="1">
        <f t="shared" si="901"/>
        <v>45575</v>
      </c>
      <c r="B5668" s="31">
        <f>TIME(11,29,0)</f>
        <v>0.47847222222222219</v>
      </c>
      <c r="C5668" t="str">
        <f>'Inventory as of 12th Aug 2024'!A7</f>
        <v>Airtel 50 Credit</v>
      </c>
      <c r="D5668">
        <v>1</v>
      </c>
      <c r="E5668" s="5">
        <f>Table4[[#This Row],[qty]]*(VLOOKUP(Table4[[#This Row],[item_sold]],Table1[],5,FALSE))</f>
        <v>50</v>
      </c>
      <c r="F5668" s="5">
        <f>(VLOOKUP(Table4[[#This Row],[item_sold]],Table1[],4,FALSE))*Table4[[#This Row],[qty]]</f>
        <v>47</v>
      </c>
      <c r="G5668">
        <f t="shared" si="905"/>
        <v>3</v>
      </c>
      <c r="H5668" t="s">
        <v>361</v>
      </c>
    </row>
    <row r="5669" spans="1:12" x14ac:dyDescent="0.25">
      <c r="A5669" s="1">
        <f t="shared" si="901"/>
        <v>45575</v>
      </c>
      <c r="B5669" s="31">
        <f>TIME(11,34,0)</f>
        <v>0.48194444444444445</v>
      </c>
      <c r="C5669" t="str">
        <f>'Inventory as of 12th Aug 2024'!A10</f>
        <v>Mt Kenya milk 200ml</v>
      </c>
      <c r="D5669">
        <v>1</v>
      </c>
      <c r="E5669" s="5">
        <f>Table4[[#This Row],[qty]]*(VLOOKUP(Table4[[#This Row],[item_sold]],Table1[],5,FALSE))</f>
        <v>35</v>
      </c>
      <c r="F5669" s="5">
        <f>(VLOOKUP(Table4[[#This Row],[item_sold]],Table1[],4,FALSE))*Table4[[#This Row],[qty]]</f>
        <v>24.285714285714285</v>
      </c>
      <c r="G5669">
        <f t="shared" si="905"/>
        <v>10.714285714285715</v>
      </c>
      <c r="H5669" t="s">
        <v>247</v>
      </c>
    </row>
    <row r="5670" spans="1:12" x14ac:dyDescent="0.25">
      <c r="A5670" s="1">
        <f t="shared" si="901"/>
        <v>45575</v>
      </c>
      <c r="B5670" s="31">
        <f t="shared" ref="B5670" si="910">TIME(11,34,0)</f>
        <v>0.48194444444444445</v>
      </c>
      <c r="C5670" t="str">
        <f>'Inventory as of 12th Aug 2024'!A199</f>
        <v>Kdf</v>
      </c>
      <c r="D5670">
        <v>1</v>
      </c>
      <c r="E5670" s="5">
        <f>Table4[[#This Row],[qty]]*(VLOOKUP(Table4[[#This Row],[item_sold]],Table1[],5,FALSE))</f>
        <v>10</v>
      </c>
      <c r="F5670" s="5">
        <f>(VLOOKUP(Table4[[#This Row],[item_sold]],Table1[],4,FALSE))*Table4[[#This Row],[qty]]</f>
        <v>8.3333333333333339</v>
      </c>
      <c r="G5670">
        <f t="shared" si="905"/>
        <v>1.6666666666666661</v>
      </c>
      <c r="H5670" t="s">
        <v>247</v>
      </c>
    </row>
    <row r="5671" spans="1:12" x14ac:dyDescent="0.25">
      <c r="A5671" s="1">
        <f t="shared" si="901"/>
        <v>45575</v>
      </c>
      <c r="B5671" s="31">
        <f>TIME(11,38,0)</f>
        <v>0.48472222222222222</v>
      </c>
      <c r="C5671" t="str">
        <f>'Inventory as of 12th Aug 2024'!A37</f>
        <v>Festive Bread 400g</v>
      </c>
      <c r="D5671">
        <v>1</v>
      </c>
      <c r="E5671" s="5">
        <f>Table4[[#This Row],[qty]]*(VLOOKUP(Table4[[#This Row],[item_sold]],Table1[],5,FALSE))</f>
        <v>65</v>
      </c>
      <c r="F5671" s="5">
        <f>(VLOOKUP(Table4[[#This Row],[item_sold]],Table1[],4,FALSE))*Table4[[#This Row],[qty]]</f>
        <v>60</v>
      </c>
      <c r="G5671">
        <f t="shared" si="905"/>
        <v>5</v>
      </c>
      <c r="H5671" t="s">
        <v>247</v>
      </c>
    </row>
    <row r="5672" spans="1:12" x14ac:dyDescent="0.25">
      <c r="A5672" s="1">
        <f t="shared" si="901"/>
        <v>45575</v>
      </c>
      <c r="B5672" s="31">
        <f t="shared" ref="B5672" si="911">TIME(11,38,0)</f>
        <v>0.48472222222222222</v>
      </c>
      <c r="C5672" t="str">
        <f>'Inventory as of 12th Aug 2024'!A16</f>
        <v>Mt kenya milk 500ml</v>
      </c>
      <c r="D5672">
        <v>1</v>
      </c>
      <c r="E5672" s="5">
        <f>Table4[[#This Row],[qty]]*(VLOOKUP(Table4[[#This Row],[item_sold]],Table1[],5,FALSE))</f>
        <v>65</v>
      </c>
      <c r="F5672" s="5">
        <f>(VLOOKUP(Table4[[#This Row],[item_sold]],Table1[],4,FALSE))*Table4[[#This Row],[qty]]</f>
        <v>48.333333333333336</v>
      </c>
      <c r="G5672">
        <f t="shared" si="905"/>
        <v>16.666666666666664</v>
      </c>
      <c r="H5672" t="s">
        <v>247</v>
      </c>
    </row>
    <row r="5673" spans="1:12" x14ac:dyDescent="0.25">
      <c r="A5673" s="1">
        <f t="shared" si="901"/>
        <v>45575</v>
      </c>
      <c r="B5673" s="31">
        <f>TIME(12,28,0)</f>
        <v>0.51944444444444449</v>
      </c>
      <c r="C5673" t="str">
        <f>'Inventory as of 12th Aug 2024'!A245</f>
        <v>1.5ltrs water</v>
      </c>
      <c r="D5673">
        <v>1</v>
      </c>
      <c r="E5673" s="5">
        <f>Table4[[#This Row],[qty]]*(VLOOKUP(Table4[[#This Row],[item_sold]],Table1[],5,FALSE))</f>
        <v>70</v>
      </c>
      <c r="F5673" s="5">
        <f>(VLOOKUP(Table4[[#This Row],[item_sold]],Table1[],4,FALSE))*Table4[[#This Row],[qty]]</f>
        <v>25</v>
      </c>
      <c r="G5673">
        <f t="shared" si="905"/>
        <v>45</v>
      </c>
      <c r="H5673" t="s">
        <v>430</v>
      </c>
      <c r="I5673" t="s">
        <v>590</v>
      </c>
      <c r="J5673" t="s">
        <v>590</v>
      </c>
      <c r="K5673">
        <v>55</v>
      </c>
      <c r="L5673" t="s">
        <v>247</v>
      </c>
    </row>
    <row r="5674" spans="1:12" x14ac:dyDescent="0.25">
      <c r="A5674" s="1">
        <f t="shared" si="901"/>
        <v>45575</v>
      </c>
      <c r="B5674" s="31">
        <f t="shared" ref="B5674:B5675" si="912">TIME(12,28,0)</f>
        <v>0.51944444444444449</v>
      </c>
      <c r="C5674" s="25"/>
      <c r="D5674">
        <v>1</v>
      </c>
      <c r="E5674" s="5" t="e">
        <f>Table4[[#This Row],[qty]]*(VLOOKUP(Table4[[#This Row],[item_sold]],Table1[],5,FALSE))</f>
        <v>#N/A</v>
      </c>
      <c r="F5674" s="5" t="e">
        <f>(VLOOKUP(Table4[[#This Row],[item_sold]],Table1[],4,FALSE))*Table4[[#This Row],[qty]]</f>
        <v>#N/A</v>
      </c>
      <c r="G5674" t="e">
        <f t="shared" si="905"/>
        <v>#N/A</v>
      </c>
      <c r="H5674" t="s">
        <v>247</v>
      </c>
    </row>
    <row r="5675" spans="1:12" x14ac:dyDescent="0.25">
      <c r="A5675" s="1">
        <f t="shared" si="901"/>
        <v>45575</v>
      </c>
      <c r="B5675" s="31">
        <f t="shared" si="912"/>
        <v>0.51944444444444449</v>
      </c>
      <c r="C5675" t="str">
        <f>'Inventory as of 12th Aug 2024'!A193</f>
        <v>Ginger Bisquit</v>
      </c>
      <c r="D5675">
        <v>1</v>
      </c>
      <c r="E5675" s="5">
        <f>Table4[[#This Row],[qty]]*(VLOOKUP(Table4[[#This Row],[item_sold]],Table1[],5,FALSE))</f>
        <v>5</v>
      </c>
      <c r="F5675" s="5">
        <f>(VLOOKUP(Table4[[#This Row],[item_sold]],Table1[],4,FALSE))*Table4[[#This Row],[qty]]</f>
        <v>4.333333333333333</v>
      </c>
      <c r="G5675">
        <f t="shared" si="905"/>
        <v>0.66666666666666696</v>
      </c>
      <c r="H5675" t="s">
        <v>247</v>
      </c>
    </row>
    <row r="5676" spans="1:12" x14ac:dyDescent="0.25">
      <c r="A5676" s="1">
        <f t="shared" si="901"/>
        <v>45575</v>
      </c>
      <c r="B5676" s="31">
        <f>TIME(12,48,0)</f>
        <v>0.53333333333333333</v>
      </c>
      <c r="C5676" t="str">
        <f>'Inventory as of 12th Aug 2024'!A58</f>
        <v>Safari</v>
      </c>
      <c r="D5676">
        <v>1</v>
      </c>
      <c r="E5676" s="5">
        <f>Table4[[#This Row],[qty]]*(VLOOKUP(Table4[[#This Row],[item_sold]],Table1[],5,FALSE))</f>
        <v>15</v>
      </c>
      <c r="F5676" s="5">
        <f>(VLOOKUP(Table4[[#This Row],[item_sold]],Table1[],4,FALSE))*Table4[[#This Row],[qty]]</f>
        <v>8.5</v>
      </c>
      <c r="G5676">
        <f t="shared" si="905"/>
        <v>6.5</v>
      </c>
      <c r="H5676" t="s">
        <v>361</v>
      </c>
    </row>
    <row r="5677" spans="1:12" x14ac:dyDescent="0.25">
      <c r="A5677" s="1">
        <f t="shared" si="901"/>
        <v>45575</v>
      </c>
      <c r="B5677" s="31">
        <f>TIME(13,7,0)</f>
        <v>0.54652777777777783</v>
      </c>
      <c r="C5677" t="str">
        <f>'Inventory as of 12th Aug 2024'!A211</f>
        <v>predator</v>
      </c>
      <c r="D5677">
        <v>1</v>
      </c>
      <c r="E5677" s="5">
        <f>Table4[[#This Row],[qty]]*(VLOOKUP(Table4[[#This Row],[item_sold]],Table1[],5,FALSE))</f>
        <v>70</v>
      </c>
      <c r="F5677" s="5">
        <f>(VLOOKUP(Table4[[#This Row],[item_sold]],Table1[],4,FALSE))*Table4[[#This Row],[qty]]</f>
        <v>54.166666666666664</v>
      </c>
      <c r="G5677">
        <f t="shared" si="905"/>
        <v>15.833333333333336</v>
      </c>
      <c r="H5677" t="s">
        <v>247</v>
      </c>
    </row>
    <row r="5678" spans="1:12" x14ac:dyDescent="0.25">
      <c r="A5678" s="1">
        <f t="shared" si="901"/>
        <v>45575</v>
      </c>
      <c r="B5678" s="31">
        <f t="shared" ref="B5678:B5679" si="913">TIME(13,7,0)</f>
        <v>0.54652777777777783</v>
      </c>
      <c r="C5678" t="str">
        <f>'Inventory as of 12th Aug 2024'!A199</f>
        <v>Kdf</v>
      </c>
      <c r="D5678">
        <v>3</v>
      </c>
      <c r="E5678" s="5">
        <f>Table4[[#This Row],[qty]]*(VLOOKUP(Table4[[#This Row],[item_sold]],Table1[],5,FALSE))</f>
        <v>30</v>
      </c>
      <c r="F5678" s="5">
        <f>(VLOOKUP(Table4[[#This Row],[item_sold]],Table1[],4,FALSE))*Table4[[#This Row],[qty]]</f>
        <v>25</v>
      </c>
      <c r="G5678">
        <f t="shared" si="905"/>
        <v>5</v>
      </c>
      <c r="H5678" t="s">
        <v>247</v>
      </c>
    </row>
    <row r="5679" spans="1:12" x14ac:dyDescent="0.25">
      <c r="A5679" s="1">
        <f t="shared" si="901"/>
        <v>45575</v>
      </c>
      <c r="B5679" s="31">
        <f t="shared" si="913"/>
        <v>0.54652777777777783</v>
      </c>
      <c r="C5679" s="25"/>
      <c r="D5679">
        <v>1</v>
      </c>
      <c r="E5679" s="5" t="e">
        <f>Table4[[#This Row],[qty]]*(VLOOKUP(Table4[[#This Row],[item_sold]],Table1[],5,FALSE))</f>
        <v>#N/A</v>
      </c>
      <c r="F5679" s="5" t="e">
        <f>(VLOOKUP(Table4[[#This Row],[item_sold]],Table1[],4,FALSE))*Table4[[#This Row],[qty]]</f>
        <v>#N/A</v>
      </c>
      <c r="G5679" t="e">
        <f t="shared" si="905"/>
        <v>#N/A</v>
      </c>
      <c r="H5679" t="s">
        <v>247</v>
      </c>
    </row>
    <row r="5680" spans="1:12" x14ac:dyDescent="0.25">
      <c r="A5680" s="1">
        <f t="shared" si="901"/>
        <v>45575</v>
      </c>
      <c r="B5680" s="31">
        <f>TIME(13,13,0)</f>
        <v>0.55069444444444449</v>
      </c>
      <c r="C5680" t="str">
        <f>'Inventory as of 12th Aug 2024'!A199</f>
        <v>Kdf</v>
      </c>
      <c r="D5680">
        <v>2</v>
      </c>
      <c r="E5680" s="5">
        <f>Table4[[#This Row],[qty]]*(VLOOKUP(Table4[[#This Row],[item_sold]],Table1[],5,FALSE))</f>
        <v>20</v>
      </c>
      <c r="F5680" s="5">
        <f>(VLOOKUP(Table4[[#This Row],[item_sold]],Table1[],4,FALSE))*Table4[[#This Row],[qty]]</f>
        <v>16.666666666666668</v>
      </c>
      <c r="G5680">
        <f t="shared" si="905"/>
        <v>3.3333333333333321</v>
      </c>
      <c r="H5680" t="s">
        <v>247</v>
      </c>
    </row>
    <row r="5681" spans="1:9" x14ac:dyDescent="0.25">
      <c r="A5681" s="1">
        <f t="shared" si="901"/>
        <v>45575</v>
      </c>
      <c r="B5681" s="31">
        <f t="shared" ref="B5681" si="914">TIME(13,13,0)</f>
        <v>0.55069444444444449</v>
      </c>
      <c r="C5681" t="str">
        <f>'Inventory as of 12th Aug 2024'!A82</f>
        <v>ariel 10g</v>
      </c>
      <c r="D5681">
        <v>1</v>
      </c>
      <c r="E5681" s="5">
        <f>Table4[[#This Row],[qty]]*(VLOOKUP(Table4[[#This Row],[item_sold]],Table1[],5,FALSE))</f>
        <v>15</v>
      </c>
      <c r="F5681" s="5">
        <f>(VLOOKUP(Table4[[#This Row],[item_sold]],Table1[],4,FALSE))*Table4[[#This Row],[qty]]</f>
        <v>9.1666666666666661</v>
      </c>
      <c r="G5681">
        <f t="shared" si="905"/>
        <v>5.8333333333333339</v>
      </c>
      <c r="H5681" t="s">
        <v>430</v>
      </c>
      <c r="I5681" t="s">
        <v>590</v>
      </c>
    </row>
    <row r="5682" spans="1:9" x14ac:dyDescent="0.25">
      <c r="A5682" s="1">
        <f t="shared" si="901"/>
        <v>45575</v>
      </c>
      <c r="B5682" s="31">
        <f>TIME(13,38,0)</f>
        <v>0.56805555555555554</v>
      </c>
      <c r="C5682" t="str">
        <f>'Inventory as of 12th Aug 2024'!A213</f>
        <v>soda 500ml glass</v>
      </c>
      <c r="D5682">
        <v>1</v>
      </c>
      <c r="E5682" s="5">
        <f>Table4[[#This Row],[qty]]*(VLOOKUP(Table4[[#This Row],[item_sold]],Table1[],5,FALSE))</f>
        <v>55</v>
      </c>
      <c r="F5682" s="5">
        <f>(VLOOKUP(Table4[[#This Row],[item_sold]],Table1[],4,FALSE))*Table4[[#This Row],[qty]]</f>
        <v>50</v>
      </c>
      <c r="G5682">
        <f t="shared" si="905"/>
        <v>5</v>
      </c>
      <c r="H5682" t="s">
        <v>361</v>
      </c>
    </row>
    <row r="5683" spans="1:9" x14ac:dyDescent="0.25">
      <c r="A5683" s="1">
        <f t="shared" si="901"/>
        <v>45575</v>
      </c>
      <c r="B5683" s="31">
        <f t="shared" ref="B5683" si="915">TIME(13,38,0)</f>
        <v>0.56805555555555554</v>
      </c>
      <c r="C5683" t="str">
        <f>'Inventory as of 12th Aug 2024'!A58</f>
        <v>Safari</v>
      </c>
      <c r="D5683">
        <v>2</v>
      </c>
      <c r="E5683" s="5">
        <f>Table4[[#This Row],[qty]]*(VLOOKUP(Table4[[#This Row],[item_sold]],Table1[],5,FALSE))</f>
        <v>30</v>
      </c>
      <c r="F5683" s="5">
        <f>(VLOOKUP(Table4[[#This Row],[item_sold]],Table1[],4,FALSE))*Table4[[#This Row],[qty]]</f>
        <v>17</v>
      </c>
      <c r="G5683">
        <f t="shared" si="905"/>
        <v>13</v>
      </c>
      <c r="H5683" t="s">
        <v>247</v>
      </c>
    </row>
    <row r="5684" spans="1:9" x14ac:dyDescent="0.25">
      <c r="A5684" s="1">
        <f t="shared" si="901"/>
        <v>45575</v>
      </c>
      <c r="B5684" s="31">
        <f>TIME(14,15,0)</f>
        <v>0.59375</v>
      </c>
      <c r="C5684" t="str">
        <f>'Inventory as of 12th Aug 2024'!A58</f>
        <v>Safari</v>
      </c>
      <c r="D5684">
        <v>1</v>
      </c>
      <c r="E5684" s="5">
        <f>Table4[[#This Row],[qty]]*(VLOOKUP(Table4[[#This Row],[item_sold]],Table1[],5,FALSE))</f>
        <v>15</v>
      </c>
      <c r="F5684" s="5">
        <f>(VLOOKUP(Table4[[#This Row],[item_sold]],Table1[],4,FALSE))*Table4[[#This Row],[qty]]</f>
        <v>8.5</v>
      </c>
      <c r="G5684">
        <f t="shared" si="905"/>
        <v>6.5</v>
      </c>
      <c r="H5684" t="s">
        <v>361</v>
      </c>
    </row>
    <row r="5685" spans="1:9" x14ac:dyDescent="0.25">
      <c r="A5685" s="1">
        <f t="shared" si="901"/>
        <v>45575</v>
      </c>
      <c r="B5685" s="31">
        <f>TIME(14,21,0)</f>
        <v>0.59791666666666665</v>
      </c>
      <c r="C5685" t="str">
        <f>'Inventory as of 12th Aug 2024'!A207</f>
        <v>soda 350ml plastic</v>
      </c>
      <c r="D5685">
        <v>1</v>
      </c>
      <c r="E5685" s="5">
        <f>Table4[[#This Row],[qty]]*(VLOOKUP(Table4[[#This Row],[item_sold]],Table1[],5,FALSE))</f>
        <v>50</v>
      </c>
      <c r="F5685" s="5">
        <f>(VLOOKUP(Table4[[#This Row],[item_sold]],Table1[],4,FALSE))*Table4[[#This Row],[qty]]</f>
        <v>41.666666666666664</v>
      </c>
      <c r="G5685">
        <f t="shared" si="905"/>
        <v>8.3333333333333357</v>
      </c>
      <c r="H5685" t="s">
        <v>247</v>
      </c>
    </row>
    <row r="5686" spans="1:9" x14ac:dyDescent="0.25">
      <c r="A5686" s="1">
        <f t="shared" si="901"/>
        <v>45575</v>
      </c>
      <c r="B5686" s="31">
        <f>TIME(14,36,0)</f>
        <v>0.60833333333333328</v>
      </c>
      <c r="C5686" t="str">
        <f>'Inventory as of 12th Aug 2024'!A240</f>
        <v>Bigboss</v>
      </c>
      <c r="D5686">
        <v>1</v>
      </c>
      <c r="E5686" s="5">
        <f>Table4[[#This Row],[qty]]*(VLOOKUP(Table4[[#This Row],[item_sold]],Table1[],5,FALSE))</f>
        <v>5</v>
      </c>
      <c r="F5686" s="5">
        <f>(VLOOKUP(Table4[[#This Row],[item_sold]],Table1[],4,FALSE))*Table4[[#This Row],[qty]]</f>
        <v>3.5</v>
      </c>
      <c r="G5686">
        <f t="shared" si="905"/>
        <v>1.5</v>
      </c>
      <c r="H5686" t="s">
        <v>247</v>
      </c>
    </row>
    <row r="5687" spans="1:9" x14ac:dyDescent="0.25">
      <c r="A5687" s="1">
        <f t="shared" si="901"/>
        <v>45575</v>
      </c>
      <c r="B5687" s="31">
        <f>TIME(14,47,0)</f>
        <v>0.61597222222222225</v>
      </c>
      <c r="C5687" t="str">
        <f>'Inventory as of 12th Aug 2024'!A91</f>
        <v>Tomatoes</v>
      </c>
      <c r="D5687">
        <v>6</v>
      </c>
      <c r="E5687" s="5">
        <f>Table4[[#This Row],[qty]]*(VLOOKUP(Table4[[#This Row],[item_sold]],Table1[],5,FALSE))</f>
        <v>60</v>
      </c>
      <c r="F5687" s="5">
        <f>(VLOOKUP(Table4[[#This Row],[item_sold]],Table1[],4,FALSE))*Table4[[#This Row],[qty]]</f>
        <v>30</v>
      </c>
      <c r="G5687">
        <f t="shared" si="905"/>
        <v>30</v>
      </c>
      <c r="H5687" t="s">
        <v>361</v>
      </c>
    </row>
    <row r="5688" spans="1:9" x14ac:dyDescent="0.25">
      <c r="A5688" s="1">
        <f t="shared" si="901"/>
        <v>45575</v>
      </c>
      <c r="B5688" s="31">
        <f t="shared" ref="B5688" si="916">TIME(14,47,0)</f>
        <v>0.61597222222222225</v>
      </c>
      <c r="C5688" t="str">
        <f>'Inventory as of 12th Aug 2024'!A64</f>
        <v>Tomato paste</v>
      </c>
      <c r="D5688">
        <v>3</v>
      </c>
      <c r="E5688" s="5">
        <f>Table4[[#This Row],[qty]]*(VLOOKUP(Table4[[#This Row],[item_sold]],Table1[],5,FALSE))</f>
        <v>90</v>
      </c>
      <c r="F5688" s="5">
        <f>(VLOOKUP(Table4[[#This Row],[item_sold]],Table1[],4,FALSE))*Table4[[#This Row],[qty]]</f>
        <v>37.5</v>
      </c>
      <c r="G5688">
        <f t="shared" si="905"/>
        <v>52.5</v>
      </c>
      <c r="H5688" t="s">
        <v>361</v>
      </c>
    </row>
    <row r="5689" spans="1:9" x14ac:dyDescent="0.25">
      <c r="A5689" s="1">
        <f t="shared" si="901"/>
        <v>45575</v>
      </c>
      <c r="B5689" s="31">
        <f>TIME(14,49,0)</f>
        <v>0.61736111111111114</v>
      </c>
      <c r="C5689" t="str">
        <f>'Inventory as of 12th Aug 2024'!A231</f>
        <v>Patco</v>
      </c>
      <c r="D5689">
        <v>4</v>
      </c>
      <c r="E5689" s="5">
        <f>Table4[[#This Row],[qty]]*(VLOOKUP(Table4[[#This Row],[item_sold]],Table1[],5,FALSE))</f>
        <v>10</v>
      </c>
      <c r="F5689" s="5">
        <f>(VLOOKUP(Table4[[#This Row],[item_sold]],Table1[],4,FALSE))*Table4[[#This Row],[qty]]</f>
        <v>4.8</v>
      </c>
      <c r="G5689">
        <f t="shared" si="905"/>
        <v>5.2</v>
      </c>
      <c r="H5689" t="s">
        <v>247</v>
      </c>
    </row>
    <row r="5690" spans="1:9" x14ac:dyDescent="0.25">
      <c r="A5690" s="1">
        <f t="shared" si="901"/>
        <v>45575</v>
      </c>
      <c r="B5690" s="31">
        <f t="shared" ref="B5690:B5691" si="917">TIME(14,49,0)</f>
        <v>0.61736111111111114</v>
      </c>
      <c r="C5690" t="str">
        <f>'Inventory as of 12th Aug 2024'!A41</f>
        <v>Indomie beef</v>
      </c>
      <c r="D5690">
        <v>1</v>
      </c>
      <c r="E5690" s="5">
        <f>Table4[[#This Row],[qty]]*(VLOOKUP(Table4[[#This Row],[item_sold]],Table1[],5,FALSE))</f>
        <v>50</v>
      </c>
      <c r="F5690" s="5">
        <f>(VLOOKUP(Table4[[#This Row],[item_sold]],Table1[],4,FALSE))*Table4[[#This Row],[qty]]</f>
        <v>38</v>
      </c>
      <c r="G5690">
        <f t="shared" si="905"/>
        <v>12</v>
      </c>
      <c r="H5690" t="s">
        <v>247</v>
      </c>
    </row>
    <row r="5691" spans="1:9" x14ac:dyDescent="0.25">
      <c r="A5691" s="1">
        <f t="shared" si="901"/>
        <v>45575</v>
      </c>
      <c r="B5691" s="31">
        <f t="shared" si="917"/>
        <v>0.61736111111111114</v>
      </c>
      <c r="C5691" t="str">
        <f>'Inventory as of 12th Aug 2024'!A58</f>
        <v>Safari</v>
      </c>
      <c r="D5691">
        <v>3</v>
      </c>
      <c r="E5691" s="5">
        <f>Table4[[#This Row],[qty]]*(VLOOKUP(Table4[[#This Row],[item_sold]],Table1[],5,FALSE))</f>
        <v>45</v>
      </c>
      <c r="F5691" s="5">
        <f>(VLOOKUP(Table4[[#This Row],[item_sold]],Table1[],4,FALSE))*Table4[[#This Row],[qty]]</f>
        <v>25.5</v>
      </c>
      <c r="G5691">
        <f t="shared" si="905"/>
        <v>19.5</v>
      </c>
      <c r="H5691" t="s">
        <v>430</v>
      </c>
      <c r="I5691" t="s">
        <v>391</v>
      </c>
    </row>
    <row r="5692" spans="1:9" x14ac:dyDescent="0.25">
      <c r="A5692" s="1">
        <f t="shared" si="901"/>
        <v>45575</v>
      </c>
      <c r="B5692" s="31">
        <f>TIME(14,50,0)</f>
        <v>0.61805555555555558</v>
      </c>
      <c r="C5692" t="str">
        <f>'Inventory as of 12th Aug 2024'!A35</f>
        <v>Festive 600g</v>
      </c>
      <c r="D5692">
        <v>1</v>
      </c>
      <c r="E5692" s="5">
        <f>Table4[[#This Row],[qty]]*(VLOOKUP(Table4[[#This Row],[item_sold]],Table1[],5,FALSE))</f>
        <v>100</v>
      </c>
      <c r="F5692" s="5">
        <f>(VLOOKUP(Table4[[#This Row],[item_sold]],Table1[],4,FALSE))*Table4[[#This Row],[qty]]</f>
        <v>90</v>
      </c>
      <c r="G5692">
        <f t="shared" si="905"/>
        <v>10</v>
      </c>
      <c r="H5692" t="s">
        <v>430</v>
      </c>
      <c r="I5692" t="s">
        <v>390</v>
      </c>
    </row>
    <row r="5693" spans="1:9" x14ac:dyDescent="0.25">
      <c r="A5693" s="1">
        <f t="shared" si="901"/>
        <v>45575</v>
      </c>
      <c r="B5693" s="31">
        <f t="shared" ref="B5693:B5694" si="918">TIME(14,50,0)</f>
        <v>0.61805555555555558</v>
      </c>
      <c r="C5693" t="str">
        <f>'Inventory as of 12th Aug 2024'!A175</f>
        <v>Coconut Cakes</v>
      </c>
      <c r="D5693">
        <v>3</v>
      </c>
      <c r="E5693" s="5">
        <f>Table4[[#This Row],[qty]]*(VLOOKUP(Table4[[#This Row],[item_sold]],Table1[],5,FALSE))</f>
        <v>30</v>
      </c>
      <c r="F5693" s="5">
        <f>(VLOOKUP(Table4[[#This Row],[item_sold]],Table1[],4,FALSE))*Table4[[#This Row],[qty]]</f>
        <v>25</v>
      </c>
      <c r="G5693">
        <f t="shared" si="905"/>
        <v>5</v>
      </c>
      <c r="H5693" t="s">
        <v>430</v>
      </c>
      <c r="I5693" t="s">
        <v>390</v>
      </c>
    </row>
    <row r="5694" spans="1:9" x14ac:dyDescent="0.25">
      <c r="A5694" s="1">
        <f t="shared" si="901"/>
        <v>45575</v>
      </c>
      <c r="B5694" s="31">
        <f t="shared" si="918"/>
        <v>0.61805555555555558</v>
      </c>
      <c r="C5694" t="str">
        <f>'Inventory as of 12th Aug 2024'!A207</f>
        <v>soda 350ml plastic</v>
      </c>
      <c r="D5694">
        <v>1</v>
      </c>
      <c r="E5694" s="5">
        <f>Table4[[#This Row],[qty]]*(VLOOKUP(Table4[[#This Row],[item_sold]],Table1[],5,FALSE))</f>
        <v>50</v>
      </c>
      <c r="F5694" s="5">
        <f>(VLOOKUP(Table4[[#This Row],[item_sold]],Table1[],4,FALSE))*Table4[[#This Row],[qty]]</f>
        <v>41.666666666666664</v>
      </c>
      <c r="G5694">
        <f t="shared" si="905"/>
        <v>8.3333333333333357</v>
      </c>
      <c r="H5694" t="s">
        <v>430</v>
      </c>
      <c r="I5694" t="s">
        <v>390</v>
      </c>
    </row>
    <row r="5695" spans="1:9" x14ac:dyDescent="0.25">
      <c r="A5695" s="1">
        <f t="shared" si="901"/>
        <v>45575</v>
      </c>
      <c r="B5695" s="31">
        <f>TIME(14,51,0)</f>
        <v>0.61875000000000002</v>
      </c>
      <c r="C5695" t="str">
        <f>'Inventory as of 12th Aug 2024'!A33</f>
        <v>BB Bread 400g</v>
      </c>
      <c r="D5695">
        <v>1</v>
      </c>
      <c r="E5695" s="5">
        <f>Table4[[#This Row],[qty]]*(VLOOKUP(Table4[[#This Row],[item_sold]],Table1[],5,FALSE))</f>
        <v>65</v>
      </c>
      <c r="F5695" s="5">
        <f>(VLOOKUP(Table4[[#This Row],[item_sold]],Table1[],4,FALSE))*Table4[[#This Row],[qty]]</f>
        <v>60</v>
      </c>
      <c r="G5695">
        <f t="shared" si="905"/>
        <v>5</v>
      </c>
      <c r="H5695" t="s">
        <v>594</v>
      </c>
      <c r="I5695" t="s">
        <v>451</v>
      </c>
    </row>
    <row r="5696" spans="1:9" x14ac:dyDescent="0.25">
      <c r="A5696" s="1">
        <f t="shared" si="901"/>
        <v>45575</v>
      </c>
      <c r="B5696" s="31">
        <f>TIME(14,51,0)</f>
        <v>0.61875000000000002</v>
      </c>
      <c r="C5696" t="str">
        <f>'Inventory as of 12th Aug 2024'!A16</f>
        <v>Mt kenya milk 500ml</v>
      </c>
      <c r="D5696">
        <v>2</v>
      </c>
      <c r="E5696" s="5">
        <f>Table4[[#This Row],[qty]]*(VLOOKUP(Table4[[#This Row],[item_sold]],Table1[],5,FALSE))</f>
        <v>130</v>
      </c>
      <c r="F5696" s="5">
        <f>(VLOOKUP(Table4[[#This Row],[item_sold]],Table1[],4,FALSE))*Table4[[#This Row],[qty]]</f>
        <v>96.666666666666671</v>
      </c>
      <c r="G5696">
        <f t="shared" si="905"/>
        <v>33.333333333333329</v>
      </c>
      <c r="H5696" t="s">
        <v>594</v>
      </c>
      <c r="I5696" t="s">
        <v>451</v>
      </c>
    </row>
    <row r="5697" spans="1:9" x14ac:dyDescent="0.25">
      <c r="A5697" s="1">
        <f t="shared" si="901"/>
        <v>45575</v>
      </c>
      <c r="B5697" s="31">
        <f>TIME(16,0,0)</f>
        <v>0.66666666666666663</v>
      </c>
      <c r="C5697" t="str">
        <f>'Inventory as of 12th Aug 2024'!A199</f>
        <v>Kdf</v>
      </c>
      <c r="D5697">
        <v>6</v>
      </c>
      <c r="E5697" s="5">
        <f>Table4[[#This Row],[qty]]*(VLOOKUP(Table4[[#This Row],[item_sold]],Table1[],5,FALSE))</f>
        <v>60</v>
      </c>
      <c r="F5697" s="5">
        <f>(VLOOKUP(Table4[[#This Row],[item_sold]],Table1[],4,FALSE))*Table4[[#This Row],[qty]]</f>
        <v>50</v>
      </c>
      <c r="G5697">
        <f t="shared" si="905"/>
        <v>10</v>
      </c>
      <c r="H5697" t="s">
        <v>361</v>
      </c>
    </row>
    <row r="5698" spans="1:9" x14ac:dyDescent="0.25">
      <c r="A5698" s="1">
        <f t="shared" si="901"/>
        <v>45575</v>
      </c>
      <c r="B5698" s="31">
        <f t="shared" ref="B5698" si="919">TIME(16,0,0)</f>
        <v>0.66666666666666663</v>
      </c>
      <c r="C5698" s="25"/>
      <c r="D5698">
        <v>1</v>
      </c>
      <c r="E5698" s="5" t="e">
        <f>Table4[[#This Row],[qty]]*(VLOOKUP(Table4[[#This Row],[item_sold]],Table1[],5,FALSE))</f>
        <v>#N/A</v>
      </c>
      <c r="F5698" s="5" t="e">
        <f>(VLOOKUP(Table4[[#This Row],[item_sold]],Table1[],4,FALSE))*Table4[[#This Row],[qty]]</f>
        <v>#N/A</v>
      </c>
      <c r="G5698" t="e">
        <f t="shared" si="905"/>
        <v>#N/A</v>
      </c>
      <c r="H5698" t="s">
        <v>361</v>
      </c>
    </row>
    <row r="5699" spans="1:9" x14ac:dyDescent="0.25">
      <c r="A5699" s="1">
        <f t="shared" si="901"/>
        <v>45575</v>
      </c>
      <c r="B5699" s="31">
        <f>TIME(16,13,0)</f>
        <v>0.67569444444444438</v>
      </c>
      <c r="C5699" t="str">
        <f>'Inventory as of 12th Aug 2024'!A200</f>
        <v>Ngumu</v>
      </c>
      <c r="D5699">
        <v>3</v>
      </c>
      <c r="E5699" s="5">
        <f>Table4[[#This Row],[qty]]*(VLOOKUP(Table4[[#This Row],[item_sold]],Table1[],5,FALSE))</f>
        <v>30</v>
      </c>
      <c r="F5699" s="5">
        <f>(VLOOKUP(Table4[[#This Row],[item_sold]],Table1[],4,FALSE))*Table4[[#This Row],[qty]]</f>
        <v>25</v>
      </c>
      <c r="G5699">
        <f t="shared" si="905"/>
        <v>5</v>
      </c>
      <c r="H5699" t="s">
        <v>361</v>
      </c>
    </row>
    <row r="5700" spans="1:9" x14ac:dyDescent="0.25">
      <c r="A5700" s="1">
        <f t="shared" si="901"/>
        <v>45575</v>
      </c>
      <c r="B5700" s="31">
        <f t="shared" ref="B5700" si="920">TIME(16,13,0)</f>
        <v>0.67569444444444438</v>
      </c>
      <c r="C5700" t="str">
        <f>'Inventory as of 12th Aug 2024'!A58</f>
        <v>Safari</v>
      </c>
      <c r="D5700">
        <v>1</v>
      </c>
      <c r="E5700" s="5">
        <f>Table4[[#This Row],[qty]]*(VLOOKUP(Table4[[#This Row],[item_sold]],Table1[],5,FALSE))</f>
        <v>15</v>
      </c>
      <c r="F5700" s="5">
        <f>(VLOOKUP(Table4[[#This Row],[item_sold]],Table1[],4,FALSE))*Table4[[#This Row],[qty]]</f>
        <v>8.5</v>
      </c>
      <c r="G5700">
        <f t="shared" si="905"/>
        <v>6.5</v>
      </c>
      <c r="H5700" t="s">
        <v>361</v>
      </c>
    </row>
    <row r="5701" spans="1:9" x14ac:dyDescent="0.25">
      <c r="A5701" s="1">
        <f t="shared" si="901"/>
        <v>45575</v>
      </c>
      <c r="B5701" s="31">
        <f>TIME(16,34,0)</f>
        <v>0.69027777777777777</v>
      </c>
      <c r="C5701" t="str">
        <f>'Inventory as of 12th Aug 2024'!A199</f>
        <v>Kdf</v>
      </c>
      <c r="D5701">
        <v>2</v>
      </c>
      <c r="E5701" s="5">
        <f>Table4[[#This Row],[qty]]*(VLOOKUP(Table4[[#This Row],[item_sold]],Table1[],5,FALSE))</f>
        <v>20</v>
      </c>
      <c r="F5701" s="5">
        <f>(VLOOKUP(Table4[[#This Row],[item_sold]],Table1[],4,FALSE))*Table4[[#This Row],[qty]]</f>
        <v>16.666666666666668</v>
      </c>
      <c r="G5701">
        <f t="shared" si="905"/>
        <v>3.3333333333333321</v>
      </c>
      <c r="H5701" t="s">
        <v>361</v>
      </c>
    </row>
    <row r="5702" spans="1:9" x14ac:dyDescent="0.25">
      <c r="A5702" s="1">
        <f t="shared" ref="A5702:A5713" si="921">DATE(2024,10,10)</f>
        <v>45575</v>
      </c>
      <c r="B5702" s="31">
        <f>TIME(17,22,0)</f>
        <v>0.72361111111111109</v>
      </c>
      <c r="C5702" t="str">
        <f>'Inventory as of 12th Aug 2024'!A136</f>
        <v>Poa Pekee Tissue</v>
      </c>
      <c r="D5702">
        <v>2</v>
      </c>
      <c r="E5702" s="5">
        <f>Table4[[#This Row],[qty]]*(VLOOKUP(Table4[[#This Row],[item_sold]],Table1[],5,FALSE))</f>
        <v>60</v>
      </c>
      <c r="F5702" s="5">
        <f>(VLOOKUP(Table4[[#This Row],[item_sold]],Table1[],4,FALSE))*Table4[[#This Row],[qty]]</f>
        <v>26.666666666666668</v>
      </c>
      <c r="G5702">
        <f t="shared" si="905"/>
        <v>33.333333333333329</v>
      </c>
      <c r="H5702" t="s">
        <v>361</v>
      </c>
    </row>
    <row r="5703" spans="1:9" x14ac:dyDescent="0.25">
      <c r="A5703" s="1">
        <f t="shared" si="921"/>
        <v>45575</v>
      </c>
      <c r="B5703" s="31">
        <f>TIME(18,33,0)</f>
        <v>0.7729166666666667</v>
      </c>
      <c r="C5703" s="25"/>
      <c r="D5703">
        <v>1</v>
      </c>
      <c r="E5703" s="5" t="e">
        <f>Table4[[#This Row],[qty]]*(VLOOKUP(Table4[[#This Row],[item_sold]],Table1[],5,FALSE))</f>
        <v>#N/A</v>
      </c>
      <c r="F5703" s="5" t="e">
        <f>(VLOOKUP(Table4[[#This Row],[item_sold]],Table1[],4,FALSE))*Table4[[#This Row],[qty]]</f>
        <v>#N/A</v>
      </c>
      <c r="G5703" t="e">
        <f t="shared" si="905"/>
        <v>#N/A</v>
      </c>
      <c r="H5703" t="s">
        <v>430</v>
      </c>
      <c r="I5703" t="s">
        <v>385</v>
      </c>
    </row>
    <row r="5704" spans="1:9" x14ac:dyDescent="0.25">
      <c r="A5704" s="1">
        <f t="shared" si="921"/>
        <v>45575</v>
      </c>
      <c r="B5704" s="31">
        <f>TIME(18,55,0)</f>
        <v>0.78819444444444453</v>
      </c>
      <c r="C5704" t="str">
        <f>'Inventory as of 12th Aug 2024'!A92</f>
        <v>Banana</v>
      </c>
      <c r="D5704">
        <v>2</v>
      </c>
      <c r="E5704" s="5">
        <f>Table4[[#This Row],[qty]]*(VLOOKUP(Table4[[#This Row],[item_sold]],Table1[],5,FALSE))</f>
        <v>20</v>
      </c>
      <c r="F5704" s="5">
        <f>(VLOOKUP(Table4[[#This Row],[item_sold]],Table1[],4,FALSE))*Table4[[#This Row],[qty]]</f>
        <v>16.666666666666668</v>
      </c>
      <c r="G5704">
        <f t="shared" si="905"/>
        <v>3.3333333333333321</v>
      </c>
      <c r="H5704" t="s">
        <v>247</v>
      </c>
    </row>
    <row r="5705" spans="1:9" x14ac:dyDescent="0.25">
      <c r="A5705" s="1">
        <f t="shared" si="921"/>
        <v>45575</v>
      </c>
      <c r="B5705" s="31">
        <f t="shared" ref="B5705" si="922">TIME(18,55,0)</f>
        <v>0.78819444444444453</v>
      </c>
      <c r="C5705" t="str">
        <f>'Inventory as of 12th Aug 2024'!A9</f>
        <v>Kinangop Fresh Milk 500ml</v>
      </c>
      <c r="D5705">
        <v>1</v>
      </c>
      <c r="E5705" s="5">
        <f>Table4[[#This Row],[qty]]*(VLOOKUP(Table4[[#This Row],[item_sold]],Table1[],5,FALSE))</f>
        <v>60</v>
      </c>
      <c r="F5705" s="5">
        <f>(VLOOKUP(Table4[[#This Row],[item_sold]],Table1[],4,FALSE))*Table4[[#This Row],[qty]]</f>
        <v>55</v>
      </c>
      <c r="G5705">
        <f t="shared" si="905"/>
        <v>5</v>
      </c>
      <c r="H5705" t="s">
        <v>247</v>
      </c>
    </row>
    <row r="5706" spans="1:9" x14ac:dyDescent="0.25">
      <c r="A5706" s="1">
        <f t="shared" si="921"/>
        <v>45575</v>
      </c>
      <c r="B5706" s="31">
        <f>TIME(19,0,0)</f>
        <v>0.79166666666666663</v>
      </c>
      <c r="C5706" t="str">
        <f>'Inventory as of 12th Aug 2024'!A91</f>
        <v>Tomatoes</v>
      </c>
      <c r="D5706">
        <v>3</v>
      </c>
      <c r="E5706" s="5">
        <f>Table4[[#This Row],[qty]]*(VLOOKUP(Table4[[#This Row],[item_sold]],Table1[],5,FALSE))</f>
        <v>30</v>
      </c>
      <c r="F5706" s="5">
        <f>(VLOOKUP(Table4[[#This Row],[item_sold]],Table1[],4,FALSE))*Table4[[#This Row],[qty]]</f>
        <v>15</v>
      </c>
      <c r="G5706">
        <f t="shared" si="905"/>
        <v>15</v>
      </c>
      <c r="H5706" t="s">
        <v>430</v>
      </c>
      <c r="I5706" t="s">
        <v>443</v>
      </c>
    </row>
    <row r="5707" spans="1:9" x14ac:dyDescent="0.25">
      <c r="A5707" s="1">
        <f t="shared" si="921"/>
        <v>45575</v>
      </c>
      <c r="B5707" s="31">
        <f>TIME(19,7,0)</f>
        <v>0.79652777777777783</v>
      </c>
      <c r="C5707" t="str">
        <f>'Inventory as of 12th Aug 2024'!A58</f>
        <v>Safari</v>
      </c>
      <c r="D5707">
        <v>1</v>
      </c>
      <c r="E5707" s="5">
        <f>Table4[[#This Row],[qty]]*(VLOOKUP(Table4[[#This Row],[item_sold]],Table1[],5,FALSE))</f>
        <v>15</v>
      </c>
      <c r="F5707" s="5">
        <f>(VLOOKUP(Table4[[#This Row],[item_sold]],Table1[],4,FALSE))*Table4[[#This Row],[qty]]</f>
        <v>8.5</v>
      </c>
      <c r="G5707">
        <f t="shared" si="905"/>
        <v>6.5</v>
      </c>
      <c r="H5707" t="s">
        <v>361</v>
      </c>
    </row>
    <row r="5708" spans="1:9" x14ac:dyDescent="0.25">
      <c r="A5708" s="1">
        <f t="shared" si="921"/>
        <v>45575</v>
      </c>
      <c r="B5708" s="31">
        <f>TIME(19,17,0)</f>
        <v>0.80347222222222225</v>
      </c>
      <c r="C5708" t="str">
        <f>'Inventory as of 12th Aug 2024'!A142</f>
        <v>Colgate Herbal 70g</v>
      </c>
      <c r="D5708">
        <v>1</v>
      </c>
      <c r="E5708" s="5">
        <f>Table4[[#This Row],[qty]]*(VLOOKUP(Table4[[#This Row],[item_sold]],Table1[],5,FALSE))</f>
        <v>160</v>
      </c>
      <c r="F5708" s="5">
        <f>(VLOOKUP(Table4[[#This Row],[item_sold]],Table1[],4,FALSE))*Table4[[#This Row],[qty]]</f>
        <v>133.33333333333334</v>
      </c>
      <c r="G5708">
        <f t="shared" si="905"/>
        <v>26.666666666666657</v>
      </c>
      <c r="H5708" s="25" t="s">
        <v>247</v>
      </c>
    </row>
    <row r="5709" spans="1:9" x14ac:dyDescent="0.25">
      <c r="A5709" s="1">
        <f t="shared" si="921"/>
        <v>45575</v>
      </c>
      <c r="B5709" s="31">
        <f t="shared" ref="B5709" si="923">TIME(19,17,0)</f>
        <v>0.80347222222222225</v>
      </c>
      <c r="C5709" t="str">
        <f>'Inventory as of 12th Aug 2024'!A79</f>
        <v xml:space="preserve">Whitewash </v>
      </c>
      <c r="D5709">
        <v>1</v>
      </c>
      <c r="E5709" s="5">
        <f>Table4[[#This Row],[qty]]*(VLOOKUP(Table4[[#This Row],[item_sold]],Table1[],5,FALSE))</f>
        <v>50</v>
      </c>
      <c r="F5709" s="5">
        <f>(VLOOKUP(Table4[[#This Row],[item_sold]],Table1[],4,FALSE))*Table4[[#This Row],[qty]]</f>
        <v>33.75</v>
      </c>
      <c r="G5709">
        <f t="shared" si="905"/>
        <v>16.25</v>
      </c>
      <c r="H5709" s="25" t="s">
        <v>361</v>
      </c>
    </row>
    <row r="5710" spans="1:9" x14ac:dyDescent="0.25">
      <c r="A5710" s="1">
        <f t="shared" si="921"/>
        <v>45575</v>
      </c>
      <c r="B5710" s="31">
        <f>TIME(19,48,0)</f>
        <v>0.82500000000000007</v>
      </c>
      <c r="C5710" t="str">
        <f>'Inventory as of 12th Aug 2024'!A211</f>
        <v>predator</v>
      </c>
      <c r="D5710">
        <v>1</v>
      </c>
      <c r="E5710" s="5">
        <f>Table4[[#This Row],[qty]]*(VLOOKUP(Table4[[#This Row],[item_sold]],Table1[],5,FALSE))</f>
        <v>70</v>
      </c>
      <c r="F5710" s="5">
        <f>(VLOOKUP(Table4[[#This Row],[item_sold]],Table1[],4,FALSE))*Table4[[#This Row],[qty]]</f>
        <v>54.166666666666664</v>
      </c>
      <c r="G5710">
        <f t="shared" si="905"/>
        <v>15.833333333333336</v>
      </c>
      <c r="H5710" t="s">
        <v>361</v>
      </c>
    </row>
    <row r="5711" spans="1:9" x14ac:dyDescent="0.25">
      <c r="A5711" s="1">
        <f t="shared" si="921"/>
        <v>45575</v>
      </c>
      <c r="B5711" s="31">
        <f>TIME(20,35,0)</f>
        <v>0.85763888888888884</v>
      </c>
      <c r="C5711" t="str">
        <f>'Inventory as of 12th Aug 2024'!A37</f>
        <v>Festive Bread 400g</v>
      </c>
      <c r="D5711">
        <v>1</v>
      </c>
      <c r="E5711" s="5">
        <f>Table4[[#This Row],[qty]]*(VLOOKUP(Table4[[#This Row],[item_sold]],Table1[],5,FALSE))</f>
        <v>65</v>
      </c>
      <c r="F5711" s="5">
        <f>(VLOOKUP(Table4[[#This Row],[item_sold]],Table1[],4,FALSE))*Table4[[#This Row],[qty]]</f>
        <v>60</v>
      </c>
      <c r="G5711">
        <f t="shared" si="905"/>
        <v>5</v>
      </c>
      <c r="H5711" t="s">
        <v>247</v>
      </c>
    </row>
    <row r="5712" spans="1:9" x14ac:dyDescent="0.25">
      <c r="A5712" s="1">
        <f t="shared" si="921"/>
        <v>45575</v>
      </c>
      <c r="B5712" s="31">
        <f>TIME(20,35,0)</f>
        <v>0.85763888888888884</v>
      </c>
      <c r="C5712" t="str">
        <f>'Inventory as of 12th Aug 2024'!A191</f>
        <v>Nuvita Bisquit</v>
      </c>
      <c r="D5712">
        <v>1</v>
      </c>
      <c r="E5712" s="5">
        <f>Table4[[#This Row],[qty]]*(VLOOKUP(Table4[[#This Row],[item_sold]],Table1[],5,FALSE))</f>
        <v>5</v>
      </c>
      <c r="F5712" s="5">
        <f>(VLOOKUP(Table4[[#This Row],[item_sold]],Table1[],4,FALSE))*Table4[[#This Row],[qty]]</f>
        <v>4.166666666666667</v>
      </c>
      <c r="G5712">
        <f t="shared" si="905"/>
        <v>0.83333333333333304</v>
      </c>
      <c r="H5712" t="s">
        <v>247</v>
      </c>
    </row>
    <row r="5713" spans="1:12" x14ac:dyDescent="0.25">
      <c r="A5713" s="1">
        <f t="shared" si="921"/>
        <v>45575</v>
      </c>
      <c r="B5713" s="31">
        <f>TIME(21,0,0)</f>
        <v>0.875</v>
      </c>
      <c r="C5713" t="str">
        <f>'Inventory as of 12th Aug 2024'!A193</f>
        <v>Ginger Bisquit</v>
      </c>
      <c r="D5713">
        <v>2</v>
      </c>
      <c r="E5713" s="5">
        <f>Table4[[#This Row],[qty]]*(VLOOKUP(Table4[[#This Row],[item_sold]],Table1[],5,FALSE))</f>
        <v>10</v>
      </c>
      <c r="F5713" s="5">
        <f>(VLOOKUP(Table4[[#This Row],[item_sold]],Table1[],4,FALSE))*Table4[[#This Row],[qty]]</f>
        <v>8.6666666666666661</v>
      </c>
      <c r="G5713">
        <f t="shared" si="905"/>
        <v>1.3333333333333339</v>
      </c>
      <c r="H5713" t="s">
        <v>430</v>
      </c>
      <c r="I5713" t="s">
        <v>419</v>
      </c>
    </row>
    <row r="5714" spans="1:12" x14ac:dyDescent="0.25">
      <c r="A5714" s="1">
        <f>DATE(2024,10,11)</f>
        <v>45576</v>
      </c>
      <c r="B5714" s="31">
        <f>TIME(7,26,0)</f>
        <v>0.30972222222222223</v>
      </c>
      <c r="C5714" t="str">
        <f>'Inventory as of 12th Aug 2024'!A107</f>
        <v>Match Box</v>
      </c>
      <c r="D5714">
        <v>1</v>
      </c>
      <c r="E5714" s="5">
        <f>Table4[[#This Row],[qty]]*(VLOOKUP(Table4[[#This Row],[item_sold]],Table1[],5,FALSE))</f>
        <v>5</v>
      </c>
      <c r="F5714" s="5">
        <f>(VLOOKUP(Table4[[#This Row],[item_sold]],Table1[],4,FALSE))*Table4[[#This Row],[qty]]</f>
        <v>2.3611111111111112</v>
      </c>
      <c r="G5714">
        <f t="shared" si="905"/>
        <v>2.6388888888888888</v>
      </c>
      <c r="H5714" t="s">
        <v>361</v>
      </c>
    </row>
    <row r="5715" spans="1:12" x14ac:dyDescent="0.25">
      <c r="A5715" s="1">
        <f t="shared" ref="A5715:A5763" si="924">DATE(2024,10,11)</f>
        <v>45576</v>
      </c>
      <c r="B5715" s="31">
        <f>TIME(7,39,0)</f>
        <v>0.31875000000000003</v>
      </c>
      <c r="C5715" t="str">
        <f>'Inventory as of 12th Aug 2024'!A58</f>
        <v>Safari</v>
      </c>
      <c r="D5715">
        <v>1</v>
      </c>
      <c r="E5715" s="5">
        <f>Table4[[#This Row],[qty]]*(VLOOKUP(Table4[[#This Row],[item_sold]],Table1[],5,FALSE))</f>
        <v>15</v>
      </c>
      <c r="F5715" s="5">
        <f>(VLOOKUP(Table4[[#This Row],[item_sold]],Table1[],4,FALSE))*Table4[[#This Row],[qty]]</f>
        <v>8.5</v>
      </c>
      <c r="G5715">
        <f t="shared" si="905"/>
        <v>6.5</v>
      </c>
      <c r="H5715" t="s">
        <v>361</v>
      </c>
    </row>
    <row r="5716" spans="1:12" x14ac:dyDescent="0.25">
      <c r="A5716" s="1">
        <f t="shared" si="924"/>
        <v>45576</v>
      </c>
      <c r="B5716" s="31">
        <f>TIME(8,26,0)</f>
        <v>0.35138888888888892</v>
      </c>
      <c r="C5716" t="str">
        <f>'Inventory as of 12th Aug 2024'!A83</f>
        <v>omo 75g</v>
      </c>
      <c r="D5716">
        <v>1</v>
      </c>
      <c r="E5716" s="5">
        <f>Table4[[#This Row],[qty]]*(VLOOKUP(Table4[[#This Row],[item_sold]],Table1[],5,FALSE))</f>
        <v>35</v>
      </c>
      <c r="F5716" s="5">
        <f>(VLOOKUP(Table4[[#This Row],[item_sold]],Table1[],4,FALSE))*Table4[[#This Row],[qty]]</f>
        <v>27.5</v>
      </c>
      <c r="G5716">
        <f t="shared" ref="G5716:G5779" si="925">E5716-F5716</f>
        <v>7.5</v>
      </c>
      <c r="H5716" t="s">
        <v>361</v>
      </c>
    </row>
    <row r="5717" spans="1:12" x14ac:dyDescent="0.25">
      <c r="A5717" s="1">
        <f t="shared" si="924"/>
        <v>45576</v>
      </c>
      <c r="B5717" s="31">
        <f t="shared" ref="B5717" si="926">TIME(8,26,0)</f>
        <v>0.35138888888888892</v>
      </c>
      <c r="C5717" t="str">
        <f>'Inventory as of 12th Aug 2024'!A91</f>
        <v>Tomatoes</v>
      </c>
      <c r="D5717">
        <v>1</v>
      </c>
      <c r="E5717" s="5">
        <f>Table4[[#This Row],[qty]]*(VLOOKUP(Table4[[#This Row],[item_sold]],Table1[],5,FALSE))</f>
        <v>10</v>
      </c>
      <c r="F5717" s="5">
        <f>(VLOOKUP(Table4[[#This Row],[item_sold]],Table1[],4,FALSE))*Table4[[#This Row],[qty]]</f>
        <v>5</v>
      </c>
      <c r="G5717">
        <f t="shared" si="925"/>
        <v>5</v>
      </c>
      <c r="H5717" t="s">
        <v>430</v>
      </c>
      <c r="I5717" t="s">
        <v>427</v>
      </c>
    </row>
    <row r="5718" spans="1:12" x14ac:dyDescent="0.25">
      <c r="A5718" s="1">
        <f t="shared" si="924"/>
        <v>45576</v>
      </c>
      <c r="B5718" s="31">
        <f>TIME(8,32,0)</f>
        <v>0.35555555555555557</v>
      </c>
      <c r="C5718" s="25"/>
      <c r="D5718">
        <v>1</v>
      </c>
      <c r="E5718" s="5" t="e">
        <f>Table4[[#This Row],[qty]]*(VLOOKUP(Table4[[#This Row],[item_sold]],Table1[],5,FALSE))</f>
        <v>#N/A</v>
      </c>
      <c r="F5718" s="5" t="e">
        <f>(VLOOKUP(Table4[[#This Row],[item_sold]],Table1[],4,FALSE))*Table4[[#This Row],[qty]]</f>
        <v>#N/A</v>
      </c>
      <c r="G5718" t="e">
        <f t="shared" si="925"/>
        <v>#N/A</v>
      </c>
      <c r="H5718" t="s">
        <v>361</v>
      </c>
    </row>
    <row r="5719" spans="1:12" x14ac:dyDescent="0.25">
      <c r="A5719" s="1">
        <f t="shared" si="924"/>
        <v>45576</v>
      </c>
      <c r="B5719" s="31">
        <f t="shared" ref="B5719:B5722" si="927">TIME(8,32,0)</f>
        <v>0.35555555555555557</v>
      </c>
      <c r="C5719" t="str">
        <f>'Inventory as of 12th Aug 2024'!A187</f>
        <v>Njugu</v>
      </c>
      <c r="D5719">
        <v>2</v>
      </c>
      <c r="E5719" s="5">
        <f>Table4[[#This Row],[qty]]*(VLOOKUP(Table4[[#This Row],[item_sold]],Table1[],5,FALSE))</f>
        <v>40</v>
      </c>
      <c r="F5719" s="5">
        <f>(VLOOKUP(Table4[[#This Row],[item_sold]],Table1[],4,FALSE))*Table4[[#This Row],[qty]]</f>
        <v>21.333333333333332</v>
      </c>
      <c r="G5719">
        <f t="shared" si="925"/>
        <v>18.666666666666668</v>
      </c>
      <c r="H5719" t="s">
        <v>361</v>
      </c>
    </row>
    <row r="5720" spans="1:12" x14ac:dyDescent="0.25">
      <c r="A5720" s="1">
        <f t="shared" si="924"/>
        <v>45576</v>
      </c>
      <c r="B5720" s="31">
        <f t="shared" si="927"/>
        <v>0.35555555555555557</v>
      </c>
      <c r="C5720" t="str">
        <f>'Inventory as of 12th Aug 2024'!A92</f>
        <v>Banana</v>
      </c>
      <c r="D5720">
        <v>2</v>
      </c>
      <c r="E5720" s="5">
        <f>Table4[[#This Row],[qty]]*(VLOOKUP(Table4[[#This Row],[item_sold]],Table1[],5,FALSE))</f>
        <v>20</v>
      </c>
      <c r="F5720" s="5">
        <f>(VLOOKUP(Table4[[#This Row],[item_sold]],Table1[],4,FALSE))*Table4[[#This Row],[qty]]</f>
        <v>16.666666666666668</v>
      </c>
      <c r="G5720">
        <f t="shared" si="925"/>
        <v>3.3333333333333321</v>
      </c>
      <c r="H5720" t="s">
        <v>361</v>
      </c>
    </row>
    <row r="5721" spans="1:12" x14ac:dyDescent="0.25">
      <c r="A5721" s="1">
        <f t="shared" si="924"/>
        <v>45576</v>
      </c>
      <c r="B5721" s="31">
        <f t="shared" si="927"/>
        <v>0.35555555555555557</v>
      </c>
      <c r="C5721" t="str">
        <f>'Inventory as of 12th Aug 2024'!A207</f>
        <v>soda 350ml plastic</v>
      </c>
      <c r="D5721">
        <v>1</v>
      </c>
      <c r="E5721" s="5">
        <f>Table4[[#This Row],[qty]]*(VLOOKUP(Table4[[#This Row],[item_sold]],Table1[],5,FALSE))</f>
        <v>50</v>
      </c>
      <c r="F5721" s="5">
        <f>(VLOOKUP(Table4[[#This Row],[item_sold]],Table1[],4,FALSE))*Table4[[#This Row],[qty]]</f>
        <v>41.666666666666664</v>
      </c>
      <c r="G5721">
        <f t="shared" si="925"/>
        <v>8.3333333333333357</v>
      </c>
      <c r="H5721" t="s">
        <v>247</v>
      </c>
    </row>
    <row r="5722" spans="1:12" x14ac:dyDescent="0.25">
      <c r="A5722" s="1">
        <f t="shared" si="924"/>
        <v>45576</v>
      </c>
      <c r="B5722" s="31">
        <f t="shared" si="927"/>
        <v>0.35555555555555557</v>
      </c>
      <c r="C5722" t="str">
        <f>'Inventory as of 12th Aug 2024'!A238</f>
        <v>Tropical</v>
      </c>
      <c r="D5722">
        <v>2</v>
      </c>
      <c r="E5722" s="5">
        <f>Table4[[#This Row],[qty]]*(VLOOKUP(Table4[[#This Row],[item_sold]],Table1[],5,FALSE))</f>
        <v>10</v>
      </c>
      <c r="F5722" s="5">
        <f>(VLOOKUP(Table4[[#This Row],[item_sold]],Table1[],4,FALSE))*Table4[[#This Row],[qty]]</f>
        <v>3</v>
      </c>
      <c r="G5722">
        <f t="shared" si="925"/>
        <v>7</v>
      </c>
      <c r="H5722" t="s">
        <v>247</v>
      </c>
    </row>
    <row r="5723" spans="1:12" x14ac:dyDescent="0.25">
      <c r="A5723" s="1">
        <f t="shared" si="924"/>
        <v>45576</v>
      </c>
      <c r="B5723" s="31">
        <f>TIME(8,59,0)</f>
        <v>0.3743055555555555</v>
      </c>
      <c r="C5723" t="str">
        <f>'Inventory as of 12th Aug 2024'!A85</f>
        <v>Downy lavender</v>
      </c>
      <c r="D5723">
        <v>2</v>
      </c>
      <c r="E5723" s="5">
        <f>Table4[[#This Row],[qty]]*(VLOOKUP(Table4[[#This Row],[item_sold]],Table1[],5,FALSE))</f>
        <v>40</v>
      </c>
      <c r="F5723" s="5">
        <f>(VLOOKUP(Table4[[#This Row],[item_sold]],Table1[],4,FALSE))*Table4[[#This Row],[qty]]</f>
        <v>34.666666666666664</v>
      </c>
      <c r="G5723">
        <f t="shared" si="925"/>
        <v>5.3333333333333357</v>
      </c>
      <c r="H5723" t="s">
        <v>430</v>
      </c>
      <c r="I5723" t="s">
        <v>395</v>
      </c>
    </row>
    <row r="5724" spans="1:12" x14ac:dyDescent="0.25">
      <c r="A5724" s="1">
        <f t="shared" si="924"/>
        <v>45576</v>
      </c>
      <c r="B5724" s="31">
        <f t="shared" ref="B5724" si="928">TIME(8,59,0)</f>
        <v>0.3743055555555555</v>
      </c>
      <c r="C5724" t="str">
        <f>'Inventory as of 12th Aug 2024'!A83</f>
        <v>omo 75g</v>
      </c>
      <c r="D5724">
        <v>1</v>
      </c>
      <c r="E5724" s="5">
        <f>Table4[[#This Row],[qty]]*(VLOOKUP(Table4[[#This Row],[item_sold]],Table1[],5,FALSE))</f>
        <v>35</v>
      </c>
      <c r="F5724" s="5">
        <f>(VLOOKUP(Table4[[#This Row],[item_sold]],Table1[],4,FALSE))*Table4[[#This Row],[qty]]</f>
        <v>27.5</v>
      </c>
      <c r="G5724">
        <f t="shared" si="925"/>
        <v>7.5</v>
      </c>
      <c r="H5724" t="s">
        <v>430</v>
      </c>
      <c r="I5724" t="s">
        <v>395</v>
      </c>
    </row>
    <row r="5725" spans="1:12" x14ac:dyDescent="0.25">
      <c r="A5725" s="1">
        <f t="shared" si="924"/>
        <v>45576</v>
      </c>
      <c r="B5725" s="31">
        <f>TIME(9,11,0)</f>
        <v>0.38263888888888892</v>
      </c>
      <c r="C5725" t="str">
        <f>'Inventory as of 12th Aug 2024'!A120</f>
        <v>Maramoja</v>
      </c>
      <c r="D5725">
        <v>5</v>
      </c>
      <c r="E5725" s="5">
        <f>Table4[[#This Row],[qty]]*(VLOOKUP(Table4[[#This Row],[item_sold]],Table1[],5,FALSE))</f>
        <v>50</v>
      </c>
      <c r="F5725" s="5">
        <f>(VLOOKUP(Table4[[#This Row],[item_sold]],Table1[],4,FALSE))*Table4[[#This Row],[qty]]</f>
        <v>35</v>
      </c>
      <c r="G5725">
        <f t="shared" si="925"/>
        <v>15</v>
      </c>
      <c r="H5725" t="s">
        <v>361</v>
      </c>
      <c r="J5725" t="s">
        <v>597</v>
      </c>
      <c r="K5725">
        <v>85</v>
      </c>
      <c r="L5725" t="s">
        <v>361</v>
      </c>
    </row>
    <row r="5726" spans="1:12" x14ac:dyDescent="0.25">
      <c r="A5726" s="1">
        <f t="shared" si="924"/>
        <v>45576</v>
      </c>
      <c r="B5726" s="31">
        <f t="shared" ref="B5726:B5728" si="929">TIME(9,11,0)</f>
        <v>0.38263888888888892</v>
      </c>
      <c r="C5726" t="str">
        <f>'Inventory as of 12th Aug 2024'!A9</f>
        <v>Kinangop Fresh Milk 500ml</v>
      </c>
      <c r="D5726">
        <v>1</v>
      </c>
      <c r="E5726" s="5">
        <f>Table4[[#This Row],[qty]]*(VLOOKUP(Table4[[#This Row],[item_sold]],Table1[],5,FALSE))</f>
        <v>60</v>
      </c>
      <c r="F5726" s="5">
        <f>(VLOOKUP(Table4[[#This Row],[item_sold]],Table1[],4,FALSE))*Table4[[#This Row],[qty]]</f>
        <v>55</v>
      </c>
      <c r="G5726">
        <f t="shared" si="925"/>
        <v>5</v>
      </c>
      <c r="H5726" t="s">
        <v>430</v>
      </c>
      <c r="I5726" t="s">
        <v>385</v>
      </c>
    </row>
    <row r="5727" spans="1:12" x14ac:dyDescent="0.25">
      <c r="A5727" s="1">
        <f t="shared" si="924"/>
        <v>45576</v>
      </c>
      <c r="B5727" s="31">
        <f t="shared" si="929"/>
        <v>0.38263888888888892</v>
      </c>
      <c r="C5727" t="str">
        <f>'Inventory as of 12th Aug 2024'!A33</f>
        <v>BB Bread 400g</v>
      </c>
      <c r="D5727">
        <v>1</v>
      </c>
      <c r="E5727" s="5">
        <f>Table4[[#This Row],[qty]]*(VLOOKUP(Table4[[#This Row],[item_sold]],Table1[],5,FALSE))</f>
        <v>65</v>
      </c>
      <c r="F5727" s="5">
        <f>(VLOOKUP(Table4[[#This Row],[item_sold]],Table1[],4,FALSE))*Table4[[#This Row],[qty]]</f>
        <v>60</v>
      </c>
      <c r="G5727">
        <f t="shared" si="925"/>
        <v>5</v>
      </c>
      <c r="H5727" t="s">
        <v>430</v>
      </c>
      <c r="I5727" t="s">
        <v>385</v>
      </c>
    </row>
    <row r="5728" spans="1:12" x14ac:dyDescent="0.25">
      <c r="A5728" s="1">
        <f t="shared" si="924"/>
        <v>45576</v>
      </c>
      <c r="B5728" s="31">
        <f t="shared" si="929"/>
        <v>0.38263888888888892</v>
      </c>
      <c r="C5728" t="str">
        <f>'Inventory as of 12th Aug 2024'!A57</f>
        <v>Sportsman</v>
      </c>
      <c r="D5728">
        <v>1</v>
      </c>
      <c r="E5728" s="5">
        <f>Table4[[#This Row],[qty]]*(VLOOKUP(Table4[[#This Row],[item_sold]],Table1[],5,FALSE))</f>
        <v>20</v>
      </c>
      <c r="F5728" s="5">
        <f>(VLOOKUP(Table4[[#This Row],[item_sold]],Table1[],4,FALSE))*Table4[[#This Row],[qty]]</f>
        <v>13</v>
      </c>
      <c r="G5728">
        <f t="shared" si="925"/>
        <v>7</v>
      </c>
      <c r="H5728" t="s">
        <v>247</v>
      </c>
    </row>
    <row r="5729" spans="1:12" x14ac:dyDescent="0.25">
      <c r="A5729" s="1">
        <f t="shared" si="924"/>
        <v>45576</v>
      </c>
      <c r="B5729" s="31">
        <f>TIME(9,42,0)</f>
        <v>0.40416666666666662</v>
      </c>
      <c r="C5729" t="str">
        <f>'Inventory as of 12th Aug 2024'!A7</f>
        <v>Airtel 50 Credit</v>
      </c>
      <c r="D5729">
        <v>1</v>
      </c>
      <c r="E5729" s="5">
        <f>Table4[[#This Row],[qty]]*(VLOOKUP(Table4[[#This Row],[item_sold]],Table1[],5,FALSE))</f>
        <v>50</v>
      </c>
      <c r="F5729" s="5">
        <f>(VLOOKUP(Table4[[#This Row],[item_sold]],Table1[],4,FALSE))*Table4[[#This Row],[qty]]</f>
        <v>47</v>
      </c>
      <c r="G5729">
        <f t="shared" si="925"/>
        <v>3</v>
      </c>
      <c r="H5729" t="s">
        <v>361</v>
      </c>
    </row>
    <row r="5730" spans="1:12" x14ac:dyDescent="0.25">
      <c r="A5730" s="1">
        <f t="shared" si="924"/>
        <v>45576</v>
      </c>
      <c r="B5730" s="31">
        <f t="shared" ref="B5730" si="930">TIME(9,42,0)</f>
        <v>0.40416666666666662</v>
      </c>
      <c r="C5730" t="str">
        <f>'Inventory as of 12th Aug 2024'!A58</f>
        <v>Safari</v>
      </c>
      <c r="D5730">
        <v>1</v>
      </c>
      <c r="E5730" s="5">
        <f>Table4[[#This Row],[qty]]*(VLOOKUP(Table4[[#This Row],[item_sold]],Table1[],5,FALSE))</f>
        <v>15</v>
      </c>
      <c r="F5730" s="5">
        <f>(VLOOKUP(Table4[[#This Row],[item_sold]],Table1[],4,FALSE))*Table4[[#This Row],[qty]]</f>
        <v>8.5</v>
      </c>
      <c r="G5730">
        <f t="shared" si="925"/>
        <v>6.5</v>
      </c>
      <c r="H5730" t="s">
        <v>361</v>
      </c>
    </row>
    <row r="5731" spans="1:12" x14ac:dyDescent="0.25">
      <c r="A5731" s="1">
        <f t="shared" si="924"/>
        <v>45576</v>
      </c>
      <c r="B5731" s="31">
        <f>TIME(11,22,0)</f>
        <v>0.47361111111111115</v>
      </c>
      <c r="C5731" t="str">
        <f>'Inventory as of 12th Aug 2024'!A10</f>
        <v>Mt Kenya milk 200ml</v>
      </c>
      <c r="D5731">
        <v>1</v>
      </c>
      <c r="E5731" s="5">
        <f>Table4[[#This Row],[qty]]*(VLOOKUP(Table4[[#This Row],[item_sold]],Table1[],5,FALSE))</f>
        <v>35</v>
      </c>
      <c r="F5731" s="5">
        <f>(VLOOKUP(Table4[[#This Row],[item_sold]],Table1[],4,FALSE))*Table4[[#This Row],[qty]]</f>
        <v>24.285714285714285</v>
      </c>
      <c r="G5731">
        <f t="shared" si="925"/>
        <v>10.714285714285715</v>
      </c>
      <c r="H5731" t="s">
        <v>430</v>
      </c>
      <c r="I5731" t="s">
        <v>385</v>
      </c>
    </row>
    <row r="5732" spans="1:12" x14ac:dyDescent="0.25">
      <c r="A5732" s="1">
        <f t="shared" si="924"/>
        <v>45576</v>
      </c>
      <c r="B5732" s="31">
        <f>TIME(12,33,0)</f>
        <v>0.5229166666666667</v>
      </c>
      <c r="C5732" t="str">
        <f>'Inventory as of 12th Aug 2024'!A16</f>
        <v>Mt kenya milk 500ml</v>
      </c>
      <c r="D5732">
        <v>1</v>
      </c>
      <c r="E5732" s="5">
        <f>Table4[[#This Row],[qty]]*(VLOOKUP(Table4[[#This Row],[item_sold]],Table1[],5,FALSE))</f>
        <v>65</v>
      </c>
      <c r="F5732" s="5">
        <f>(VLOOKUP(Table4[[#This Row],[item_sold]],Table1[],4,FALSE))*Table4[[#This Row],[qty]]</f>
        <v>48.333333333333336</v>
      </c>
      <c r="G5732">
        <f t="shared" si="925"/>
        <v>16.666666666666664</v>
      </c>
      <c r="H5732" t="s">
        <v>430</v>
      </c>
      <c r="I5732" t="s">
        <v>395</v>
      </c>
    </row>
    <row r="5733" spans="1:12" x14ac:dyDescent="0.25">
      <c r="A5733" s="1">
        <f t="shared" si="924"/>
        <v>45576</v>
      </c>
      <c r="B5733" s="31">
        <f t="shared" ref="B5733" si="931">TIME(12,33,0)</f>
        <v>0.5229166666666667</v>
      </c>
      <c r="C5733" t="str">
        <f>'Inventory as of 12th Aug 2024'!A200</f>
        <v>Ngumu</v>
      </c>
      <c r="D5733">
        <v>2</v>
      </c>
      <c r="E5733" s="5">
        <f>Table4[[#This Row],[qty]]*(VLOOKUP(Table4[[#This Row],[item_sold]],Table1[],5,FALSE))</f>
        <v>20</v>
      </c>
      <c r="F5733" s="5">
        <f>(VLOOKUP(Table4[[#This Row],[item_sold]],Table1[],4,FALSE))*Table4[[#This Row],[qty]]</f>
        <v>16.666666666666668</v>
      </c>
      <c r="G5733">
        <f t="shared" si="925"/>
        <v>3.3333333333333321</v>
      </c>
      <c r="H5733" t="s">
        <v>430</v>
      </c>
      <c r="I5733" t="s">
        <v>395</v>
      </c>
    </row>
    <row r="5734" spans="1:12" x14ac:dyDescent="0.25">
      <c r="A5734" s="1">
        <f t="shared" si="924"/>
        <v>45576</v>
      </c>
      <c r="B5734" s="31">
        <f>TIME(13,6,0)</f>
        <v>0.54583333333333328</v>
      </c>
      <c r="C5734" t="str">
        <f>'Inventory as of 12th Aug 2024'!A33</f>
        <v>BB Bread 400g</v>
      </c>
      <c r="D5734">
        <v>1</v>
      </c>
      <c r="E5734" s="5">
        <f>Table4[[#This Row],[qty]]*(VLOOKUP(Table4[[#This Row],[item_sold]],Table1[],5,FALSE))</f>
        <v>65</v>
      </c>
      <c r="F5734" s="5">
        <f>(VLOOKUP(Table4[[#This Row],[item_sold]],Table1[],4,FALSE))*Table4[[#This Row],[qty]]</f>
        <v>60</v>
      </c>
      <c r="G5734">
        <f t="shared" si="925"/>
        <v>5</v>
      </c>
      <c r="H5734" t="s">
        <v>361</v>
      </c>
    </row>
    <row r="5735" spans="1:12" x14ac:dyDescent="0.25">
      <c r="A5735" s="1">
        <f t="shared" si="924"/>
        <v>45576</v>
      </c>
      <c r="B5735" s="31">
        <f>TIME(13,11,0)</f>
        <v>0.5493055555555556</v>
      </c>
      <c r="C5735" t="str">
        <f>'Inventory as of 12th Aug 2024'!A199</f>
        <v>Kdf</v>
      </c>
      <c r="D5735">
        <v>4</v>
      </c>
      <c r="E5735" s="5">
        <f>Table4[[#This Row],[qty]]*(VLOOKUP(Table4[[#This Row],[item_sold]],Table1[],5,FALSE))</f>
        <v>40</v>
      </c>
      <c r="F5735" s="5">
        <f>(VLOOKUP(Table4[[#This Row],[item_sold]],Table1[],4,FALSE))*Table4[[#This Row],[qty]]</f>
        <v>33.333333333333336</v>
      </c>
      <c r="G5735">
        <f t="shared" si="925"/>
        <v>6.6666666666666643</v>
      </c>
      <c r="H5735" t="s">
        <v>361</v>
      </c>
    </row>
    <row r="5736" spans="1:12" x14ac:dyDescent="0.25">
      <c r="A5736" s="1">
        <f t="shared" si="924"/>
        <v>45576</v>
      </c>
      <c r="B5736" s="31">
        <f t="shared" ref="B5736:B5737" si="932">TIME(13,11,0)</f>
        <v>0.5493055555555556</v>
      </c>
      <c r="C5736" t="str">
        <f>'Inventory as of 12th Aug 2024'!A75</f>
        <v>Cooking Oil Measured</v>
      </c>
      <c r="D5736">
        <v>0.25</v>
      </c>
      <c r="E5736" s="5">
        <f>Table4[[#This Row],[qty]]*(VLOOKUP(Table4[[#This Row],[item_sold]],Table1[],5,FALSE))</f>
        <v>70</v>
      </c>
      <c r="F5736" s="5">
        <f>(VLOOKUP(Table4[[#This Row],[item_sold]],Table1[],4,FALSE))*Table4[[#This Row],[qty]]</f>
        <v>50</v>
      </c>
      <c r="G5736">
        <f t="shared" si="925"/>
        <v>20</v>
      </c>
      <c r="H5736" t="s">
        <v>247</v>
      </c>
    </row>
    <row r="5737" spans="1:12" x14ac:dyDescent="0.25">
      <c r="A5737" s="1">
        <f t="shared" si="924"/>
        <v>45576</v>
      </c>
      <c r="B5737" s="31">
        <f t="shared" si="932"/>
        <v>0.5493055555555556</v>
      </c>
      <c r="C5737" t="str">
        <f>'Inventory as of 12th Aug 2024'!A91</f>
        <v>Tomatoes</v>
      </c>
      <c r="D5737">
        <v>1</v>
      </c>
      <c r="E5737" s="5">
        <f>Table4[[#This Row],[qty]]*(VLOOKUP(Table4[[#This Row],[item_sold]],Table1[],5,FALSE))</f>
        <v>10</v>
      </c>
      <c r="F5737" s="5">
        <f>(VLOOKUP(Table4[[#This Row],[item_sold]],Table1[],4,FALSE))*Table4[[#This Row],[qty]]</f>
        <v>5</v>
      </c>
      <c r="G5737">
        <f t="shared" si="925"/>
        <v>5</v>
      </c>
      <c r="H5737" t="s">
        <v>247</v>
      </c>
    </row>
    <row r="5738" spans="1:12" x14ac:dyDescent="0.25">
      <c r="A5738" s="1">
        <f t="shared" si="924"/>
        <v>45576</v>
      </c>
      <c r="B5738" s="31">
        <f>TIME(13,29,0)</f>
        <v>0.56180555555555556</v>
      </c>
      <c r="C5738" t="str">
        <f>'Inventory as of 12th Aug 2024'!A61</f>
        <v>kensalt 500g</v>
      </c>
      <c r="D5738">
        <v>1</v>
      </c>
      <c r="E5738" s="5">
        <f>Table4[[#This Row],[qty]]*(VLOOKUP(Table4[[#This Row],[item_sold]],Table1[],5,FALSE))</f>
        <v>25</v>
      </c>
      <c r="F5738" s="5">
        <f>(VLOOKUP(Table4[[#This Row],[item_sold]],Table1[],4,FALSE))*Table4[[#This Row],[qty]]</f>
        <v>14</v>
      </c>
      <c r="G5738">
        <f t="shared" si="925"/>
        <v>11</v>
      </c>
      <c r="H5738" t="s">
        <v>247</v>
      </c>
    </row>
    <row r="5739" spans="1:12" x14ac:dyDescent="0.25">
      <c r="A5739" s="1">
        <f t="shared" si="924"/>
        <v>45576</v>
      </c>
      <c r="B5739" s="31">
        <f>TIME(13,32,0)</f>
        <v>0.56388888888888888</v>
      </c>
      <c r="C5739" t="str">
        <f>'Inventory as of 12th Aug 2024'!A58</f>
        <v>Safari</v>
      </c>
      <c r="D5739">
        <v>1</v>
      </c>
      <c r="E5739" s="5">
        <f>Table4[[#This Row],[qty]]*(VLOOKUP(Table4[[#This Row],[item_sold]],Table1[],5,FALSE))</f>
        <v>15</v>
      </c>
      <c r="F5739" s="5">
        <f>(VLOOKUP(Table4[[#This Row],[item_sold]],Table1[],4,FALSE))*Table4[[#This Row],[qty]]</f>
        <v>8.5</v>
      </c>
      <c r="G5739">
        <f t="shared" si="925"/>
        <v>6.5</v>
      </c>
      <c r="H5739" t="s">
        <v>361</v>
      </c>
    </row>
    <row r="5740" spans="1:12" x14ac:dyDescent="0.25">
      <c r="A5740" s="1">
        <f t="shared" si="924"/>
        <v>45576</v>
      </c>
      <c r="B5740" s="31">
        <f t="shared" ref="B5740:B5741" si="933">TIME(13,32,0)</f>
        <v>0.56388888888888888</v>
      </c>
      <c r="C5740" t="str">
        <f>'Inventory as of 12th Aug 2024'!A9</f>
        <v>Kinangop Fresh Milk 500ml</v>
      </c>
      <c r="D5740">
        <v>2</v>
      </c>
      <c r="E5740" s="5">
        <f>Table4[[#This Row],[qty]]*(VLOOKUP(Table4[[#This Row],[item_sold]],Table1[],5,FALSE))</f>
        <v>120</v>
      </c>
      <c r="F5740" s="5">
        <f>(VLOOKUP(Table4[[#This Row],[item_sold]],Table1[],4,FALSE))*Table4[[#This Row],[qty]]</f>
        <v>110</v>
      </c>
      <c r="G5740">
        <f t="shared" si="925"/>
        <v>10</v>
      </c>
      <c r="H5740" t="s">
        <v>430</v>
      </c>
      <c r="I5740" t="s">
        <v>596</v>
      </c>
    </row>
    <row r="5741" spans="1:12" x14ac:dyDescent="0.25">
      <c r="A5741" s="1">
        <f t="shared" si="924"/>
        <v>45576</v>
      </c>
      <c r="B5741" s="31">
        <f t="shared" si="933"/>
        <v>0.56388888888888888</v>
      </c>
      <c r="C5741" t="str">
        <f>'Inventory as of 12th Aug 2024'!A207</f>
        <v>soda 350ml plastic</v>
      </c>
      <c r="D5741">
        <v>1</v>
      </c>
      <c r="E5741" s="5">
        <f>Table4[[#This Row],[qty]]*(VLOOKUP(Table4[[#This Row],[item_sold]],Table1[],5,FALSE))</f>
        <v>50</v>
      </c>
      <c r="F5741" s="5">
        <f>(VLOOKUP(Table4[[#This Row],[item_sold]],Table1[],4,FALSE))*Table4[[#This Row],[qty]]</f>
        <v>41.666666666666664</v>
      </c>
      <c r="G5741">
        <f t="shared" si="925"/>
        <v>8.3333333333333357</v>
      </c>
      <c r="H5741" t="s">
        <v>430</v>
      </c>
      <c r="I5741" t="s">
        <v>596</v>
      </c>
    </row>
    <row r="5742" spans="1:12" x14ac:dyDescent="0.25">
      <c r="A5742" s="1">
        <f t="shared" si="924"/>
        <v>45576</v>
      </c>
      <c r="B5742" s="31">
        <f>TIME(13,51,0)</f>
        <v>0.57708333333333328</v>
      </c>
      <c r="C5742" t="str">
        <f>'Inventory as of 12th Aug 2024'!A87</f>
        <v>Menengai Bar 1kg</v>
      </c>
      <c r="D5742">
        <v>0.2</v>
      </c>
      <c r="E5742" s="5">
        <f>Table4[[#This Row],[qty]]*(VLOOKUP(Table4[[#This Row],[item_sold]],Table1[],5,FALSE))</f>
        <v>50</v>
      </c>
      <c r="F5742" s="5">
        <f>(VLOOKUP(Table4[[#This Row],[item_sold]],Table1[],4,FALSE))*Table4[[#This Row],[qty]]</f>
        <v>38</v>
      </c>
      <c r="G5742">
        <f t="shared" si="925"/>
        <v>12</v>
      </c>
      <c r="H5742" t="s">
        <v>247</v>
      </c>
    </row>
    <row r="5743" spans="1:12" x14ac:dyDescent="0.25">
      <c r="A5743" s="1">
        <f t="shared" si="924"/>
        <v>45576</v>
      </c>
      <c r="B5743" s="31">
        <f>TIME(14,2,0)</f>
        <v>0.58472222222222225</v>
      </c>
      <c r="C5743" t="str">
        <f>'Inventory as of 12th Aug 2024'!A92</f>
        <v>Banana</v>
      </c>
      <c r="D5743">
        <v>1</v>
      </c>
      <c r="E5743" s="5">
        <f>Table4[[#This Row],[qty]]*(VLOOKUP(Table4[[#This Row],[item_sold]],Table1[],5,FALSE))</f>
        <v>10</v>
      </c>
      <c r="F5743" s="5">
        <f>(VLOOKUP(Table4[[#This Row],[item_sold]],Table1[],4,FALSE))*Table4[[#This Row],[qty]]</f>
        <v>8.3333333333333339</v>
      </c>
      <c r="G5743">
        <f t="shared" si="925"/>
        <v>1.6666666666666661</v>
      </c>
      <c r="H5743" t="s">
        <v>247</v>
      </c>
      <c r="J5743" t="s">
        <v>395</v>
      </c>
      <c r="K5743">
        <v>335</v>
      </c>
      <c r="L5743" t="s">
        <v>247</v>
      </c>
    </row>
    <row r="5744" spans="1:12" x14ac:dyDescent="0.25">
      <c r="A5744" s="1">
        <f t="shared" si="924"/>
        <v>45576</v>
      </c>
      <c r="B5744" s="31">
        <f>TIME(14,38,0)</f>
        <v>0.60972222222222217</v>
      </c>
      <c r="C5744" t="str">
        <f>'Inventory as of 12th Aug 2024'!A71</f>
        <v>Sugar 1/4 kg</v>
      </c>
      <c r="D5744">
        <v>0.25</v>
      </c>
      <c r="E5744" s="5">
        <f>Table4[[#This Row],[qty]]*(VLOOKUP(Table4[[#This Row],[item_sold]],Table1[],5,FALSE))</f>
        <v>11.25</v>
      </c>
      <c r="F5744" s="5">
        <f>(VLOOKUP(Table4[[#This Row],[item_sold]],Table1[],4,FALSE))*Table4[[#This Row],[qty]]</f>
        <v>7.5</v>
      </c>
      <c r="G5744">
        <f t="shared" si="925"/>
        <v>3.75</v>
      </c>
      <c r="H5744" t="s">
        <v>247</v>
      </c>
    </row>
    <row r="5745" spans="1:12" x14ac:dyDescent="0.25">
      <c r="A5745" s="1">
        <f t="shared" si="924"/>
        <v>45576</v>
      </c>
      <c r="B5745" s="31">
        <f>TIME(15,10,0)</f>
        <v>0.63194444444444442</v>
      </c>
      <c r="C5745" t="str">
        <f>'Inventory as of 12th Aug 2024'!A230</f>
        <v>Fresh Blue</v>
      </c>
      <c r="D5745">
        <v>2</v>
      </c>
      <c r="E5745" s="5">
        <f>Table4[[#This Row],[qty]]*(VLOOKUP(Table4[[#This Row],[item_sold]],Table1[],5,FALSE))</f>
        <v>20</v>
      </c>
      <c r="F5745" s="5">
        <f>(VLOOKUP(Table4[[#This Row],[item_sold]],Table1[],4,FALSE))*Table4[[#This Row],[qty]]</f>
        <v>10</v>
      </c>
      <c r="G5745">
        <f t="shared" si="925"/>
        <v>10</v>
      </c>
      <c r="H5745" t="s">
        <v>361</v>
      </c>
    </row>
    <row r="5746" spans="1:12" x14ac:dyDescent="0.25">
      <c r="A5746" s="1">
        <f t="shared" si="924"/>
        <v>45576</v>
      </c>
      <c r="B5746" s="31">
        <f>TIME(15,55,0)</f>
        <v>0.66319444444444442</v>
      </c>
      <c r="C5746" t="str">
        <f>'Inventory as of 12th Aug 2024'!A42</f>
        <v>Indomie chicken</v>
      </c>
      <c r="D5746">
        <v>1</v>
      </c>
      <c r="E5746" s="5">
        <f>Table4[[#This Row],[qty]]*(VLOOKUP(Table4[[#This Row],[item_sold]],Table1[],5,FALSE))</f>
        <v>50</v>
      </c>
      <c r="F5746" s="5">
        <f>(VLOOKUP(Table4[[#This Row],[item_sold]],Table1[],4,FALSE))*Table4[[#This Row],[qty]]</f>
        <v>37.5</v>
      </c>
      <c r="G5746">
        <f t="shared" si="925"/>
        <v>12.5</v>
      </c>
      <c r="H5746" t="s">
        <v>361</v>
      </c>
    </row>
    <row r="5747" spans="1:12" x14ac:dyDescent="0.25">
      <c r="A5747" s="1">
        <f t="shared" si="924"/>
        <v>45576</v>
      </c>
      <c r="B5747" s="31">
        <f t="shared" ref="B5747" si="934">TIME(15,55,0)</f>
        <v>0.66319444444444442</v>
      </c>
      <c r="C5747" t="str">
        <f>'Inventory as of 12th Aug 2024'!A92</f>
        <v>Banana</v>
      </c>
      <c r="D5747">
        <v>4</v>
      </c>
      <c r="E5747" s="5">
        <f>Table4[[#This Row],[qty]]*(VLOOKUP(Table4[[#This Row],[item_sold]],Table1[],5,FALSE))</f>
        <v>40</v>
      </c>
      <c r="F5747" s="5">
        <f>(VLOOKUP(Table4[[#This Row],[item_sold]],Table1[],4,FALSE))*Table4[[#This Row],[qty]]</f>
        <v>33.333333333333336</v>
      </c>
      <c r="G5747">
        <f t="shared" si="925"/>
        <v>6.6666666666666643</v>
      </c>
      <c r="H5747" t="s">
        <v>361</v>
      </c>
    </row>
    <row r="5748" spans="1:12" x14ac:dyDescent="0.25">
      <c r="A5748" s="1">
        <f t="shared" si="924"/>
        <v>45576</v>
      </c>
      <c r="B5748" s="31">
        <f>TIME(17,50,0)</f>
        <v>0.74305555555555547</v>
      </c>
      <c r="C5748" t="str">
        <f>'Inventory as of 12th Aug 2024'!A213</f>
        <v>soda 500ml glass</v>
      </c>
      <c r="D5748">
        <v>1</v>
      </c>
      <c r="E5748" s="5">
        <f>Table4[[#This Row],[qty]]*(VLOOKUP(Table4[[#This Row],[item_sold]],Table1[],5,FALSE))</f>
        <v>55</v>
      </c>
      <c r="F5748" s="5">
        <f>(VLOOKUP(Table4[[#This Row],[item_sold]],Table1[],4,FALSE))*Table4[[#This Row],[qty]]</f>
        <v>50</v>
      </c>
      <c r="G5748">
        <f t="shared" si="925"/>
        <v>5</v>
      </c>
      <c r="H5748" t="s">
        <v>361</v>
      </c>
    </row>
    <row r="5749" spans="1:12" x14ac:dyDescent="0.25">
      <c r="A5749" s="1">
        <f t="shared" si="924"/>
        <v>45576</v>
      </c>
      <c r="B5749" s="31">
        <f>TIME(18,38,0)</f>
        <v>0.77638888888888891</v>
      </c>
      <c r="C5749" t="str">
        <f>'Inventory as of 12th Aug 2024'!A58</f>
        <v>Safari</v>
      </c>
      <c r="D5749">
        <v>1</v>
      </c>
      <c r="E5749" s="5">
        <f>Table4[[#This Row],[qty]]*(VLOOKUP(Table4[[#This Row],[item_sold]],Table1[],5,FALSE))</f>
        <v>15</v>
      </c>
      <c r="F5749" s="5">
        <f>(VLOOKUP(Table4[[#This Row],[item_sold]],Table1[],4,FALSE))*Table4[[#This Row],[qty]]</f>
        <v>8.5</v>
      </c>
      <c r="G5749">
        <f t="shared" si="925"/>
        <v>6.5</v>
      </c>
      <c r="H5749" t="s">
        <v>430</v>
      </c>
      <c r="I5749" t="s">
        <v>447</v>
      </c>
    </row>
    <row r="5750" spans="1:12" x14ac:dyDescent="0.25">
      <c r="A5750" s="1">
        <f t="shared" si="924"/>
        <v>45576</v>
      </c>
      <c r="B5750" s="31">
        <f>TIME(18,51,0)</f>
        <v>0.78541666666666676</v>
      </c>
      <c r="C5750" t="str">
        <f>'Inventory as of 12th Aug 2024'!A204</f>
        <v>soda 2lts</v>
      </c>
      <c r="D5750">
        <v>1</v>
      </c>
      <c r="E5750" s="5">
        <f>Table4[[#This Row],[qty]]*(VLOOKUP(Table4[[#This Row],[item_sold]],Table1[],5,FALSE))</f>
        <v>200</v>
      </c>
      <c r="F5750" s="5">
        <f>(VLOOKUP(Table4[[#This Row],[item_sold]],Table1[],4,FALSE))*Table4[[#This Row],[qty]]</f>
        <v>176.66666666666666</v>
      </c>
      <c r="G5750">
        <f t="shared" si="925"/>
        <v>23.333333333333343</v>
      </c>
      <c r="H5750" t="s">
        <v>361</v>
      </c>
    </row>
    <row r="5751" spans="1:12" x14ac:dyDescent="0.25">
      <c r="A5751" s="1">
        <f t="shared" si="924"/>
        <v>45576</v>
      </c>
      <c r="B5751" s="31">
        <f>TIME(18,51,0)</f>
        <v>0.78541666666666676</v>
      </c>
      <c r="C5751" t="str">
        <f>'Inventory as of 12th Aug 2024'!A236</f>
        <v>Gomba</v>
      </c>
      <c r="D5751">
        <v>8</v>
      </c>
      <c r="E5751" s="5">
        <f>Table4[[#This Row],[qty]]*(VLOOKUP(Table4[[#This Row],[item_sold]],Table1[],5,FALSE))</f>
        <v>20</v>
      </c>
      <c r="F5751" s="5">
        <f>(VLOOKUP(Table4[[#This Row],[item_sold]],Table1[],4,FALSE))*Table4[[#This Row],[qty]]</f>
        <v>14.4</v>
      </c>
      <c r="G5751">
        <f t="shared" si="925"/>
        <v>5.6</v>
      </c>
      <c r="H5751" t="s">
        <v>361</v>
      </c>
    </row>
    <row r="5752" spans="1:12" x14ac:dyDescent="0.25">
      <c r="A5752" s="1">
        <f t="shared" si="924"/>
        <v>45576</v>
      </c>
      <c r="B5752" s="31">
        <f>TIME(18,12,0)</f>
        <v>0.7583333333333333</v>
      </c>
      <c r="C5752" t="str">
        <f>'Inventory as of 12th Aug 2024'!A211</f>
        <v>predator</v>
      </c>
      <c r="D5752">
        <v>1</v>
      </c>
      <c r="E5752" s="5">
        <f>Table4[[#This Row],[qty]]*(VLOOKUP(Table4[[#This Row],[item_sold]],Table1[],5,FALSE))</f>
        <v>70</v>
      </c>
      <c r="F5752" s="5">
        <f>(VLOOKUP(Table4[[#This Row],[item_sold]],Table1[],4,FALSE))*Table4[[#This Row],[qty]]</f>
        <v>54.166666666666664</v>
      </c>
      <c r="G5752">
        <f t="shared" si="925"/>
        <v>15.833333333333336</v>
      </c>
      <c r="H5752" t="s">
        <v>361</v>
      </c>
    </row>
    <row r="5753" spans="1:12" x14ac:dyDescent="0.25">
      <c r="A5753" s="1">
        <f t="shared" si="924"/>
        <v>45576</v>
      </c>
      <c r="B5753" s="31">
        <f t="shared" ref="B5753" si="935">TIME(18,12,0)</f>
        <v>0.7583333333333333</v>
      </c>
      <c r="C5753" t="str">
        <f>'Inventory as of 12th Aug 2024'!A176</f>
        <v>Queen cake</v>
      </c>
      <c r="D5753">
        <v>6</v>
      </c>
      <c r="E5753" s="5">
        <f>Table4[[#This Row],[qty]]*(VLOOKUP(Table4[[#This Row],[item_sold]],Table1[],5,FALSE))</f>
        <v>60</v>
      </c>
      <c r="F5753" s="5">
        <f>(VLOOKUP(Table4[[#This Row],[item_sold]],Table1[],4,FALSE))*Table4[[#This Row],[qty]]</f>
        <v>50</v>
      </c>
      <c r="G5753">
        <f t="shared" si="925"/>
        <v>10</v>
      </c>
      <c r="H5753" t="s">
        <v>361</v>
      </c>
    </row>
    <row r="5754" spans="1:12" x14ac:dyDescent="0.25">
      <c r="A5754" s="1">
        <f t="shared" si="924"/>
        <v>45576</v>
      </c>
      <c r="B5754" s="31">
        <f>TIME(19,20,0)</f>
        <v>0.80555555555555547</v>
      </c>
      <c r="C5754" t="str">
        <f>'Inventory as of 12th Aug 2024'!A58</f>
        <v>Safari</v>
      </c>
      <c r="D5754">
        <v>1</v>
      </c>
      <c r="E5754" s="5">
        <f>Table4[[#This Row],[qty]]*(VLOOKUP(Table4[[#This Row],[item_sold]],Table1[],5,FALSE))</f>
        <v>15</v>
      </c>
      <c r="F5754" s="5">
        <f>(VLOOKUP(Table4[[#This Row],[item_sold]],Table1[],4,FALSE))*Table4[[#This Row],[qty]]</f>
        <v>8.5</v>
      </c>
      <c r="G5754">
        <f t="shared" si="925"/>
        <v>6.5</v>
      </c>
      <c r="H5754" t="s">
        <v>361</v>
      </c>
      <c r="J5754" t="s">
        <v>447</v>
      </c>
      <c r="K5754">
        <v>15</v>
      </c>
      <c r="L5754" t="s">
        <v>361</v>
      </c>
    </row>
    <row r="5755" spans="1:12" x14ac:dyDescent="0.25">
      <c r="A5755" s="1">
        <f t="shared" si="924"/>
        <v>45576</v>
      </c>
      <c r="B5755" s="31">
        <f>TIME(19,27,0)</f>
        <v>0.81041666666666667</v>
      </c>
      <c r="C5755" t="str">
        <f>'Inventory as of 12th Aug 2024'!A193</f>
        <v>Ginger Bisquit</v>
      </c>
      <c r="D5755">
        <v>1</v>
      </c>
      <c r="E5755" s="5">
        <f>Table4[[#This Row],[qty]]*(VLOOKUP(Table4[[#This Row],[item_sold]],Table1[],5,FALSE))</f>
        <v>5</v>
      </c>
      <c r="F5755" s="5">
        <f>(VLOOKUP(Table4[[#This Row],[item_sold]],Table1[],4,FALSE))*Table4[[#This Row],[qty]]</f>
        <v>4.333333333333333</v>
      </c>
      <c r="G5755">
        <f t="shared" si="925"/>
        <v>0.66666666666666696</v>
      </c>
      <c r="H5755" t="s">
        <v>361</v>
      </c>
    </row>
    <row r="5756" spans="1:12" x14ac:dyDescent="0.25">
      <c r="A5756" s="1">
        <f t="shared" si="924"/>
        <v>45576</v>
      </c>
      <c r="B5756" s="31">
        <f>TIME(19,39,0)</f>
        <v>0.81874999999999998</v>
      </c>
      <c r="C5756" t="str">
        <f>'Inventory as of 12th Aug 2024'!A208</f>
        <v>minutemaid 400ml</v>
      </c>
      <c r="D5756">
        <v>1</v>
      </c>
      <c r="E5756" s="5">
        <f>Table4[[#This Row],[qty]]*(VLOOKUP(Table4[[#This Row],[item_sold]],Table1[],5,FALSE))</f>
        <v>85</v>
      </c>
      <c r="F5756" s="5">
        <f>(VLOOKUP(Table4[[#This Row],[item_sold]],Table1[],4,FALSE))*Table4[[#This Row],[qty]]</f>
        <v>62.5</v>
      </c>
      <c r="G5756">
        <f t="shared" si="925"/>
        <v>22.5</v>
      </c>
      <c r="H5756" t="s">
        <v>247</v>
      </c>
    </row>
    <row r="5757" spans="1:12" x14ac:dyDescent="0.25">
      <c r="A5757" s="1">
        <f t="shared" si="924"/>
        <v>45576</v>
      </c>
      <c r="B5757" s="31">
        <f t="shared" ref="B5757" si="936">TIME(19,39,0)</f>
        <v>0.81874999999999998</v>
      </c>
      <c r="C5757" t="str">
        <f>'Inventory as of 12th Aug 2024'!A153</f>
        <v>mosquito stick</v>
      </c>
      <c r="D5757">
        <v>5</v>
      </c>
      <c r="E5757" s="5">
        <f>Table4[[#This Row],[qty]]*(VLOOKUP(Table4[[#This Row],[item_sold]],Table1[],5,FALSE))</f>
        <v>50</v>
      </c>
      <c r="F5757" s="5">
        <f>(VLOOKUP(Table4[[#This Row],[item_sold]],Table1[],4,FALSE))*Table4[[#This Row],[qty]]</f>
        <v>45</v>
      </c>
      <c r="G5757">
        <f t="shared" si="925"/>
        <v>5</v>
      </c>
      <c r="H5757" t="s">
        <v>361</v>
      </c>
    </row>
    <row r="5758" spans="1:12" x14ac:dyDescent="0.25">
      <c r="A5758" s="1">
        <f t="shared" si="924"/>
        <v>45576</v>
      </c>
      <c r="B5758" s="31">
        <f>TIME(19,47,0)</f>
        <v>0.82430555555555562</v>
      </c>
      <c r="C5758" t="str">
        <f>'Inventory as of 12th Aug 2024'!A230</f>
        <v>Fresh Blue</v>
      </c>
      <c r="D5758">
        <v>8</v>
      </c>
      <c r="E5758" s="5">
        <f>Table4[[#This Row],[qty]]*(VLOOKUP(Table4[[#This Row],[item_sold]],Table1[],5,FALSE))</f>
        <v>80</v>
      </c>
      <c r="F5758" s="5">
        <f>(VLOOKUP(Table4[[#This Row],[item_sold]],Table1[],4,FALSE))*Table4[[#This Row],[qty]]</f>
        <v>40</v>
      </c>
      <c r="G5758">
        <f t="shared" si="925"/>
        <v>40</v>
      </c>
      <c r="H5758" t="s">
        <v>361</v>
      </c>
    </row>
    <row r="5759" spans="1:12" x14ac:dyDescent="0.25">
      <c r="A5759" s="1">
        <f t="shared" si="924"/>
        <v>45576</v>
      </c>
      <c r="B5759" s="31">
        <f t="shared" ref="B5759" si="937">TIME(19,47,0)</f>
        <v>0.82430555555555562</v>
      </c>
      <c r="C5759" t="str">
        <f>'Inventory as of 12th Aug 2024'!A244</f>
        <v>5ltrs water</v>
      </c>
      <c r="D5759">
        <v>1</v>
      </c>
      <c r="E5759" s="5">
        <f>Table4[[#This Row],[qty]]*(VLOOKUP(Table4[[#This Row],[item_sold]],Table1[],5,FALSE))</f>
        <v>120</v>
      </c>
      <c r="F5759" s="5">
        <f>(VLOOKUP(Table4[[#This Row],[item_sold]],Table1[],4,FALSE))*Table4[[#This Row],[qty]]</f>
        <v>75</v>
      </c>
      <c r="G5759">
        <f t="shared" si="925"/>
        <v>45</v>
      </c>
      <c r="H5759" t="s">
        <v>361</v>
      </c>
    </row>
    <row r="5760" spans="1:12" x14ac:dyDescent="0.25">
      <c r="A5760" s="1">
        <f t="shared" si="924"/>
        <v>45576</v>
      </c>
      <c r="B5760" s="31">
        <f>TIME(19,48,0)</f>
        <v>0.82500000000000007</v>
      </c>
      <c r="C5760" t="str">
        <f>'Inventory as of 12th Aug 2024'!A211</f>
        <v>predator</v>
      </c>
      <c r="D5760">
        <v>1</v>
      </c>
      <c r="E5760" s="5">
        <f>Table4[[#This Row],[qty]]*(VLOOKUP(Table4[[#This Row],[item_sold]],Table1[],5,FALSE))</f>
        <v>70</v>
      </c>
      <c r="F5760" s="5">
        <f>(VLOOKUP(Table4[[#This Row],[item_sold]],Table1[],4,FALSE))*Table4[[#This Row],[qty]]</f>
        <v>54.166666666666664</v>
      </c>
      <c r="G5760">
        <f t="shared" si="925"/>
        <v>15.833333333333336</v>
      </c>
      <c r="H5760" t="s">
        <v>361</v>
      </c>
      <c r="J5760" t="s">
        <v>443</v>
      </c>
      <c r="K5760">
        <v>30</v>
      </c>
      <c r="L5760" t="s">
        <v>361</v>
      </c>
    </row>
    <row r="5761" spans="1:12" x14ac:dyDescent="0.25">
      <c r="A5761" s="1">
        <f t="shared" si="924"/>
        <v>45576</v>
      </c>
      <c r="B5761" s="31">
        <f>TIME(20,21,0)</f>
        <v>0.84791666666666676</v>
      </c>
      <c r="C5761" t="str">
        <f>'Inventory as of 12th Aug 2024'!A16</f>
        <v>Mt kenya milk 500ml</v>
      </c>
      <c r="D5761">
        <v>1</v>
      </c>
      <c r="E5761" s="5">
        <f>Table4[[#This Row],[qty]]*(VLOOKUP(Table4[[#This Row],[item_sold]],Table1[],5,FALSE))</f>
        <v>65</v>
      </c>
      <c r="F5761" s="5">
        <f>(VLOOKUP(Table4[[#This Row],[item_sold]],Table1[],4,FALSE))*Table4[[#This Row],[qty]]</f>
        <v>48.333333333333336</v>
      </c>
      <c r="G5761">
        <f t="shared" si="925"/>
        <v>16.666666666666664</v>
      </c>
      <c r="H5761" t="s">
        <v>247</v>
      </c>
    </row>
    <row r="5762" spans="1:12" x14ac:dyDescent="0.25">
      <c r="A5762" s="1">
        <f t="shared" si="924"/>
        <v>45576</v>
      </c>
      <c r="B5762" s="31">
        <f>TIME(20,31,0)</f>
        <v>0.85486111111111107</v>
      </c>
      <c r="C5762" t="str">
        <f>'Inventory as of 12th Aug 2024'!A41</f>
        <v>Indomie beef</v>
      </c>
      <c r="D5762">
        <v>1</v>
      </c>
      <c r="E5762" s="5">
        <f>Table4[[#This Row],[qty]]*(VLOOKUP(Table4[[#This Row],[item_sold]],Table1[],5,FALSE))</f>
        <v>50</v>
      </c>
      <c r="F5762" s="5">
        <f>(VLOOKUP(Table4[[#This Row],[item_sold]],Table1[],4,FALSE))*Table4[[#This Row],[qty]]</f>
        <v>38</v>
      </c>
      <c r="G5762">
        <f t="shared" si="925"/>
        <v>12</v>
      </c>
      <c r="H5762" t="s">
        <v>361</v>
      </c>
      <c r="J5762" t="s">
        <v>455</v>
      </c>
      <c r="K5762">
        <v>135</v>
      </c>
      <c r="L5762" t="s">
        <v>247</v>
      </c>
    </row>
    <row r="5763" spans="1:12" x14ac:dyDescent="0.25">
      <c r="A5763" s="1">
        <f t="shared" si="924"/>
        <v>45576</v>
      </c>
      <c r="B5763" s="31">
        <f>TIME(20,31,0)</f>
        <v>0.85486111111111107</v>
      </c>
      <c r="C5763" t="str">
        <f>'Inventory as of 12th Aug 2024'!A70</f>
        <v>Sugar 1/2 kg</v>
      </c>
      <c r="D5763">
        <v>1</v>
      </c>
      <c r="E5763" s="5">
        <f>Table4[[#This Row],[qty]]*(VLOOKUP(Table4[[#This Row],[item_sold]],Table1[],5,FALSE))</f>
        <v>90</v>
      </c>
      <c r="F5763" s="5">
        <f>(VLOOKUP(Table4[[#This Row],[item_sold]],Table1[],4,FALSE))*Table4[[#This Row],[qty]]</f>
        <v>60</v>
      </c>
      <c r="G5763">
        <f t="shared" si="925"/>
        <v>30</v>
      </c>
      <c r="H5763" t="s">
        <v>361</v>
      </c>
    </row>
    <row r="5764" spans="1:12" x14ac:dyDescent="0.25">
      <c r="A5764" s="1">
        <f>DATE(2024,10,12)</f>
        <v>45577</v>
      </c>
      <c r="B5764" s="31">
        <f>TIME(7,25,0)</f>
        <v>0.30902777777777779</v>
      </c>
      <c r="C5764" t="str">
        <f>'Inventory as of 12th Aug 2024'!A200</f>
        <v>Ngumu</v>
      </c>
      <c r="D5764">
        <v>2</v>
      </c>
      <c r="E5764" s="5">
        <f>Table4[[#This Row],[qty]]*(VLOOKUP(Table4[[#This Row],[item_sold]],Table1[],5,FALSE))</f>
        <v>20</v>
      </c>
      <c r="F5764" s="5">
        <f>(VLOOKUP(Table4[[#This Row],[item_sold]],Table1[],4,FALSE))*Table4[[#This Row],[qty]]</f>
        <v>16.666666666666668</v>
      </c>
      <c r="G5764">
        <f t="shared" si="925"/>
        <v>3.3333333333333321</v>
      </c>
      <c r="H5764" t="s">
        <v>361</v>
      </c>
    </row>
    <row r="5765" spans="1:12" x14ac:dyDescent="0.25">
      <c r="A5765" s="1">
        <f t="shared" ref="A5765:A5817" si="938">DATE(2024,10,12)</f>
        <v>45577</v>
      </c>
      <c r="B5765" s="31">
        <f t="shared" ref="B5765:B5766" si="939">TIME(7,25,0)</f>
        <v>0.30902777777777779</v>
      </c>
      <c r="C5765" t="str">
        <f>'Inventory as of 12th Aug 2024'!A82</f>
        <v>ariel 10g</v>
      </c>
      <c r="D5765">
        <v>1</v>
      </c>
      <c r="E5765" s="5">
        <f>Table4[[#This Row],[qty]]*(VLOOKUP(Table4[[#This Row],[item_sold]],Table1[],5,FALSE))</f>
        <v>15</v>
      </c>
      <c r="F5765" s="5">
        <f>(VLOOKUP(Table4[[#This Row],[item_sold]],Table1[],4,FALSE))*Table4[[#This Row],[qty]]</f>
        <v>9.1666666666666661</v>
      </c>
      <c r="G5765">
        <f t="shared" si="925"/>
        <v>5.8333333333333339</v>
      </c>
      <c r="H5765" t="s">
        <v>361</v>
      </c>
    </row>
    <row r="5766" spans="1:12" x14ac:dyDescent="0.25">
      <c r="A5766" s="1">
        <f t="shared" si="938"/>
        <v>45577</v>
      </c>
      <c r="B5766" s="31">
        <f t="shared" si="939"/>
        <v>0.30902777777777779</v>
      </c>
      <c r="C5766" t="str">
        <f>'Inventory as of 12th Aug 2024'!A28</f>
        <v>Fahari Tea 15g</v>
      </c>
      <c r="D5766">
        <v>1</v>
      </c>
      <c r="E5766" s="5">
        <f>Table4[[#This Row],[qty]]*(VLOOKUP(Table4[[#This Row],[item_sold]],Table1[],5,FALSE))</f>
        <v>15</v>
      </c>
      <c r="F5766" s="5">
        <f>(VLOOKUP(Table4[[#This Row],[item_sold]],Table1[],4,FALSE))*Table4[[#This Row],[qty]]</f>
        <v>9.1666666666666661</v>
      </c>
      <c r="G5766">
        <f t="shared" si="925"/>
        <v>5.8333333333333339</v>
      </c>
      <c r="H5766" t="s">
        <v>361</v>
      </c>
    </row>
    <row r="5767" spans="1:12" x14ac:dyDescent="0.25">
      <c r="A5767" s="1">
        <f t="shared" si="938"/>
        <v>45577</v>
      </c>
      <c r="B5767" s="31">
        <f>TIME(7,31,0)</f>
        <v>0.31319444444444444</v>
      </c>
      <c r="C5767" t="str">
        <f>'Inventory as of 12th Aug 2024'!A58</f>
        <v>Safari</v>
      </c>
      <c r="D5767">
        <v>1</v>
      </c>
      <c r="E5767" s="5">
        <f>Table4[[#This Row],[qty]]*(VLOOKUP(Table4[[#This Row],[item_sold]],Table1[],5,FALSE))</f>
        <v>15</v>
      </c>
      <c r="F5767" s="5">
        <f>(VLOOKUP(Table4[[#This Row],[item_sold]],Table1[],4,FALSE))*Table4[[#This Row],[qty]]</f>
        <v>8.5</v>
      </c>
      <c r="G5767">
        <f t="shared" si="925"/>
        <v>6.5</v>
      </c>
      <c r="H5767" t="s">
        <v>361</v>
      </c>
    </row>
    <row r="5768" spans="1:12" x14ac:dyDescent="0.25">
      <c r="A5768" s="1">
        <f t="shared" si="938"/>
        <v>45577</v>
      </c>
      <c r="B5768" s="31">
        <f t="shared" ref="B5768:B5769" si="940">TIME(7,31,0)</f>
        <v>0.31319444444444444</v>
      </c>
      <c r="C5768" t="str">
        <f>'Inventory as of 12th Aug 2024'!A107</f>
        <v>Match Box</v>
      </c>
      <c r="D5768">
        <v>1</v>
      </c>
      <c r="E5768" s="5">
        <f>Table4[[#This Row],[qty]]*(VLOOKUP(Table4[[#This Row],[item_sold]],Table1[],5,FALSE))</f>
        <v>5</v>
      </c>
      <c r="F5768" s="5">
        <f>(VLOOKUP(Table4[[#This Row],[item_sold]],Table1[],4,FALSE))*Table4[[#This Row],[qty]]</f>
        <v>2.3611111111111112</v>
      </c>
      <c r="G5768">
        <f t="shared" si="925"/>
        <v>2.6388888888888888</v>
      </c>
      <c r="H5768" t="s">
        <v>430</v>
      </c>
      <c r="I5768" t="s">
        <v>456</v>
      </c>
    </row>
    <row r="5769" spans="1:12" x14ac:dyDescent="0.25">
      <c r="A5769" s="1">
        <f t="shared" si="938"/>
        <v>45577</v>
      </c>
      <c r="B5769" s="31">
        <f t="shared" si="940"/>
        <v>0.31319444444444444</v>
      </c>
      <c r="C5769" t="str">
        <f>'Inventory as of 12th Aug 2024'!A17</f>
        <v>Brookside milk 500ml</v>
      </c>
      <c r="D5769">
        <v>1</v>
      </c>
      <c r="E5769" s="5">
        <f>Table4[[#This Row],[qty]]*(VLOOKUP(Table4[[#This Row],[item_sold]],Table1[],5,FALSE))</f>
        <v>70</v>
      </c>
      <c r="F5769" s="5">
        <f>(VLOOKUP(Table4[[#This Row],[item_sold]],Table1[],4,FALSE))*Table4[[#This Row],[qty]]</f>
        <v>59</v>
      </c>
      <c r="G5769">
        <f t="shared" si="925"/>
        <v>11</v>
      </c>
      <c r="H5769" t="s">
        <v>430</v>
      </c>
      <c r="I5769" t="s">
        <v>390</v>
      </c>
    </row>
    <row r="5770" spans="1:12" x14ac:dyDescent="0.25">
      <c r="A5770" s="1">
        <f t="shared" si="938"/>
        <v>45577</v>
      </c>
      <c r="B5770" s="31">
        <f>TIME(8,7,0)</f>
        <v>0.33819444444444446</v>
      </c>
      <c r="C5770" s="25"/>
      <c r="D5770">
        <v>1</v>
      </c>
      <c r="E5770" s="5" t="e">
        <f>Table4[[#This Row],[qty]]*(VLOOKUP(Table4[[#This Row],[item_sold]],Table1[],5,FALSE))</f>
        <v>#N/A</v>
      </c>
      <c r="F5770" s="5" t="e">
        <f>(VLOOKUP(Table4[[#This Row],[item_sold]],Table1[],4,FALSE))*Table4[[#This Row],[qty]]</f>
        <v>#N/A</v>
      </c>
      <c r="G5770" t="e">
        <f t="shared" si="925"/>
        <v>#N/A</v>
      </c>
      <c r="H5770" t="s">
        <v>430</v>
      </c>
      <c r="I5770" t="s">
        <v>393</v>
      </c>
    </row>
    <row r="5771" spans="1:12" x14ac:dyDescent="0.25">
      <c r="A5771" s="1">
        <f t="shared" si="938"/>
        <v>45577</v>
      </c>
      <c r="B5771" s="31">
        <f t="shared" ref="B5771" si="941">TIME(8,7,0)</f>
        <v>0.33819444444444446</v>
      </c>
      <c r="C5771" t="str">
        <f>'Inventory as of 12th Aug 2024'!A8</f>
        <v>eggs</v>
      </c>
      <c r="D5771">
        <v>2</v>
      </c>
      <c r="E5771" s="5">
        <f>Table4[[#This Row],[qty]]*(VLOOKUP(Table4[[#This Row],[item_sold]],Table1[],5,FALSE))</f>
        <v>40</v>
      </c>
      <c r="F5771" s="5">
        <f>(VLOOKUP(Table4[[#This Row],[item_sold]],Table1[],4,FALSE))*Table4[[#This Row],[qty]]</f>
        <v>28.666666666666668</v>
      </c>
      <c r="G5771">
        <f t="shared" si="925"/>
        <v>11.333333333333332</v>
      </c>
      <c r="H5771" t="s">
        <v>430</v>
      </c>
      <c r="I5771" t="s">
        <v>393</v>
      </c>
    </row>
    <row r="5772" spans="1:12" x14ac:dyDescent="0.25">
      <c r="A5772" s="1">
        <f t="shared" si="938"/>
        <v>45577</v>
      </c>
      <c r="B5772" s="31">
        <f>TIME(8,16,0)</f>
        <v>0.3444444444444445</v>
      </c>
      <c r="C5772" t="str">
        <f>'Inventory as of 12th Aug 2024'!A35</f>
        <v>Festive 600g</v>
      </c>
      <c r="D5772">
        <v>1</v>
      </c>
      <c r="E5772" s="5">
        <f>Table4[[#This Row],[qty]]*(VLOOKUP(Table4[[#This Row],[item_sold]],Table1[],5,FALSE))</f>
        <v>100</v>
      </c>
      <c r="F5772" s="5">
        <f>(VLOOKUP(Table4[[#This Row],[item_sold]],Table1[],4,FALSE))*Table4[[#This Row],[qty]]</f>
        <v>90</v>
      </c>
      <c r="G5772">
        <f t="shared" si="925"/>
        <v>10</v>
      </c>
      <c r="H5772" t="s">
        <v>247</v>
      </c>
    </row>
    <row r="5773" spans="1:12" x14ac:dyDescent="0.25">
      <c r="A5773" s="1">
        <f t="shared" si="938"/>
        <v>45577</v>
      </c>
      <c r="B5773" s="31">
        <f>TIME(8,55,0)</f>
        <v>0.37152777777777773</v>
      </c>
      <c r="C5773" t="str">
        <f>'Inventory as of 12th Aug 2024'!A82</f>
        <v>ariel 10g</v>
      </c>
      <c r="D5773">
        <v>2</v>
      </c>
      <c r="E5773" s="5">
        <f>Table4[[#This Row],[qty]]*(VLOOKUP(Table4[[#This Row],[item_sold]],Table1[],5,FALSE))</f>
        <v>30</v>
      </c>
      <c r="F5773" s="5">
        <f>(VLOOKUP(Table4[[#This Row],[item_sold]],Table1[],4,FALSE))*Table4[[#This Row],[qty]]</f>
        <v>18.333333333333332</v>
      </c>
      <c r="G5773">
        <f t="shared" si="925"/>
        <v>11.666666666666668</v>
      </c>
      <c r="H5773" t="s">
        <v>361</v>
      </c>
    </row>
    <row r="5774" spans="1:12" x14ac:dyDescent="0.25">
      <c r="A5774" s="1">
        <f t="shared" si="938"/>
        <v>45577</v>
      </c>
      <c r="B5774" s="31">
        <f t="shared" ref="B5774:B5775" si="942">TIME(8,55,0)</f>
        <v>0.37152777777777773</v>
      </c>
      <c r="C5774" t="str">
        <f>'Inventory as of 12th Aug 2024'!A106</f>
        <v>Steel Wool 15g</v>
      </c>
      <c r="D5774">
        <v>1</v>
      </c>
      <c r="E5774" s="5">
        <f>Table4[[#This Row],[qty]]*(VLOOKUP(Table4[[#This Row],[item_sold]],Table1[],5,FALSE))</f>
        <v>10</v>
      </c>
      <c r="F5774" s="5">
        <f>(VLOOKUP(Table4[[#This Row],[item_sold]],Table1[],4,FALSE))*Table4[[#This Row],[qty]]</f>
        <v>5.2333333333333334</v>
      </c>
      <c r="G5774">
        <f t="shared" si="925"/>
        <v>4.7666666666666666</v>
      </c>
      <c r="H5774" t="s">
        <v>361</v>
      </c>
    </row>
    <row r="5775" spans="1:12" x14ac:dyDescent="0.25">
      <c r="A5775" s="1">
        <f t="shared" si="938"/>
        <v>45577</v>
      </c>
      <c r="B5775" s="31">
        <f t="shared" si="942"/>
        <v>0.37152777777777773</v>
      </c>
      <c r="C5775" t="str">
        <f>'Inventory as of 12th Aug 2024'!A200</f>
        <v>Ngumu</v>
      </c>
      <c r="D5775">
        <v>3</v>
      </c>
      <c r="E5775" s="5">
        <f>Table4[[#This Row],[qty]]*(VLOOKUP(Table4[[#This Row],[item_sold]],Table1[],5,FALSE))</f>
        <v>30</v>
      </c>
      <c r="F5775" s="5">
        <f>(VLOOKUP(Table4[[#This Row],[item_sold]],Table1[],4,FALSE))*Table4[[#This Row],[qty]]</f>
        <v>25</v>
      </c>
      <c r="G5775">
        <f t="shared" si="925"/>
        <v>5</v>
      </c>
      <c r="H5775" t="s">
        <v>247</v>
      </c>
    </row>
    <row r="5776" spans="1:12" x14ac:dyDescent="0.25">
      <c r="A5776" s="1">
        <f t="shared" si="938"/>
        <v>45577</v>
      </c>
      <c r="B5776" s="31">
        <f>TIME(8,59,0)</f>
        <v>0.3743055555555555</v>
      </c>
      <c r="C5776" t="str">
        <f>'Inventory as of 12th Aug 2024'!A57</f>
        <v>Sportsman</v>
      </c>
      <c r="D5776">
        <v>1</v>
      </c>
      <c r="E5776" s="5">
        <f>Table4[[#This Row],[qty]]*(VLOOKUP(Table4[[#This Row],[item_sold]],Table1[],5,FALSE))</f>
        <v>20</v>
      </c>
      <c r="F5776" s="5">
        <f>(VLOOKUP(Table4[[#This Row],[item_sold]],Table1[],4,FALSE))*Table4[[#This Row],[qty]]</f>
        <v>13</v>
      </c>
      <c r="G5776">
        <f t="shared" si="925"/>
        <v>7</v>
      </c>
      <c r="H5776" t="s">
        <v>247</v>
      </c>
    </row>
    <row r="5777" spans="1:12" x14ac:dyDescent="0.25">
      <c r="A5777" s="1">
        <f t="shared" si="938"/>
        <v>45577</v>
      </c>
      <c r="B5777" s="31">
        <f t="shared" ref="B5777" si="943">TIME(8,59,0)</f>
        <v>0.3743055555555555</v>
      </c>
      <c r="C5777" t="str">
        <f>'Inventory as of 12th Aug 2024'!A3</f>
        <v>Safaricom 10 Credit</v>
      </c>
      <c r="D5777">
        <v>1</v>
      </c>
      <c r="E5777" s="5">
        <f>Table4[[#This Row],[qty]]*(VLOOKUP(Table4[[#This Row],[item_sold]],Table1[],5,FALSE))</f>
        <v>10</v>
      </c>
      <c r="F5777" s="5">
        <f>(VLOOKUP(Table4[[#This Row],[item_sold]],Table1[],4,FALSE))*Table4[[#This Row],[qty]]</f>
        <v>9</v>
      </c>
      <c r="G5777">
        <f t="shared" si="925"/>
        <v>1</v>
      </c>
      <c r="H5777" t="s">
        <v>247</v>
      </c>
    </row>
    <row r="5778" spans="1:12" x14ac:dyDescent="0.25">
      <c r="A5778" s="1">
        <f t="shared" si="938"/>
        <v>45577</v>
      </c>
      <c r="B5778" s="31">
        <f>TIME(9,16,0)</f>
        <v>0.38611111111111113</v>
      </c>
      <c r="C5778" t="str">
        <f>'Inventory as of 12th Aug 2024'!A35</f>
        <v>Festive 600g</v>
      </c>
      <c r="D5778">
        <v>1</v>
      </c>
      <c r="E5778" s="5">
        <f>Table4[[#This Row],[qty]]*(VLOOKUP(Table4[[#This Row],[item_sold]],Table1[],5,FALSE))</f>
        <v>100</v>
      </c>
      <c r="F5778" s="5">
        <f>(VLOOKUP(Table4[[#This Row],[item_sold]],Table1[],4,FALSE))*Table4[[#This Row],[qty]]</f>
        <v>90</v>
      </c>
      <c r="G5778">
        <f t="shared" si="925"/>
        <v>10</v>
      </c>
      <c r="H5778" t="s">
        <v>247</v>
      </c>
    </row>
    <row r="5779" spans="1:12" x14ac:dyDescent="0.25">
      <c r="A5779" s="1">
        <f t="shared" si="938"/>
        <v>45577</v>
      </c>
      <c r="B5779" s="31">
        <f t="shared" ref="B5779:B5782" si="944">TIME(9,16,0)</f>
        <v>0.38611111111111113</v>
      </c>
      <c r="C5779" t="str">
        <f>'Inventory as of 12th Aug 2024'!A202</f>
        <v>funtime snacks</v>
      </c>
      <c r="D5779">
        <v>3</v>
      </c>
      <c r="E5779" s="5">
        <f>Table4[[#This Row],[qty]]*(VLOOKUP(Table4[[#This Row],[item_sold]],Table1[],5,FALSE))</f>
        <v>45</v>
      </c>
      <c r="F5779" s="5">
        <f>(VLOOKUP(Table4[[#This Row],[item_sold]],Table1[],4,FALSE))*Table4[[#This Row],[qty]]</f>
        <v>27</v>
      </c>
      <c r="G5779">
        <f t="shared" si="925"/>
        <v>18</v>
      </c>
      <c r="H5779" t="s">
        <v>247</v>
      </c>
    </row>
    <row r="5780" spans="1:12" x14ac:dyDescent="0.25">
      <c r="A5780" s="1">
        <f t="shared" si="938"/>
        <v>45577</v>
      </c>
      <c r="B5780" s="31">
        <f t="shared" si="944"/>
        <v>0.38611111111111113</v>
      </c>
      <c r="C5780" t="str">
        <f>'Inventory as of 12th Aug 2024'!A178</f>
        <v>Ringoz Paprika</v>
      </c>
      <c r="D5780">
        <v>4</v>
      </c>
      <c r="E5780" s="5">
        <f>Table4[[#This Row],[qty]]*(VLOOKUP(Table4[[#This Row],[item_sold]],Table1[],5,FALSE))</f>
        <v>60</v>
      </c>
      <c r="F5780" s="5">
        <f>(VLOOKUP(Table4[[#This Row],[item_sold]],Table1[],4,FALSE))*Table4[[#This Row],[qty]]</f>
        <v>35.200000000000003</v>
      </c>
      <c r="G5780">
        <f t="shared" ref="G5780:G5843" si="945">E5780-F5780</f>
        <v>24.799999999999997</v>
      </c>
      <c r="H5780" t="s">
        <v>247</v>
      </c>
    </row>
    <row r="5781" spans="1:12" x14ac:dyDescent="0.25">
      <c r="A5781" s="1">
        <f t="shared" si="938"/>
        <v>45577</v>
      </c>
      <c r="B5781" s="31">
        <f t="shared" si="944"/>
        <v>0.38611111111111113</v>
      </c>
      <c r="C5781" t="str">
        <f>'Inventory as of 12th Aug 2024'!A233</f>
        <v>Lollipop</v>
      </c>
      <c r="D5781">
        <v>1</v>
      </c>
      <c r="E5781" s="5">
        <f>Table4[[#This Row],[qty]]*(VLOOKUP(Table4[[#This Row],[item_sold]],Table1[],5,FALSE))</f>
        <v>5</v>
      </c>
      <c r="F5781" s="5">
        <f>(VLOOKUP(Table4[[#This Row],[item_sold]],Table1[],4,FALSE))*Table4[[#This Row],[qty]]</f>
        <v>2.4</v>
      </c>
      <c r="G5781">
        <f t="shared" si="945"/>
        <v>2.6</v>
      </c>
      <c r="H5781" t="s">
        <v>247</v>
      </c>
    </row>
    <row r="5782" spans="1:12" x14ac:dyDescent="0.25">
      <c r="A5782" s="1">
        <f t="shared" si="938"/>
        <v>45577</v>
      </c>
      <c r="B5782" s="31">
        <f t="shared" si="944"/>
        <v>0.38611111111111113</v>
      </c>
      <c r="C5782" s="25"/>
      <c r="D5782">
        <v>5</v>
      </c>
      <c r="E5782" s="5" t="e">
        <f>Table4[[#This Row],[qty]]*(VLOOKUP(Table4[[#This Row],[item_sold]],Table1[],5,FALSE))</f>
        <v>#N/A</v>
      </c>
      <c r="F5782" s="5" t="e">
        <f>(VLOOKUP(Table4[[#This Row],[item_sold]],Table1[],4,FALSE))*Table4[[#This Row],[qty]]</f>
        <v>#N/A</v>
      </c>
      <c r="G5782" t="e">
        <f t="shared" si="945"/>
        <v>#N/A</v>
      </c>
      <c r="H5782" t="s">
        <v>247</v>
      </c>
      <c r="J5782" t="s">
        <v>393</v>
      </c>
      <c r="K5782">
        <v>110</v>
      </c>
      <c r="L5782" t="s">
        <v>361</v>
      </c>
    </row>
    <row r="5783" spans="1:12" x14ac:dyDescent="0.25">
      <c r="A5783" s="1">
        <f t="shared" si="938"/>
        <v>45577</v>
      </c>
      <c r="B5783" s="31">
        <f>TIME(9,59,0)</f>
        <v>0.41597222222222219</v>
      </c>
      <c r="C5783" t="str">
        <f>'Inventory as of 12th Aug 2024'!A33</f>
        <v>BB Bread 400g</v>
      </c>
      <c r="D5783">
        <v>1</v>
      </c>
      <c r="E5783" s="5">
        <f>Table4[[#This Row],[qty]]*(VLOOKUP(Table4[[#This Row],[item_sold]],Table1[],5,FALSE))</f>
        <v>65</v>
      </c>
      <c r="F5783" s="5">
        <f>(VLOOKUP(Table4[[#This Row],[item_sold]],Table1[],4,FALSE))*Table4[[#This Row],[qty]]</f>
        <v>60</v>
      </c>
      <c r="G5783">
        <f t="shared" si="945"/>
        <v>5</v>
      </c>
      <c r="H5783" t="s">
        <v>430</v>
      </c>
      <c r="I5783" t="s">
        <v>383</v>
      </c>
    </row>
    <row r="5784" spans="1:12" x14ac:dyDescent="0.25">
      <c r="A5784" s="1">
        <f t="shared" si="938"/>
        <v>45577</v>
      </c>
      <c r="B5784" s="31">
        <f>TIME(9,32,0)</f>
        <v>0.3972222222222222</v>
      </c>
      <c r="C5784" t="str">
        <f>'Inventory as of 12th Aug 2024'!A33</f>
        <v>BB Bread 400g</v>
      </c>
      <c r="D5784">
        <v>1</v>
      </c>
      <c r="E5784" s="5">
        <f>Table4[[#This Row],[qty]]*(VLOOKUP(Table4[[#This Row],[item_sold]],Table1[],5,FALSE))</f>
        <v>65</v>
      </c>
      <c r="F5784" s="5">
        <f>(VLOOKUP(Table4[[#This Row],[item_sold]],Table1[],4,FALSE))*Table4[[#This Row],[qty]]</f>
        <v>60</v>
      </c>
      <c r="G5784">
        <f t="shared" si="945"/>
        <v>5</v>
      </c>
      <c r="H5784" t="s">
        <v>361</v>
      </c>
    </row>
    <row r="5785" spans="1:12" x14ac:dyDescent="0.25">
      <c r="A5785" s="1">
        <f t="shared" si="938"/>
        <v>45577</v>
      </c>
      <c r="B5785" s="31">
        <f t="shared" ref="B5785:B5786" si="946">TIME(9,32,0)</f>
        <v>0.3972222222222222</v>
      </c>
      <c r="C5785" t="str">
        <f>'Inventory as of 12th Aug 2024'!A238</f>
        <v>Tropical</v>
      </c>
      <c r="D5785">
        <v>1</v>
      </c>
      <c r="E5785" s="5">
        <f>Table4[[#This Row],[qty]]*(VLOOKUP(Table4[[#This Row],[item_sold]],Table1[],5,FALSE))</f>
        <v>5</v>
      </c>
      <c r="F5785" s="5">
        <f>(VLOOKUP(Table4[[#This Row],[item_sold]],Table1[],4,FALSE))*Table4[[#This Row],[qty]]</f>
        <v>1.5</v>
      </c>
      <c r="G5785">
        <f t="shared" si="945"/>
        <v>3.5</v>
      </c>
      <c r="H5785" t="s">
        <v>247</v>
      </c>
    </row>
    <row r="5786" spans="1:12" x14ac:dyDescent="0.25">
      <c r="A5786" s="1">
        <f t="shared" si="938"/>
        <v>45577</v>
      </c>
      <c r="B5786" s="31">
        <f t="shared" si="946"/>
        <v>0.3972222222222222</v>
      </c>
      <c r="C5786" t="str">
        <f>'Inventory as of 12th Aug 2024'!A37</f>
        <v>Festive Bread 400g</v>
      </c>
      <c r="D5786">
        <v>1</v>
      </c>
      <c r="E5786" s="5">
        <f>Table4[[#This Row],[qty]]*(VLOOKUP(Table4[[#This Row],[item_sold]],Table1[],5,FALSE))</f>
        <v>65</v>
      </c>
      <c r="F5786" s="5">
        <f>(VLOOKUP(Table4[[#This Row],[item_sold]],Table1[],4,FALSE))*Table4[[#This Row],[qty]]</f>
        <v>60</v>
      </c>
      <c r="G5786">
        <f t="shared" si="945"/>
        <v>5</v>
      </c>
      <c r="H5786" t="s">
        <v>247</v>
      </c>
    </row>
    <row r="5787" spans="1:12" x14ac:dyDescent="0.25">
      <c r="A5787" s="1">
        <f t="shared" si="938"/>
        <v>45577</v>
      </c>
      <c r="B5787" s="31">
        <f>TIME(10,27,0)</f>
        <v>0.43541666666666662</v>
      </c>
      <c r="C5787" t="str">
        <f>'Inventory as of 12th Aug 2024'!A200</f>
        <v>Ngumu</v>
      </c>
      <c r="D5787">
        <v>4</v>
      </c>
      <c r="E5787" s="5">
        <f>Table4[[#This Row],[qty]]*(VLOOKUP(Table4[[#This Row],[item_sold]],Table1[],5,FALSE))</f>
        <v>40</v>
      </c>
      <c r="F5787" s="5">
        <f>(VLOOKUP(Table4[[#This Row],[item_sold]],Table1[],4,FALSE))*Table4[[#This Row],[qty]]</f>
        <v>33.333333333333336</v>
      </c>
      <c r="G5787">
        <f t="shared" si="945"/>
        <v>6.6666666666666643</v>
      </c>
      <c r="H5787" t="s">
        <v>430</v>
      </c>
      <c r="I5787" t="s">
        <v>598</v>
      </c>
    </row>
    <row r="5788" spans="1:12" x14ac:dyDescent="0.25">
      <c r="A5788" s="1">
        <f t="shared" si="938"/>
        <v>45577</v>
      </c>
      <c r="B5788" s="31">
        <f t="shared" ref="B5788" si="947">TIME(10,27,0)</f>
        <v>0.43541666666666662</v>
      </c>
      <c r="C5788" t="str">
        <f>'Inventory as of 12th Aug 2024'!A27</f>
        <v>Nescafe 1.5g</v>
      </c>
      <c r="D5788">
        <v>5</v>
      </c>
      <c r="E5788" s="5">
        <f>Table4[[#This Row],[qty]]*(VLOOKUP(Table4[[#This Row],[item_sold]],Table1[],5,FALSE))</f>
        <v>75</v>
      </c>
      <c r="F5788" s="5">
        <f>(VLOOKUP(Table4[[#This Row],[item_sold]],Table1[],4,FALSE))*Table4[[#This Row],[qty]]</f>
        <v>45.833333333333329</v>
      </c>
      <c r="G5788">
        <f t="shared" si="945"/>
        <v>29.166666666666671</v>
      </c>
      <c r="H5788" t="s">
        <v>361</v>
      </c>
    </row>
    <row r="5789" spans="1:12" x14ac:dyDescent="0.25">
      <c r="A5789" s="1">
        <f t="shared" si="938"/>
        <v>45577</v>
      </c>
      <c r="B5789" s="31">
        <f>TIME(13,47,0)</f>
        <v>0.57430555555555551</v>
      </c>
      <c r="C5789" t="str">
        <f>'Inventory as of 12th Aug 2024'!A42</f>
        <v>Indomie chicken</v>
      </c>
      <c r="D5789">
        <v>1</v>
      </c>
      <c r="E5789" s="5">
        <f>Table4[[#This Row],[qty]]*(VLOOKUP(Table4[[#This Row],[item_sold]],Table1[],5,FALSE))</f>
        <v>50</v>
      </c>
      <c r="F5789" s="5">
        <f>(VLOOKUP(Table4[[#This Row],[item_sold]],Table1[],4,FALSE))*Table4[[#This Row],[qty]]</f>
        <v>37.5</v>
      </c>
      <c r="G5789">
        <f t="shared" si="945"/>
        <v>12.5</v>
      </c>
      <c r="H5789" t="s">
        <v>361</v>
      </c>
    </row>
    <row r="5790" spans="1:12" x14ac:dyDescent="0.25">
      <c r="A5790" s="1">
        <f t="shared" si="938"/>
        <v>45577</v>
      </c>
      <c r="B5790" s="31">
        <f t="shared" ref="B5790:B5794" si="948">TIME(13,47,0)</f>
        <v>0.57430555555555551</v>
      </c>
      <c r="C5790" t="str">
        <f>'Inventory as of 12th Aug 2024'!A85</f>
        <v>Downy lavender</v>
      </c>
      <c r="D5790">
        <v>1</v>
      </c>
      <c r="E5790" s="5">
        <f>Table4[[#This Row],[qty]]*(VLOOKUP(Table4[[#This Row],[item_sold]],Table1[],5,FALSE))</f>
        <v>20</v>
      </c>
      <c r="F5790" s="5">
        <f>(VLOOKUP(Table4[[#This Row],[item_sold]],Table1[],4,FALSE))*Table4[[#This Row],[qty]]</f>
        <v>17.333333333333332</v>
      </c>
      <c r="G5790">
        <f t="shared" si="945"/>
        <v>2.6666666666666679</v>
      </c>
      <c r="H5790" t="s">
        <v>430</v>
      </c>
      <c r="I5790" t="s">
        <v>393</v>
      </c>
    </row>
    <row r="5791" spans="1:12" x14ac:dyDescent="0.25">
      <c r="A5791" s="1">
        <f t="shared" si="938"/>
        <v>45577</v>
      </c>
      <c r="B5791" s="31">
        <f t="shared" si="948"/>
        <v>0.57430555555555551</v>
      </c>
      <c r="C5791" t="str">
        <f>'Inventory as of 12th Aug 2024'!A84</f>
        <v>omo 20g</v>
      </c>
      <c r="D5791">
        <v>1</v>
      </c>
      <c r="E5791" s="5">
        <f>Table4[[#This Row],[qty]]*(VLOOKUP(Table4[[#This Row],[item_sold]],Table1[],5,FALSE))</f>
        <v>15</v>
      </c>
      <c r="F5791" s="5">
        <f>(VLOOKUP(Table4[[#This Row],[item_sold]],Table1[],4,FALSE))*Table4[[#This Row],[qty]]</f>
        <v>9.1666666666666661</v>
      </c>
      <c r="G5791">
        <f t="shared" si="945"/>
        <v>5.8333333333333339</v>
      </c>
      <c r="H5791" t="s">
        <v>430</v>
      </c>
      <c r="I5791" t="s">
        <v>393</v>
      </c>
    </row>
    <row r="5792" spans="1:12" x14ac:dyDescent="0.25">
      <c r="A5792" s="1">
        <f t="shared" si="938"/>
        <v>45577</v>
      </c>
      <c r="B5792" s="31">
        <f t="shared" si="948"/>
        <v>0.57430555555555551</v>
      </c>
      <c r="C5792" t="str">
        <f>'Inventory as of 12th Aug 2024'!A202</f>
        <v>funtime snacks</v>
      </c>
      <c r="D5792">
        <v>1</v>
      </c>
      <c r="E5792" s="5">
        <f>Table4[[#This Row],[qty]]*(VLOOKUP(Table4[[#This Row],[item_sold]],Table1[],5,FALSE))</f>
        <v>15</v>
      </c>
      <c r="F5792" s="5">
        <f>(VLOOKUP(Table4[[#This Row],[item_sold]],Table1[],4,FALSE))*Table4[[#This Row],[qty]]</f>
        <v>9</v>
      </c>
      <c r="G5792">
        <f t="shared" si="945"/>
        <v>6</v>
      </c>
      <c r="H5792" t="s">
        <v>430</v>
      </c>
      <c r="I5792" t="s">
        <v>393</v>
      </c>
    </row>
    <row r="5793" spans="1:12" x14ac:dyDescent="0.25">
      <c r="A5793" s="1">
        <f t="shared" si="938"/>
        <v>45577</v>
      </c>
      <c r="B5793" s="31">
        <f t="shared" si="948"/>
        <v>0.57430555555555551</v>
      </c>
      <c r="C5793" t="str">
        <f>'Inventory as of 12th Aug 2024'!A91</f>
        <v>Tomatoes</v>
      </c>
      <c r="D5793">
        <v>1</v>
      </c>
      <c r="E5793" s="5">
        <f>Table4[[#This Row],[qty]]*(VLOOKUP(Table4[[#This Row],[item_sold]],Table1[],5,FALSE))</f>
        <v>10</v>
      </c>
      <c r="F5793" s="5">
        <f>(VLOOKUP(Table4[[#This Row],[item_sold]],Table1[],4,FALSE))*Table4[[#This Row],[qty]]</f>
        <v>5</v>
      </c>
      <c r="G5793">
        <f t="shared" si="945"/>
        <v>5</v>
      </c>
      <c r="H5793" t="s">
        <v>430</v>
      </c>
      <c r="I5793" t="s">
        <v>393</v>
      </c>
    </row>
    <row r="5794" spans="1:12" x14ac:dyDescent="0.25">
      <c r="A5794" s="1">
        <f t="shared" si="938"/>
        <v>45577</v>
      </c>
      <c r="B5794" s="31">
        <f t="shared" si="948"/>
        <v>0.57430555555555551</v>
      </c>
      <c r="C5794" t="str">
        <f>'Inventory as of 12th Aug 2024'!A90</f>
        <v>Onion</v>
      </c>
      <c r="D5794">
        <v>1</v>
      </c>
      <c r="E5794" s="5">
        <f>Table4[[#This Row],[qty]]*(VLOOKUP(Table4[[#This Row],[item_sold]],Table1[],5,FALSE))</f>
        <v>10</v>
      </c>
      <c r="F5794" s="5">
        <f>(VLOOKUP(Table4[[#This Row],[item_sold]],Table1[],4,FALSE))*Table4[[#This Row],[qty]]</f>
        <v>8</v>
      </c>
      <c r="G5794">
        <f t="shared" si="945"/>
        <v>2</v>
      </c>
      <c r="H5794" t="s">
        <v>430</v>
      </c>
      <c r="I5794" t="s">
        <v>393</v>
      </c>
    </row>
    <row r="5795" spans="1:12" x14ac:dyDescent="0.25">
      <c r="A5795" s="1">
        <f t="shared" si="938"/>
        <v>45577</v>
      </c>
      <c r="B5795" s="31">
        <f>TIME(14,21,0)</f>
        <v>0.59791666666666665</v>
      </c>
      <c r="C5795" t="str">
        <f>'Inventory as of 12th Aug 2024'!A41</f>
        <v>Indomie beef</v>
      </c>
      <c r="D5795">
        <v>1</v>
      </c>
      <c r="E5795" s="5">
        <f>Table4[[#This Row],[qty]]*(VLOOKUP(Table4[[#This Row],[item_sold]],Table1[],5,FALSE))</f>
        <v>50</v>
      </c>
      <c r="F5795" s="5">
        <f>(VLOOKUP(Table4[[#This Row],[item_sold]],Table1[],4,FALSE))*Table4[[#This Row],[qty]]</f>
        <v>38</v>
      </c>
      <c r="G5795">
        <f t="shared" si="945"/>
        <v>12</v>
      </c>
      <c r="H5795" t="s">
        <v>361</v>
      </c>
    </row>
    <row r="5796" spans="1:12" x14ac:dyDescent="0.25">
      <c r="A5796" s="1">
        <f t="shared" si="938"/>
        <v>45577</v>
      </c>
      <c r="B5796" s="31">
        <f t="shared" ref="B5796" si="949">TIME(14,21,0)</f>
        <v>0.59791666666666665</v>
      </c>
      <c r="C5796" t="str">
        <f>'Inventory as of 12th Aug 2024'!A8</f>
        <v>eggs</v>
      </c>
      <c r="D5796">
        <v>2</v>
      </c>
      <c r="E5796" s="5">
        <f>Table4[[#This Row],[qty]]*(VLOOKUP(Table4[[#This Row],[item_sold]],Table1[],5,FALSE))</f>
        <v>40</v>
      </c>
      <c r="F5796" s="5">
        <f>(VLOOKUP(Table4[[#This Row],[item_sold]],Table1[],4,FALSE))*Table4[[#This Row],[qty]]</f>
        <v>28.666666666666668</v>
      </c>
      <c r="G5796">
        <f t="shared" si="945"/>
        <v>11.333333333333332</v>
      </c>
      <c r="H5796" t="s">
        <v>361</v>
      </c>
    </row>
    <row r="5797" spans="1:12" x14ac:dyDescent="0.25">
      <c r="A5797" s="1">
        <f t="shared" si="938"/>
        <v>45577</v>
      </c>
      <c r="B5797" s="31">
        <f>TIME(15,21,0)</f>
        <v>0.63958333333333328</v>
      </c>
      <c r="C5797" t="str">
        <f>'Inventory as of 12th Aug 2024'!A58</f>
        <v>Safari</v>
      </c>
      <c r="D5797">
        <v>1</v>
      </c>
      <c r="E5797" s="5">
        <f>Table4[[#This Row],[qty]]*(VLOOKUP(Table4[[#This Row],[item_sold]],Table1[],5,FALSE))</f>
        <v>15</v>
      </c>
      <c r="F5797" s="5">
        <f>(VLOOKUP(Table4[[#This Row],[item_sold]],Table1[],4,FALSE))*Table4[[#This Row],[qty]]</f>
        <v>8.5</v>
      </c>
      <c r="G5797">
        <f t="shared" si="945"/>
        <v>6.5</v>
      </c>
      <c r="H5797" t="s">
        <v>361</v>
      </c>
    </row>
    <row r="5798" spans="1:12" x14ac:dyDescent="0.25">
      <c r="A5798" s="1">
        <f t="shared" si="938"/>
        <v>45577</v>
      </c>
      <c r="B5798" s="31">
        <f>TIME(15,50,0)</f>
        <v>0.65972222222222221</v>
      </c>
      <c r="C5798" t="str">
        <f>'Inventory as of 12th Aug 2024'!A213</f>
        <v>soda 500ml glass</v>
      </c>
      <c r="D5798">
        <v>1</v>
      </c>
      <c r="E5798" s="5">
        <f>Table4[[#This Row],[qty]]*(VLOOKUP(Table4[[#This Row],[item_sold]],Table1[],5,FALSE))</f>
        <v>55</v>
      </c>
      <c r="F5798" s="5">
        <f>(VLOOKUP(Table4[[#This Row],[item_sold]],Table1[],4,FALSE))*Table4[[#This Row],[qty]]</f>
        <v>50</v>
      </c>
      <c r="G5798">
        <f t="shared" si="945"/>
        <v>5</v>
      </c>
      <c r="H5798" t="s">
        <v>247</v>
      </c>
      <c r="J5798" t="s">
        <v>455</v>
      </c>
      <c r="K5798">
        <v>65</v>
      </c>
      <c r="L5798" t="s">
        <v>247</v>
      </c>
    </row>
    <row r="5799" spans="1:12" x14ac:dyDescent="0.25">
      <c r="A5799" s="1">
        <f t="shared" si="938"/>
        <v>45577</v>
      </c>
      <c r="B5799" s="31">
        <f>TIME(15,52,0)</f>
        <v>0.66111111111111109</v>
      </c>
      <c r="C5799" t="str">
        <f>'Inventory as of 12th Aug 2024'!A234</f>
        <v>Bigdaddy</v>
      </c>
      <c r="D5799">
        <v>2</v>
      </c>
      <c r="E5799" s="5">
        <f>Table4[[#This Row],[qty]]*(VLOOKUP(Table4[[#This Row],[item_sold]],Table1[],5,FALSE))</f>
        <v>20</v>
      </c>
      <c r="F5799" s="5">
        <f>(VLOOKUP(Table4[[#This Row],[item_sold]],Table1[],4,FALSE))*Table4[[#This Row],[qty]]</f>
        <v>12</v>
      </c>
      <c r="G5799">
        <f t="shared" si="945"/>
        <v>8</v>
      </c>
      <c r="H5799" t="s">
        <v>247</v>
      </c>
    </row>
    <row r="5800" spans="1:12" x14ac:dyDescent="0.25">
      <c r="A5800" s="1">
        <f t="shared" si="938"/>
        <v>45577</v>
      </c>
      <c r="B5800" s="31">
        <f>TIME(15,52,0)</f>
        <v>0.66111111111111109</v>
      </c>
      <c r="C5800" s="25"/>
      <c r="D5800">
        <v>1</v>
      </c>
      <c r="E5800" s="5" t="e">
        <f>Table4[[#This Row],[qty]]*(VLOOKUP(Table4[[#This Row],[item_sold]],Table1[],5,FALSE))</f>
        <v>#N/A</v>
      </c>
      <c r="F5800" s="5" t="e">
        <f>(VLOOKUP(Table4[[#This Row],[item_sold]],Table1[],4,FALSE))*Table4[[#This Row],[qty]]</f>
        <v>#N/A</v>
      </c>
      <c r="G5800" t="e">
        <f t="shared" si="945"/>
        <v>#N/A</v>
      </c>
      <c r="H5800" t="s">
        <v>247</v>
      </c>
    </row>
    <row r="5801" spans="1:12" x14ac:dyDescent="0.25">
      <c r="A5801" s="1">
        <f t="shared" si="938"/>
        <v>45577</v>
      </c>
      <c r="B5801" s="31">
        <f>TIME(16,25,0)</f>
        <v>0.68402777777777779</v>
      </c>
      <c r="C5801" t="str">
        <f>'Inventory as of 12th Aug 2024'!A205</f>
        <v xml:space="preserve"> soda 1.25lts</v>
      </c>
      <c r="D5801">
        <v>1</v>
      </c>
      <c r="E5801" s="5">
        <f>Table4[[#This Row],[qty]]*(VLOOKUP(Table4[[#This Row],[item_sold]],Table1[],5,FALSE))</f>
        <v>130</v>
      </c>
      <c r="F5801" s="5">
        <f>(VLOOKUP(Table4[[#This Row],[item_sold]],Table1[],4,FALSE))*Table4[[#This Row],[qty]]</f>
        <v>112.5</v>
      </c>
      <c r="G5801">
        <f t="shared" si="945"/>
        <v>17.5</v>
      </c>
      <c r="H5801" t="s">
        <v>361</v>
      </c>
      <c r="J5801" t="s">
        <v>421</v>
      </c>
      <c r="K5801">
        <v>30</v>
      </c>
      <c r="L5801" t="s">
        <v>247</v>
      </c>
    </row>
    <row r="5802" spans="1:12" x14ac:dyDescent="0.25">
      <c r="A5802" s="1">
        <f t="shared" si="938"/>
        <v>45577</v>
      </c>
      <c r="B5802" s="31">
        <f>TIME(18,3,0)</f>
        <v>0.75208333333333333</v>
      </c>
      <c r="C5802" t="str">
        <f>'Inventory as of 12th Aug 2024'!A242</f>
        <v>Icepop</v>
      </c>
      <c r="D5802">
        <v>2</v>
      </c>
      <c r="E5802" s="5">
        <f>Table4[[#This Row],[qty]]*(VLOOKUP(Table4[[#This Row],[item_sold]],Table1[],5,FALSE))</f>
        <v>30</v>
      </c>
      <c r="F5802" s="5">
        <f>(VLOOKUP(Table4[[#This Row],[item_sold]],Table1[],4,FALSE))*Table4[[#This Row],[qty]]</f>
        <v>15</v>
      </c>
      <c r="G5802">
        <f t="shared" si="945"/>
        <v>15</v>
      </c>
      <c r="H5802" t="s">
        <v>361</v>
      </c>
    </row>
    <row r="5803" spans="1:12" x14ac:dyDescent="0.25">
      <c r="A5803" s="1">
        <f t="shared" si="938"/>
        <v>45577</v>
      </c>
      <c r="B5803" s="31">
        <f t="shared" ref="B5803:B5804" si="950">TIME(18,3,0)</f>
        <v>0.75208333333333333</v>
      </c>
      <c r="C5803" t="str">
        <f>'Inventory as of 12th Aug 2024'!A211</f>
        <v>predator</v>
      </c>
      <c r="D5803">
        <v>1</v>
      </c>
      <c r="E5803" s="5">
        <f>Table4[[#This Row],[qty]]*(VLOOKUP(Table4[[#This Row],[item_sold]],Table1[],5,FALSE))</f>
        <v>70</v>
      </c>
      <c r="F5803" s="5">
        <f>(VLOOKUP(Table4[[#This Row],[item_sold]],Table1[],4,FALSE))*Table4[[#This Row],[qty]]</f>
        <v>54.166666666666664</v>
      </c>
      <c r="G5803">
        <f t="shared" si="945"/>
        <v>15.833333333333336</v>
      </c>
      <c r="H5803" t="s">
        <v>361</v>
      </c>
    </row>
    <row r="5804" spans="1:12" x14ac:dyDescent="0.25">
      <c r="A5804" s="1">
        <f t="shared" si="938"/>
        <v>45577</v>
      </c>
      <c r="B5804" s="31">
        <f t="shared" si="950"/>
        <v>0.75208333333333333</v>
      </c>
      <c r="C5804" t="str">
        <f>'Inventory as of 12th Aug 2024'!A214</f>
        <v>smash juice</v>
      </c>
      <c r="D5804">
        <v>1</v>
      </c>
      <c r="E5804" s="5">
        <f>Table4[[#This Row],[qty]]*(VLOOKUP(Table4[[#This Row],[item_sold]],Table1[],5,FALSE))</f>
        <v>20</v>
      </c>
      <c r="F5804" s="5">
        <f>(VLOOKUP(Table4[[#This Row],[item_sold]],Table1[],4,FALSE))*Table4[[#This Row],[qty]]</f>
        <v>15</v>
      </c>
      <c r="G5804">
        <f t="shared" si="945"/>
        <v>5</v>
      </c>
      <c r="H5804" t="s">
        <v>361</v>
      </c>
    </row>
    <row r="5805" spans="1:12" x14ac:dyDescent="0.25">
      <c r="A5805" s="1">
        <f t="shared" si="938"/>
        <v>45577</v>
      </c>
      <c r="B5805" s="31">
        <f>TIME(18,4,0)</f>
        <v>0.75277777777777777</v>
      </c>
      <c r="C5805" t="str">
        <f>'Inventory as of 12th Aug 2024'!A58</f>
        <v>Safari</v>
      </c>
      <c r="D5805">
        <v>1</v>
      </c>
      <c r="E5805" s="5">
        <f>Table4[[#This Row],[qty]]*(VLOOKUP(Table4[[#This Row],[item_sold]],Table1[],5,FALSE))</f>
        <v>15</v>
      </c>
      <c r="F5805" s="5">
        <f>(VLOOKUP(Table4[[#This Row],[item_sold]],Table1[],4,FALSE))*Table4[[#This Row],[qty]]</f>
        <v>8.5</v>
      </c>
      <c r="G5805">
        <f t="shared" si="945"/>
        <v>6.5</v>
      </c>
      <c r="H5805" t="s">
        <v>361</v>
      </c>
    </row>
    <row r="5806" spans="1:12" x14ac:dyDescent="0.25">
      <c r="A5806" s="1">
        <f t="shared" si="938"/>
        <v>45577</v>
      </c>
      <c r="B5806" s="31">
        <f>TIME(18,6,0)</f>
        <v>0.75416666666666676</v>
      </c>
      <c r="C5806" t="str">
        <f>'Inventory as of 12th Aug 2024'!A81</f>
        <v>ariel 75g</v>
      </c>
      <c r="D5806">
        <v>2</v>
      </c>
      <c r="E5806" s="5">
        <f>Table4[[#This Row],[qty]]*(VLOOKUP(Table4[[#This Row],[item_sold]],Table1[],5,FALSE))</f>
        <v>70</v>
      </c>
      <c r="F5806" s="5">
        <f>(VLOOKUP(Table4[[#This Row],[item_sold]],Table1[],4,FALSE))*Table4[[#This Row],[qty]]</f>
        <v>55</v>
      </c>
      <c r="G5806">
        <f t="shared" si="945"/>
        <v>15</v>
      </c>
      <c r="H5806" t="s">
        <v>361</v>
      </c>
    </row>
    <row r="5807" spans="1:12" x14ac:dyDescent="0.25">
      <c r="A5807" s="1">
        <f t="shared" si="938"/>
        <v>45577</v>
      </c>
      <c r="B5807" s="31">
        <f t="shared" ref="B5807:B5808" si="951">TIME(18,6,0)</f>
        <v>0.75416666666666676</v>
      </c>
      <c r="C5807" t="str">
        <f>'Inventory as of 12th Aug 2024'!A74</f>
        <v>Freshfry</v>
      </c>
      <c r="D5807">
        <v>1</v>
      </c>
      <c r="E5807" s="5">
        <f>Table4[[#This Row],[qty]]*(VLOOKUP(Table4[[#This Row],[item_sold]],Table1[],5,FALSE))</f>
        <v>350</v>
      </c>
      <c r="F5807" s="5">
        <f>(VLOOKUP(Table4[[#This Row],[item_sold]],Table1[],4,FALSE))*Table4[[#This Row],[qty]]</f>
        <v>290</v>
      </c>
      <c r="G5807">
        <f t="shared" si="945"/>
        <v>60</v>
      </c>
      <c r="H5807" t="s">
        <v>361</v>
      </c>
    </row>
    <row r="5808" spans="1:12" x14ac:dyDescent="0.25">
      <c r="A5808" s="1">
        <f t="shared" si="938"/>
        <v>45577</v>
      </c>
      <c r="B5808" s="31">
        <f t="shared" si="951"/>
        <v>0.75416666666666676</v>
      </c>
      <c r="C5808" t="str">
        <f>'Inventory as of 12th Aug 2024'!A242</f>
        <v>Icepop</v>
      </c>
      <c r="D5808">
        <v>2</v>
      </c>
      <c r="E5808" s="5">
        <f>Table4[[#This Row],[qty]]*(VLOOKUP(Table4[[#This Row],[item_sold]],Table1[],5,FALSE))</f>
        <v>30</v>
      </c>
      <c r="F5808" s="5">
        <f>(VLOOKUP(Table4[[#This Row],[item_sold]],Table1[],4,FALSE))*Table4[[#This Row],[qty]]</f>
        <v>15</v>
      </c>
      <c r="G5808">
        <f t="shared" si="945"/>
        <v>15</v>
      </c>
      <c r="H5808" t="s">
        <v>361</v>
      </c>
    </row>
    <row r="5809" spans="1:12" x14ac:dyDescent="0.25">
      <c r="A5809" s="1">
        <f t="shared" si="938"/>
        <v>45577</v>
      </c>
      <c r="B5809" s="31">
        <f>TIME(18,17,0)</f>
        <v>0.76180555555555562</v>
      </c>
      <c r="C5809" t="str">
        <f>'Inventory as of 12th Aug 2024'!A75</f>
        <v>Cooking Oil Measured</v>
      </c>
      <c r="D5809">
        <v>1</v>
      </c>
      <c r="E5809" s="5">
        <f>Table4[[#This Row],[qty]]*(VLOOKUP(Table4[[#This Row],[item_sold]],Table1[],5,FALSE))</f>
        <v>280</v>
      </c>
      <c r="F5809" s="5">
        <f>(VLOOKUP(Table4[[#This Row],[item_sold]],Table1[],4,FALSE))*Table4[[#This Row],[qty]]</f>
        <v>200</v>
      </c>
      <c r="G5809">
        <f t="shared" si="945"/>
        <v>80</v>
      </c>
      <c r="H5809" t="s">
        <v>361</v>
      </c>
      <c r="J5809" t="s">
        <v>593</v>
      </c>
      <c r="K5809">
        <v>10</v>
      </c>
      <c r="L5809" t="s">
        <v>247</v>
      </c>
    </row>
    <row r="5810" spans="1:12" x14ac:dyDescent="0.25">
      <c r="A5810" s="1">
        <f t="shared" si="938"/>
        <v>45577</v>
      </c>
      <c r="B5810" s="31">
        <f>TIME(18,43,0)</f>
        <v>0.77986111111111101</v>
      </c>
      <c r="C5810" t="str">
        <f>'Inventory as of 12th Aug 2024'!A213</f>
        <v>soda 500ml glass</v>
      </c>
      <c r="D5810">
        <v>1</v>
      </c>
      <c r="E5810" s="5">
        <f>Table4[[#This Row],[qty]]*(VLOOKUP(Table4[[#This Row],[item_sold]],Table1[],5,FALSE))</f>
        <v>55</v>
      </c>
      <c r="F5810" s="5">
        <f>(VLOOKUP(Table4[[#This Row],[item_sold]],Table1[],4,FALSE))*Table4[[#This Row],[qty]]</f>
        <v>50</v>
      </c>
      <c r="G5810">
        <f t="shared" si="945"/>
        <v>5</v>
      </c>
      <c r="H5810" t="s">
        <v>430</v>
      </c>
      <c r="I5810" t="s">
        <v>419</v>
      </c>
    </row>
    <row r="5811" spans="1:12" x14ac:dyDescent="0.25">
      <c r="A5811" s="1">
        <f t="shared" si="938"/>
        <v>45577</v>
      </c>
      <c r="B5811" s="31">
        <f t="shared" ref="B5811" si="952">TIME(18,43,0)</f>
        <v>0.77986111111111101</v>
      </c>
      <c r="C5811" t="str">
        <f>'Inventory as of 12th Aug 2024'!A199</f>
        <v>Kdf</v>
      </c>
      <c r="D5811">
        <v>1</v>
      </c>
      <c r="E5811" s="5">
        <f>Table4[[#This Row],[qty]]*(VLOOKUP(Table4[[#This Row],[item_sold]],Table1[],5,FALSE))</f>
        <v>10</v>
      </c>
      <c r="F5811" s="5">
        <f>(VLOOKUP(Table4[[#This Row],[item_sold]],Table1[],4,FALSE))*Table4[[#This Row],[qty]]</f>
        <v>8.3333333333333339</v>
      </c>
      <c r="G5811">
        <f t="shared" si="945"/>
        <v>1.6666666666666661</v>
      </c>
      <c r="H5811" t="s">
        <v>361</v>
      </c>
    </row>
    <row r="5812" spans="1:12" x14ac:dyDescent="0.25">
      <c r="A5812" s="1">
        <f t="shared" si="938"/>
        <v>45577</v>
      </c>
      <c r="B5812" s="31">
        <f>TIME(19,3,0)</f>
        <v>0.79375000000000007</v>
      </c>
      <c r="C5812" t="str">
        <f>'Inventory as of 12th Aug 2024'!A231</f>
        <v>Patco</v>
      </c>
      <c r="D5812">
        <v>2</v>
      </c>
      <c r="E5812" s="5">
        <f>Table4[[#This Row],[qty]]*(VLOOKUP(Table4[[#This Row],[item_sold]],Table1[],5,FALSE))</f>
        <v>5</v>
      </c>
      <c r="F5812" s="5">
        <f>(VLOOKUP(Table4[[#This Row],[item_sold]],Table1[],4,FALSE))*Table4[[#This Row],[qty]]</f>
        <v>2.4</v>
      </c>
      <c r="G5812">
        <f t="shared" si="945"/>
        <v>2.6</v>
      </c>
      <c r="H5812" t="s">
        <v>361</v>
      </c>
    </row>
    <row r="5813" spans="1:12" x14ac:dyDescent="0.25">
      <c r="A5813" s="1">
        <f t="shared" si="938"/>
        <v>45577</v>
      </c>
      <c r="B5813" s="31">
        <f t="shared" ref="B5813" si="953">TIME(19,3,0)</f>
        <v>0.79375000000000007</v>
      </c>
      <c r="C5813" t="str">
        <f>'Inventory as of 12th Aug 2024'!A16</f>
        <v>Mt kenya milk 500ml</v>
      </c>
      <c r="D5813">
        <v>1</v>
      </c>
      <c r="E5813" s="5">
        <f>Table4[[#This Row],[qty]]*(VLOOKUP(Table4[[#This Row],[item_sold]],Table1[],5,FALSE))</f>
        <v>65</v>
      </c>
      <c r="F5813" s="5">
        <f>(VLOOKUP(Table4[[#This Row],[item_sold]],Table1[],4,FALSE))*Table4[[#This Row],[qty]]</f>
        <v>48.333333333333336</v>
      </c>
      <c r="G5813">
        <f t="shared" si="945"/>
        <v>16.666666666666664</v>
      </c>
      <c r="H5813" t="s">
        <v>361</v>
      </c>
      <c r="J5813" t="s">
        <v>393</v>
      </c>
      <c r="K5813">
        <v>70</v>
      </c>
      <c r="L5813" t="s">
        <v>361</v>
      </c>
    </row>
    <row r="5814" spans="1:12" x14ac:dyDescent="0.25">
      <c r="A5814" s="1">
        <f t="shared" si="938"/>
        <v>45577</v>
      </c>
      <c r="B5814" s="31">
        <f>TIME(20,2,0)</f>
        <v>0.83472222222222225</v>
      </c>
      <c r="C5814" t="str">
        <f>'Inventory as of 12th Aug 2024'!A204</f>
        <v>soda 2lts</v>
      </c>
      <c r="D5814">
        <v>1</v>
      </c>
      <c r="E5814" s="5">
        <f>Table4[[#This Row],[qty]]*(VLOOKUP(Table4[[#This Row],[item_sold]],Table1[],5,FALSE))</f>
        <v>200</v>
      </c>
      <c r="F5814" s="5">
        <f>(VLOOKUP(Table4[[#This Row],[item_sold]],Table1[],4,FALSE))*Table4[[#This Row],[qty]]</f>
        <v>176.66666666666666</v>
      </c>
      <c r="G5814">
        <f t="shared" si="945"/>
        <v>23.333333333333343</v>
      </c>
      <c r="H5814" t="s">
        <v>361</v>
      </c>
    </row>
    <row r="5815" spans="1:12" x14ac:dyDescent="0.25">
      <c r="A5815" s="1">
        <f t="shared" si="938"/>
        <v>45577</v>
      </c>
      <c r="B5815" s="31">
        <f>TIME(20,32,0)</f>
        <v>0.85555555555555562</v>
      </c>
      <c r="C5815" t="str">
        <f>'Inventory as of 12th Aug 2024'!A205</f>
        <v xml:space="preserve"> soda 1.25lts</v>
      </c>
      <c r="D5815">
        <v>1</v>
      </c>
      <c r="E5815" s="5">
        <f>Table4[[#This Row],[qty]]*(VLOOKUP(Table4[[#This Row],[item_sold]],Table1[],5,FALSE))</f>
        <v>130</v>
      </c>
      <c r="F5815" s="5">
        <f>(VLOOKUP(Table4[[#This Row],[item_sold]],Table1[],4,FALSE))*Table4[[#This Row],[qty]]</f>
        <v>112.5</v>
      </c>
      <c r="G5815">
        <f t="shared" si="945"/>
        <v>17.5</v>
      </c>
      <c r="H5815" t="s">
        <v>247</v>
      </c>
    </row>
    <row r="5816" spans="1:12" x14ac:dyDescent="0.25">
      <c r="A5816" s="1">
        <f t="shared" si="938"/>
        <v>45577</v>
      </c>
      <c r="B5816" s="31">
        <f t="shared" ref="B5816" si="954">TIME(20,32,0)</f>
        <v>0.85555555555555562</v>
      </c>
      <c r="C5816" t="str">
        <f>'Inventory as of 12th Aug 2024'!A173</f>
        <v>Carrier bag big</v>
      </c>
      <c r="D5816">
        <v>1</v>
      </c>
      <c r="E5816" s="5">
        <f>Table4[[#This Row],[qty]]*(VLOOKUP(Table4[[#This Row],[item_sold]],Table1[],5,FALSE))</f>
        <v>20</v>
      </c>
      <c r="F5816" s="5">
        <f>(VLOOKUP(Table4[[#This Row],[item_sold]],Table1[],4,FALSE))*Table4[[#This Row],[qty]]</f>
        <v>5</v>
      </c>
      <c r="G5816">
        <f t="shared" si="945"/>
        <v>15</v>
      </c>
      <c r="H5816" t="s">
        <v>247</v>
      </c>
    </row>
    <row r="5817" spans="1:12" x14ac:dyDescent="0.25">
      <c r="A5817" s="1">
        <f t="shared" si="938"/>
        <v>45577</v>
      </c>
      <c r="B5817" s="31">
        <f>TIME(19,44,0)</f>
        <v>0.8222222222222223</v>
      </c>
      <c r="C5817" t="str">
        <f>'Inventory as of 12th Aug 2024'!A211</f>
        <v>predator</v>
      </c>
      <c r="D5817">
        <v>1</v>
      </c>
      <c r="E5817" s="5">
        <f>Table4[[#This Row],[qty]]*(VLOOKUP(Table4[[#This Row],[item_sold]],Table1[],5,FALSE))</f>
        <v>70</v>
      </c>
      <c r="F5817" s="5">
        <f>(VLOOKUP(Table4[[#This Row],[item_sold]],Table1[],4,FALSE))*Table4[[#This Row],[qty]]</f>
        <v>54.166666666666664</v>
      </c>
      <c r="G5817">
        <f t="shared" si="945"/>
        <v>15.833333333333336</v>
      </c>
      <c r="H5817" t="s">
        <v>361</v>
      </c>
    </row>
    <row r="5818" spans="1:12" x14ac:dyDescent="0.25">
      <c r="A5818" s="1">
        <f>DATE(2024,10,13)</f>
        <v>45578</v>
      </c>
      <c r="B5818" s="31">
        <f>TIME(7,30,0)</f>
        <v>0.3125</v>
      </c>
      <c r="C5818" t="str">
        <f>'Inventory as of 12th Aug 2024'!A37</f>
        <v>Festive Bread 400g</v>
      </c>
      <c r="D5818">
        <v>2</v>
      </c>
      <c r="E5818" s="5">
        <f>Table4[[#This Row],[qty]]*(VLOOKUP(Table4[[#This Row],[item_sold]],Table1[],5,FALSE))</f>
        <v>130</v>
      </c>
      <c r="F5818" s="5">
        <f>(VLOOKUP(Table4[[#This Row],[item_sold]],Table1[],4,FALSE))*Table4[[#This Row],[qty]]</f>
        <v>120</v>
      </c>
      <c r="G5818">
        <f t="shared" si="945"/>
        <v>10</v>
      </c>
      <c r="H5818" t="s">
        <v>430</v>
      </c>
      <c r="I5818" t="s">
        <v>408</v>
      </c>
    </row>
    <row r="5819" spans="1:12" x14ac:dyDescent="0.25">
      <c r="A5819" s="1">
        <f t="shared" ref="A5819:A5882" si="955">DATE(2024,10,13)</f>
        <v>45578</v>
      </c>
      <c r="B5819" s="31">
        <f>TIME(7,32,0)</f>
        <v>0.31388888888888888</v>
      </c>
      <c r="C5819" t="str">
        <f>'Inventory as of 12th Aug 2024'!A9</f>
        <v>Kinangop Fresh Milk 500ml</v>
      </c>
      <c r="D5819">
        <v>1</v>
      </c>
      <c r="E5819" s="5">
        <f>Table4[[#This Row],[qty]]*(VLOOKUP(Table4[[#This Row],[item_sold]],Table1[],5,FALSE))</f>
        <v>60</v>
      </c>
      <c r="F5819" s="5">
        <f>(VLOOKUP(Table4[[#This Row],[item_sold]],Table1[],4,FALSE))*Table4[[#This Row],[qty]]</f>
        <v>55</v>
      </c>
      <c r="G5819">
        <f t="shared" si="945"/>
        <v>5</v>
      </c>
      <c r="H5819" t="s">
        <v>430</v>
      </c>
      <c r="I5819" t="s">
        <v>390</v>
      </c>
    </row>
    <row r="5820" spans="1:12" x14ac:dyDescent="0.25">
      <c r="A5820" s="1">
        <f t="shared" si="955"/>
        <v>45578</v>
      </c>
      <c r="B5820" s="31">
        <f>TIME(7,38,0)</f>
        <v>0.31805555555555554</v>
      </c>
      <c r="C5820" t="str">
        <f>'Inventory as of 12th Aug 2024'!A107</f>
        <v>Match Box</v>
      </c>
      <c r="D5820">
        <v>2</v>
      </c>
      <c r="E5820" s="5">
        <f>Table4[[#This Row],[qty]]*(VLOOKUP(Table4[[#This Row],[item_sold]],Table1[],5,FALSE))</f>
        <v>10</v>
      </c>
      <c r="F5820" s="5">
        <f>(VLOOKUP(Table4[[#This Row],[item_sold]],Table1[],4,FALSE))*Table4[[#This Row],[qty]]</f>
        <v>4.7222222222222223</v>
      </c>
      <c r="G5820">
        <f t="shared" si="945"/>
        <v>5.2777777777777777</v>
      </c>
      <c r="H5820" t="s">
        <v>247</v>
      </c>
    </row>
    <row r="5821" spans="1:12" x14ac:dyDescent="0.25">
      <c r="A5821" s="1">
        <f t="shared" si="955"/>
        <v>45578</v>
      </c>
      <c r="B5821" s="31">
        <f t="shared" ref="B5821" si="956">TIME(7,38,0)</f>
        <v>0.31805555555555554</v>
      </c>
      <c r="C5821" t="str">
        <f>'Inventory as of 12th Aug 2024'!A120</f>
        <v>Maramoja</v>
      </c>
      <c r="D5821">
        <v>1</v>
      </c>
      <c r="E5821" s="5">
        <f>Table4[[#This Row],[qty]]*(VLOOKUP(Table4[[#This Row],[item_sold]],Table1[],5,FALSE))</f>
        <v>10</v>
      </c>
      <c r="F5821" s="5">
        <f>(VLOOKUP(Table4[[#This Row],[item_sold]],Table1[],4,FALSE))*Table4[[#This Row],[qty]]</f>
        <v>7</v>
      </c>
      <c r="G5821">
        <f t="shared" si="945"/>
        <v>3</v>
      </c>
      <c r="H5821" t="s">
        <v>247</v>
      </c>
    </row>
    <row r="5822" spans="1:12" x14ac:dyDescent="0.25">
      <c r="A5822" s="1">
        <f t="shared" si="955"/>
        <v>45578</v>
      </c>
      <c r="B5822" s="31">
        <f>TIME(8,4,0)</f>
        <v>0.33611111111111108</v>
      </c>
      <c r="C5822" t="str">
        <f>'Inventory as of 12th Aug 2024'!A16</f>
        <v>Mt kenya milk 500ml</v>
      </c>
      <c r="D5822">
        <v>2</v>
      </c>
      <c r="E5822" s="5">
        <f>Table4[[#This Row],[qty]]*(VLOOKUP(Table4[[#This Row],[item_sold]],Table1[],5,FALSE))</f>
        <v>130</v>
      </c>
      <c r="F5822" s="5">
        <f>(VLOOKUP(Table4[[#This Row],[item_sold]],Table1[],4,FALSE))*Table4[[#This Row],[qty]]</f>
        <v>96.666666666666671</v>
      </c>
      <c r="G5822">
        <f t="shared" si="945"/>
        <v>33.333333333333329</v>
      </c>
      <c r="H5822" t="s">
        <v>430</v>
      </c>
      <c r="I5822" t="s">
        <v>456</v>
      </c>
    </row>
    <row r="5823" spans="1:12" x14ac:dyDescent="0.25">
      <c r="A5823" s="1">
        <f t="shared" si="955"/>
        <v>45578</v>
      </c>
      <c r="B5823" s="31">
        <f>TIME(8,5,0)</f>
        <v>0.33680555555555558</v>
      </c>
      <c r="C5823" t="str">
        <f>'Inventory as of 12th Aug 2024'!A9</f>
        <v>Kinangop Fresh Milk 500ml</v>
      </c>
      <c r="D5823">
        <v>1</v>
      </c>
      <c r="E5823" s="5">
        <f>Table4[[#This Row],[qty]]*(VLOOKUP(Table4[[#This Row],[item_sold]],Table1[],5,FALSE))</f>
        <v>60</v>
      </c>
      <c r="F5823" s="5">
        <f>(VLOOKUP(Table4[[#This Row],[item_sold]],Table1[],4,FALSE))*Table4[[#This Row],[qty]]</f>
        <v>55</v>
      </c>
      <c r="G5823">
        <f t="shared" si="945"/>
        <v>5</v>
      </c>
      <c r="H5823" t="s">
        <v>361</v>
      </c>
    </row>
    <row r="5824" spans="1:12" x14ac:dyDescent="0.25">
      <c r="A5824" s="1">
        <f t="shared" si="955"/>
        <v>45578</v>
      </c>
      <c r="B5824" s="31">
        <f>TIME(8,31,0)</f>
        <v>0.35486111111111113</v>
      </c>
      <c r="C5824" t="str">
        <f>'Inventory as of 12th Aug 2024'!A33</f>
        <v>BB Bread 400g</v>
      </c>
      <c r="D5824">
        <v>1</v>
      </c>
      <c r="E5824" s="5">
        <f>Table4[[#This Row],[qty]]*(VLOOKUP(Table4[[#This Row],[item_sold]],Table1[],5,FALSE))</f>
        <v>65</v>
      </c>
      <c r="F5824" s="5">
        <f>(VLOOKUP(Table4[[#This Row],[item_sold]],Table1[],4,FALSE))*Table4[[#This Row],[qty]]</f>
        <v>60</v>
      </c>
      <c r="G5824">
        <f t="shared" si="945"/>
        <v>5</v>
      </c>
      <c r="H5824" t="s">
        <v>361</v>
      </c>
    </row>
    <row r="5825" spans="1:9" x14ac:dyDescent="0.25">
      <c r="A5825" s="1">
        <f t="shared" si="955"/>
        <v>45578</v>
      </c>
      <c r="B5825" s="31">
        <f>TIME(8,28,0)</f>
        <v>0.3527777777777778</v>
      </c>
      <c r="C5825" t="str">
        <f>'Inventory as of 12th Aug 2024'!A16</f>
        <v>Mt kenya milk 500ml</v>
      </c>
      <c r="D5825">
        <v>1</v>
      </c>
      <c r="E5825" s="5">
        <f>Table4[[#This Row],[qty]]*(VLOOKUP(Table4[[#This Row],[item_sold]],Table1[],5,FALSE))</f>
        <v>65</v>
      </c>
      <c r="F5825" s="5">
        <f>(VLOOKUP(Table4[[#This Row],[item_sold]],Table1[],4,FALSE))*Table4[[#This Row],[qty]]</f>
        <v>48.333333333333336</v>
      </c>
      <c r="G5825">
        <f t="shared" si="945"/>
        <v>16.666666666666664</v>
      </c>
      <c r="H5825" t="s">
        <v>361</v>
      </c>
    </row>
    <row r="5826" spans="1:9" x14ac:dyDescent="0.25">
      <c r="A5826" s="1">
        <f t="shared" si="955"/>
        <v>45578</v>
      </c>
      <c r="B5826" s="31">
        <f t="shared" ref="B5826:B5828" si="957">TIME(8,28,0)</f>
        <v>0.3527777777777778</v>
      </c>
      <c r="C5826" t="str">
        <f>'Inventory as of 12th Aug 2024'!A37</f>
        <v>Festive Bread 400g</v>
      </c>
      <c r="D5826">
        <v>1</v>
      </c>
      <c r="E5826" s="5">
        <f>Table4[[#This Row],[qty]]*(VLOOKUP(Table4[[#This Row],[item_sold]],Table1[],5,FALSE))</f>
        <v>65</v>
      </c>
      <c r="F5826" s="5">
        <f>(VLOOKUP(Table4[[#This Row],[item_sold]],Table1[],4,FALSE))*Table4[[#This Row],[qty]]</f>
        <v>60</v>
      </c>
      <c r="G5826">
        <f t="shared" si="945"/>
        <v>5</v>
      </c>
      <c r="H5826" t="s">
        <v>361</v>
      </c>
    </row>
    <row r="5827" spans="1:9" x14ac:dyDescent="0.25">
      <c r="A5827" s="1">
        <f t="shared" si="955"/>
        <v>45578</v>
      </c>
      <c r="B5827" s="31">
        <f t="shared" si="957"/>
        <v>0.3527777777777778</v>
      </c>
      <c r="C5827" t="str">
        <f>'Inventory as of 12th Aug 2024'!A220</f>
        <v>Super Glue</v>
      </c>
      <c r="D5827">
        <v>1</v>
      </c>
      <c r="E5827" s="5">
        <f>Table4[[#This Row],[qty]]*(VLOOKUP(Table4[[#This Row],[item_sold]],Table1[],5,FALSE))</f>
        <v>30</v>
      </c>
      <c r="F5827" s="5">
        <f>(VLOOKUP(Table4[[#This Row],[item_sold]],Table1[],4,FALSE))*Table4[[#This Row],[qty]]</f>
        <v>23.333333333333332</v>
      </c>
      <c r="G5827">
        <f t="shared" si="945"/>
        <v>6.6666666666666679</v>
      </c>
      <c r="H5827" t="s">
        <v>361</v>
      </c>
    </row>
    <row r="5828" spans="1:9" x14ac:dyDescent="0.25">
      <c r="A5828" s="1">
        <f t="shared" si="955"/>
        <v>45578</v>
      </c>
      <c r="B5828" s="31">
        <f t="shared" si="957"/>
        <v>0.3527777777777778</v>
      </c>
      <c r="C5828" t="str">
        <f>'Inventory as of 12th Aug 2024'!A8</f>
        <v>eggs</v>
      </c>
      <c r="D5828">
        <v>3</v>
      </c>
      <c r="E5828" s="5">
        <f>Table4[[#This Row],[qty]]*(VLOOKUP(Table4[[#This Row],[item_sold]],Table1[],5,FALSE))</f>
        <v>60</v>
      </c>
      <c r="F5828" s="5">
        <f>(VLOOKUP(Table4[[#This Row],[item_sold]],Table1[],4,FALSE))*Table4[[#This Row],[qty]]</f>
        <v>43</v>
      </c>
      <c r="G5828">
        <f t="shared" si="945"/>
        <v>17</v>
      </c>
      <c r="H5828" t="s">
        <v>361</v>
      </c>
    </row>
    <row r="5829" spans="1:9" x14ac:dyDescent="0.25">
      <c r="A5829" s="1">
        <f t="shared" si="955"/>
        <v>45578</v>
      </c>
      <c r="B5829" s="31">
        <f>TIME(10,18,0)</f>
        <v>0.4291666666666667</v>
      </c>
      <c r="C5829" t="str">
        <f>'Inventory as of 12th Aug 2024'!A199</f>
        <v>Kdf</v>
      </c>
      <c r="D5829">
        <v>1</v>
      </c>
      <c r="E5829" s="5">
        <f>Table4[[#This Row],[qty]]*(VLOOKUP(Table4[[#This Row],[item_sold]],Table1[],5,FALSE))</f>
        <v>10</v>
      </c>
      <c r="F5829" s="5">
        <f>(VLOOKUP(Table4[[#This Row],[item_sold]],Table1[],4,FALSE))*Table4[[#This Row],[qty]]</f>
        <v>8.3333333333333339</v>
      </c>
      <c r="G5829">
        <f t="shared" si="945"/>
        <v>1.6666666666666661</v>
      </c>
      <c r="H5829" t="s">
        <v>430</v>
      </c>
      <c r="I5829" t="s">
        <v>398</v>
      </c>
    </row>
    <row r="5830" spans="1:9" x14ac:dyDescent="0.25">
      <c r="A5830" s="1">
        <f t="shared" si="955"/>
        <v>45578</v>
      </c>
      <c r="B5830" s="31">
        <f t="shared" ref="B5830" si="958">TIME(10,18,0)</f>
        <v>0.4291666666666667</v>
      </c>
      <c r="C5830" s="25"/>
      <c r="D5830">
        <v>1</v>
      </c>
      <c r="E5830" s="5" t="e">
        <f>Table4[[#This Row],[qty]]*(VLOOKUP(Table4[[#This Row],[item_sold]],Table1[],5,FALSE))</f>
        <v>#N/A</v>
      </c>
      <c r="F5830" s="5" t="e">
        <f>(VLOOKUP(Table4[[#This Row],[item_sold]],Table1[],4,FALSE))*Table4[[#This Row],[qty]]</f>
        <v>#N/A</v>
      </c>
      <c r="G5830" t="e">
        <f t="shared" si="945"/>
        <v>#N/A</v>
      </c>
      <c r="H5830" t="s">
        <v>430</v>
      </c>
      <c r="I5830" t="s">
        <v>398</v>
      </c>
    </row>
    <row r="5831" spans="1:9" x14ac:dyDescent="0.25">
      <c r="A5831" s="1">
        <f t="shared" si="955"/>
        <v>45578</v>
      </c>
      <c r="B5831" s="31">
        <f>TIME(10,18,0)</f>
        <v>0.4291666666666667</v>
      </c>
      <c r="C5831" t="str">
        <f>'Inventory as of 12th Aug 2024'!A199</f>
        <v>Kdf</v>
      </c>
      <c r="D5831">
        <v>2</v>
      </c>
      <c r="E5831" s="5">
        <f>Table4[[#This Row],[qty]]*(VLOOKUP(Table4[[#This Row],[item_sold]],Table1[],5,FALSE))</f>
        <v>20</v>
      </c>
      <c r="F5831" s="5">
        <f>(VLOOKUP(Table4[[#This Row],[item_sold]],Table1[],4,FALSE))*Table4[[#This Row],[qty]]</f>
        <v>16.666666666666668</v>
      </c>
      <c r="G5831">
        <f t="shared" si="945"/>
        <v>3.3333333333333321</v>
      </c>
      <c r="H5831" t="s">
        <v>430</v>
      </c>
      <c r="I5831" t="s">
        <v>385</v>
      </c>
    </row>
    <row r="5832" spans="1:9" x14ac:dyDescent="0.25">
      <c r="A5832" s="1">
        <f t="shared" si="955"/>
        <v>45578</v>
      </c>
      <c r="B5832" s="31">
        <f>TIME(12,21,0)</f>
        <v>0.51458333333333328</v>
      </c>
      <c r="C5832" t="str">
        <f>'Inventory as of 12th Aug 2024'!A62</f>
        <v>kensalt 1kg</v>
      </c>
      <c r="D5832">
        <v>1</v>
      </c>
      <c r="E5832" s="5">
        <f>Table4[[#This Row],[qty]]*(VLOOKUP(Table4[[#This Row],[item_sold]],Table1[],5,FALSE))</f>
        <v>50</v>
      </c>
      <c r="F5832" s="5">
        <f>(VLOOKUP(Table4[[#This Row],[item_sold]],Table1[],4,FALSE))*Table4[[#This Row],[qty]]</f>
        <v>35</v>
      </c>
      <c r="G5832">
        <f t="shared" si="945"/>
        <v>15</v>
      </c>
      <c r="H5832" t="s">
        <v>430</v>
      </c>
      <c r="I5832" t="s">
        <v>456</v>
      </c>
    </row>
    <row r="5833" spans="1:9" x14ac:dyDescent="0.25">
      <c r="A5833" s="1">
        <f t="shared" si="955"/>
        <v>45578</v>
      </c>
      <c r="B5833" s="31">
        <f>TIME(12,30,0)</f>
        <v>0.52083333333333337</v>
      </c>
      <c r="C5833" t="str">
        <f>'Inventory as of 12th Aug 2024'!A199</f>
        <v>Kdf</v>
      </c>
      <c r="D5833">
        <v>3</v>
      </c>
      <c r="E5833" s="5">
        <f>Table4[[#This Row],[qty]]*(VLOOKUP(Table4[[#This Row],[item_sold]],Table1[],5,FALSE))</f>
        <v>30</v>
      </c>
      <c r="F5833" s="5">
        <f>(VLOOKUP(Table4[[#This Row],[item_sold]],Table1[],4,FALSE))*Table4[[#This Row],[qty]]</f>
        <v>25</v>
      </c>
      <c r="G5833">
        <f t="shared" si="945"/>
        <v>5</v>
      </c>
      <c r="H5833" t="s">
        <v>361</v>
      </c>
    </row>
    <row r="5834" spans="1:9" x14ac:dyDescent="0.25">
      <c r="A5834" s="1">
        <f t="shared" si="955"/>
        <v>45578</v>
      </c>
      <c r="B5834" s="31">
        <f>TIME(12,43,0)</f>
        <v>0.52986111111111112</v>
      </c>
      <c r="C5834" t="str">
        <f>'Inventory as of 12th Aug 2024'!A8</f>
        <v>eggs</v>
      </c>
      <c r="D5834">
        <v>5</v>
      </c>
      <c r="E5834" s="5">
        <f>Table4[[#This Row],[qty]]*(VLOOKUP(Table4[[#This Row],[item_sold]],Table1[],5,FALSE))</f>
        <v>100</v>
      </c>
      <c r="F5834" s="5">
        <f>(VLOOKUP(Table4[[#This Row],[item_sold]],Table1[],4,FALSE))*Table4[[#This Row],[qty]]</f>
        <v>71.666666666666671</v>
      </c>
      <c r="G5834">
        <f t="shared" si="945"/>
        <v>28.333333333333329</v>
      </c>
      <c r="H5834" t="s">
        <v>247</v>
      </c>
    </row>
    <row r="5835" spans="1:9" x14ac:dyDescent="0.25">
      <c r="A5835" s="1">
        <f t="shared" si="955"/>
        <v>45578</v>
      </c>
      <c r="B5835" s="31">
        <f t="shared" ref="B5835" si="959">TIME(12,43,0)</f>
        <v>0.52986111111111112</v>
      </c>
      <c r="C5835" t="str">
        <f>'Inventory as of 12th Aug 2024'!A96</f>
        <v>Ndimu</v>
      </c>
      <c r="D5835">
        <v>1</v>
      </c>
      <c r="E5835" s="5">
        <f>Table4[[#This Row],[qty]]*(VLOOKUP(Table4[[#This Row],[item_sold]],Table1[],5,FALSE))</f>
        <v>20</v>
      </c>
      <c r="F5835" s="5">
        <f>(VLOOKUP(Table4[[#This Row],[item_sold]],Table1[],4,FALSE))*Table4[[#This Row],[qty]]</f>
        <v>8.3333333333333339</v>
      </c>
      <c r="G5835">
        <f t="shared" si="945"/>
        <v>11.666666666666666</v>
      </c>
      <c r="H5835" t="s">
        <v>247</v>
      </c>
    </row>
    <row r="5836" spans="1:9" x14ac:dyDescent="0.25">
      <c r="A5836" s="1">
        <f t="shared" si="955"/>
        <v>45578</v>
      </c>
      <c r="B5836" s="31">
        <f>TIME(12,57,0)</f>
        <v>0.5395833333333333</v>
      </c>
      <c r="C5836" t="str">
        <f>'Inventory as of 12th Aug 2024'!A8</f>
        <v>eggs</v>
      </c>
      <c r="D5836">
        <v>2</v>
      </c>
      <c r="E5836" s="5">
        <f>Table4[[#This Row],[qty]]*(VLOOKUP(Table4[[#This Row],[item_sold]],Table1[],5,FALSE))</f>
        <v>40</v>
      </c>
      <c r="F5836" s="5">
        <f>(VLOOKUP(Table4[[#This Row],[item_sold]],Table1[],4,FALSE))*Table4[[#This Row],[qty]]</f>
        <v>28.666666666666668</v>
      </c>
      <c r="G5836">
        <f t="shared" si="945"/>
        <v>11.333333333333332</v>
      </c>
      <c r="H5836" t="s">
        <v>361</v>
      </c>
    </row>
    <row r="5837" spans="1:9" x14ac:dyDescent="0.25">
      <c r="A5837" s="1">
        <f t="shared" si="955"/>
        <v>45578</v>
      </c>
      <c r="B5837" s="31">
        <f t="shared" ref="B5837:B5838" si="960">TIME(12,57,0)</f>
        <v>0.5395833333333333</v>
      </c>
      <c r="C5837" t="str">
        <f>'Inventory as of 12th Aug 2024'!A41</f>
        <v>Indomie beef</v>
      </c>
      <c r="D5837">
        <v>1</v>
      </c>
      <c r="E5837" s="5">
        <f>Table4[[#This Row],[qty]]*(VLOOKUP(Table4[[#This Row],[item_sold]],Table1[],5,FALSE))</f>
        <v>50</v>
      </c>
      <c r="F5837" s="5">
        <f>(VLOOKUP(Table4[[#This Row],[item_sold]],Table1[],4,FALSE))*Table4[[#This Row],[qty]]</f>
        <v>38</v>
      </c>
      <c r="G5837">
        <f t="shared" si="945"/>
        <v>12</v>
      </c>
      <c r="H5837" t="s">
        <v>361</v>
      </c>
    </row>
    <row r="5838" spans="1:9" x14ac:dyDescent="0.25">
      <c r="A5838" s="1">
        <f t="shared" si="955"/>
        <v>45578</v>
      </c>
      <c r="B5838" s="31">
        <f t="shared" si="960"/>
        <v>0.5395833333333333</v>
      </c>
      <c r="C5838" t="str">
        <f>'Inventory as of 12th Aug 2024'!A42</f>
        <v>Indomie chicken</v>
      </c>
      <c r="D5838">
        <v>1</v>
      </c>
      <c r="E5838" s="5">
        <f>Table4[[#This Row],[qty]]*(VLOOKUP(Table4[[#This Row],[item_sold]],Table1[],5,FALSE))</f>
        <v>50</v>
      </c>
      <c r="F5838" s="5">
        <f>(VLOOKUP(Table4[[#This Row],[item_sold]],Table1[],4,FALSE))*Table4[[#This Row],[qty]]</f>
        <v>37.5</v>
      </c>
      <c r="G5838">
        <f t="shared" si="945"/>
        <v>12.5</v>
      </c>
      <c r="H5838" t="s">
        <v>361</v>
      </c>
    </row>
    <row r="5839" spans="1:9" x14ac:dyDescent="0.25">
      <c r="A5839" s="1">
        <f t="shared" si="955"/>
        <v>45578</v>
      </c>
      <c r="B5839" s="31">
        <f>TIME(13,28,0)</f>
        <v>0.56111111111111112</v>
      </c>
      <c r="C5839" t="str">
        <f>'Inventory as of 12th Aug 2024'!A199</f>
        <v>Kdf</v>
      </c>
      <c r="D5839">
        <v>5</v>
      </c>
      <c r="E5839" s="5">
        <f>Table4[[#This Row],[qty]]*(VLOOKUP(Table4[[#This Row],[item_sold]],Table1[],5,FALSE))</f>
        <v>50</v>
      </c>
      <c r="F5839" s="5">
        <f>(VLOOKUP(Table4[[#This Row],[item_sold]],Table1[],4,FALSE))*Table4[[#This Row],[qty]]</f>
        <v>41.666666666666671</v>
      </c>
      <c r="G5839">
        <f t="shared" si="945"/>
        <v>8.3333333333333286</v>
      </c>
      <c r="H5839" t="s">
        <v>361</v>
      </c>
    </row>
    <row r="5840" spans="1:9" x14ac:dyDescent="0.25">
      <c r="A5840" s="1">
        <f t="shared" si="955"/>
        <v>45578</v>
      </c>
      <c r="B5840" s="31">
        <f>TIME(13,28,0)</f>
        <v>0.56111111111111112</v>
      </c>
      <c r="C5840" t="str">
        <f>'Inventory as of 12th Aug 2024'!A16</f>
        <v>Mt kenya milk 500ml</v>
      </c>
      <c r="D5840">
        <v>1</v>
      </c>
      <c r="E5840" s="5">
        <f>Table4[[#This Row],[qty]]*(VLOOKUP(Table4[[#This Row],[item_sold]],Table1[],5,FALSE))</f>
        <v>65</v>
      </c>
      <c r="F5840" s="5">
        <f>(VLOOKUP(Table4[[#This Row],[item_sold]],Table1[],4,FALSE))*Table4[[#This Row],[qty]]</f>
        <v>48.333333333333336</v>
      </c>
      <c r="G5840">
        <f t="shared" si="945"/>
        <v>16.666666666666664</v>
      </c>
      <c r="H5840" t="s">
        <v>361</v>
      </c>
    </row>
    <row r="5841" spans="1:12" x14ac:dyDescent="0.25">
      <c r="A5841" s="1">
        <f t="shared" si="955"/>
        <v>45578</v>
      </c>
      <c r="B5841" s="31">
        <f>TIME(13,7,0)</f>
        <v>0.54652777777777783</v>
      </c>
      <c r="C5841" t="str">
        <f>'Inventory as of 12th Aug 2024'!A16</f>
        <v>Mt kenya milk 500ml</v>
      </c>
      <c r="D5841">
        <v>1</v>
      </c>
      <c r="E5841" s="5">
        <f>Table4[[#This Row],[qty]]*(VLOOKUP(Table4[[#This Row],[item_sold]],Table1[],5,FALSE))</f>
        <v>65</v>
      </c>
      <c r="F5841" s="5">
        <f>(VLOOKUP(Table4[[#This Row],[item_sold]],Table1[],4,FALSE))*Table4[[#This Row],[qty]]</f>
        <v>48.333333333333336</v>
      </c>
      <c r="G5841">
        <f t="shared" si="945"/>
        <v>16.666666666666664</v>
      </c>
      <c r="H5841" t="s">
        <v>247</v>
      </c>
    </row>
    <row r="5842" spans="1:12" x14ac:dyDescent="0.25">
      <c r="A5842" s="1">
        <f t="shared" si="955"/>
        <v>45578</v>
      </c>
      <c r="B5842" s="31">
        <f t="shared" ref="B5842" si="961">TIME(13,7,0)</f>
        <v>0.54652777777777783</v>
      </c>
      <c r="C5842" t="str">
        <f>'Inventory as of 12th Aug 2024'!A37</f>
        <v>Festive Bread 400g</v>
      </c>
      <c r="D5842">
        <v>1</v>
      </c>
      <c r="E5842" s="5">
        <f>Table4[[#This Row],[qty]]*(VLOOKUP(Table4[[#This Row],[item_sold]],Table1[],5,FALSE))</f>
        <v>65</v>
      </c>
      <c r="F5842" s="5">
        <f>(VLOOKUP(Table4[[#This Row],[item_sold]],Table1[],4,FALSE))*Table4[[#This Row],[qty]]</f>
        <v>60</v>
      </c>
      <c r="G5842">
        <f t="shared" si="945"/>
        <v>5</v>
      </c>
      <c r="H5842" t="s">
        <v>247</v>
      </c>
    </row>
    <row r="5843" spans="1:12" x14ac:dyDescent="0.25">
      <c r="A5843" s="1">
        <f t="shared" si="955"/>
        <v>45578</v>
      </c>
      <c r="B5843" s="31">
        <f>TIME(13,15,0)</f>
        <v>0.55208333333333337</v>
      </c>
      <c r="C5843" t="str">
        <f>'Inventory as of 12th Aug 2024'!A92</f>
        <v>Banana</v>
      </c>
      <c r="D5843">
        <v>1</v>
      </c>
      <c r="E5843" s="5">
        <f>Table4[[#This Row],[qty]]*(VLOOKUP(Table4[[#This Row],[item_sold]],Table1[],5,FALSE))</f>
        <v>10</v>
      </c>
      <c r="F5843" s="5">
        <f>(VLOOKUP(Table4[[#This Row],[item_sold]],Table1[],4,FALSE))*Table4[[#This Row],[qty]]</f>
        <v>8.3333333333333339</v>
      </c>
      <c r="G5843">
        <f t="shared" si="945"/>
        <v>1.6666666666666661</v>
      </c>
      <c r="H5843" t="s">
        <v>247</v>
      </c>
    </row>
    <row r="5844" spans="1:12" x14ac:dyDescent="0.25">
      <c r="A5844" s="1">
        <f t="shared" si="955"/>
        <v>45578</v>
      </c>
      <c r="B5844" s="31">
        <f t="shared" ref="B5844" si="962">TIME(13,15,0)</f>
        <v>0.55208333333333337</v>
      </c>
      <c r="C5844" t="str">
        <f>'Inventory as of 12th Aug 2024'!A199</f>
        <v>Kdf</v>
      </c>
      <c r="D5844">
        <v>2</v>
      </c>
      <c r="E5844" s="5">
        <f>Table4[[#This Row],[qty]]*(VLOOKUP(Table4[[#This Row],[item_sold]],Table1[],5,FALSE))</f>
        <v>20</v>
      </c>
      <c r="F5844" s="5">
        <f>(VLOOKUP(Table4[[#This Row],[item_sold]],Table1[],4,FALSE))*Table4[[#This Row],[qty]]</f>
        <v>16.666666666666668</v>
      </c>
      <c r="G5844">
        <f t="shared" ref="G5844:G5907" si="963">E5844-F5844</f>
        <v>3.3333333333333321</v>
      </c>
      <c r="H5844" t="s">
        <v>247</v>
      </c>
    </row>
    <row r="5845" spans="1:12" x14ac:dyDescent="0.25">
      <c r="A5845" s="1">
        <f t="shared" si="955"/>
        <v>45578</v>
      </c>
      <c r="B5845" s="31">
        <f>TIME(13,18,0)</f>
        <v>0.5541666666666667</v>
      </c>
      <c r="C5845" t="str">
        <f>'Inventory as of 12th Aug 2024'!A16</f>
        <v>Mt kenya milk 500ml</v>
      </c>
      <c r="D5845">
        <v>1</v>
      </c>
      <c r="E5845" s="5">
        <f>Table4[[#This Row],[qty]]*(VLOOKUP(Table4[[#This Row],[item_sold]],Table1[],5,FALSE))</f>
        <v>65</v>
      </c>
      <c r="F5845" s="5">
        <f>(VLOOKUP(Table4[[#This Row],[item_sold]],Table1[],4,FALSE))*Table4[[#This Row],[qty]]</f>
        <v>48.333333333333336</v>
      </c>
      <c r="G5845">
        <f t="shared" si="963"/>
        <v>16.666666666666664</v>
      </c>
      <c r="H5845" t="s">
        <v>247</v>
      </c>
    </row>
    <row r="5846" spans="1:12" x14ac:dyDescent="0.25">
      <c r="A5846" s="1">
        <f t="shared" si="955"/>
        <v>45578</v>
      </c>
      <c r="B5846" s="31">
        <f>TIME(13,18,0)</f>
        <v>0.5541666666666667</v>
      </c>
      <c r="C5846" t="str">
        <f>'Inventory as of 12th Aug 2024'!A199</f>
        <v>Kdf</v>
      </c>
      <c r="D5846">
        <v>3</v>
      </c>
      <c r="E5846" s="5">
        <f>Table4[[#This Row],[qty]]*(VLOOKUP(Table4[[#This Row],[item_sold]],Table1[],5,FALSE))</f>
        <v>30</v>
      </c>
      <c r="F5846" s="5">
        <f>(VLOOKUP(Table4[[#This Row],[item_sold]],Table1[],4,FALSE))*Table4[[#This Row],[qty]]</f>
        <v>25</v>
      </c>
      <c r="G5846">
        <f t="shared" si="963"/>
        <v>5</v>
      </c>
      <c r="H5846" t="s">
        <v>247</v>
      </c>
    </row>
    <row r="5847" spans="1:12" x14ac:dyDescent="0.25">
      <c r="A5847" s="1">
        <f t="shared" si="955"/>
        <v>45578</v>
      </c>
      <c r="B5847" s="31">
        <f>TIME(14,15,0)</f>
        <v>0.59375</v>
      </c>
      <c r="C5847" t="str">
        <f>'Inventory as of 12th Aug 2024'!A219</f>
        <v>candle</v>
      </c>
      <c r="D5847">
        <v>2</v>
      </c>
      <c r="E5847" s="5">
        <f>Table4[[#This Row],[qty]]*(VLOOKUP(Table4[[#This Row],[item_sold]],Table1[],5,FALSE))</f>
        <v>30</v>
      </c>
      <c r="F5847" s="5">
        <f>(VLOOKUP(Table4[[#This Row],[item_sold]],Table1[],4,FALSE))*Table4[[#This Row],[qty]]</f>
        <v>18.75</v>
      </c>
      <c r="G5847">
        <f t="shared" si="963"/>
        <v>11.25</v>
      </c>
      <c r="H5847" t="s">
        <v>361</v>
      </c>
    </row>
    <row r="5848" spans="1:12" x14ac:dyDescent="0.25">
      <c r="A5848" s="1">
        <f t="shared" si="955"/>
        <v>45578</v>
      </c>
      <c r="B5848" s="31">
        <f t="shared" ref="B5848" si="964">TIME(14,15,0)</f>
        <v>0.59375</v>
      </c>
      <c r="C5848" t="str">
        <f>'Inventory as of 12th Aug 2024'!A204</f>
        <v>soda 2lts</v>
      </c>
      <c r="D5848">
        <v>1</v>
      </c>
      <c r="E5848" s="5">
        <f>Table4[[#This Row],[qty]]*(VLOOKUP(Table4[[#This Row],[item_sold]],Table1[],5,FALSE))</f>
        <v>200</v>
      </c>
      <c r="F5848" s="5">
        <f>(VLOOKUP(Table4[[#This Row],[item_sold]],Table1[],4,FALSE))*Table4[[#This Row],[qty]]</f>
        <v>176.66666666666666</v>
      </c>
      <c r="G5848">
        <f t="shared" si="963"/>
        <v>23.333333333333343</v>
      </c>
      <c r="H5848" t="s">
        <v>430</v>
      </c>
      <c r="I5848" t="s">
        <v>456</v>
      </c>
    </row>
    <row r="5849" spans="1:12" x14ac:dyDescent="0.25">
      <c r="A5849" s="1">
        <f t="shared" si="955"/>
        <v>45578</v>
      </c>
      <c r="B5849" s="31">
        <f>TIME(14,33,0)</f>
        <v>0.60625000000000007</v>
      </c>
      <c r="C5849" t="str">
        <f>'Inventory as of 12th Aug 2024'!A42</f>
        <v>Indomie chicken</v>
      </c>
      <c r="D5849">
        <v>1</v>
      </c>
      <c r="E5849" s="5">
        <f>Table4[[#This Row],[qty]]*(VLOOKUP(Table4[[#This Row],[item_sold]],Table1[],5,FALSE))</f>
        <v>50</v>
      </c>
      <c r="F5849" s="5">
        <f>(VLOOKUP(Table4[[#This Row],[item_sold]],Table1[],4,FALSE))*Table4[[#This Row],[qty]]</f>
        <v>37.5</v>
      </c>
      <c r="G5849">
        <f t="shared" si="963"/>
        <v>12.5</v>
      </c>
      <c r="H5849" t="s">
        <v>361</v>
      </c>
    </row>
    <row r="5850" spans="1:12" x14ac:dyDescent="0.25">
      <c r="A5850" s="1">
        <f t="shared" si="955"/>
        <v>45578</v>
      </c>
      <c r="B5850" s="31">
        <f t="shared" ref="B5850" si="965">TIME(14,33,0)</f>
        <v>0.60625000000000007</v>
      </c>
      <c r="C5850" t="str">
        <f>'Inventory as of 12th Aug 2024'!A8</f>
        <v>eggs</v>
      </c>
      <c r="D5850">
        <v>3</v>
      </c>
      <c r="E5850" s="5">
        <f>Table4[[#This Row],[qty]]*(VLOOKUP(Table4[[#This Row],[item_sold]],Table1[],5,FALSE))</f>
        <v>60</v>
      </c>
      <c r="F5850" s="5">
        <f>(VLOOKUP(Table4[[#This Row],[item_sold]],Table1[],4,FALSE))*Table4[[#This Row],[qty]]</f>
        <v>43</v>
      </c>
      <c r="G5850">
        <f t="shared" si="963"/>
        <v>17</v>
      </c>
      <c r="H5850" t="s">
        <v>361</v>
      </c>
      <c r="J5850" t="s">
        <v>398</v>
      </c>
      <c r="K5850">
        <v>1570</v>
      </c>
      <c r="L5850" t="s">
        <v>361</v>
      </c>
    </row>
    <row r="5851" spans="1:12" x14ac:dyDescent="0.25">
      <c r="A5851" s="1">
        <f t="shared" si="955"/>
        <v>45578</v>
      </c>
      <c r="B5851" s="31">
        <f>TIME(14,51,0)</f>
        <v>0.61875000000000002</v>
      </c>
      <c r="C5851" t="str">
        <f>'Inventory as of 12th Aug 2024'!A192</f>
        <v>Lemon Bisquit</v>
      </c>
      <c r="D5851">
        <v>1</v>
      </c>
      <c r="E5851" s="5">
        <f>Table4[[#This Row],[qty]]*(VLOOKUP(Table4[[#This Row],[item_sold]],Table1[],5,FALSE))</f>
        <v>5</v>
      </c>
      <c r="F5851" s="5">
        <f>(VLOOKUP(Table4[[#This Row],[item_sold]],Table1[],4,FALSE))*Table4[[#This Row],[qty]]</f>
        <v>4.333333333333333</v>
      </c>
      <c r="G5851">
        <f t="shared" si="963"/>
        <v>0.66666666666666696</v>
      </c>
      <c r="H5851" t="s">
        <v>247</v>
      </c>
      <c r="J5851" t="s">
        <v>419</v>
      </c>
      <c r="K5851">
        <v>75</v>
      </c>
      <c r="L5851" t="s">
        <v>247</v>
      </c>
    </row>
    <row r="5852" spans="1:12" x14ac:dyDescent="0.25">
      <c r="A5852" s="1">
        <f t="shared" si="955"/>
        <v>45578</v>
      </c>
      <c r="B5852" s="31">
        <f t="shared" ref="B5852" si="966">TIME(14,51,0)</f>
        <v>0.61875000000000002</v>
      </c>
      <c r="C5852" t="str">
        <f>'Inventory as of 12th Aug 2024'!A193</f>
        <v>Ginger Bisquit</v>
      </c>
      <c r="D5852">
        <v>4</v>
      </c>
      <c r="E5852" s="5">
        <f>Table4[[#This Row],[qty]]*(VLOOKUP(Table4[[#This Row],[item_sold]],Table1[],5,FALSE))</f>
        <v>20</v>
      </c>
      <c r="F5852" s="5">
        <f>(VLOOKUP(Table4[[#This Row],[item_sold]],Table1[],4,FALSE))*Table4[[#This Row],[qty]]</f>
        <v>17.333333333333332</v>
      </c>
      <c r="G5852">
        <f t="shared" si="963"/>
        <v>2.6666666666666679</v>
      </c>
      <c r="H5852" t="s">
        <v>247</v>
      </c>
    </row>
    <row r="5853" spans="1:12" x14ac:dyDescent="0.25">
      <c r="A5853" s="1">
        <f t="shared" si="955"/>
        <v>45578</v>
      </c>
      <c r="B5853" s="31">
        <f>TIME(15,15,0)</f>
        <v>0.63541666666666663</v>
      </c>
      <c r="C5853" t="str">
        <f>'Inventory as of 12th Aug 2024'!A6</f>
        <v>Airtel 10 Credit</v>
      </c>
      <c r="D5853">
        <v>1</v>
      </c>
      <c r="E5853" s="5">
        <f>Table4[[#This Row],[qty]]*(VLOOKUP(Table4[[#This Row],[item_sold]],Table1[],5,FALSE))</f>
        <v>10</v>
      </c>
      <c r="F5853" s="5">
        <f>(VLOOKUP(Table4[[#This Row],[item_sold]],Table1[],4,FALSE))*Table4[[#This Row],[qty]]</f>
        <v>9</v>
      </c>
      <c r="G5853">
        <f t="shared" si="963"/>
        <v>1</v>
      </c>
      <c r="H5853" t="s">
        <v>361</v>
      </c>
    </row>
    <row r="5854" spans="1:12" x14ac:dyDescent="0.25">
      <c r="A5854" s="1">
        <f t="shared" si="955"/>
        <v>45578</v>
      </c>
      <c r="B5854" s="31">
        <f>TIME(15,56,0)</f>
        <v>0.66388888888888886</v>
      </c>
      <c r="C5854" t="str">
        <f>'Inventory as of 12th Aug 2024'!A120</f>
        <v>Maramoja</v>
      </c>
      <c r="D5854">
        <v>1</v>
      </c>
      <c r="E5854" s="5">
        <f>Table4[[#This Row],[qty]]*(VLOOKUP(Table4[[#This Row],[item_sold]],Table1[],5,FALSE))</f>
        <v>10</v>
      </c>
      <c r="F5854" s="5">
        <f>(VLOOKUP(Table4[[#This Row],[item_sold]],Table1[],4,FALSE))*Table4[[#This Row],[qty]]</f>
        <v>7</v>
      </c>
      <c r="G5854">
        <f t="shared" si="963"/>
        <v>3</v>
      </c>
      <c r="H5854" t="s">
        <v>430</v>
      </c>
      <c r="I5854" t="s">
        <v>398</v>
      </c>
    </row>
    <row r="5855" spans="1:12" x14ac:dyDescent="0.25">
      <c r="A5855" s="1">
        <f t="shared" si="955"/>
        <v>45578</v>
      </c>
      <c r="B5855" s="31">
        <f t="shared" ref="B5855" si="967">TIME(15,56,0)</f>
        <v>0.66388888888888886</v>
      </c>
      <c r="C5855" t="str">
        <f>'Inventory as of 12th Aug 2024'!A229</f>
        <v>Fresh green</v>
      </c>
      <c r="D5855">
        <v>2</v>
      </c>
      <c r="E5855" s="5">
        <f>Table4[[#This Row],[qty]]*(VLOOKUP(Table4[[#This Row],[item_sold]],Table1[],5,FALSE))</f>
        <v>20</v>
      </c>
      <c r="F5855" s="5">
        <f>(VLOOKUP(Table4[[#This Row],[item_sold]],Table1[],4,FALSE))*Table4[[#This Row],[qty]]</f>
        <v>10</v>
      </c>
      <c r="G5855">
        <f t="shared" si="963"/>
        <v>10</v>
      </c>
      <c r="H5855" t="s">
        <v>430</v>
      </c>
      <c r="I5855" t="s">
        <v>398</v>
      </c>
    </row>
    <row r="5856" spans="1:12" x14ac:dyDescent="0.25">
      <c r="A5856" s="1">
        <f t="shared" si="955"/>
        <v>45578</v>
      </c>
      <c r="B5856" s="31">
        <f>TIME(15,57,0)</f>
        <v>0.6645833333333333</v>
      </c>
      <c r="C5856" t="str">
        <f>'Inventory as of 12th Aug 2024'!A41</f>
        <v>Indomie beef</v>
      </c>
      <c r="D5856">
        <v>1</v>
      </c>
      <c r="E5856" s="5">
        <f>Table4[[#This Row],[qty]]*(VLOOKUP(Table4[[#This Row],[item_sold]],Table1[],5,FALSE))</f>
        <v>50</v>
      </c>
      <c r="F5856" s="5">
        <f>(VLOOKUP(Table4[[#This Row],[item_sold]],Table1[],4,FALSE))*Table4[[#This Row],[qty]]</f>
        <v>38</v>
      </c>
      <c r="G5856">
        <f t="shared" si="963"/>
        <v>12</v>
      </c>
      <c r="H5856" t="s">
        <v>361</v>
      </c>
    </row>
    <row r="5857" spans="1:12" x14ac:dyDescent="0.25">
      <c r="A5857" s="1">
        <f t="shared" si="955"/>
        <v>45578</v>
      </c>
      <c r="B5857" s="31">
        <f>TIME(16,26,0)</f>
        <v>0.68472222222222223</v>
      </c>
      <c r="C5857" t="str">
        <f>'Inventory as of 12th Aug 2024'!A17</f>
        <v>Brookside milk 500ml</v>
      </c>
      <c r="D5857">
        <v>2</v>
      </c>
      <c r="E5857" s="5">
        <f>Table4[[#This Row],[qty]]*(VLOOKUP(Table4[[#This Row],[item_sold]],Table1[],5,FALSE))</f>
        <v>140</v>
      </c>
      <c r="F5857" s="5">
        <f>(VLOOKUP(Table4[[#This Row],[item_sold]],Table1[],4,FALSE))*Table4[[#This Row],[qty]]</f>
        <v>118</v>
      </c>
      <c r="G5857">
        <f t="shared" si="963"/>
        <v>22</v>
      </c>
      <c r="H5857" t="s">
        <v>361</v>
      </c>
    </row>
    <row r="5858" spans="1:12" x14ac:dyDescent="0.25">
      <c r="A5858" s="1">
        <f t="shared" si="955"/>
        <v>45578</v>
      </c>
      <c r="B5858" s="31">
        <f>TIME(16,26,0)</f>
        <v>0.68472222222222223</v>
      </c>
      <c r="C5858" t="str">
        <f>'Inventory as of 12th Aug 2024'!A33</f>
        <v>BB Bread 400g</v>
      </c>
      <c r="D5858">
        <v>2</v>
      </c>
      <c r="E5858" s="5">
        <f>Table4[[#This Row],[qty]]*(VLOOKUP(Table4[[#This Row],[item_sold]],Table1[],5,FALSE))</f>
        <v>130</v>
      </c>
      <c r="F5858" s="5">
        <f>(VLOOKUP(Table4[[#This Row],[item_sold]],Table1[],4,FALSE))*Table4[[#This Row],[qty]]</f>
        <v>120</v>
      </c>
      <c r="G5858">
        <f t="shared" si="963"/>
        <v>10</v>
      </c>
      <c r="H5858" t="s">
        <v>361</v>
      </c>
    </row>
    <row r="5859" spans="1:12" x14ac:dyDescent="0.25">
      <c r="A5859" s="1">
        <f t="shared" si="955"/>
        <v>45578</v>
      </c>
      <c r="B5859" s="31">
        <f>TIME(16,31,0)</f>
        <v>0.68819444444444444</v>
      </c>
      <c r="C5859" t="str">
        <f>'Inventory as of 12th Aug 2024'!A242</f>
        <v>Icepop</v>
      </c>
      <c r="D5859">
        <v>1</v>
      </c>
      <c r="E5859" s="5">
        <f>Table4[[#This Row],[qty]]*(VLOOKUP(Table4[[#This Row],[item_sold]],Table1[],5,FALSE))</f>
        <v>15</v>
      </c>
      <c r="F5859" s="5">
        <f>(VLOOKUP(Table4[[#This Row],[item_sold]],Table1[],4,FALSE))*Table4[[#This Row],[qty]]</f>
        <v>7.5</v>
      </c>
      <c r="G5859">
        <f t="shared" si="963"/>
        <v>7.5</v>
      </c>
      <c r="H5859" t="s">
        <v>430</v>
      </c>
      <c r="I5859" t="s">
        <v>460</v>
      </c>
    </row>
    <row r="5860" spans="1:12" x14ac:dyDescent="0.25">
      <c r="A5860" s="1">
        <f t="shared" si="955"/>
        <v>45578</v>
      </c>
      <c r="B5860" s="31">
        <f>TIME(16,50,0)</f>
        <v>0.70138888888888884</v>
      </c>
      <c r="C5860" t="str">
        <f>'Inventory as of 12th Aug 2024'!A234</f>
        <v>Bigdaddy</v>
      </c>
      <c r="D5860">
        <v>2</v>
      </c>
      <c r="E5860" s="5">
        <f>Table4[[#This Row],[qty]]*(VLOOKUP(Table4[[#This Row],[item_sold]],Table1[],5,FALSE))</f>
        <v>20</v>
      </c>
      <c r="F5860" s="5">
        <f>(VLOOKUP(Table4[[#This Row],[item_sold]],Table1[],4,FALSE))*Table4[[#This Row],[qty]]</f>
        <v>12</v>
      </c>
      <c r="G5860">
        <f t="shared" si="963"/>
        <v>8</v>
      </c>
      <c r="H5860" t="s">
        <v>247</v>
      </c>
    </row>
    <row r="5861" spans="1:12" x14ac:dyDescent="0.25">
      <c r="A5861" s="1">
        <f t="shared" si="955"/>
        <v>45578</v>
      </c>
      <c r="B5861" s="31">
        <f>TIME(16,53,0)</f>
        <v>0.70347222222222217</v>
      </c>
      <c r="C5861" t="str">
        <f>'Inventory as of 12th Aug 2024'!A58</f>
        <v>Safari</v>
      </c>
      <c r="D5861">
        <v>1</v>
      </c>
      <c r="E5861" s="5">
        <f>Table4[[#This Row],[qty]]*(VLOOKUP(Table4[[#This Row],[item_sold]],Table1[],5,FALSE))</f>
        <v>15</v>
      </c>
      <c r="F5861" s="5">
        <f>(VLOOKUP(Table4[[#This Row],[item_sold]],Table1[],4,FALSE))*Table4[[#This Row],[qty]]</f>
        <v>8.5</v>
      </c>
      <c r="G5861">
        <f t="shared" si="963"/>
        <v>6.5</v>
      </c>
      <c r="H5861" t="s">
        <v>361</v>
      </c>
    </row>
    <row r="5862" spans="1:12" x14ac:dyDescent="0.25">
      <c r="A5862" s="1">
        <f t="shared" si="955"/>
        <v>45578</v>
      </c>
      <c r="B5862" s="31">
        <f>TIME(16,30,0)</f>
        <v>0.6875</v>
      </c>
      <c r="C5862" t="str">
        <f>'Inventory as of 12th Aug 2024'!A212</f>
        <v>soda 300ml glass</v>
      </c>
      <c r="D5862">
        <v>2</v>
      </c>
      <c r="E5862" s="5">
        <f>Table4[[#This Row],[qty]]*(VLOOKUP(Table4[[#This Row],[item_sold]],Table1[],5,FALSE))</f>
        <v>80</v>
      </c>
      <c r="F5862" s="5">
        <f>(VLOOKUP(Table4[[#This Row],[item_sold]],Table1[],4,FALSE))*Table4[[#This Row],[qty]]</f>
        <v>65</v>
      </c>
      <c r="G5862">
        <f t="shared" si="963"/>
        <v>15</v>
      </c>
      <c r="H5862" t="s">
        <v>430</v>
      </c>
      <c r="I5862" t="s">
        <v>395</v>
      </c>
    </row>
    <row r="5863" spans="1:12" x14ac:dyDescent="0.25">
      <c r="A5863" s="1">
        <f t="shared" si="955"/>
        <v>45578</v>
      </c>
      <c r="B5863" s="31">
        <f t="shared" ref="B5863" si="968">TIME(16,30,0)</f>
        <v>0.6875</v>
      </c>
      <c r="C5863" t="str">
        <f>'Inventory as of 12th Aug 2024'!A199</f>
        <v>Kdf</v>
      </c>
      <c r="D5863">
        <v>6</v>
      </c>
      <c r="E5863" s="5">
        <f>Table4[[#This Row],[qty]]*(VLOOKUP(Table4[[#This Row],[item_sold]],Table1[],5,FALSE))</f>
        <v>60</v>
      </c>
      <c r="F5863" s="5">
        <f>(VLOOKUP(Table4[[#This Row],[item_sold]],Table1[],4,FALSE))*Table4[[#This Row],[qty]]</f>
        <v>50</v>
      </c>
      <c r="G5863">
        <f t="shared" si="963"/>
        <v>10</v>
      </c>
      <c r="H5863" t="s">
        <v>430</v>
      </c>
      <c r="I5863" t="s">
        <v>395</v>
      </c>
    </row>
    <row r="5864" spans="1:12" x14ac:dyDescent="0.25">
      <c r="A5864" s="1">
        <f t="shared" si="955"/>
        <v>45578</v>
      </c>
      <c r="B5864" s="31">
        <f>TIME(17,56,0)</f>
        <v>0.74722222222222223</v>
      </c>
      <c r="C5864" t="str">
        <f>'Inventory as of 12th Aug 2024'!A138</f>
        <v>Softcare pads</v>
      </c>
      <c r="D5864">
        <v>1</v>
      </c>
      <c r="E5864" s="5">
        <f>Table4[[#This Row],[qty]]*(VLOOKUP(Table4[[#This Row],[item_sold]],Table1[],5,FALSE))</f>
        <v>85</v>
      </c>
      <c r="F5864" s="5">
        <f>(VLOOKUP(Table4[[#This Row],[item_sold]],Table1[],4,FALSE))*Table4[[#This Row],[qty]]</f>
        <v>66</v>
      </c>
      <c r="G5864">
        <f t="shared" si="963"/>
        <v>19</v>
      </c>
      <c r="H5864" t="s">
        <v>430</v>
      </c>
      <c r="I5864" t="s">
        <v>392</v>
      </c>
    </row>
    <row r="5865" spans="1:12" x14ac:dyDescent="0.25">
      <c r="A5865" s="1">
        <f t="shared" si="955"/>
        <v>45578</v>
      </c>
      <c r="B5865" s="31">
        <f t="shared" ref="B5865:B5866" si="969">TIME(17,56,0)</f>
        <v>0.74722222222222223</v>
      </c>
      <c r="C5865" t="str">
        <f>'Inventory as of 12th Aug 2024'!A33</f>
        <v>BB Bread 400g</v>
      </c>
      <c r="D5865">
        <v>1</v>
      </c>
      <c r="E5865" s="5">
        <f>Table4[[#This Row],[qty]]*(VLOOKUP(Table4[[#This Row],[item_sold]],Table1[],5,FALSE))</f>
        <v>65</v>
      </c>
      <c r="F5865" s="5">
        <f>(VLOOKUP(Table4[[#This Row],[item_sold]],Table1[],4,FALSE))*Table4[[#This Row],[qty]]</f>
        <v>60</v>
      </c>
      <c r="G5865">
        <f t="shared" si="963"/>
        <v>5</v>
      </c>
      <c r="H5865" t="s">
        <v>430</v>
      </c>
      <c r="I5865" t="s">
        <v>392</v>
      </c>
    </row>
    <row r="5866" spans="1:12" x14ac:dyDescent="0.25">
      <c r="A5866" s="1">
        <f t="shared" si="955"/>
        <v>45578</v>
      </c>
      <c r="B5866" s="31">
        <f t="shared" si="969"/>
        <v>0.74722222222222223</v>
      </c>
      <c r="C5866" t="str">
        <f>'Inventory as of 12th Aug 2024'!A149</f>
        <v>Arimis small</v>
      </c>
      <c r="D5866">
        <v>1</v>
      </c>
      <c r="E5866" s="5">
        <f>Table4[[#This Row],[qty]]*(VLOOKUP(Table4[[#This Row],[item_sold]],Table1[],5,FALSE))</f>
        <v>35</v>
      </c>
      <c r="F5866" s="5">
        <f>(VLOOKUP(Table4[[#This Row],[item_sold]],Table1[],4,FALSE))*Table4[[#This Row],[qty]]</f>
        <v>23.333333333333332</v>
      </c>
      <c r="G5866">
        <f t="shared" si="963"/>
        <v>11.666666666666668</v>
      </c>
      <c r="H5866" t="s">
        <v>430</v>
      </c>
      <c r="I5866" t="s">
        <v>599</v>
      </c>
    </row>
    <row r="5867" spans="1:12" x14ac:dyDescent="0.25">
      <c r="A5867" s="1">
        <f t="shared" si="955"/>
        <v>45578</v>
      </c>
      <c r="B5867" s="31">
        <f>TIME(18,10,0)</f>
        <v>0.75694444444444453</v>
      </c>
      <c r="C5867" t="str">
        <f>'Inventory as of 12th Aug 2024'!A33</f>
        <v>BB Bread 400g</v>
      </c>
      <c r="D5867">
        <v>1</v>
      </c>
      <c r="E5867" s="5">
        <f>Table4[[#This Row],[qty]]*(VLOOKUP(Table4[[#This Row],[item_sold]],Table1[],5,FALSE))</f>
        <v>65</v>
      </c>
      <c r="F5867" s="5">
        <f>(VLOOKUP(Table4[[#This Row],[item_sold]],Table1[],4,FALSE))*Table4[[#This Row],[qty]]</f>
        <v>60</v>
      </c>
      <c r="G5867">
        <f t="shared" si="963"/>
        <v>5</v>
      </c>
      <c r="H5867" t="s">
        <v>361</v>
      </c>
      <c r="J5867" t="s">
        <v>601</v>
      </c>
      <c r="K5867">
        <v>150</v>
      </c>
      <c r="L5867" t="s">
        <v>361</v>
      </c>
    </row>
    <row r="5868" spans="1:12" x14ac:dyDescent="0.25">
      <c r="A5868" s="1">
        <f t="shared" si="955"/>
        <v>45578</v>
      </c>
      <c r="B5868" s="31">
        <f t="shared" ref="B5868" si="970">TIME(18,10,0)</f>
        <v>0.75694444444444453</v>
      </c>
      <c r="C5868" t="str">
        <f>'Inventory as of 12th Aug 2024'!A213</f>
        <v>soda 500ml glass</v>
      </c>
      <c r="D5868">
        <v>1</v>
      </c>
      <c r="E5868" s="5">
        <f>Table4[[#This Row],[qty]]*(VLOOKUP(Table4[[#This Row],[item_sold]],Table1[],5,FALSE))</f>
        <v>55</v>
      </c>
      <c r="F5868" s="5">
        <f>(VLOOKUP(Table4[[#This Row],[item_sold]],Table1[],4,FALSE))*Table4[[#This Row],[qty]]</f>
        <v>50</v>
      </c>
      <c r="G5868">
        <f t="shared" si="963"/>
        <v>5</v>
      </c>
      <c r="H5868" t="s">
        <v>361</v>
      </c>
    </row>
    <row r="5869" spans="1:12" x14ac:dyDescent="0.25">
      <c r="A5869" s="1">
        <f t="shared" si="955"/>
        <v>45578</v>
      </c>
      <c r="B5869" s="31">
        <f>TIME(18,25,0)</f>
        <v>0.76736111111111116</v>
      </c>
      <c r="C5869" t="str">
        <f>'Inventory as of 12th Aug 2024'!A8</f>
        <v>eggs</v>
      </c>
      <c r="D5869">
        <v>30</v>
      </c>
      <c r="E5869" s="5">
        <f>Table4[[#This Row],[qty]]*(VLOOKUP(Table4[[#This Row],[item_sold]],Table1[],5,FALSE))</f>
        <v>600</v>
      </c>
      <c r="F5869" s="5">
        <f>(VLOOKUP(Table4[[#This Row],[item_sold]],Table1[],4,FALSE))*Table4[[#This Row],[qty]]</f>
        <v>430</v>
      </c>
      <c r="G5869">
        <f t="shared" si="963"/>
        <v>170</v>
      </c>
      <c r="H5869" t="s">
        <v>247</v>
      </c>
    </row>
    <row r="5870" spans="1:12" x14ac:dyDescent="0.25">
      <c r="A5870" s="1">
        <f t="shared" si="955"/>
        <v>45578</v>
      </c>
      <c r="B5870" s="31">
        <f t="shared" ref="B5870:B5871" si="971">TIME(18,25,0)</f>
        <v>0.76736111111111116</v>
      </c>
      <c r="C5870" t="str">
        <f>'Inventory as of 12th Aug 2024'!A33</f>
        <v>BB Bread 400g</v>
      </c>
      <c r="D5870">
        <v>1</v>
      </c>
      <c r="E5870" s="5">
        <f>Table4[[#This Row],[qty]]*(VLOOKUP(Table4[[#This Row],[item_sold]],Table1[],5,FALSE))</f>
        <v>65</v>
      </c>
      <c r="F5870" s="5">
        <f>(VLOOKUP(Table4[[#This Row],[item_sold]],Table1[],4,FALSE))*Table4[[#This Row],[qty]]</f>
        <v>60</v>
      </c>
      <c r="G5870">
        <f t="shared" si="963"/>
        <v>5</v>
      </c>
      <c r="H5870" t="s">
        <v>247</v>
      </c>
    </row>
    <row r="5871" spans="1:12" x14ac:dyDescent="0.25">
      <c r="A5871" s="1">
        <f t="shared" si="955"/>
        <v>45578</v>
      </c>
      <c r="B5871" s="31">
        <f t="shared" si="971"/>
        <v>0.76736111111111116</v>
      </c>
      <c r="C5871" t="str">
        <f>'Inventory as of 12th Aug 2024'!A62</f>
        <v>kensalt 1kg</v>
      </c>
      <c r="D5871">
        <v>1</v>
      </c>
      <c r="E5871" s="5">
        <f>Table4[[#This Row],[qty]]*(VLOOKUP(Table4[[#This Row],[item_sold]],Table1[],5,FALSE))</f>
        <v>50</v>
      </c>
      <c r="F5871" s="5">
        <f>(VLOOKUP(Table4[[#This Row],[item_sold]],Table1[],4,FALSE))*Table4[[#This Row],[qty]]</f>
        <v>35</v>
      </c>
      <c r="G5871">
        <f t="shared" si="963"/>
        <v>15</v>
      </c>
      <c r="H5871" t="s">
        <v>247</v>
      </c>
    </row>
    <row r="5872" spans="1:12" x14ac:dyDescent="0.25">
      <c r="A5872" s="1">
        <f t="shared" si="955"/>
        <v>45578</v>
      </c>
      <c r="B5872" s="31">
        <f>TIME(18,16,0)</f>
        <v>0.76111111111111107</v>
      </c>
      <c r="C5872" t="str">
        <f>'Inventory as of 12th Aug 2024'!A245</f>
        <v>1.5ltrs water</v>
      </c>
      <c r="D5872">
        <v>1</v>
      </c>
      <c r="E5872" s="5">
        <f>Table4[[#This Row],[qty]]*(VLOOKUP(Table4[[#This Row],[item_sold]],Table1[],5,FALSE))</f>
        <v>70</v>
      </c>
      <c r="F5872" s="5">
        <f>(VLOOKUP(Table4[[#This Row],[item_sold]],Table1[],4,FALSE))*Table4[[#This Row],[qty]]</f>
        <v>25</v>
      </c>
      <c r="G5872">
        <f t="shared" si="963"/>
        <v>45</v>
      </c>
      <c r="H5872" t="s">
        <v>361</v>
      </c>
    </row>
    <row r="5873" spans="1:12" x14ac:dyDescent="0.25">
      <c r="A5873" s="1">
        <f t="shared" si="955"/>
        <v>45578</v>
      </c>
      <c r="B5873" s="31">
        <f>TIME(19,5,0)</f>
        <v>0.79513888888888884</v>
      </c>
      <c r="C5873" t="str">
        <f>'Inventory as of 12th Aug 2024'!A90</f>
        <v>Onion</v>
      </c>
      <c r="D5873">
        <v>5</v>
      </c>
      <c r="E5873" s="5">
        <f>Table4[[#This Row],[qty]]*(VLOOKUP(Table4[[#This Row],[item_sold]],Table1[],5,FALSE))</f>
        <v>50</v>
      </c>
      <c r="F5873" s="5">
        <f>(VLOOKUP(Table4[[#This Row],[item_sold]],Table1[],4,FALSE))*Table4[[#This Row],[qty]]</f>
        <v>40</v>
      </c>
      <c r="G5873">
        <f t="shared" si="963"/>
        <v>10</v>
      </c>
      <c r="H5873" t="s">
        <v>430</v>
      </c>
      <c r="I5873" t="s">
        <v>600</v>
      </c>
    </row>
    <row r="5874" spans="1:12" x14ac:dyDescent="0.25">
      <c r="A5874" s="1">
        <f t="shared" si="955"/>
        <v>45578</v>
      </c>
      <c r="B5874" s="31">
        <f>TIME(19,9,0)</f>
        <v>0.79791666666666661</v>
      </c>
      <c r="C5874" t="str">
        <f>'Inventory as of 12th Aug 2024'!A16</f>
        <v>Mt kenya milk 500ml</v>
      </c>
      <c r="D5874">
        <v>2</v>
      </c>
      <c r="E5874" s="5">
        <f>Table4[[#This Row],[qty]]*(VLOOKUP(Table4[[#This Row],[item_sold]],Table1[],5,FALSE))</f>
        <v>130</v>
      </c>
      <c r="F5874" s="5">
        <f>(VLOOKUP(Table4[[#This Row],[item_sold]],Table1[],4,FALSE))*Table4[[#This Row],[qty]]</f>
        <v>96.666666666666671</v>
      </c>
      <c r="G5874">
        <f t="shared" si="963"/>
        <v>33.333333333333329</v>
      </c>
      <c r="H5874" t="s">
        <v>247</v>
      </c>
    </row>
    <row r="5875" spans="1:12" x14ac:dyDescent="0.25">
      <c r="A5875" s="1">
        <f t="shared" si="955"/>
        <v>45578</v>
      </c>
      <c r="B5875" s="31">
        <f>TIME(19,21,0)</f>
        <v>0.80625000000000002</v>
      </c>
      <c r="C5875" t="str">
        <f>'Inventory as of 12th Aug 2024'!A16</f>
        <v>Mt kenya milk 500ml</v>
      </c>
      <c r="D5875">
        <v>2</v>
      </c>
      <c r="E5875" s="5">
        <f>Table4[[#This Row],[qty]]*(VLOOKUP(Table4[[#This Row],[item_sold]],Table1[],5,FALSE))</f>
        <v>130</v>
      </c>
      <c r="F5875" s="5">
        <f>(VLOOKUP(Table4[[#This Row],[item_sold]],Table1[],4,FALSE))*Table4[[#This Row],[qty]]</f>
        <v>96.666666666666671</v>
      </c>
      <c r="G5875">
        <f t="shared" si="963"/>
        <v>33.333333333333329</v>
      </c>
      <c r="H5875" t="s">
        <v>594</v>
      </c>
      <c r="I5875" t="s">
        <v>451</v>
      </c>
    </row>
    <row r="5876" spans="1:12" x14ac:dyDescent="0.25">
      <c r="A5876" s="1">
        <f t="shared" si="955"/>
        <v>45578</v>
      </c>
      <c r="B5876" s="31">
        <f t="shared" ref="B5876" si="972">TIME(19,21,0)</f>
        <v>0.80625000000000002</v>
      </c>
      <c r="C5876" t="str">
        <f>'Inventory as of 12th Aug 2024'!A33</f>
        <v>BB Bread 400g</v>
      </c>
      <c r="D5876">
        <v>1</v>
      </c>
      <c r="E5876" s="5">
        <f>Table4[[#This Row],[qty]]*(VLOOKUP(Table4[[#This Row],[item_sold]],Table1[],5,FALSE))</f>
        <v>65</v>
      </c>
      <c r="F5876" s="5">
        <f>(VLOOKUP(Table4[[#This Row],[item_sold]],Table1[],4,FALSE))*Table4[[#This Row],[qty]]</f>
        <v>60</v>
      </c>
      <c r="G5876">
        <f t="shared" si="963"/>
        <v>5</v>
      </c>
      <c r="H5876" t="s">
        <v>594</v>
      </c>
      <c r="I5876" t="s">
        <v>451</v>
      </c>
    </row>
    <row r="5877" spans="1:12" x14ac:dyDescent="0.25">
      <c r="A5877" s="1">
        <f t="shared" si="955"/>
        <v>45578</v>
      </c>
      <c r="B5877" s="31">
        <f>TIME(19,48,0)</f>
        <v>0.82500000000000007</v>
      </c>
      <c r="C5877" t="str">
        <f>'Inventory as of 12th Aug 2024'!A208</f>
        <v>minutemaid 400ml</v>
      </c>
      <c r="D5877">
        <v>1</v>
      </c>
      <c r="E5877" s="5">
        <f>Table4[[#This Row],[qty]]*(VLOOKUP(Table4[[#This Row],[item_sold]],Table1[],5,FALSE))</f>
        <v>85</v>
      </c>
      <c r="F5877" s="5">
        <f>(VLOOKUP(Table4[[#This Row],[item_sold]],Table1[],4,FALSE))*Table4[[#This Row],[qty]]</f>
        <v>62.5</v>
      </c>
      <c r="G5877">
        <f t="shared" si="963"/>
        <v>22.5</v>
      </c>
      <c r="H5877" t="s">
        <v>361</v>
      </c>
    </row>
    <row r="5878" spans="1:12" x14ac:dyDescent="0.25">
      <c r="A5878" s="1">
        <f t="shared" si="955"/>
        <v>45578</v>
      </c>
      <c r="B5878" s="31">
        <f>TIME(19,50,0)</f>
        <v>0.82638888888888884</v>
      </c>
      <c r="C5878" t="str">
        <f>'Inventory as of 12th Aug 2024'!A58</f>
        <v>Safari</v>
      </c>
      <c r="D5878">
        <v>1</v>
      </c>
      <c r="E5878" s="5">
        <f>Table4[[#This Row],[qty]]*(VLOOKUP(Table4[[#This Row],[item_sold]],Table1[],5,FALSE))</f>
        <v>15</v>
      </c>
      <c r="F5878" s="5">
        <f>(VLOOKUP(Table4[[#This Row],[item_sold]],Table1[],4,FALSE))*Table4[[#This Row],[qty]]</f>
        <v>8.5</v>
      </c>
      <c r="G5878">
        <f t="shared" si="963"/>
        <v>6.5</v>
      </c>
      <c r="H5878" t="s">
        <v>430</v>
      </c>
      <c r="I5878" t="s">
        <v>447</v>
      </c>
      <c r="J5878" t="s">
        <v>447</v>
      </c>
      <c r="K5878">
        <v>5</v>
      </c>
      <c r="L5878" t="s">
        <v>247</v>
      </c>
    </row>
    <row r="5879" spans="1:12" x14ac:dyDescent="0.25">
      <c r="A5879" s="1">
        <f t="shared" si="955"/>
        <v>45578</v>
      </c>
      <c r="B5879" s="31">
        <f>TIME(20,11,0)</f>
        <v>0.84097222222222223</v>
      </c>
      <c r="C5879" t="str">
        <f>'Inventory as of 12th Aug 2024'!A58</f>
        <v>Safari</v>
      </c>
      <c r="D5879">
        <v>2</v>
      </c>
      <c r="E5879" s="5">
        <f>Table4[[#This Row],[qty]]*(VLOOKUP(Table4[[#This Row],[item_sold]],Table1[],5,FALSE))</f>
        <v>30</v>
      </c>
      <c r="F5879" s="5">
        <f>(VLOOKUP(Table4[[#This Row],[item_sold]],Table1[],4,FALSE))*Table4[[#This Row],[qty]]</f>
        <v>17</v>
      </c>
      <c r="G5879">
        <f t="shared" si="963"/>
        <v>13</v>
      </c>
      <c r="H5879" t="s">
        <v>361</v>
      </c>
    </row>
    <row r="5880" spans="1:12" x14ac:dyDescent="0.25">
      <c r="A5880" s="1">
        <f t="shared" si="955"/>
        <v>45578</v>
      </c>
      <c r="B5880" s="31">
        <f>TIME(20,12,0)</f>
        <v>0.84166666666666667</v>
      </c>
      <c r="C5880" t="str">
        <f>'Inventory as of 12th Aug 2024'!A207</f>
        <v>soda 350ml plastic</v>
      </c>
      <c r="D5880">
        <v>1</v>
      </c>
      <c r="E5880" s="5">
        <f>Table4[[#This Row],[qty]]*(VLOOKUP(Table4[[#This Row],[item_sold]],Table1[],5,FALSE))</f>
        <v>50</v>
      </c>
      <c r="F5880" s="5">
        <f>(VLOOKUP(Table4[[#This Row],[item_sold]],Table1[],4,FALSE))*Table4[[#This Row],[qty]]</f>
        <v>41.666666666666664</v>
      </c>
      <c r="G5880">
        <f t="shared" si="963"/>
        <v>8.3333333333333357</v>
      </c>
      <c r="H5880" t="s">
        <v>361</v>
      </c>
    </row>
    <row r="5881" spans="1:12" x14ac:dyDescent="0.25">
      <c r="A5881" s="1">
        <f t="shared" si="955"/>
        <v>45578</v>
      </c>
      <c r="B5881" s="31">
        <f>TIME(20,41,0)</f>
        <v>0.8618055555555556</v>
      </c>
      <c r="C5881" t="str">
        <f>'Inventory as of 12th Aug 2024'!A157</f>
        <v>Nail cutter</v>
      </c>
      <c r="D5881">
        <v>1</v>
      </c>
      <c r="E5881" s="5">
        <f>Table4[[#This Row],[qty]]*(VLOOKUP(Table4[[#This Row],[item_sold]],Table1[],5,FALSE))</f>
        <v>40</v>
      </c>
      <c r="F5881" s="5">
        <f>(VLOOKUP(Table4[[#This Row],[item_sold]],Table1[],4,FALSE))*Table4[[#This Row],[qty]]</f>
        <v>30</v>
      </c>
      <c r="G5881">
        <f t="shared" si="963"/>
        <v>10</v>
      </c>
      <c r="H5881" t="s">
        <v>361</v>
      </c>
    </row>
    <row r="5882" spans="1:12" x14ac:dyDescent="0.25">
      <c r="A5882" s="1">
        <f t="shared" si="955"/>
        <v>45578</v>
      </c>
      <c r="B5882" s="31">
        <f>TIME(20,41,0)</f>
        <v>0.8618055555555556</v>
      </c>
      <c r="C5882" t="str">
        <f>'Inventory as of 12th Aug 2024'!A33</f>
        <v>BB Bread 400g</v>
      </c>
      <c r="D5882">
        <v>1</v>
      </c>
      <c r="E5882" s="5">
        <f>Table4[[#This Row],[qty]]*(VLOOKUP(Table4[[#This Row],[item_sold]],Table1[],5,FALSE))</f>
        <v>65</v>
      </c>
      <c r="F5882" s="5">
        <f>(VLOOKUP(Table4[[#This Row],[item_sold]],Table1[],4,FALSE))*Table4[[#This Row],[qty]]</f>
        <v>60</v>
      </c>
      <c r="G5882">
        <f t="shared" si="963"/>
        <v>5</v>
      </c>
      <c r="H5882" t="s">
        <v>361</v>
      </c>
    </row>
    <row r="5883" spans="1:12" x14ac:dyDescent="0.25">
      <c r="A5883" s="1">
        <f>DATE(2024,10,14)</f>
        <v>45579</v>
      </c>
      <c r="B5883" s="31">
        <f>TIME(6,36,0)</f>
        <v>0.27499999999999997</v>
      </c>
      <c r="C5883" t="str">
        <f>'Inventory as of 12th Aug 2024'!A3</f>
        <v>Safaricom 10 Credit</v>
      </c>
      <c r="D5883">
        <v>1</v>
      </c>
      <c r="E5883" s="5">
        <f>Table4[[#This Row],[qty]]*(VLOOKUP(Table4[[#This Row],[item_sold]],Table1[],5,FALSE))</f>
        <v>10</v>
      </c>
      <c r="F5883" s="5">
        <f>(VLOOKUP(Table4[[#This Row],[item_sold]],Table1[],4,FALSE))*Table4[[#This Row],[qty]]</f>
        <v>9</v>
      </c>
      <c r="G5883">
        <f t="shared" si="963"/>
        <v>1</v>
      </c>
      <c r="H5883" t="s">
        <v>247</v>
      </c>
    </row>
    <row r="5884" spans="1:12" x14ac:dyDescent="0.25">
      <c r="A5884" s="1">
        <f t="shared" ref="A5884:A5941" si="973">DATE(2024,10,14)</f>
        <v>45579</v>
      </c>
      <c r="B5884" s="31">
        <f>TIME(8,1,0)</f>
        <v>0.33402777777777781</v>
      </c>
      <c r="C5884" t="str">
        <f>'Inventory as of 12th Aug 2024'!A199</f>
        <v>Kdf</v>
      </c>
      <c r="D5884">
        <v>2</v>
      </c>
      <c r="E5884" s="5">
        <f>Table4[[#This Row],[qty]]*(VLOOKUP(Table4[[#This Row],[item_sold]],Table1[],5,FALSE))</f>
        <v>20</v>
      </c>
      <c r="F5884" s="5">
        <f>(VLOOKUP(Table4[[#This Row],[item_sold]],Table1[],4,FALSE))*Table4[[#This Row],[qty]]</f>
        <v>16.666666666666668</v>
      </c>
      <c r="G5884">
        <f t="shared" si="963"/>
        <v>3.3333333333333321</v>
      </c>
      <c r="H5884" t="s">
        <v>361</v>
      </c>
    </row>
    <row r="5885" spans="1:12" x14ac:dyDescent="0.25">
      <c r="A5885" s="1">
        <f t="shared" si="973"/>
        <v>45579</v>
      </c>
      <c r="B5885" s="31">
        <f>TIME(8,6,0)</f>
        <v>0.33749999999999997</v>
      </c>
      <c r="C5885" t="str">
        <f>'Inventory as of 12th Aug 2024'!A58</f>
        <v>Safari</v>
      </c>
      <c r="D5885">
        <v>1</v>
      </c>
      <c r="E5885" s="5">
        <f>Table4[[#This Row],[qty]]*(VLOOKUP(Table4[[#This Row],[item_sold]],Table1[],5,FALSE))</f>
        <v>15</v>
      </c>
      <c r="F5885" s="5">
        <f>(VLOOKUP(Table4[[#This Row],[item_sold]],Table1[],4,FALSE))*Table4[[#This Row],[qty]]</f>
        <v>8.5</v>
      </c>
      <c r="G5885">
        <f t="shared" si="963"/>
        <v>6.5</v>
      </c>
      <c r="H5885" t="s">
        <v>361</v>
      </c>
    </row>
    <row r="5886" spans="1:12" x14ac:dyDescent="0.25">
      <c r="A5886" s="1">
        <f t="shared" si="973"/>
        <v>45579</v>
      </c>
      <c r="B5886" s="31">
        <f>TIME(8,30,0)</f>
        <v>0.35416666666666669</v>
      </c>
      <c r="C5886" t="str">
        <f>'Inventory as of 12th Aug 2024'!A2</f>
        <v>Safaricom 20 Credit</v>
      </c>
      <c r="D5886">
        <v>1</v>
      </c>
      <c r="E5886" s="5">
        <f>Table4[[#This Row],[qty]]*(VLOOKUP(Table4[[#This Row],[item_sold]],Table1[],5,FALSE))</f>
        <v>20</v>
      </c>
      <c r="F5886" s="5">
        <f>(VLOOKUP(Table4[[#This Row],[item_sold]],Table1[],4,FALSE))*Table4[[#This Row],[qty]]</f>
        <v>18</v>
      </c>
      <c r="G5886">
        <f t="shared" si="963"/>
        <v>2</v>
      </c>
      <c r="H5886" t="s">
        <v>430</v>
      </c>
      <c r="I5886" t="s">
        <v>427</v>
      </c>
    </row>
    <row r="5887" spans="1:12" x14ac:dyDescent="0.25">
      <c r="A5887" s="1">
        <f t="shared" si="973"/>
        <v>45579</v>
      </c>
      <c r="B5887" s="31">
        <f>TIME(8,30,0)</f>
        <v>0.35416666666666669</v>
      </c>
      <c r="C5887" t="str">
        <f>'Inventory as of 12th Aug 2024'!A138</f>
        <v>Softcare pads</v>
      </c>
      <c r="D5887">
        <v>1</v>
      </c>
      <c r="E5887" s="5">
        <f>Table4[[#This Row],[qty]]*(VLOOKUP(Table4[[#This Row],[item_sold]],Table1[],5,FALSE))</f>
        <v>85</v>
      </c>
      <c r="F5887" s="5">
        <f>(VLOOKUP(Table4[[#This Row],[item_sold]],Table1[],4,FALSE))*Table4[[#This Row],[qty]]</f>
        <v>66</v>
      </c>
      <c r="G5887">
        <f t="shared" si="963"/>
        <v>19</v>
      </c>
      <c r="H5887" t="s">
        <v>430</v>
      </c>
      <c r="I5887" t="s">
        <v>427</v>
      </c>
      <c r="J5887" t="s">
        <v>427</v>
      </c>
      <c r="K5887">
        <v>20</v>
      </c>
      <c r="L5887" t="s">
        <v>361</v>
      </c>
    </row>
    <row r="5888" spans="1:12" x14ac:dyDescent="0.25">
      <c r="A5888" s="1">
        <f t="shared" si="973"/>
        <v>45579</v>
      </c>
      <c r="B5888" s="31">
        <f>TIME(8,30,0)</f>
        <v>0.35416666666666669</v>
      </c>
      <c r="C5888" t="str">
        <f>'Inventory as of 12th Aug 2024'!A51</f>
        <v>Sindano rice</v>
      </c>
      <c r="D5888">
        <v>0.4</v>
      </c>
      <c r="E5888" s="5">
        <f>Table4[[#This Row],[qty]]*(VLOOKUP(Table4[[#This Row],[item_sold]],Table1[],5,FALSE))</f>
        <v>60</v>
      </c>
      <c r="F5888" s="5">
        <f>(VLOOKUP(Table4[[#This Row],[item_sold]],Table1[],4,FALSE))*Table4[[#This Row],[qty]]</f>
        <v>48</v>
      </c>
      <c r="G5888">
        <f t="shared" si="963"/>
        <v>12</v>
      </c>
      <c r="H5888" t="s">
        <v>361</v>
      </c>
    </row>
    <row r="5889" spans="1:12" x14ac:dyDescent="0.25">
      <c r="A5889" s="1">
        <f t="shared" si="973"/>
        <v>45579</v>
      </c>
      <c r="B5889" s="31">
        <f t="shared" ref="B5889:B5891" si="974">TIME(8,30,0)</f>
        <v>0.35416666666666669</v>
      </c>
      <c r="C5889" t="str">
        <f>'Inventory as of 12th Aug 2024'!A58</f>
        <v>Safari</v>
      </c>
      <c r="D5889">
        <v>1</v>
      </c>
      <c r="E5889" s="5">
        <f>Table4[[#This Row],[qty]]*(VLOOKUP(Table4[[#This Row],[item_sold]],Table1[],5,FALSE))</f>
        <v>15</v>
      </c>
      <c r="F5889" s="5">
        <f>(VLOOKUP(Table4[[#This Row],[item_sold]],Table1[],4,FALSE))*Table4[[#This Row],[qty]]</f>
        <v>8.5</v>
      </c>
      <c r="G5889">
        <f t="shared" si="963"/>
        <v>6.5</v>
      </c>
      <c r="H5889" t="s">
        <v>361</v>
      </c>
    </row>
    <row r="5890" spans="1:12" x14ac:dyDescent="0.25">
      <c r="A5890" s="1">
        <f t="shared" si="973"/>
        <v>45579</v>
      </c>
      <c r="B5890" s="31">
        <f t="shared" si="974"/>
        <v>0.35416666666666669</v>
      </c>
      <c r="C5890" t="str">
        <f>'Inventory as of 12th Aug 2024'!A199</f>
        <v>Kdf</v>
      </c>
      <c r="D5890">
        <v>3</v>
      </c>
      <c r="E5890" s="5">
        <f>Table4[[#This Row],[qty]]*(VLOOKUP(Table4[[#This Row],[item_sold]],Table1[],5,FALSE))</f>
        <v>30</v>
      </c>
      <c r="F5890" s="5">
        <f>(VLOOKUP(Table4[[#This Row],[item_sold]],Table1[],4,FALSE))*Table4[[#This Row],[qty]]</f>
        <v>25</v>
      </c>
      <c r="G5890">
        <f t="shared" si="963"/>
        <v>5</v>
      </c>
      <c r="H5890" t="s">
        <v>430</v>
      </c>
      <c r="I5890" t="s">
        <v>590</v>
      </c>
    </row>
    <row r="5891" spans="1:12" x14ac:dyDescent="0.25">
      <c r="A5891" s="1">
        <f t="shared" si="973"/>
        <v>45579</v>
      </c>
      <c r="B5891" s="31">
        <f t="shared" si="974"/>
        <v>0.35416666666666669</v>
      </c>
      <c r="C5891" t="str">
        <f>'Inventory as of 12th Aug 2024'!A91</f>
        <v>Tomatoes</v>
      </c>
      <c r="D5891">
        <v>1</v>
      </c>
      <c r="E5891" s="5">
        <f>Table4[[#This Row],[qty]]*(VLOOKUP(Table4[[#This Row],[item_sold]],Table1[],5,FALSE))</f>
        <v>10</v>
      </c>
      <c r="F5891" s="5">
        <f>(VLOOKUP(Table4[[#This Row],[item_sold]],Table1[],4,FALSE))*Table4[[#This Row],[qty]]</f>
        <v>5</v>
      </c>
      <c r="G5891">
        <f t="shared" si="963"/>
        <v>5</v>
      </c>
      <c r="H5891" t="s">
        <v>430</v>
      </c>
      <c r="I5891" t="s">
        <v>427</v>
      </c>
    </row>
    <row r="5892" spans="1:12" x14ac:dyDescent="0.25">
      <c r="A5892" s="1">
        <f t="shared" si="973"/>
        <v>45579</v>
      </c>
      <c r="B5892" s="31">
        <f>TIME(11,6,0)</f>
        <v>0.46249999999999997</v>
      </c>
      <c r="C5892" t="str">
        <f>'Inventory as of 12th Aug 2024'!A91</f>
        <v>Tomatoes</v>
      </c>
      <c r="D5892">
        <v>1</v>
      </c>
      <c r="E5892" s="5">
        <f>Table4[[#This Row],[qty]]*(VLOOKUP(Table4[[#This Row],[item_sold]],Table1[],5,FALSE))</f>
        <v>10</v>
      </c>
      <c r="F5892" s="5">
        <f>(VLOOKUP(Table4[[#This Row],[item_sold]],Table1[],4,FALSE))*Table4[[#This Row],[qty]]</f>
        <v>5</v>
      </c>
      <c r="G5892">
        <f t="shared" si="963"/>
        <v>5</v>
      </c>
      <c r="H5892" t="s">
        <v>361</v>
      </c>
      <c r="J5892" t="s">
        <v>421</v>
      </c>
      <c r="K5892">
        <v>40</v>
      </c>
      <c r="L5892" t="s">
        <v>361</v>
      </c>
    </row>
    <row r="5893" spans="1:12" x14ac:dyDescent="0.25">
      <c r="A5893" s="1">
        <f t="shared" si="973"/>
        <v>45579</v>
      </c>
      <c r="B5893" s="31">
        <f t="shared" ref="B5893:B5894" si="975">TIME(11,6,0)</f>
        <v>0.46249999999999997</v>
      </c>
      <c r="C5893" t="str">
        <f>'Inventory as of 12th Aug 2024'!A58</f>
        <v>Safari</v>
      </c>
      <c r="D5893">
        <v>1</v>
      </c>
      <c r="E5893" s="5">
        <f>Table4[[#This Row],[qty]]*(VLOOKUP(Table4[[#This Row],[item_sold]],Table1[],5,FALSE))</f>
        <v>15</v>
      </c>
      <c r="F5893" s="5">
        <f>(VLOOKUP(Table4[[#This Row],[item_sold]],Table1[],4,FALSE))*Table4[[#This Row],[qty]]</f>
        <v>8.5</v>
      </c>
      <c r="G5893">
        <f t="shared" si="963"/>
        <v>6.5</v>
      </c>
      <c r="H5893" t="s">
        <v>361</v>
      </c>
    </row>
    <row r="5894" spans="1:12" x14ac:dyDescent="0.25">
      <c r="A5894" s="1">
        <f t="shared" si="973"/>
        <v>45579</v>
      </c>
      <c r="B5894" s="31">
        <f t="shared" si="975"/>
        <v>0.46249999999999997</v>
      </c>
      <c r="C5894" t="str">
        <f>'Inventory as of 12th Aug 2024'!A107</f>
        <v>Match Box</v>
      </c>
      <c r="D5894">
        <v>1</v>
      </c>
      <c r="E5894" s="5">
        <f>Table4[[#This Row],[qty]]*(VLOOKUP(Table4[[#This Row],[item_sold]],Table1[],5,FALSE))</f>
        <v>5</v>
      </c>
      <c r="F5894" s="5">
        <f>(VLOOKUP(Table4[[#This Row],[item_sold]],Table1[],4,FALSE))*Table4[[#This Row],[qty]]</f>
        <v>2.3611111111111112</v>
      </c>
      <c r="G5894">
        <f t="shared" si="963"/>
        <v>2.6388888888888888</v>
      </c>
      <c r="H5894" t="s">
        <v>430</v>
      </c>
      <c r="I5894" t="s">
        <v>447</v>
      </c>
    </row>
    <row r="5895" spans="1:12" x14ac:dyDescent="0.25">
      <c r="A5895" s="1">
        <f t="shared" si="973"/>
        <v>45579</v>
      </c>
      <c r="B5895" s="31">
        <f>TIME(11,9,0)</f>
        <v>0.46458333333333335</v>
      </c>
      <c r="C5895" t="str">
        <f>'Inventory as of 12th Aug 2024'!A81</f>
        <v>ariel 75g</v>
      </c>
      <c r="D5895">
        <v>2</v>
      </c>
      <c r="E5895" s="5">
        <f>Table4[[#This Row],[qty]]*(VLOOKUP(Table4[[#This Row],[item_sold]],Table1[],5,FALSE))</f>
        <v>70</v>
      </c>
      <c r="F5895" s="5">
        <f>(VLOOKUP(Table4[[#This Row],[item_sold]],Table1[],4,FALSE))*Table4[[#This Row],[qty]]</f>
        <v>55</v>
      </c>
      <c r="G5895">
        <f t="shared" si="963"/>
        <v>15</v>
      </c>
      <c r="H5895" t="s">
        <v>247</v>
      </c>
    </row>
    <row r="5896" spans="1:12" x14ac:dyDescent="0.25">
      <c r="A5896" s="1">
        <f t="shared" si="973"/>
        <v>45579</v>
      </c>
      <c r="B5896" s="31">
        <f>TIME(11,22,0)</f>
        <v>0.47361111111111115</v>
      </c>
      <c r="C5896" t="str">
        <f>'Inventory as of 12th Aug 2024'!A37</f>
        <v>Festive Bread 400g</v>
      </c>
      <c r="D5896">
        <v>1</v>
      </c>
      <c r="E5896" s="5">
        <f>Table4[[#This Row],[qty]]*(VLOOKUP(Table4[[#This Row],[item_sold]],Table1[],5,FALSE))</f>
        <v>65</v>
      </c>
      <c r="F5896" s="5">
        <f>(VLOOKUP(Table4[[#This Row],[item_sold]],Table1[],4,FALSE))*Table4[[#This Row],[qty]]</f>
        <v>60</v>
      </c>
      <c r="G5896">
        <f t="shared" si="963"/>
        <v>5</v>
      </c>
      <c r="H5896" t="s">
        <v>247</v>
      </c>
    </row>
    <row r="5897" spans="1:12" x14ac:dyDescent="0.25">
      <c r="A5897" s="1">
        <f t="shared" si="973"/>
        <v>45579</v>
      </c>
      <c r="B5897" s="31">
        <f t="shared" ref="B5897:B5903" si="976">TIME(11,22,0)</f>
        <v>0.47361111111111115</v>
      </c>
      <c r="C5897" t="str">
        <f>'Inventory as of 12th Aug 2024'!A45</f>
        <v>Ajab 1kg</v>
      </c>
      <c r="D5897">
        <v>1</v>
      </c>
      <c r="E5897" s="5">
        <f>Table4[[#This Row],[qty]]*(VLOOKUP(Table4[[#This Row],[item_sold]],Table1[],5,FALSE))</f>
        <v>120</v>
      </c>
      <c r="F5897" s="5">
        <f>(VLOOKUP(Table4[[#This Row],[item_sold]],Table1[],4,FALSE))*Table4[[#This Row],[qty]]</f>
        <v>87.5</v>
      </c>
      <c r="G5897">
        <f t="shared" si="963"/>
        <v>32.5</v>
      </c>
      <c r="H5897" t="s">
        <v>247</v>
      </c>
    </row>
    <row r="5898" spans="1:12" x14ac:dyDescent="0.25">
      <c r="A5898" s="1">
        <f t="shared" si="973"/>
        <v>45579</v>
      </c>
      <c r="B5898" s="31">
        <f t="shared" si="976"/>
        <v>0.47361111111111115</v>
      </c>
      <c r="C5898" t="str">
        <f>'Inventory as of 12th Aug 2024'!A70</f>
        <v>Sugar 1/2 kg</v>
      </c>
      <c r="D5898">
        <v>1</v>
      </c>
      <c r="E5898" s="5">
        <f>Table4[[#This Row],[qty]]*(VLOOKUP(Table4[[#This Row],[item_sold]],Table1[],5,FALSE))</f>
        <v>90</v>
      </c>
      <c r="F5898" s="5">
        <f>(VLOOKUP(Table4[[#This Row],[item_sold]],Table1[],4,FALSE))*Table4[[#This Row],[qty]]</f>
        <v>60</v>
      </c>
      <c r="G5898">
        <f t="shared" si="963"/>
        <v>30</v>
      </c>
      <c r="H5898" t="s">
        <v>247</v>
      </c>
    </row>
    <row r="5899" spans="1:12" x14ac:dyDescent="0.25">
      <c r="A5899" s="1">
        <f t="shared" si="973"/>
        <v>45579</v>
      </c>
      <c r="B5899" s="31">
        <f t="shared" si="976"/>
        <v>0.47361111111111115</v>
      </c>
      <c r="C5899" t="str">
        <f>'Inventory as of 12th Aug 2024'!A16</f>
        <v>Mt kenya milk 500ml</v>
      </c>
      <c r="D5899">
        <v>1</v>
      </c>
      <c r="E5899" s="5">
        <f>Table4[[#This Row],[qty]]*(VLOOKUP(Table4[[#This Row],[item_sold]],Table1[],5,FALSE))</f>
        <v>65</v>
      </c>
      <c r="F5899" s="5">
        <f>(VLOOKUP(Table4[[#This Row],[item_sold]],Table1[],4,FALSE))*Table4[[#This Row],[qty]]</f>
        <v>48.333333333333336</v>
      </c>
      <c r="G5899">
        <f t="shared" si="963"/>
        <v>16.666666666666664</v>
      </c>
      <c r="H5899" t="s">
        <v>247</v>
      </c>
    </row>
    <row r="5900" spans="1:12" x14ac:dyDescent="0.25">
      <c r="A5900" s="1">
        <f t="shared" si="973"/>
        <v>45579</v>
      </c>
      <c r="B5900" s="31">
        <f t="shared" si="976"/>
        <v>0.47361111111111115</v>
      </c>
      <c r="C5900" t="str">
        <f>'Inventory as of 12th Aug 2024'!A8</f>
        <v>eggs</v>
      </c>
      <c r="D5900">
        <v>4</v>
      </c>
      <c r="E5900" s="5">
        <f>Table4[[#This Row],[qty]]*(VLOOKUP(Table4[[#This Row],[item_sold]],Table1[],5,FALSE))</f>
        <v>80</v>
      </c>
      <c r="F5900" s="5">
        <f>(VLOOKUP(Table4[[#This Row],[item_sold]],Table1[],4,FALSE))*Table4[[#This Row],[qty]]</f>
        <v>57.333333333333336</v>
      </c>
      <c r="G5900">
        <f t="shared" si="963"/>
        <v>22.666666666666664</v>
      </c>
      <c r="H5900" t="s">
        <v>247</v>
      </c>
    </row>
    <row r="5901" spans="1:12" x14ac:dyDescent="0.25">
      <c r="A5901" s="1">
        <f t="shared" si="973"/>
        <v>45579</v>
      </c>
      <c r="B5901" s="31">
        <f t="shared" si="976"/>
        <v>0.47361111111111115</v>
      </c>
      <c r="C5901" t="str">
        <f>'Inventory as of 12th Aug 2024'!A50</f>
        <v>Pishori rice</v>
      </c>
      <c r="D5901">
        <v>1</v>
      </c>
      <c r="E5901" s="5">
        <f>Table4[[#This Row],[qty]]*(VLOOKUP(Table4[[#This Row],[item_sold]],Table1[],5,FALSE))</f>
        <v>220</v>
      </c>
      <c r="F5901" s="5">
        <f>(VLOOKUP(Table4[[#This Row],[item_sold]],Table1[],4,FALSE))*Table4[[#This Row],[qty]]</f>
        <v>180</v>
      </c>
      <c r="G5901">
        <f t="shared" si="963"/>
        <v>40</v>
      </c>
      <c r="H5901" t="s">
        <v>247</v>
      </c>
    </row>
    <row r="5902" spans="1:12" x14ac:dyDescent="0.25">
      <c r="A5902" s="1">
        <f t="shared" si="973"/>
        <v>45579</v>
      </c>
      <c r="B5902" s="31">
        <f t="shared" si="976"/>
        <v>0.47361111111111115</v>
      </c>
      <c r="C5902" t="str">
        <f>'Inventory as of 12th Aug 2024'!A107</f>
        <v>Match Box</v>
      </c>
      <c r="D5902">
        <v>1</v>
      </c>
      <c r="E5902" s="5">
        <f>Table4[[#This Row],[qty]]*(VLOOKUP(Table4[[#This Row],[item_sold]],Table1[],5,FALSE))</f>
        <v>5</v>
      </c>
      <c r="F5902" s="5">
        <f>(VLOOKUP(Table4[[#This Row],[item_sold]],Table1[],4,FALSE))*Table4[[#This Row],[qty]]</f>
        <v>2.3611111111111112</v>
      </c>
      <c r="G5902">
        <f t="shared" si="963"/>
        <v>2.6388888888888888</v>
      </c>
      <c r="H5902" t="s">
        <v>247</v>
      </c>
    </row>
    <row r="5903" spans="1:12" x14ac:dyDescent="0.25">
      <c r="A5903" s="1">
        <f t="shared" si="973"/>
        <v>45579</v>
      </c>
      <c r="B5903" s="31">
        <f t="shared" si="976"/>
        <v>0.47361111111111115</v>
      </c>
      <c r="C5903" t="str">
        <f>'Inventory as of 12th Aug 2024'!A213</f>
        <v>soda 500ml glass</v>
      </c>
      <c r="D5903">
        <v>2</v>
      </c>
      <c r="E5903" s="5">
        <f>Table4[[#This Row],[qty]]*(VLOOKUP(Table4[[#This Row],[item_sold]],Table1[],5,FALSE))</f>
        <v>110</v>
      </c>
      <c r="F5903" s="5">
        <f>(VLOOKUP(Table4[[#This Row],[item_sold]],Table1[],4,FALSE))*Table4[[#This Row],[qty]]</f>
        <v>100</v>
      </c>
      <c r="G5903">
        <f t="shared" si="963"/>
        <v>10</v>
      </c>
      <c r="H5903" t="s">
        <v>247</v>
      </c>
    </row>
    <row r="5904" spans="1:12" x14ac:dyDescent="0.25">
      <c r="A5904" s="1">
        <f t="shared" si="973"/>
        <v>45579</v>
      </c>
      <c r="B5904" s="31">
        <f>TIME(11,48,0)</f>
        <v>0.4916666666666667</v>
      </c>
      <c r="C5904" t="str">
        <f>'Inventory as of 12th Aug 2024'!A70</f>
        <v>Sugar 1/2 kg</v>
      </c>
      <c r="D5904">
        <v>1</v>
      </c>
      <c r="E5904" s="5">
        <f>Table4[[#This Row],[qty]]*(VLOOKUP(Table4[[#This Row],[item_sold]],Table1[],5,FALSE))</f>
        <v>90</v>
      </c>
      <c r="F5904" s="5">
        <f>(VLOOKUP(Table4[[#This Row],[item_sold]],Table1[],4,FALSE))*Table4[[#This Row],[qty]]</f>
        <v>60</v>
      </c>
      <c r="G5904">
        <f t="shared" si="963"/>
        <v>30</v>
      </c>
      <c r="H5904" t="s">
        <v>247</v>
      </c>
    </row>
    <row r="5905" spans="1:9" x14ac:dyDescent="0.25">
      <c r="A5905" s="1">
        <f t="shared" si="973"/>
        <v>45579</v>
      </c>
      <c r="B5905" s="31">
        <f t="shared" ref="B5905:B5907" si="977">TIME(11,48,0)</f>
        <v>0.4916666666666667</v>
      </c>
      <c r="C5905" t="str">
        <f>'Inventory as of 12th Aug 2024'!A199</f>
        <v>Kdf</v>
      </c>
      <c r="D5905">
        <v>1</v>
      </c>
      <c r="E5905" s="5">
        <f>Table4[[#This Row],[qty]]*(VLOOKUP(Table4[[#This Row],[item_sold]],Table1[],5,FALSE))</f>
        <v>10</v>
      </c>
      <c r="F5905" s="5">
        <f>(VLOOKUP(Table4[[#This Row],[item_sold]],Table1[],4,FALSE))*Table4[[#This Row],[qty]]</f>
        <v>8.3333333333333339</v>
      </c>
      <c r="G5905">
        <f t="shared" si="963"/>
        <v>1.6666666666666661</v>
      </c>
      <c r="H5905" t="s">
        <v>247</v>
      </c>
    </row>
    <row r="5906" spans="1:9" x14ac:dyDescent="0.25">
      <c r="A5906" s="1">
        <f t="shared" si="973"/>
        <v>45579</v>
      </c>
      <c r="B5906" s="31">
        <f t="shared" si="977"/>
        <v>0.4916666666666667</v>
      </c>
      <c r="C5906" t="str">
        <f>'Inventory as of 12th Aug 2024'!A193</f>
        <v>Ginger Bisquit</v>
      </c>
      <c r="D5906">
        <v>6</v>
      </c>
      <c r="E5906" s="5">
        <f>Table4[[#This Row],[qty]]*(VLOOKUP(Table4[[#This Row],[item_sold]],Table1[],5,FALSE))</f>
        <v>30</v>
      </c>
      <c r="F5906" s="5">
        <f>(VLOOKUP(Table4[[#This Row],[item_sold]],Table1[],4,FALSE))*Table4[[#This Row],[qty]]</f>
        <v>26</v>
      </c>
      <c r="G5906">
        <f t="shared" si="963"/>
        <v>4</v>
      </c>
      <c r="H5906" t="s">
        <v>361</v>
      </c>
    </row>
    <row r="5907" spans="1:9" x14ac:dyDescent="0.25">
      <c r="A5907" s="1">
        <f t="shared" si="973"/>
        <v>45579</v>
      </c>
      <c r="B5907" s="31">
        <f t="shared" si="977"/>
        <v>0.4916666666666667</v>
      </c>
      <c r="C5907" t="str">
        <f>'Inventory as of 12th Aug 2024'!A199</f>
        <v>Kdf</v>
      </c>
      <c r="D5907">
        <v>1</v>
      </c>
      <c r="E5907" s="5">
        <f>Table4[[#This Row],[qty]]*(VLOOKUP(Table4[[#This Row],[item_sold]],Table1[],5,FALSE))</f>
        <v>10</v>
      </c>
      <c r="F5907" s="5">
        <f>(VLOOKUP(Table4[[#This Row],[item_sold]],Table1[],4,FALSE))*Table4[[#This Row],[qty]]</f>
        <v>8.3333333333333339</v>
      </c>
      <c r="G5907">
        <f t="shared" si="963"/>
        <v>1.6666666666666661</v>
      </c>
      <c r="H5907" t="s">
        <v>361</v>
      </c>
    </row>
    <row r="5908" spans="1:9" x14ac:dyDescent="0.25">
      <c r="A5908" s="1">
        <f t="shared" si="973"/>
        <v>45579</v>
      </c>
      <c r="B5908" s="31">
        <f>TIME(11,52,0)</f>
        <v>0.49444444444444446</v>
      </c>
      <c r="C5908" t="str">
        <f>'Inventory as of 12th Aug 2024'!A87</f>
        <v>Menengai Bar 1kg</v>
      </c>
      <c r="D5908">
        <v>0.2</v>
      </c>
      <c r="E5908" s="5">
        <f>Table4[[#This Row],[qty]]*(VLOOKUP(Table4[[#This Row],[item_sold]],Table1[],5,FALSE))</f>
        <v>50</v>
      </c>
      <c r="F5908" s="5">
        <f>(VLOOKUP(Table4[[#This Row],[item_sold]],Table1[],4,FALSE))*Table4[[#This Row],[qty]]</f>
        <v>38</v>
      </c>
      <c r="G5908">
        <f t="shared" ref="G5908:G5971" si="978">E5908-F5908</f>
        <v>12</v>
      </c>
      <c r="H5908" s="25" t="s">
        <v>247</v>
      </c>
    </row>
    <row r="5909" spans="1:9" x14ac:dyDescent="0.25">
      <c r="A5909" s="1">
        <f t="shared" si="973"/>
        <v>45579</v>
      </c>
      <c r="B5909" s="31">
        <f>TIME(13,32,0)</f>
        <v>0.56388888888888888</v>
      </c>
      <c r="C5909" t="str">
        <f>'Inventory as of 12th Aug 2024'!A68</f>
        <v>Royco cubes</v>
      </c>
      <c r="D5909">
        <v>1</v>
      </c>
      <c r="E5909" s="5">
        <f>Table4[[#This Row],[qty]]*(VLOOKUP(Table4[[#This Row],[item_sold]],Table1[],5,FALSE))</f>
        <v>5</v>
      </c>
      <c r="F5909" s="5">
        <f>(VLOOKUP(Table4[[#This Row],[item_sold]],Table1[],4,FALSE))*Table4[[#This Row],[qty]]</f>
        <v>3</v>
      </c>
      <c r="G5909">
        <f t="shared" si="978"/>
        <v>2</v>
      </c>
      <c r="H5909" t="s">
        <v>361</v>
      </c>
    </row>
    <row r="5910" spans="1:9" x14ac:dyDescent="0.25">
      <c r="A5910" s="1">
        <f t="shared" si="973"/>
        <v>45579</v>
      </c>
      <c r="B5910" s="31">
        <f t="shared" ref="B5910:B5912" si="979">TIME(13,32,0)</f>
        <v>0.56388888888888888</v>
      </c>
      <c r="C5910" t="str">
        <f>'Inventory as of 12th Aug 2024'!A91</f>
        <v>Tomatoes</v>
      </c>
      <c r="D5910">
        <v>1</v>
      </c>
      <c r="E5910" s="5">
        <f>Table4[[#This Row],[qty]]*(VLOOKUP(Table4[[#This Row],[item_sold]],Table1[],5,FALSE))</f>
        <v>10</v>
      </c>
      <c r="F5910" s="5">
        <f>(VLOOKUP(Table4[[#This Row],[item_sold]],Table1[],4,FALSE))*Table4[[#This Row],[qty]]</f>
        <v>5</v>
      </c>
      <c r="G5910">
        <f t="shared" si="978"/>
        <v>5</v>
      </c>
      <c r="H5910" t="s">
        <v>361</v>
      </c>
    </row>
    <row r="5911" spans="1:9" x14ac:dyDescent="0.25">
      <c r="A5911" s="1">
        <f t="shared" si="973"/>
        <v>45579</v>
      </c>
      <c r="B5911" s="31">
        <f t="shared" si="979"/>
        <v>0.56388888888888888</v>
      </c>
      <c r="C5911" t="str">
        <f>'Inventory as of 12th Aug 2024'!A90</f>
        <v>Onion</v>
      </c>
      <c r="D5911">
        <v>1</v>
      </c>
      <c r="E5911" s="5">
        <f>Table4[[#This Row],[qty]]*(VLOOKUP(Table4[[#This Row],[item_sold]],Table1[],5,FALSE))</f>
        <v>10</v>
      </c>
      <c r="F5911" s="5">
        <f>(VLOOKUP(Table4[[#This Row],[item_sold]],Table1[],4,FALSE))*Table4[[#This Row],[qty]]</f>
        <v>8</v>
      </c>
      <c r="G5911">
        <f t="shared" si="978"/>
        <v>2</v>
      </c>
      <c r="H5911" t="s">
        <v>361</v>
      </c>
    </row>
    <row r="5912" spans="1:9" x14ac:dyDescent="0.25">
      <c r="A5912" s="1">
        <f t="shared" si="973"/>
        <v>45579</v>
      </c>
      <c r="B5912" s="31">
        <f t="shared" si="979"/>
        <v>0.56388888888888888</v>
      </c>
      <c r="C5912" t="str">
        <f>'Inventory as of 12th Aug 2024'!A50</f>
        <v>Pishori rice</v>
      </c>
      <c r="D5912">
        <v>0.25</v>
      </c>
      <c r="E5912" s="5">
        <f>Table4[[#This Row],[qty]]*(VLOOKUP(Table4[[#This Row],[item_sold]],Table1[],5,FALSE))</f>
        <v>55</v>
      </c>
      <c r="F5912" s="5">
        <f>(VLOOKUP(Table4[[#This Row],[item_sold]],Table1[],4,FALSE))*Table4[[#This Row],[qty]]</f>
        <v>45</v>
      </c>
      <c r="G5912">
        <f t="shared" si="978"/>
        <v>10</v>
      </c>
      <c r="H5912" t="s">
        <v>361</v>
      </c>
    </row>
    <row r="5913" spans="1:9" x14ac:dyDescent="0.25">
      <c r="A5913" s="1">
        <f t="shared" si="973"/>
        <v>45579</v>
      </c>
      <c r="B5913" s="31">
        <f>TIME(14,15,0)</f>
        <v>0.59375</v>
      </c>
      <c r="C5913" t="str">
        <f>'Inventory as of 12th Aug 2024'!A37</f>
        <v>Festive Bread 400g</v>
      </c>
      <c r="D5913">
        <v>1</v>
      </c>
      <c r="E5913" s="5">
        <f>Table4[[#This Row],[qty]]*(VLOOKUP(Table4[[#This Row],[item_sold]],Table1[],5,FALSE))</f>
        <v>65</v>
      </c>
      <c r="F5913" s="5">
        <f>(VLOOKUP(Table4[[#This Row],[item_sold]],Table1[],4,FALSE))*Table4[[#This Row],[qty]]</f>
        <v>60</v>
      </c>
      <c r="G5913">
        <f t="shared" si="978"/>
        <v>5</v>
      </c>
      <c r="H5913" t="s">
        <v>361</v>
      </c>
    </row>
    <row r="5914" spans="1:9" x14ac:dyDescent="0.25">
      <c r="A5914" s="1">
        <f t="shared" si="973"/>
        <v>45579</v>
      </c>
      <c r="B5914" s="31">
        <f>TIME(14,45,0)</f>
        <v>0.61458333333333337</v>
      </c>
      <c r="C5914" t="str">
        <f>'Inventory as of 12th Aug 2024'!A58</f>
        <v>Safari</v>
      </c>
      <c r="D5914">
        <v>1</v>
      </c>
      <c r="E5914" s="5">
        <f>Table4[[#This Row],[qty]]*(VLOOKUP(Table4[[#This Row],[item_sold]],Table1[],5,FALSE))</f>
        <v>15</v>
      </c>
      <c r="F5914" s="5">
        <f>(VLOOKUP(Table4[[#This Row],[item_sold]],Table1[],4,FALSE))*Table4[[#This Row],[qty]]</f>
        <v>8.5</v>
      </c>
      <c r="G5914">
        <f t="shared" si="978"/>
        <v>6.5</v>
      </c>
      <c r="H5914" t="s">
        <v>361</v>
      </c>
    </row>
    <row r="5915" spans="1:9" x14ac:dyDescent="0.25">
      <c r="A5915" s="1">
        <f t="shared" si="973"/>
        <v>45579</v>
      </c>
      <c r="B5915" s="31">
        <f t="shared" ref="B5915:B5917" si="980">TIME(14,45,0)</f>
        <v>0.61458333333333337</v>
      </c>
      <c r="C5915" t="str">
        <f>'Inventory as of 12th Aug 2024'!A199</f>
        <v>Kdf</v>
      </c>
      <c r="D5915">
        <v>6</v>
      </c>
      <c r="E5915" s="5">
        <f>Table4[[#This Row],[qty]]*(VLOOKUP(Table4[[#This Row],[item_sold]],Table1[],5,FALSE))</f>
        <v>60</v>
      </c>
      <c r="F5915" s="5">
        <f>(VLOOKUP(Table4[[#This Row],[item_sold]],Table1[],4,FALSE))*Table4[[#This Row],[qty]]</f>
        <v>50</v>
      </c>
      <c r="G5915">
        <f t="shared" si="978"/>
        <v>10</v>
      </c>
      <c r="H5915" t="s">
        <v>430</v>
      </c>
      <c r="I5915" t="s">
        <v>385</v>
      </c>
    </row>
    <row r="5916" spans="1:9" x14ac:dyDescent="0.25">
      <c r="A5916" s="1">
        <f t="shared" si="973"/>
        <v>45579</v>
      </c>
      <c r="B5916" s="31">
        <f t="shared" si="980"/>
        <v>0.61458333333333337</v>
      </c>
      <c r="C5916" t="str">
        <f>'Inventory as of 12th Aug 2024'!A17</f>
        <v>Brookside milk 500ml</v>
      </c>
      <c r="D5916">
        <v>2</v>
      </c>
      <c r="E5916" s="5">
        <f>Table4[[#This Row],[qty]]*(VLOOKUP(Table4[[#This Row],[item_sold]],Table1[],5,FALSE))</f>
        <v>140</v>
      </c>
      <c r="F5916" s="5">
        <f>(VLOOKUP(Table4[[#This Row],[item_sold]],Table1[],4,FALSE))*Table4[[#This Row],[qty]]</f>
        <v>118</v>
      </c>
      <c r="G5916">
        <f t="shared" si="978"/>
        <v>22</v>
      </c>
      <c r="H5916" t="s">
        <v>430</v>
      </c>
      <c r="I5916" t="s">
        <v>408</v>
      </c>
    </row>
    <row r="5917" spans="1:9" x14ac:dyDescent="0.25">
      <c r="A5917" s="1">
        <f t="shared" si="973"/>
        <v>45579</v>
      </c>
      <c r="B5917" s="31">
        <f t="shared" si="980"/>
        <v>0.61458333333333337</v>
      </c>
      <c r="C5917" t="str">
        <f>'Inventory as of 12th Aug 2024'!A202</f>
        <v>funtime snacks</v>
      </c>
      <c r="D5917">
        <v>3</v>
      </c>
      <c r="E5917" s="5">
        <f>Table4[[#This Row],[qty]]*(VLOOKUP(Table4[[#This Row],[item_sold]],Table1[],5,FALSE))</f>
        <v>45</v>
      </c>
      <c r="F5917" s="5">
        <f>(VLOOKUP(Table4[[#This Row],[item_sold]],Table1[],4,FALSE))*Table4[[#This Row],[qty]]</f>
        <v>27</v>
      </c>
      <c r="G5917">
        <f t="shared" si="978"/>
        <v>18</v>
      </c>
      <c r="H5917" t="s">
        <v>430</v>
      </c>
      <c r="I5917" t="s">
        <v>408</v>
      </c>
    </row>
    <row r="5918" spans="1:9" x14ac:dyDescent="0.25">
      <c r="A5918" s="1">
        <f t="shared" si="973"/>
        <v>45579</v>
      </c>
      <c r="B5918" s="31">
        <f>TIME(16,7,0)</f>
        <v>0.67152777777777783</v>
      </c>
      <c r="C5918" t="str">
        <f>'Inventory as of 12th Aug 2024'!A5</f>
        <v>Airtel 20 Credit</v>
      </c>
      <c r="D5918">
        <v>1</v>
      </c>
      <c r="E5918" s="5">
        <f>Table4[[#This Row],[qty]]*(VLOOKUP(Table4[[#This Row],[item_sold]],Table1[],5,FALSE))</f>
        <v>20</v>
      </c>
      <c r="F5918" s="5">
        <f>(VLOOKUP(Table4[[#This Row],[item_sold]],Table1[],4,FALSE))*Table4[[#This Row],[qty]]</f>
        <v>18</v>
      </c>
      <c r="G5918">
        <f t="shared" si="978"/>
        <v>2</v>
      </c>
      <c r="H5918" t="s">
        <v>247</v>
      </c>
    </row>
    <row r="5919" spans="1:9" x14ac:dyDescent="0.25">
      <c r="A5919" s="1">
        <f t="shared" si="973"/>
        <v>45579</v>
      </c>
      <c r="B5919" s="31">
        <f>TIME(16,13,0)</f>
        <v>0.67569444444444438</v>
      </c>
      <c r="C5919" t="str">
        <f>'Inventory as of 12th Aug 2024'!A58</f>
        <v>Safari</v>
      </c>
      <c r="D5919">
        <v>1</v>
      </c>
      <c r="E5919" s="5">
        <f>Table4[[#This Row],[qty]]*(VLOOKUP(Table4[[#This Row],[item_sold]],Table1[],5,FALSE))</f>
        <v>15</v>
      </c>
      <c r="F5919" s="5">
        <f>(VLOOKUP(Table4[[#This Row],[item_sold]],Table1[],4,FALSE))*Table4[[#This Row],[qty]]</f>
        <v>8.5</v>
      </c>
      <c r="G5919">
        <f t="shared" si="978"/>
        <v>6.5</v>
      </c>
      <c r="H5919" t="s">
        <v>361</v>
      </c>
    </row>
    <row r="5920" spans="1:9" x14ac:dyDescent="0.25">
      <c r="A5920" s="1">
        <f t="shared" si="973"/>
        <v>45579</v>
      </c>
      <c r="B5920" s="31">
        <f>TIME(16,30,0)</f>
        <v>0.6875</v>
      </c>
      <c r="C5920" t="str">
        <f>'Inventory as of 12th Aug 2024'!A8</f>
        <v>eggs</v>
      </c>
      <c r="D5920">
        <v>4</v>
      </c>
      <c r="E5920" s="5">
        <f>Table4[[#This Row],[qty]]*(VLOOKUP(Table4[[#This Row],[item_sold]],Table1[],5,FALSE))</f>
        <v>80</v>
      </c>
      <c r="F5920" s="5">
        <f>(VLOOKUP(Table4[[#This Row],[item_sold]],Table1[],4,FALSE))*Table4[[#This Row],[qty]]</f>
        <v>57.333333333333336</v>
      </c>
      <c r="G5920">
        <f t="shared" si="978"/>
        <v>22.666666666666664</v>
      </c>
      <c r="H5920" t="s">
        <v>247</v>
      </c>
    </row>
    <row r="5921" spans="1:12" x14ac:dyDescent="0.25">
      <c r="A5921" s="1">
        <f t="shared" si="973"/>
        <v>45579</v>
      </c>
      <c r="B5921" s="31">
        <f>TIME(16,36,0)</f>
        <v>0.69166666666666676</v>
      </c>
      <c r="C5921" t="str">
        <f>'Inventory as of 12th Aug 2024'!A84</f>
        <v>omo 20g</v>
      </c>
      <c r="D5921">
        <v>2</v>
      </c>
      <c r="E5921" s="5">
        <f>Table4[[#This Row],[qty]]*(VLOOKUP(Table4[[#This Row],[item_sold]],Table1[],5,FALSE))</f>
        <v>30</v>
      </c>
      <c r="F5921" s="5">
        <f>(VLOOKUP(Table4[[#This Row],[item_sold]],Table1[],4,FALSE))*Table4[[#This Row],[qty]]</f>
        <v>18.333333333333332</v>
      </c>
      <c r="G5921">
        <f t="shared" si="978"/>
        <v>11.666666666666668</v>
      </c>
      <c r="H5921" t="s">
        <v>361</v>
      </c>
    </row>
    <row r="5922" spans="1:12" x14ac:dyDescent="0.25">
      <c r="A5922" s="1">
        <f t="shared" si="973"/>
        <v>45579</v>
      </c>
      <c r="B5922" s="31">
        <f t="shared" ref="B5922:B5923" si="981">TIME(16,36,0)</f>
        <v>0.69166666666666676</v>
      </c>
      <c r="C5922" t="str">
        <f>'Inventory as of 12th Aug 2024'!A87</f>
        <v>Menengai Bar 1kg</v>
      </c>
      <c r="D5922">
        <v>0.6</v>
      </c>
      <c r="E5922" s="5">
        <f>Table4[[#This Row],[qty]]*(VLOOKUP(Table4[[#This Row],[item_sold]],Table1[],5,FALSE))</f>
        <v>150</v>
      </c>
      <c r="F5922" s="5">
        <f>(VLOOKUP(Table4[[#This Row],[item_sold]],Table1[],4,FALSE))*Table4[[#This Row],[qty]]</f>
        <v>114</v>
      </c>
      <c r="G5922">
        <f t="shared" si="978"/>
        <v>36</v>
      </c>
      <c r="H5922" t="s">
        <v>361</v>
      </c>
    </row>
    <row r="5923" spans="1:12" x14ac:dyDescent="0.25">
      <c r="A5923" s="1">
        <f t="shared" si="973"/>
        <v>45579</v>
      </c>
      <c r="B5923" s="31">
        <f t="shared" si="981"/>
        <v>0.69166666666666676</v>
      </c>
      <c r="C5923" t="str">
        <f>'Inventory as of 12th Aug 2024'!A17</f>
        <v>Brookside milk 500ml</v>
      </c>
      <c r="D5923">
        <v>2</v>
      </c>
      <c r="E5923" s="5">
        <f>Table4[[#This Row],[qty]]*(VLOOKUP(Table4[[#This Row],[item_sold]],Table1[],5,FALSE))</f>
        <v>140</v>
      </c>
      <c r="F5923" s="5">
        <f>(VLOOKUP(Table4[[#This Row],[item_sold]],Table1[],4,FALSE))*Table4[[#This Row],[qty]]</f>
        <v>118</v>
      </c>
      <c r="G5923">
        <f t="shared" si="978"/>
        <v>22</v>
      </c>
      <c r="H5923" t="s">
        <v>361</v>
      </c>
    </row>
    <row r="5924" spans="1:12" x14ac:dyDescent="0.25">
      <c r="A5924" s="1">
        <f t="shared" si="973"/>
        <v>45579</v>
      </c>
      <c r="B5924" s="31">
        <f>TIME(14,45,0)</f>
        <v>0.61458333333333337</v>
      </c>
      <c r="C5924" t="str">
        <f>'Inventory as of 12th Aug 2024'!A37</f>
        <v>Festive Bread 400g</v>
      </c>
      <c r="D5924">
        <v>2</v>
      </c>
      <c r="E5924" s="5">
        <f>Table4[[#This Row],[qty]]*(VLOOKUP(Table4[[#This Row],[item_sold]],Table1[],5,FALSE))</f>
        <v>130</v>
      </c>
      <c r="F5924" s="5">
        <f>(VLOOKUP(Table4[[#This Row],[item_sold]],Table1[],4,FALSE))*Table4[[#This Row],[qty]]</f>
        <v>120</v>
      </c>
      <c r="G5924">
        <f t="shared" si="978"/>
        <v>10</v>
      </c>
      <c r="H5924" t="s">
        <v>430</v>
      </c>
      <c r="I5924" t="s">
        <v>408</v>
      </c>
    </row>
    <row r="5925" spans="1:12" x14ac:dyDescent="0.25">
      <c r="A5925" s="1">
        <f t="shared" si="973"/>
        <v>45579</v>
      </c>
      <c r="B5925" s="31">
        <f>TIME(17,53,0)</f>
        <v>0.74513888888888891</v>
      </c>
      <c r="C5925" t="str">
        <f>'Inventory as of 12th Aug 2024'!A109</f>
        <v>Lighter</v>
      </c>
      <c r="D5925">
        <v>1</v>
      </c>
      <c r="E5925" s="5">
        <f>Table4[[#This Row],[qty]]*(VLOOKUP(Table4[[#This Row],[item_sold]],Table1[],5,FALSE))</f>
        <v>30</v>
      </c>
      <c r="F5925" s="5">
        <f>(VLOOKUP(Table4[[#This Row],[item_sold]],Table1[],4,FALSE))*Table4[[#This Row],[qty]]</f>
        <v>15</v>
      </c>
      <c r="G5925">
        <f t="shared" si="978"/>
        <v>15</v>
      </c>
      <c r="H5925" t="s">
        <v>247</v>
      </c>
      <c r="J5925" t="s">
        <v>613</v>
      </c>
      <c r="K5925">
        <v>50</v>
      </c>
      <c r="L5925" t="s">
        <v>247</v>
      </c>
    </row>
    <row r="5926" spans="1:12" x14ac:dyDescent="0.25">
      <c r="A5926" s="1">
        <f t="shared" si="973"/>
        <v>45579</v>
      </c>
      <c r="B5926" s="31">
        <f>TIME(17,54,0)</f>
        <v>0.74583333333333324</v>
      </c>
      <c r="C5926" t="str">
        <f>'Inventory as of 12th Aug 2024'!A58</f>
        <v>Safari</v>
      </c>
      <c r="D5926">
        <v>1</v>
      </c>
      <c r="E5926" s="5">
        <f>Table4[[#This Row],[qty]]*(VLOOKUP(Table4[[#This Row],[item_sold]],Table1[],5,FALSE))</f>
        <v>15</v>
      </c>
      <c r="F5926" s="5">
        <f>(VLOOKUP(Table4[[#This Row],[item_sold]],Table1[],4,FALSE))*Table4[[#This Row],[qty]]</f>
        <v>8.5</v>
      </c>
      <c r="G5926">
        <f t="shared" si="978"/>
        <v>6.5</v>
      </c>
      <c r="H5926" t="s">
        <v>361</v>
      </c>
    </row>
    <row r="5927" spans="1:12" x14ac:dyDescent="0.25">
      <c r="A5927" s="1">
        <f t="shared" si="973"/>
        <v>45579</v>
      </c>
      <c r="B5927" s="31">
        <f t="shared" ref="B5927:B5928" si="982">TIME(17,54,0)</f>
        <v>0.74583333333333324</v>
      </c>
      <c r="C5927" t="str">
        <f>'Inventory as of 12th Aug 2024'!A131</f>
        <v>Zycet (cetrizine)</v>
      </c>
      <c r="D5927">
        <v>1</v>
      </c>
      <c r="E5927" s="5">
        <f>Table4[[#This Row],[qty]]*(VLOOKUP(Table4[[#This Row],[item_sold]],Table1[],5,FALSE))</f>
        <v>15</v>
      </c>
      <c r="F5927" s="5">
        <f>(VLOOKUP(Table4[[#This Row],[item_sold]],Table1[],4,FALSE))*Table4[[#This Row],[qty]]</f>
        <v>8</v>
      </c>
      <c r="G5927">
        <f t="shared" si="978"/>
        <v>7</v>
      </c>
      <c r="H5927" t="s">
        <v>247</v>
      </c>
    </row>
    <row r="5928" spans="1:12" x14ac:dyDescent="0.25">
      <c r="A5928" s="1">
        <f t="shared" si="973"/>
        <v>45579</v>
      </c>
      <c r="B5928" s="31">
        <f t="shared" si="982"/>
        <v>0.74583333333333324</v>
      </c>
      <c r="C5928" t="str">
        <f>'Inventory as of 12th Aug 2024'!A120</f>
        <v>Maramoja</v>
      </c>
      <c r="D5928">
        <v>1</v>
      </c>
      <c r="E5928" s="5">
        <f>Table4[[#This Row],[qty]]*(VLOOKUP(Table4[[#This Row],[item_sold]],Table1[],5,FALSE))</f>
        <v>10</v>
      </c>
      <c r="F5928" s="5">
        <f>(VLOOKUP(Table4[[#This Row],[item_sold]],Table1[],4,FALSE))*Table4[[#This Row],[qty]]</f>
        <v>7</v>
      </c>
      <c r="G5928">
        <f t="shared" si="978"/>
        <v>3</v>
      </c>
      <c r="H5928" t="s">
        <v>430</v>
      </c>
      <c r="I5928" t="s">
        <v>614</v>
      </c>
    </row>
    <row r="5929" spans="1:12" x14ac:dyDescent="0.25">
      <c r="A5929" s="1">
        <f t="shared" si="973"/>
        <v>45579</v>
      </c>
      <c r="B5929" s="31">
        <f>TIME(17,39,0)</f>
        <v>0.73541666666666661</v>
      </c>
      <c r="C5929" t="str">
        <f>'Inventory as of 12th Aug 2024'!A58</f>
        <v>Safari</v>
      </c>
      <c r="D5929">
        <v>1</v>
      </c>
      <c r="E5929" s="5">
        <f>Table4[[#This Row],[qty]]*(VLOOKUP(Table4[[#This Row],[item_sold]],Table1[],5,FALSE))</f>
        <v>15</v>
      </c>
      <c r="F5929" s="5">
        <f>(VLOOKUP(Table4[[#This Row],[item_sold]],Table1[],4,FALSE))*Table4[[#This Row],[qty]]</f>
        <v>8.5</v>
      </c>
      <c r="G5929">
        <f t="shared" si="978"/>
        <v>6.5</v>
      </c>
      <c r="H5929" t="s">
        <v>247</v>
      </c>
    </row>
    <row r="5930" spans="1:12" x14ac:dyDescent="0.25">
      <c r="A5930" s="1">
        <f t="shared" si="973"/>
        <v>45579</v>
      </c>
      <c r="B5930" s="31">
        <f>TIME(18,0,0)</f>
        <v>0.75</v>
      </c>
      <c r="C5930" t="str">
        <f>'Inventory as of 12th Aug 2024'!A267</f>
        <v>Ting Ting</v>
      </c>
      <c r="D5930">
        <v>2</v>
      </c>
      <c r="E5930" s="5">
        <f>Table4[[#This Row],[qty]]*(VLOOKUP(Table4[[#This Row],[item_sold]],Table1[],5,FALSE))</f>
        <v>10</v>
      </c>
      <c r="F5930" s="5">
        <f>(VLOOKUP(Table4[[#This Row],[item_sold]],Table1[],4,FALSE))*Table4[[#This Row],[qty]]</f>
        <v>8.1199999999999992</v>
      </c>
      <c r="G5930">
        <f t="shared" si="978"/>
        <v>1.8800000000000008</v>
      </c>
      <c r="H5930" t="s">
        <v>247</v>
      </c>
    </row>
    <row r="5931" spans="1:12" x14ac:dyDescent="0.25">
      <c r="A5931" s="1">
        <f t="shared" si="973"/>
        <v>45579</v>
      </c>
      <c r="B5931" s="31">
        <f t="shared" ref="B5931:B5932" si="983">TIME(18,0,0)</f>
        <v>0.75</v>
      </c>
      <c r="C5931" t="str">
        <f>'Inventory as of 12th Aug 2024'!A233</f>
        <v>Lollipop</v>
      </c>
      <c r="D5931">
        <v>4</v>
      </c>
      <c r="E5931" s="5">
        <f>Table4[[#This Row],[qty]]*(VLOOKUP(Table4[[#This Row],[item_sold]],Table1[],5,FALSE))</f>
        <v>20</v>
      </c>
      <c r="F5931" s="5">
        <f>(VLOOKUP(Table4[[#This Row],[item_sold]],Table1[],4,FALSE))*Table4[[#This Row],[qty]]</f>
        <v>9.6</v>
      </c>
      <c r="G5931">
        <f t="shared" si="978"/>
        <v>10.4</v>
      </c>
      <c r="H5931" t="s">
        <v>247</v>
      </c>
    </row>
    <row r="5932" spans="1:12" x14ac:dyDescent="0.25">
      <c r="A5932" s="1">
        <f t="shared" si="973"/>
        <v>45579</v>
      </c>
      <c r="B5932" s="31">
        <f t="shared" si="983"/>
        <v>0.75</v>
      </c>
      <c r="C5932" t="str">
        <f>'Inventory as of 12th Aug 2024'!A234</f>
        <v>Bigdaddy</v>
      </c>
      <c r="D5932">
        <v>2</v>
      </c>
      <c r="E5932" s="5">
        <f>Table4[[#This Row],[qty]]*(VLOOKUP(Table4[[#This Row],[item_sold]],Table1[],5,FALSE))</f>
        <v>20</v>
      </c>
      <c r="F5932" s="5">
        <f>(VLOOKUP(Table4[[#This Row],[item_sold]],Table1[],4,FALSE))*Table4[[#This Row],[qty]]</f>
        <v>12</v>
      </c>
      <c r="G5932">
        <f t="shared" si="978"/>
        <v>8</v>
      </c>
      <c r="H5932" t="s">
        <v>247</v>
      </c>
    </row>
    <row r="5933" spans="1:12" x14ac:dyDescent="0.25">
      <c r="A5933" s="1">
        <f t="shared" si="973"/>
        <v>45579</v>
      </c>
      <c r="B5933" s="31">
        <f>TIME(18,8,0)</f>
        <v>0.75555555555555554</v>
      </c>
      <c r="C5933" t="str">
        <f>'Inventory as of 12th Aug 2024'!A92</f>
        <v>Banana</v>
      </c>
      <c r="D5933">
        <v>2</v>
      </c>
      <c r="E5933" s="5">
        <f>Table4[[#This Row],[qty]]*(VLOOKUP(Table4[[#This Row],[item_sold]],Table1[],5,FALSE))</f>
        <v>20</v>
      </c>
      <c r="F5933" s="5">
        <f>(VLOOKUP(Table4[[#This Row],[item_sold]],Table1[],4,FALSE))*Table4[[#This Row],[qty]]</f>
        <v>16.666666666666668</v>
      </c>
      <c r="G5933">
        <f t="shared" si="978"/>
        <v>3.3333333333333321</v>
      </c>
      <c r="H5933" t="s">
        <v>247</v>
      </c>
      <c r="J5933" t="s">
        <v>590</v>
      </c>
      <c r="K5933">
        <v>30</v>
      </c>
      <c r="L5933" t="s">
        <v>247</v>
      </c>
    </row>
    <row r="5934" spans="1:12" x14ac:dyDescent="0.25">
      <c r="A5934" s="1">
        <f t="shared" si="973"/>
        <v>45579</v>
      </c>
      <c r="B5934" s="31">
        <f>TIME(18,44,0)</f>
        <v>0.78055555555555556</v>
      </c>
      <c r="C5934" t="str">
        <f>'Inventory as of 12th Aug 2024'!A267</f>
        <v>Ting Ting</v>
      </c>
      <c r="D5934">
        <v>1</v>
      </c>
      <c r="E5934" s="5">
        <f>Table4[[#This Row],[qty]]*(VLOOKUP(Table4[[#This Row],[item_sold]],Table1[],5,FALSE))</f>
        <v>5</v>
      </c>
      <c r="F5934" s="5">
        <f>(VLOOKUP(Table4[[#This Row],[item_sold]],Table1[],4,FALSE))*Table4[[#This Row],[qty]]</f>
        <v>4.0599999999999996</v>
      </c>
      <c r="G5934">
        <f t="shared" si="978"/>
        <v>0.94000000000000039</v>
      </c>
      <c r="H5934" t="s">
        <v>247</v>
      </c>
      <c r="J5934" t="s">
        <v>614</v>
      </c>
      <c r="K5934">
        <v>5</v>
      </c>
      <c r="L5934" t="s">
        <v>247</v>
      </c>
    </row>
    <row r="5935" spans="1:12" x14ac:dyDescent="0.25">
      <c r="A5935" s="1">
        <f t="shared" si="973"/>
        <v>45579</v>
      </c>
      <c r="B5935" s="31">
        <f>TIME(18,46,0)</f>
        <v>0.78194444444444444</v>
      </c>
      <c r="C5935" t="str">
        <f>'Inventory as of 12th Aug 2024'!A212</f>
        <v>soda 300ml glass</v>
      </c>
      <c r="D5935">
        <v>2</v>
      </c>
      <c r="E5935" s="5">
        <f>Table4[[#This Row],[qty]]*(VLOOKUP(Table4[[#This Row],[item_sold]],Table1[],5,FALSE))</f>
        <v>80</v>
      </c>
      <c r="F5935" s="5">
        <f>(VLOOKUP(Table4[[#This Row],[item_sold]],Table1[],4,FALSE))*Table4[[#This Row],[qty]]</f>
        <v>65</v>
      </c>
      <c r="G5935">
        <f t="shared" si="978"/>
        <v>15</v>
      </c>
      <c r="H5935" t="s">
        <v>430</v>
      </c>
      <c r="I5935" t="s">
        <v>593</v>
      </c>
    </row>
    <row r="5936" spans="1:12" x14ac:dyDescent="0.25">
      <c r="A5936" s="1">
        <f t="shared" si="973"/>
        <v>45579</v>
      </c>
      <c r="B5936" s="31">
        <f>TIME(18,51,0)</f>
        <v>0.78541666666666676</v>
      </c>
      <c r="C5936" t="str">
        <f>'Inventory as of 12th Aug 2024'!A120</f>
        <v>Maramoja</v>
      </c>
      <c r="D5936">
        <v>3</v>
      </c>
      <c r="E5936" s="5">
        <f>Table4[[#This Row],[qty]]*(VLOOKUP(Table4[[#This Row],[item_sold]],Table1[],5,FALSE))</f>
        <v>30</v>
      </c>
      <c r="F5936" s="5">
        <f>(VLOOKUP(Table4[[#This Row],[item_sold]],Table1[],4,FALSE))*Table4[[#This Row],[qty]]</f>
        <v>21</v>
      </c>
      <c r="G5936">
        <f t="shared" si="978"/>
        <v>9</v>
      </c>
      <c r="H5936" t="s">
        <v>247</v>
      </c>
    </row>
    <row r="5937" spans="1:9" x14ac:dyDescent="0.25">
      <c r="A5937" s="1">
        <f t="shared" si="973"/>
        <v>45579</v>
      </c>
      <c r="B5937" s="31">
        <f>TIME(19,14,0)</f>
        <v>0.80138888888888893</v>
      </c>
      <c r="C5937" t="str">
        <f>'Inventory as of 12th Aug 2024'!A58</f>
        <v>Safari</v>
      </c>
      <c r="D5937">
        <v>1</v>
      </c>
      <c r="E5937" s="5">
        <f>Table4[[#This Row],[qty]]*(VLOOKUP(Table4[[#This Row],[item_sold]],Table1[],5,FALSE))</f>
        <v>15</v>
      </c>
      <c r="F5937" s="5">
        <f>(VLOOKUP(Table4[[#This Row],[item_sold]],Table1[],4,FALSE))*Table4[[#This Row],[qty]]</f>
        <v>8.5</v>
      </c>
      <c r="G5937">
        <f t="shared" si="978"/>
        <v>6.5</v>
      </c>
      <c r="H5937" t="s">
        <v>361</v>
      </c>
    </row>
    <row r="5938" spans="1:9" x14ac:dyDescent="0.25">
      <c r="A5938" s="1">
        <f t="shared" si="973"/>
        <v>45579</v>
      </c>
      <c r="B5938" s="31">
        <f>TIME(19,32,0)</f>
        <v>0.81388888888888899</v>
      </c>
      <c r="C5938" t="str">
        <f>'Inventory as of 12th Aug 2024'!A8</f>
        <v>eggs</v>
      </c>
      <c r="D5938">
        <v>4</v>
      </c>
      <c r="E5938" s="5">
        <f>Table4[[#This Row],[qty]]*(VLOOKUP(Table4[[#This Row],[item_sold]],Table1[],5,FALSE))</f>
        <v>80</v>
      </c>
      <c r="F5938" s="5">
        <f>(VLOOKUP(Table4[[#This Row],[item_sold]],Table1[],4,FALSE))*Table4[[#This Row],[qty]]</f>
        <v>57.333333333333336</v>
      </c>
      <c r="G5938">
        <f t="shared" si="978"/>
        <v>22.666666666666664</v>
      </c>
      <c r="H5938" t="s">
        <v>361</v>
      </c>
    </row>
    <row r="5939" spans="1:9" x14ac:dyDescent="0.25">
      <c r="A5939" s="1">
        <f t="shared" si="973"/>
        <v>45579</v>
      </c>
      <c r="B5939" s="31">
        <f t="shared" ref="B5939:B5941" si="984">TIME(19,32,0)</f>
        <v>0.81388888888888899</v>
      </c>
      <c r="C5939" t="str">
        <f>'Inventory as of 12th Aug 2024'!A91</f>
        <v>Tomatoes</v>
      </c>
      <c r="D5939">
        <v>2</v>
      </c>
      <c r="E5939" s="5">
        <f>Table4[[#This Row],[qty]]*(VLOOKUP(Table4[[#This Row],[item_sold]],Table1[],5,FALSE))</f>
        <v>20</v>
      </c>
      <c r="F5939" s="5">
        <f>(VLOOKUP(Table4[[#This Row],[item_sold]],Table1[],4,FALSE))*Table4[[#This Row],[qty]]</f>
        <v>10</v>
      </c>
      <c r="G5939">
        <f t="shared" si="978"/>
        <v>10</v>
      </c>
      <c r="H5939" t="s">
        <v>361</v>
      </c>
    </row>
    <row r="5940" spans="1:9" x14ac:dyDescent="0.25">
      <c r="A5940" s="1">
        <f t="shared" si="973"/>
        <v>45579</v>
      </c>
      <c r="B5940" s="31">
        <f t="shared" si="984"/>
        <v>0.81388888888888899</v>
      </c>
      <c r="C5940" t="str">
        <f>'Inventory as of 12th Aug 2024'!A90</f>
        <v>Onion</v>
      </c>
      <c r="D5940">
        <v>1</v>
      </c>
      <c r="E5940" s="5">
        <f>Table4[[#This Row],[qty]]*(VLOOKUP(Table4[[#This Row],[item_sold]],Table1[],5,FALSE))</f>
        <v>10</v>
      </c>
      <c r="F5940" s="5">
        <f>(VLOOKUP(Table4[[#This Row],[item_sold]],Table1[],4,FALSE))*Table4[[#This Row],[qty]]</f>
        <v>8</v>
      </c>
      <c r="G5940">
        <f t="shared" si="978"/>
        <v>2</v>
      </c>
      <c r="H5940" t="s">
        <v>361</v>
      </c>
    </row>
    <row r="5941" spans="1:9" x14ac:dyDescent="0.25">
      <c r="A5941" s="1">
        <f t="shared" si="973"/>
        <v>45579</v>
      </c>
      <c r="B5941" s="31">
        <f t="shared" si="984"/>
        <v>0.81388888888888899</v>
      </c>
      <c r="C5941" t="str">
        <f>'Inventory as of 12th Aug 2024'!A153</f>
        <v>mosquito stick</v>
      </c>
      <c r="D5941">
        <v>1</v>
      </c>
      <c r="E5941" s="5">
        <f>Table4[[#This Row],[qty]]*(VLOOKUP(Table4[[#This Row],[item_sold]],Table1[],5,FALSE))</f>
        <v>10</v>
      </c>
      <c r="F5941" s="5">
        <f>(VLOOKUP(Table4[[#This Row],[item_sold]],Table1[],4,FALSE))*Table4[[#This Row],[qty]]</f>
        <v>9</v>
      </c>
      <c r="G5941">
        <f t="shared" si="978"/>
        <v>1</v>
      </c>
      <c r="H5941" t="s">
        <v>361</v>
      </c>
    </row>
    <row r="5942" spans="1:9" x14ac:dyDescent="0.25">
      <c r="A5942" s="1">
        <f>DATE(2024,10,15)</f>
        <v>45580</v>
      </c>
      <c r="B5942" s="31">
        <f>TIME(7,24,0)</f>
        <v>0.30833333333333335</v>
      </c>
      <c r="C5942" t="str">
        <f>'Inventory as of 12th Aug 2024'!A199</f>
        <v>Kdf</v>
      </c>
      <c r="D5942">
        <v>4</v>
      </c>
      <c r="E5942" s="5">
        <f>Table4[[#This Row],[qty]]*(VLOOKUP(Table4[[#This Row],[item_sold]],Table1[],5,FALSE))</f>
        <v>40</v>
      </c>
      <c r="F5942" s="5">
        <f>(VLOOKUP(Table4[[#This Row],[item_sold]],Table1[],4,FALSE))*Table4[[#This Row],[qty]]</f>
        <v>33.333333333333336</v>
      </c>
      <c r="G5942">
        <f t="shared" si="978"/>
        <v>6.6666666666666643</v>
      </c>
      <c r="H5942" t="s">
        <v>361</v>
      </c>
    </row>
    <row r="5943" spans="1:9" x14ac:dyDescent="0.25">
      <c r="A5943" s="1">
        <f t="shared" ref="A5943:A5984" si="985">DATE(2024,10,15)</f>
        <v>45580</v>
      </c>
      <c r="B5943" s="31">
        <f t="shared" ref="B5943" si="986">TIME(7,24,0)</f>
        <v>0.30833333333333335</v>
      </c>
      <c r="C5943" t="str">
        <f>'Inventory as of 12th Aug 2024'!A37</f>
        <v>Festive Bread 400g</v>
      </c>
      <c r="D5943">
        <v>1</v>
      </c>
      <c r="E5943" s="5">
        <f>Table4[[#This Row],[qty]]*(VLOOKUP(Table4[[#This Row],[item_sold]],Table1[],5,FALSE))</f>
        <v>65</v>
      </c>
      <c r="F5943" s="5">
        <f>(VLOOKUP(Table4[[#This Row],[item_sold]],Table1[],4,FALSE))*Table4[[#This Row],[qty]]</f>
        <v>60</v>
      </c>
      <c r="G5943">
        <f t="shared" si="978"/>
        <v>5</v>
      </c>
      <c r="H5943" t="s">
        <v>430</v>
      </c>
      <c r="I5943" t="s">
        <v>390</v>
      </c>
    </row>
    <row r="5944" spans="1:9" x14ac:dyDescent="0.25">
      <c r="A5944" s="1">
        <f t="shared" si="985"/>
        <v>45580</v>
      </c>
      <c r="B5944" s="31">
        <f>TIME(8,10,0)</f>
        <v>0.34027777777777773</v>
      </c>
      <c r="C5944" t="str">
        <f>'Inventory as of 12th Aug 2024'!A87</f>
        <v>Menengai Bar 1kg</v>
      </c>
      <c r="D5944">
        <v>1</v>
      </c>
      <c r="E5944" s="5">
        <f>Table4[[#This Row],[qty]]*(VLOOKUP(Table4[[#This Row],[item_sold]],Table1[],5,FALSE))</f>
        <v>250</v>
      </c>
      <c r="F5944" s="5">
        <f>(VLOOKUP(Table4[[#This Row],[item_sold]],Table1[],4,FALSE))*Table4[[#This Row],[qty]]</f>
        <v>190</v>
      </c>
      <c r="G5944">
        <f t="shared" si="978"/>
        <v>60</v>
      </c>
      <c r="H5944" t="s">
        <v>361</v>
      </c>
    </row>
    <row r="5945" spans="1:9" x14ac:dyDescent="0.25">
      <c r="A5945" s="1">
        <f t="shared" si="985"/>
        <v>45580</v>
      </c>
      <c r="B5945" s="31">
        <f>TIME(8,12,0)</f>
        <v>0.34166666666666662</v>
      </c>
      <c r="C5945" t="str">
        <f>'Inventory as of 12th Aug 2024'!A10</f>
        <v>Mt Kenya milk 200ml</v>
      </c>
      <c r="D5945">
        <v>1</v>
      </c>
      <c r="E5945" s="5">
        <f>Table4[[#This Row],[qty]]*(VLOOKUP(Table4[[#This Row],[item_sold]],Table1[],5,FALSE))</f>
        <v>35</v>
      </c>
      <c r="F5945" s="5">
        <f>(VLOOKUP(Table4[[#This Row],[item_sold]],Table1[],4,FALSE))*Table4[[#This Row],[qty]]</f>
        <v>24.285714285714285</v>
      </c>
      <c r="G5945">
        <f t="shared" si="978"/>
        <v>10.714285714285715</v>
      </c>
      <c r="H5945" t="s">
        <v>247</v>
      </c>
    </row>
    <row r="5946" spans="1:9" x14ac:dyDescent="0.25">
      <c r="A5946" s="1">
        <f t="shared" si="985"/>
        <v>45580</v>
      </c>
      <c r="B5946" s="31">
        <f t="shared" ref="B5946" si="987">TIME(8,12,0)</f>
        <v>0.34166666666666662</v>
      </c>
      <c r="C5946" t="str">
        <f>'Inventory as of 12th Aug 2024'!A199</f>
        <v>Kdf</v>
      </c>
      <c r="D5946">
        <v>2</v>
      </c>
      <c r="E5946" s="5">
        <f>Table4[[#This Row],[qty]]*(VLOOKUP(Table4[[#This Row],[item_sold]],Table1[],5,FALSE))</f>
        <v>20</v>
      </c>
      <c r="F5946" s="5">
        <f>(VLOOKUP(Table4[[#This Row],[item_sold]],Table1[],4,FALSE))*Table4[[#This Row],[qty]]</f>
        <v>16.666666666666668</v>
      </c>
      <c r="G5946">
        <f t="shared" si="978"/>
        <v>3.3333333333333321</v>
      </c>
      <c r="H5946" t="s">
        <v>247</v>
      </c>
    </row>
    <row r="5947" spans="1:9" x14ac:dyDescent="0.25">
      <c r="A5947" s="1">
        <f t="shared" si="985"/>
        <v>45580</v>
      </c>
      <c r="B5947" s="31">
        <f>TIME(9,10,0)</f>
        <v>0.38194444444444442</v>
      </c>
      <c r="C5947" t="str">
        <f>'Inventory as of 12th Aug 2024'!A2</f>
        <v>Safaricom 20 Credit</v>
      </c>
      <c r="D5947">
        <v>1</v>
      </c>
      <c r="E5947" s="5">
        <f>Table4[[#This Row],[qty]]*(VLOOKUP(Table4[[#This Row],[item_sold]],Table1[],5,FALSE))</f>
        <v>20</v>
      </c>
      <c r="F5947" s="5">
        <f>(VLOOKUP(Table4[[#This Row],[item_sold]],Table1[],4,FALSE))*Table4[[#This Row],[qty]]</f>
        <v>18</v>
      </c>
      <c r="G5947">
        <f t="shared" si="978"/>
        <v>2</v>
      </c>
      <c r="H5947" t="s">
        <v>247</v>
      </c>
    </row>
    <row r="5948" spans="1:9" x14ac:dyDescent="0.25">
      <c r="A5948" s="1">
        <f t="shared" si="985"/>
        <v>45580</v>
      </c>
      <c r="B5948" s="31">
        <f>TIME(9,28,0)</f>
        <v>0.39444444444444443</v>
      </c>
      <c r="C5948" t="str">
        <f>'Inventory as of 12th Aug 2024'!A33</f>
        <v>BB Bread 400g</v>
      </c>
      <c r="D5948">
        <v>1</v>
      </c>
      <c r="E5948" s="5">
        <f>Table4[[#This Row],[qty]]*(VLOOKUP(Table4[[#This Row],[item_sold]],Table1[],5,FALSE))</f>
        <v>65</v>
      </c>
      <c r="F5948" s="5">
        <f>(VLOOKUP(Table4[[#This Row],[item_sold]],Table1[],4,FALSE))*Table4[[#This Row],[qty]]</f>
        <v>60</v>
      </c>
      <c r="G5948">
        <f t="shared" si="978"/>
        <v>5</v>
      </c>
      <c r="H5948" t="s">
        <v>361</v>
      </c>
    </row>
    <row r="5949" spans="1:9" x14ac:dyDescent="0.25">
      <c r="A5949" s="1">
        <f t="shared" si="985"/>
        <v>45580</v>
      </c>
      <c r="B5949" s="31">
        <f>TIME(9,29,0)</f>
        <v>0.39513888888888887</v>
      </c>
      <c r="C5949" t="str">
        <f>'Inventory as of 12th Aug 2024'!A187</f>
        <v>Njugu</v>
      </c>
      <c r="D5949">
        <v>2</v>
      </c>
      <c r="E5949" s="5">
        <f>Table4[[#This Row],[qty]]*(VLOOKUP(Table4[[#This Row],[item_sold]],Table1[],5,FALSE))</f>
        <v>40</v>
      </c>
      <c r="F5949" s="5">
        <f>(VLOOKUP(Table4[[#This Row],[item_sold]],Table1[],4,FALSE))*Table4[[#This Row],[qty]]</f>
        <v>21.333333333333332</v>
      </c>
      <c r="G5949">
        <f t="shared" si="978"/>
        <v>18.666666666666668</v>
      </c>
      <c r="H5949" t="s">
        <v>361</v>
      </c>
    </row>
    <row r="5950" spans="1:9" x14ac:dyDescent="0.25">
      <c r="A5950" s="1">
        <f t="shared" si="985"/>
        <v>45580</v>
      </c>
      <c r="B5950" s="31">
        <f t="shared" ref="B5950:B5951" si="988">TIME(9,29,0)</f>
        <v>0.39513888888888887</v>
      </c>
      <c r="C5950" t="str">
        <f>'Inventory as of 12th Aug 2024'!A207</f>
        <v>soda 350ml plastic</v>
      </c>
      <c r="D5950">
        <v>1</v>
      </c>
      <c r="E5950" s="5">
        <f>Table4[[#This Row],[qty]]*(VLOOKUP(Table4[[#This Row],[item_sold]],Table1[],5,FALSE))</f>
        <v>50</v>
      </c>
      <c r="F5950" s="5">
        <f>(VLOOKUP(Table4[[#This Row],[item_sold]],Table1[],4,FALSE))*Table4[[#This Row],[qty]]</f>
        <v>41.666666666666664</v>
      </c>
      <c r="G5950">
        <f t="shared" si="978"/>
        <v>8.3333333333333357</v>
      </c>
      <c r="H5950" t="s">
        <v>361</v>
      </c>
    </row>
    <row r="5951" spans="1:9" x14ac:dyDescent="0.25">
      <c r="A5951" s="1">
        <f t="shared" si="985"/>
        <v>45580</v>
      </c>
      <c r="B5951" s="31">
        <f t="shared" si="988"/>
        <v>0.39513888888888887</v>
      </c>
      <c r="C5951" t="str">
        <f>'Inventory as of 12th Aug 2024'!A92</f>
        <v>Banana</v>
      </c>
      <c r="D5951">
        <v>2</v>
      </c>
      <c r="E5951" s="5">
        <f>Table4[[#This Row],[qty]]*(VLOOKUP(Table4[[#This Row],[item_sold]],Table1[],5,FALSE))</f>
        <v>20</v>
      </c>
      <c r="F5951" s="5">
        <f>(VLOOKUP(Table4[[#This Row],[item_sold]],Table1[],4,FALSE))*Table4[[#This Row],[qty]]</f>
        <v>16.666666666666668</v>
      </c>
      <c r="G5951">
        <f t="shared" si="978"/>
        <v>3.3333333333333321</v>
      </c>
      <c r="H5951" t="s">
        <v>361</v>
      </c>
    </row>
    <row r="5952" spans="1:9" x14ac:dyDescent="0.25">
      <c r="A5952" s="1">
        <f t="shared" si="985"/>
        <v>45580</v>
      </c>
      <c r="B5952" s="31">
        <f>TIME(9,31,0)</f>
        <v>0.39652777777777781</v>
      </c>
      <c r="C5952" t="str">
        <f>'Inventory as of 12th Aug 2024'!A212</f>
        <v>soda 300ml glass</v>
      </c>
      <c r="D5952">
        <v>1</v>
      </c>
      <c r="E5952" s="5">
        <f>Table4[[#This Row],[qty]]*(VLOOKUP(Table4[[#This Row],[item_sold]],Table1[],5,FALSE))</f>
        <v>40</v>
      </c>
      <c r="F5952" s="5">
        <f>(VLOOKUP(Table4[[#This Row],[item_sold]],Table1[],4,FALSE))*Table4[[#This Row],[qty]]</f>
        <v>32.5</v>
      </c>
      <c r="G5952">
        <f t="shared" si="978"/>
        <v>7.5</v>
      </c>
      <c r="H5952" t="s">
        <v>247</v>
      </c>
    </row>
    <row r="5953" spans="1:12" x14ac:dyDescent="0.25">
      <c r="A5953" s="1">
        <f t="shared" si="985"/>
        <v>45580</v>
      </c>
      <c r="B5953" s="31">
        <f t="shared" ref="B5953" si="989">TIME(9,31,0)</f>
        <v>0.39652777777777781</v>
      </c>
      <c r="C5953" t="str">
        <f>'Inventory as of 12th Aug 2024'!A131</f>
        <v>Zycet (cetrizine)</v>
      </c>
      <c r="D5953">
        <v>1</v>
      </c>
      <c r="E5953" s="5">
        <f>Table4[[#This Row],[qty]]*(VLOOKUP(Table4[[#This Row],[item_sold]],Table1[],5,FALSE))</f>
        <v>15</v>
      </c>
      <c r="F5953" s="5">
        <f>(VLOOKUP(Table4[[#This Row],[item_sold]],Table1[],4,FALSE))*Table4[[#This Row],[qty]]</f>
        <v>8</v>
      </c>
      <c r="G5953">
        <f t="shared" si="978"/>
        <v>7</v>
      </c>
      <c r="H5953" t="s">
        <v>430</v>
      </c>
      <c r="I5953" t="s">
        <v>385</v>
      </c>
    </row>
    <row r="5954" spans="1:12" x14ac:dyDescent="0.25">
      <c r="A5954" s="1">
        <f t="shared" si="985"/>
        <v>45580</v>
      </c>
      <c r="B5954" s="31">
        <f>TIME(9,34,0)</f>
        <v>0.39861111111111108</v>
      </c>
      <c r="C5954" t="str">
        <f>'Inventory as of 12th Aug 2024'!A58</f>
        <v>Safari</v>
      </c>
      <c r="D5954">
        <v>1</v>
      </c>
      <c r="E5954" s="5">
        <f>Table4[[#This Row],[qty]]*(VLOOKUP(Table4[[#This Row],[item_sold]],Table1[],5,FALSE))</f>
        <v>15</v>
      </c>
      <c r="F5954" s="5">
        <f>(VLOOKUP(Table4[[#This Row],[item_sold]],Table1[],4,FALSE))*Table4[[#This Row],[qty]]</f>
        <v>8.5</v>
      </c>
      <c r="G5954">
        <f t="shared" si="978"/>
        <v>6.5</v>
      </c>
      <c r="H5954" t="s">
        <v>247</v>
      </c>
    </row>
    <row r="5955" spans="1:12" x14ac:dyDescent="0.25">
      <c r="A5955" s="1">
        <f t="shared" si="985"/>
        <v>45580</v>
      </c>
      <c r="B5955" s="31">
        <f>TIME(11,40,0)</f>
        <v>0.4861111111111111</v>
      </c>
      <c r="C5955" t="str">
        <f>'Inventory as of 12th Aug 2024'!A7</f>
        <v>Airtel 50 Credit</v>
      </c>
      <c r="D5955">
        <v>1</v>
      </c>
      <c r="E5955" s="5">
        <f>Table4[[#This Row],[qty]]*(VLOOKUP(Table4[[#This Row],[item_sold]],Table1[],5,FALSE))</f>
        <v>50</v>
      </c>
      <c r="F5955" s="5">
        <f>(VLOOKUP(Table4[[#This Row],[item_sold]],Table1[],4,FALSE))*Table4[[#This Row],[qty]]</f>
        <v>47</v>
      </c>
      <c r="G5955">
        <f t="shared" si="978"/>
        <v>3</v>
      </c>
      <c r="H5955" t="s">
        <v>247</v>
      </c>
    </row>
    <row r="5956" spans="1:12" x14ac:dyDescent="0.25">
      <c r="A5956" s="1">
        <f t="shared" si="985"/>
        <v>45580</v>
      </c>
      <c r="B5956" s="31">
        <f>TIME(11,56,0)</f>
        <v>0.49722222222222223</v>
      </c>
      <c r="C5956" t="str">
        <f>'Inventory as of 12th Aug 2024'!A8</f>
        <v>eggs</v>
      </c>
      <c r="D5956">
        <v>3</v>
      </c>
      <c r="E5956" s="5">
        <f>Table4[[#This Row],[qty]]*(VLOOKUP(Table4[[#This Row],[item_sold]],Table1[],5,FALSE))</f>
        <v>60</v>
      </c>
      <c r="F5956" s="5">
        <f>(VLOOKUP(Table4[[#This Row],[item_sold]],Table1[],4,FALSE))*Table4[[#This Row],[qty]]</f>
        <v>43</v>
      </c>
      <c r="G5956">
        <f t="shared" si="978"/>
        <v>17</v>
      </c>
      <c r="H5956" t="s">
        <v>430</v>
      </c>
      <c r="I5956" t="s">
        <v>590</v>
      </c>
    </row>
    <row r="5957" spans="1:12" x14ac:dyDescent="0.25">
      <c r="A5957" s="1">
        <f t="shared" si="985"/>
        <v>45580</v>
      </c>
      <c r="B5957" s="31">
        <f t="shared" ref="B5957" si="990">TIME(11,56,0)</f>
        <v>0.49722222222222223</v>
      </c>
      <c r="C5957" t="str">
        <f>'Inventory as of 12th Aug 2024'!A193</f>
        <v>Ginger Bisquit</v>
      </c>
      <c r="D5957">
        <v>2</v>
      </c>
      <c r="E5957" s="5">
        <f>Table4[[#This Row],[qty]]*(VLOOKUP(Table4[[#This Row],[item_sold]],Table1[],5,FALSE))</f>
        <v>10</v>
      </c>
      <c r="F5957" s="5">
        <f>(VLOOKUP(Table4[[#This Row],[item_sold]],Table1[],4,FALSE))*Table4[[#This Row],[qty]]</f>
        <v>8.6666666666666661</v>
      </c>
      <c r="G5957">
        <f t="shared" si="978"/>
        <v>1.3333333333333339</v>
      </c>
      <c r="H5957" t="s">
        <v>247</v>
      </c>
    </row>
    <row r="5958" spans="1:12" x14ac:dyDescent="0.25">
      <c r="A5958" s="1">
        <f t="shared" si="985"/>
        <v>45580</v>
      </c>
      <c r="B5958" s="31">
        <f>TIME(14,11,0)</f>
        <v>0.59097222222222223</v>
      </c>
      <c r="C5958" t="str">
        <f>'Inventory as of 12th Aug 2024'!A212</f>
        <v>soda 300ml glass</v>
      </c>
      <c r="D5958">
        <v>1</v>
      </c>
      <c r="E5958" s="5">
        <f>Table4[[#This Row],[qty]]*(VLOOKUP(Table4[[#This Row],[item_sold]],Table1[],5,FALSE))</f>
        <v>40</v>
      </c>
      <c r="F5958" s="5">
        <f>(VLOOKUP(Table4[[#This Row],[item_sold]],Table1[],4,FALSE))*Table4[[#This Row],[qty]]</f>
        <v>32.5</v>
      </c>
      <c r="G5958">
        <f t="shared" si="978"/>
        <v>7.5</v>
      </c>
      <c r="H5958" t="s">
        <v>430</v>
      </c>
      <c r="I5958" t="s">
        <v>590</v>
      </c>
    </row>
    <row r="5959" spans="1:12" x14ac:dyDescent="0.25">
      <c r="A5959" s="1">
        <f t="shared" si="985"/>
        <v>45580</v>
      </c>
      <c r="B5959" s="31">
        <f t="shared" ref="B5959" si="991">TIME(14,11,0)</f>
        <v>0.59097222222222223</v>
      </c>
      <c r="C5959" t="str">
        <f>'Inventory as of 12th Aug 2024'!A199</f>
        <v>Kdf</v>
      </c>
      <c r="D5959">
        <v>1</v>
      </c>
      <c r="E5959" s="5">
        <f>Table4[[#This Row],[qty]]*(VLOOKUP(Table4[[#This Row],[item_sold]],Table1[],5,FALSE))</f>
        <v>10</v>
      </c>
      <c r="F5959" s="5">
        <f>(VLOOKUP(Table4[[#This Row],[item_sold]],Table1[],4,FALSE))*Table4[[#This Row],[qty]]</f>
        <v>8.3333333333333339</v>
      </c>
      <c r="G5959">
        <f t="shared" si="978"/>
        <v>1.6666666666666661</v>
      </c>
      <c r="H5959" t="s">
        <v>430</v>
      </c>
      <c r="I5959" t="s">
        <v>590</v>
      </c>
    </row>
    <row r="5960" spans="1:12" x14ac:dyDescent="0.25">
      <c r="A5960" s="1">
        <f t="shared" si="985"/>
        <v>45580</v>
      </c>
      <c r="B5960" s="31">
        <f>TIME(14,20,0)</f>
        <v>0.59722222222222221</v>
      </c>
      <c r="C5960" t="str">
        <f>'Inventory as of 12th Aug 2024'!A42</f>
        <v>Indomie chicken</v>
      </c>
      <c r="D5960">
        <v>2</v>
      </c>
      <c r="E5960" s="5">
        <f>Table4[[#This Row],[qty]]*(VLOOKUP(Table4[[#This Row],[item_sold]],Table1[],5,FALSE))</f>
        <v>100</v>
      </c>
      <c r="F5960" s="5">
        <f>(VLOOKUP(Table4[[#This Row],[item_sold]],Table1[],4,FALSE))*Table4[[#This Row],[qty]]</f>
        <v>75</v>
      </c>
      <c r="G5960">
        <f t="shared" si="978"/>
        <v>25</v>
      </c>
      <c r="H5960" t="s">
        <v>430</v>
      </c>
      <c r="I5960" t="s">
        <v>385</v>
      </c>
    </row>
    <row r="5961" spans="1:12" x14ac:dyDescent="0.25">
      <c r="A5961" s="1">
        <f t="shared" si="985"/>
        <v>45580</v>
      </c>
      <c r="B5961" s="31">
        <f>TIME(17,24,0)</f>
        <v>0.72499999999999998</v>
      </c>
      <c r="C5961" t="str">
        <f>'Inventory as of 12th Aug 2024'!A5</f>
        <v>Airtel 20 Credit</v>
      </c>
      <c r="D5961">
        <v>1</v>
      </c>
      <c r="E5961" s="5">
        <f>Table4[[#This Row],[qty]]*(VLOOKUP(Table4[[#This Row],[item_sold]],Table1[],5,FALSE))</f>
        <v>20</v>
      </c>
      <c r="F5961" s="5">
        <f>(VLOOKUP(Table4[[#This Row],[item_sold]],Table1[],4,FALSE))*Table4[[#This Row],[qty]]</f>
        <v>18</v>
      </c>
      <c r="G5961">
        <f t="shared" si="978"/>
        <v>2</v>
      </c>
      <c r="H5961" t="s">
        <v>247</v>
      </c>
    </row>
    <row r="5962" spans="1:12" x14ac:dyDescent="0.25">
      <c r="A5962" s="1">
        <f t="shared" si="985"/>
        <v>45580</v>
      </c>
      <c r="B5962" s="31">
        <f>TIME(11,56,0)</f>
        <v>0.49722222222222223</v>
      </c>
      <c r="C5962" t="str">
        <f>'Inventory as of 12th Aug 2024'!A199</f>
        <v>Kdf</v>
      </c>
      <c r="D5962">
        <v>6</v>
      </c>
      <c r="E5962" s="5">
        <f>Table4[[#This Row],[qty]]*(VLOOKUP(Table4[[#This Row],[item_sold]],Table1[],5,FALSE))</f>
        <v>60</v>
      </c>
      <c r="F5962" s="5">
        <f>(VLOOKUP(Table4[[#This Row],[item_sold]],Table1[],4,FALSE))*Table4[[#This Row],[qty]]</f>
        <v>50</v>
      </c>
      <c r="G5962">
        <f t="shared" si="978"/>
        <v>10</v>
      </c>
      <c r="H5962" t="s">
        <v>430</v>
      </c>
      <c r="I5962" t="s">
        <v>427</v>
      </c>
    </row>
    <row r="5963" spans="1:12" x14ac:dyDescent="0.25">
      <c r="A5963" s="1">
        <f t="shared" si="985"/>
        <v>45580</v>
      </c>
      <c r="B5963" s="31">
        <f>TIME(17,25,0)</f>
        <v>0.72569444444444453</v>
      </c>
      <c r="C5963" t="str">
        <f>'Inventory as of 12th Aug 2024'!A199</f>
        <v>Kdf</v>
      </c>
      <c r="D5963">
        <v>3</v>
      </c>
      <c r="E5963" s="5">
        <f>Table4[[#This Row],[qty]]*(VLOOKUP(Table4[[#This Row],[item_sold]],Table1[],5,FALSE))</f>
        <v>30</v>
      </c>
      <c r="F5963" s="5">
        <f>(VLOOKUP(Table4[[#This Row],[item_sold]],Table1[],4,FALSE))*Table4[[#This Row],[qty]]</f>
        <v>25</v>
      </c>
      <c r="G5963">
        <f t="shared" si="978"/>
        <v>5</v>
      </c>
      <c r="H5963" t="s">
        <v>361</v>
      </c>
    </row>
    <row r="5964" spans="1:12" x14ac:dyDescent="0.25">
      <c r="A5964" s="1">
        <f t="shared" si="985"/>
        <v>45580</v>
      </c>
      <c r="B5964" s="31">
        <f t="shared" ref="B5964:B5965" si="992">TIME(17,25,0)</f>
        <v>0.72569444444444453</v>
      </c>
      <c r="C5964" t="str">
        <f>'Inventory as of 12th Aug 2024'!A212</f>
        <v>soda 300ml glass</v>
      </c>
      <c r="D5964">
        <v>1</v>
      </c>
      <c r="E5964" s="5">
        <f>Table4[[#This Row],[qty]]*(VLOOKUP(Table4[[#This Row],[item_sold]],Table1[],5,FALSE))</f>
        <v>40</v>
      </c>
      <c r="F5964" s="5">
        <f>(VLOOKUP(Table4[[#This Row],[item_sold]],Table1[],4,FALSE))*Table4[[#This Row],[qty]]</f>
        <v>32.5</v>
      </c>
      <c r="G5964">
        <f t="shared" si="978"/>
        <v>7.5</v>
      </c>
      <c r="H5964" t="s">
        <v>430</v>
      </c>
      <c r="I5964" t="s">
        <v>419</v>
      </c>
      <c r="J5964" t="s">
        <v>419</v>
      </c>
      <c r="K5964">
        <v>40</v>
      </c>
      <c r="L5964" t="s">
        <v>361</v>
      </c>
    </row>
    <row r="5965" spans="1:12" x14ac:dyDescent="0.25">
      <c r="A5965" s="1">
        <f t="shared" si="985"/>
        <v>45580</v>
      </c>
      <c r="B5965" s="31">
        <f t="shared" si="992"/>
        <v>0.72569444444444453</v>
      </c>
      <c r="C5965" t="str">
        <f>'Inventory as of 12th Aug 2024'!A191</f>
        <v>Nuvita Bisquit</v>
      </c>
      <c r="D5965">
        <v>6</v>
      </c>
      <c r="E5965" s="5">
        <f>Table4[[#This Row],[qty]]*(VLOOKUP(Table4[[#This Row],[item_sold]],Table1[],5,FALSE))</f>
        <v>30</v>
      </c>
      <c r="F5965" s="5">
        <f>(VLOOKUP(Table4[[#This Row],[item_sold]],Table1[],4,FALSE))*Table4[[#This Row],[qty]]</f>
        <v>25</v>
      </c>
      <c r="G5965">
        <f t="shared" si="978"/>
        <v>5</v>
      </c>
      <c r="H5965" t="s">
        <v>247</v>
      </c>
    </row>
    <row r="5966" spans="1:12" x14ac:dyDescent="0.25">
      <c r="A5966" s="1">
        <f t="shared" si="985"/>
        <v>45580</v>
      </c>
      <c r="B5966" s="31">
        <f>TIME(18,20,0)</f>
        <v>0.76388888888888884</v>
      </c>
      <c r="C5966" t="str">
        <f>'Inventory as of 12th Aug 2024'!A33</f>
        <v>BB Bread 400g</v>
      </c>
      <c r="D5966">
        <v>1</v>
      </c>
      <c r="E5966" s="5">
        <f>Table4[[#This Row],[qty]]*(VLOOKUP(Table4[[#This Row],[item_sold]],Table1[],5,FALSE))</f>
        <v>65</v>
      </c>
      <c r="F5966" s="5">
        <f>(VLOOKUP(Table4[[#This Row],[item_sold]],Table1[],4,FALSE))*Table4[[#This Row],[qty]]</f>
        <v>60</v>
      </c>
      <c r="G5966">
        <f t="shared" si="978"/>
        <v>5</v>
      </c>
      <c r="H5966" t="s">
        <v>430</v>
      </c>
      <c r="I5966" t="s">
        <v>394</v>
      </c>
    </row>
    <row r="5967" spans="1:12" x14ac:dyDescent="0.25">
      <c r="A5967" s="1">
        <f t="shared" si="985"/>
        <v>45580</v>
      </c>
      <c r="B5967" s="31">
        <f t="shared" ref="B5967:B5969" si="993">TIME(18,20,0)</f>
        <v>0.76388888888888884</v>
      </c>
      <c r="C5967" t="str">
        <f>'Inventory as of 12th Aug 2024'!A16</f>
        <v>Mt kenya milk 500ml</v>
      </c>
      <c r="D5967">
        <v>2</v>
      </c>
      <c r="E5967" s="5">
        <f>Table4[[#This Row],[qty]]*(VLOOKUP(Table4[[#This Row],[item_sold]],Table1[],5,FALSE))</f>
        <v>130</v>
      </c>
      <c r="F5967" s="5">
        <f>(VLOOKUP(Table4[[#This Row],[item_sold]],Table1[],4,FALSE))*Table4[[#This Row],[qty]]</f>
        <v>96.666666666666671</v>
      </c>
      <c r="G5967">
        <f t="shared" si="978"/>
        <v>33.333333333333329</v>
      </c>
      <c r="H5967" t="s">
        <v>430</v>
      </c>
      <c r="I5967" t="s">
        <v>451</v>
      </c>
    </row>
    <row r="5968" spans="1:12" x14ac:dyDescent="0.25">
      <c r="A5968" s="1">
        <f t="shared" si="985"/>
        <v>45580</v>
      </c>
      <c r="B5968" s="31">
        <f t="shared" si="993"/>
        <v>0.76388888888888884</v>
      </c>
      <c r="C5968" t="str">
        <f>'Inventory as of 12th Aug 2024'!A91</f>
        <v>Tomatoes</v>
      </c>
      <c r="D5968">
        <v>10</v>
      </c>
      <c r="E5968" s="5">
        <f>Table4[[#This Row],[qty]]*(VLOOKUP(Table4[[#This Row],[item_sold]],Table1[],5,FALSE))</f>
        <v>100</v>
      </c>
      <c r="F5968" s="5">
        <f>(VLOOKUP(Table4[[#This Row],[item_sold]],Table1[],4,FALSE))*Table4[[#This Row],[qty]]</f>
        <v>50</v>
      </c>
      <c r="G5968">
        <f t="shared" si="978"/>
        <v>50</v>
      </c>
      <c r="H5968" t="s">
        <v>430</v>
      </c>
      <c r="I5968" t="s">
        <v>451</v>
      </c>
    </row>
    <row r="5969" spans="1:12" x14ac:dyDescent="0.25">
      <c r="A5969" s="1">
        <f t="shared" si="985"/>
        <v>45580</v>
      </c>
      <c r="B5969" s="31">
        <f t="shared" si="993"/>
        <v>0.76388888888888884</v>
      </c>
      <c r="C5969" t="str">
        <f>'Inventory as of 12th Aug 2024'!A33</f>
        <v>BB Bread 400g</v>
      </c>
      <c r="D5969">
        <v>1</v>
      </c>
      <c r="E5969" s="5">
        <f>Table4[[#This Row],[qty]]*(VLOOKUP(Table4[[#This Row],[item_sold]],Table1[],5,FALSE))</f>
        <v>65</v>
      </c>
      <c r="F5969" s="5">
        <f>(VLOOKUP(Table4[[#This Row],[item_sold]],Table1[],4,FALSE))*Table4[[#This Row],[qty]]</f>
        <v>60</v>
      </c>
      <c r="G5969">
        <f t="shared" si="978"/>
        <v>5</v>
      </c>
      <c r="H5969" t="s">
        <v>430</v>
      </c>
      <c r="I5969" t="s">
        <v>451</v>
      </c>
    </row>
    <row r="5970" spans="1:12" x14ac:dyDescent="0.25">
      <c r="A5970" s="1">
        <f t="shared" si="985"/>
        <v>45580</v>
      </c>
      <c r="B5970" s="31">
        <f>TIME(18,51,0)</f>
        <v>0.78541666666666676</v>
      </c>
      <c r="C5970" t="str">
        <f>'Inventory as of 12th Aug 2024'!A182</f>
        <v>T.Heat Potato crisps salted 25g</v>
      </c>
      <c r="D5970">
        <v>2</v>
      </c>
      <c r="E5970" s="5">
        <f>Table4[[#This Row],[qty]]*(VLOOKUP(Table4[[#This Row],[item_sold]],Table1[],5,FALSE))</f>
        <v>60</v>
      </c>
      <c r="F5970" s="5">
        <f>(VLOOKUP(Table4[[#This Row],[item_sold]],Table1[],4,FALSE))*Table4[[#This Row],[qty]]</f>
        <v>45.833333333333336</v>
      </c>
      <c r="G5970">
        <f t="shared" si="978"/>
        <v>14.166666666666664</v>
      </c>
      <c r="H5970" t="s">
        <v>361</v>
      </c>
      <c r="J5970" t="s">
        <v>394</v>
      </c>
      <c r="K5970">
        <v>65</v>
      </c>
      <c r="L5970" t="s">
        <v>361</v>
      </c>
    </row>
    <row r="5971" spans="1:12" x14ac:dyDescent="0.25">
      <c r="A5971" s="1">
        <f t="shared" si="985"/>
        <v>45580</v>
      </c>
      <c r="B5971" s="31">
        <f t="shared" ref="B5971:B5972" si="994">TIME(18,51,0)</f>
        <v>0.78541666666666676</v>
      </c>
      <c r="C5971" t="str">
        <f>'Inventory as of 12th Aug 2024'!A91</f>
        <v>Tomatoes</v>
      </c>
      <c r="D5971">
        <v>3</v>
      </c>
      <c r="E5971" s="5">
        <f>Table4[[#This Row],[qty]]*(VLOOKUP(Table4[[#This Row],[item_sold]],Table1[],5,FALSE))</f>
        <v>30</v>
      </c>
      <c r="F5971" s="5">
        <f>(VLOOKUP(Table4[[#This Row],[item_sold]],Table1[],4,FALSE))*Table4[[#This Row],[qty]]</f>
        <v>15</v>
      </c>
      <c r="G5971">
        <f t="shared" si="978"/>
        <v>15</v>
      </c>
      <c r="H5971" t="s">
        <v>430</v>
      </c>
      <c r="I5971" t="s">
        <v>613</v>
      </c>
    </row>
    <row r="5972" spans="1:12" x14ac:dyDescent="0.25">
      <c r="A5972" s="1">
        <f t="shared" si="985"/>
        <v>45580</v>
      </c>
      <c r="B5972" s="31">
        <f t="shared" si="994"/>
        <v>0.78541666666666676</v>
      </c>
      <c r="C5972" t="str">
        <f>'Inventory as of 12th Aug 2024'!A90</f>
        <v>Onion</v>
      </c>
      <c r="D5972">
        <v>2</v>
      </c>
      <c r="E5972" s="5">
        <f>Table4[[#This Row],[qty]]*(VLOOKUP(Table4[[#This Row],[item_sold]],Table1[],5,FALSE))</f>
        <v>20</v>
      </c>
      <c r="F5972" s="5">
        <f>(VLOOKUP(Table4[[#This Row],[item_sold]],Table1[],4,FALSE))*Table4[[#This Row],[qty]]</f>
        <v>16</v>
      </c>
      <c r="G5972">
        <f t="shared" ref="G5972:G6035" si="995">E5972-F5972</f>
        <v>4</v>
      </c>
      <c r="H5972" t="s">
        <v>430</v>
      </c>
      <c r="I5972" t="s">
        <v>613</v>
      </c>
    </row>
    <row r="5973" spans="1:12" x14ac:dyDescent="0.25">
      <c r="A5973" s="1">
        <f t="shared" si="985"/>
        <v>45580</v>
      </c>
      <c r="B5973" s="31">
        <f>TIME(18,59,0)</f>
        <v>0.7909722222222223</v>
      </c>
      <c r="C5973" t="str">
        <f>'Inventory as of 12th Aug 2024'!A248</f>
        <v>Soko Maize meal</v>
      </c>
      <c r="D5973">
        <v>1</v>
      </c>
      <c r="E5973" s="5">
        <f>Table4[[#This Row],[qty]]*(VLOOKUP(Table4[[#This Row],[item_sold]],Table1[],5,FALSE))</f>
        <v>160</v>
      </c>
      <c r="F5973" s="5">
        <f>(VLOOKUP(Table4[[#This Row],[item_sold]],Table1[],4,FALSE))*Table4[[#This Row],[qty]]</f>
        <v>125</v>
      </c>
      <c r="G5973">
        <f t="shared" si="995"/>
        <v>35</v>
      </c>
      <c r="H5973" t="s">
        <v>430</v>
      </c>
      <c r="I5973" t="s">
        <v>390</v>
      </c>
    </row>
    <row r="5974" spans="1:12" x14ac:dyDescent="0.25">
      <c r="A5974" s="1">
        <f t="shared" si="985"/>
        <v>45580</v>
      </c>
      <c r="B5974" s="31">
        <f>TIME(19,12,0)</f>
        <v>0.79999999999999993</v>
      </c>
      <c r="C5974" t="str">
        <f>'Inventory as of 12th Aug 2024'!A58</f>
        <v>Safari</v>
      </c>
      <c r="D5974">
        <v>1</v>
      </c>
      <c r="E5974" s="5">
        <f>Table4[[#This Row],[qty]]*(VLOOKUP(Table4[[#This Row],[item_sold]],Table1[],5,FALSE))</f>
        <v>15</v>
      </c>
      <c r="F5974" s="5">
        <f>(VLOOKUP(Table4[[#This Row],[item_sold]],Table1[],4,FALSE))*Table4[[#This Row],[qty]]</f>
        <v>8.5</v>
      </c>
      <c r="G5974">
        <f t="shared" si="995"/>
        <v>6.5</v>
      </c>
      <c r="H5974" t="s">
        <v>361</v>
      </c>
    </row>
    <row r="5975" spans="1:12" x14ac:dyDescent="0.25">
      <c r="A5975" s="1">
        <f t="shared" si="985"/>
        <v>45580</v>
      </c>
      <c r="B5975" s="31">
        <f t="shared" ref="B5975:B5976" si="996">TIME(19,12,0)</f>
        <v>0.79999999999999993</v>
      </c>
      <c r="C5975" t="str">
        <f>'Inventory as of 12th Aug 2024'!A8</f>
        <v>eggs</v>
      </c>
      <c r="D5975">
        <v>1</v>
      </c>
      <c r="E5975" s="5">
        <f>Table4[[#This Row],[qty]]*(VLOOKUP(Table4[[#This Row],[item_sold]],Table1[],5,FALSE))</f>
        <v>20</v>
      </c>
      <c r="F5975" s="5">
        <f>(VLOOKUP(Table4[[#This Row],[item_sold]],Table1[],4,FALSE))*Table4[[#This Row],[qty]]</f>
        <v>14.333333333333334</v>
      </c>
      <c r="G5975">
        <f t="shared" si="995"/>
        <v>5.6666666666666661</v>
      </c>
      <c r="H5975" t="s">
        <v>430</v>
      </c>
      <c r="I5975" t="s">
        <v>447</v>
      </c>
    </row>
    <row r="5976" spans="1:12" x14ac:dyDescent="0.25">
      <c r="A5976" s="1">
        <f t="shared" si="985"/>
        <v>45580</v>
      </c>
      <c r="B5976" s="31">
        <f t="shared" si="996"/>
        <v>0.79999999999999993</v>
      </c>
      <c r="C5976" t="str">
        <f>'Inventory as of 12th Aug 2024'!A91</f>
        <v>Tomatoes</v>
      </c>
      <c r="D5976">
        <v>1</v>
      </c>
      <c r="E5976" s="5">
        <f>Table4[[#This Row],[qty]]*(VLOOKUP(Table4[[#This Row],[item_sold]],Table1[],5,FALSE))</f>
        <v>10</v>
      </c>
      <c r="F5976" s="5">
        <f>(VLOOKUP(Table4[[#This Row],[item_sold]],Table1[],4,FALSE))*Table4[[#This Row],[qty]]</f>
        <v>5</v>
      </c>
      <c r="G5976">
        <f t="shared" si="995"/>
        <v>5</v>
      </c>
      <c r="H5976" t="s">
        <v>430</v>
      </c>
      <c r="I5976" t="s">
        <v>447</v>
      </c>
    </row>
    <row r="5977" spans="1:12" x14ac:dyDescent="0.25">
      <c r="A5977" s="1">
        <f t="shared" si="985"/>
        <v>45580</v>
      </c>
      <c r="B5977" s="31">
        <f>TIME(19,27,0)</f>
        <v>0.81041666666666667</v>
      </c>
      <c r="C5977" t="str">
        <f>'Inventory as of 12th Aug 2024'!A37</f>
        <v>Festive Bread 400g</v>
      </c>
      <c r="D5977">
        <v>2</v>
      </c>
      <c r="E5977" s="5">
        <f>Table4[[#This Row],[qty]]*(VLOOKUP(Table4[[#This Row],[item_sold]],Table1[],5,FALSE))</f>
        <v>130</v>
      </c>
      <c r="F5977" s="5">
        <f>(VLOOKUP(Table4[[#This Row],[item_sold]],Table1[],4,FALSE))*Table4[[#This Row],[qty]]</f>
        <v>120</v>
      </c>
      <c r="G5977">
        <f t="shared" si="995"/>
        <v>10</v>
      </c>
      <c r="H5977" t="s">
        <v>361</v>
      </c>
    </row>
    <row r="5978" spans="1:12" x14ac:dyDescent="0.25">
      <c r="A5978" s="1">
        <f t="shared" si="985"/>
        <v>45580</v>
      </c>
      <c r="B5978" s="31">
        <f t="shared" ref="B5978" si="997">TIME(19,27,0)</f>
        <v>0.81041666666666667</v>
      </c>
      <c r="C5978" t="str">
        <f>'Inventory as of 12th Aug 2024'!A30</f>
        <v>Tangawizi Tea 50g</v>
      </c>
      <c r="D5978">
        <v>1</v>
      </c>
      <c r="E5978" s="5">
        <f>Table4[[#This Row],[qty]]*(VLOOKUP(Table4[[#This Row],[item_sold]],Table1[],5,FALSE))</f>
        <v>35</v>
      </c>
      <c r="F5978" s="5">
        <f>(VLOOKUP(Table4[[#This Row],[item_sold]],Table1[],4,FALSE))*Table4[[#This Row],[qty]]</f>
        <v>29.166666666666668</v>
      </c>
      <c r="G5978">
        <f t="shared" si="995"/>
        <v>5.8333333333333321</v>
      </c>
      <c r="H5978" t="s">
        <v>361</v>
      </c>
    </row>
    <row r="5979" spans="1:12" x14ac:dyDescent="0.25">
      <c r="A5979" s="1">
        <f t="shared" si="985"/>
        <v>45580</v>
      </c>
      <c r="B5979" s="31">
        <f>TIME(19,32,0)</f>
        <v>0.81388888888888899</v>
      </c>
      <c r="C5979" t="str">
        <f>'Inventory as of 12th Aug 2024'!A192</f>
        <v>Lemon Bisquit</v>
      </c>
      <c r="D5979">
        <v>2</v>
      </c>
      <c r="E5979" s="5">
        <f>Table4[[#This Row],[qty]]*(VLOOKUP(Table4[[#This Row],[item_sold]],Table1[],5,FALSE))</f>
        <v>10</v>
      </c>
      <c r="F5979" s="5">
        <f>(VLOOKUP(Table4[[#This Row],[item_sold]],Table1[],4,FALSE))*Table4[[#This Row],[qty]]</f>
        <v>8.6666666666666661</v>
      </c>
      <c r="G5979">
        <f t="shared" si="995"/>
        <v>1.3333333333333339</v>
      </c>
      <c r="H5979" t="s">
        <v>361</v>
      </c>
    </row>
    <row r="5980" spans="1:12" x14ac:dyDescent="0.25">
      <c r="A5980" s="1">
        <f t="shared" si="985"/>
        <v>45580</v>
      </c>
      <c r="B5980" s="31">
        <f t="shared" ref="B5980:B5981" si="998">TIME(19,32,0)</f>
        <v>0.81388888888888899</v>
      </c>
      <c r="C5980" t="str">
        <f>'Inventory as of 12th Aug 2024'!A9</f>
        <v>Kinangop Fresh Milk 500ml</v>
      </c>
      <c r="D5980">
        <v>1</v>
      </c>
      <c r="E5980" s="5">
        <f>Table4[[#This Row],[qty]]*(VLOOKUP(Table4[[#This Row],[item_sold]],Table1[],5,FALSE))</f>
        <v>60</v>
      </c>
      <c r="F5980" s="5">
        <f>(VLOOKUP(Table4[[#This Row],[item_sold]],Table1[],4,FALSE))*Table4[[#This Row],[qty]]</f>
        <v>55</v>
      </c>
      <c r="G5980">
        <f t="shared" si="995"/>
        <v>5</v>
      </c>
      <c r="H5980" t="s">
        <v>361</v>
      </c>
    </row>
    <row r="5981" spans="1:12" x14ac:dyDescent="0.25">
      <c r="A5981" s="1">
        <f t="shared" si="985"/>
        <v>45580</v>
      </c>
      <c r="B5981" s="31">
        <f t="shared" si="998"/>
        <v>0.81388888888888899</v>
      </c>
      <c r="C5981" s="25"/>
      <c r="D5981">
        <v>1</v>
      </c>
      <c r="E5981" s="5" t="e">
        <f>Table4[[#This Row],[qty]]*(VLOOKUP(Table4[[#This Row],[item_sold]],Table1[],5,FALSE))</f>
        <v>#N/A</v>
      </c>
      <c r="F5981" s="5" t="e">
        <f>(VLOOKUP(Table4[[#This Row],[item_sold]],Table1[],4,FALSE))*Table4[[#This Row],[qty]]</f>
        <v>#N/A</v>
      </c>
      <c r="G5981" t="e">
        <f t="shared" si="995"/>
        <v>#N/A</v>
      </c>
      <c r="H5981" t="s">
        <v>361</v>
      </c>
      <c r="J5981" t="s">
        <v>390</v>
      </c>
      <c r="K5981">
        <v>1295</v>
      </c>
      <c r="L5981" t="s">
        <v>361</v>
      </c>
    </row>
    <row r="5982" spans="1:12" x14ac:dyDescent="0.25">
      <c r="A5982" s="1">
        <f>DATE(2024,10,15)</f>
        <v>45580</v>
      </c>
      <c r="B5982" s="31">
        <f>TIME(20,6,0)</f>
        <v>0.83750000000000002</v>
      </c>
      <c r="C5982" t="str">
        <f>'Inventory as of 12th Aug 2024'!A92</f>
        <v>Banana</v>
      </c>
      <c r="D5982">
        <v>1</v>
      </c>
      <c r="E5982" s="5">
        <f>Table4[[#This Row],[qty]]*(VLOOKUP(Table4[[#This Row],[item_sold]],Table1[],5,FALSE))</f>
        <v>10</v>
      </c>
      <c r="F5982" s="5">
        <f>(VLOOKUP(Table4[[#This Row],[item_sold]],Table1[],4,FALSE))*Table4[[#This Row],[qty]]</f>
        <v>8.3333333333333339</v>
      </c>
      <c r="G5982">
        <f t="shared" si="995"/>
        <v>1.6666666666666661</v>
      </c>
      <c r="H5982" t="s">
        <v>361</v>
      </c>
    </row>
    <row r="5983" spans="1:12" x14ac:dyDescent="0.25">
      <c r="A5983" s="1">
        <f t="shared" si="985"/>
        <v>45580</v>
      </c>
      <c r="B5983" s="31">
        <f t="shared" ref="B5983" si="999">TIME(20,6,0)</f>
        <v>0.83750000000000002</v>
      </c>
      <c r="C5983" t="str">
        <f>'Inventory as of 12th Aug 2024'!A16</f>
        <v>Mt kenya milk 500ml</v>
      </c>
      <c r="D5983">
        <v>1</v>
      </c>
      <c r="E5983" s="5">
        <f>Table4[[#This Row],[qty]]*(VLOOKUP(Table4[[#This Row],[item_sold]],Table1[],5,FALSE))</f>
        <v>65</v>
      </c>
      <c r="F5983" s="5">
        <f>(VLOOKUP(Table4[[#This Row],[item_sold]],Table1[],4,FALSE))*Table4[[#This Row],[qty]]</f>
        <v>48.333333333333336</v>
      </c>
      <c r="G5983">
        <f t="shared" si="995"/>
        <v>16.666666666666664</v>
      </c>
      <c r="H5983" t="s">
        <v>361</v>
      </c>
    </row>
    <row r="5984" spans="1:12" x14ac:dyDescent="0.25">
      <c r="A5984" s="1">
        <f t="shared" si="985"/>
        <v>45580</v>
      </c>
      <c r="B5984" s="31">
        <f>TIME(20,16,0)</f>
        <v>0.84444444444444444</v>
      </c>
      <c r="C5984" t="str">
        <f>'Inventory as of 12th Aug 2024'!A28</f>
        <v>Fahari Tea 15g</v>
      </c>
      <c r="D5984">
        <v>1</v>
      </c>
      <c r="E5984" s="5">
        <f>Table4[[#This Row],[qty]]*(VLOOKUP(Table4[[#This Row],[item_sold]],Table1[],5,FALSE))</f>
        <v>15</v>
      </c>
      <c r="F5984" s="5">
        <f>(VLOOKUP(Table4[[#This Row],[item_sold]],Table1[],4,FALSE))*Table4[[#This Row],[qty]]</f>
        <v>9.1666666666666661</v>
      </c>
      <c r="G5984">
        <f t="shared" si="995"/>
        <v>5.8333333333333339</v>
      </c>
      <c r="H5984" t="s">
        <v>361</v>
      </c>
    </row>
    <row r="5985" spans="1:12" x14ac:dyDescent="0.25">
      <c r="A5985" s="1">
        <f>DATE(2024,10,16)</f>
        <v>45581</v>
      </c>
      <c r="B5985" s="31">
        <f>TIME(7,0,0)</f>
        <v>0.29166666666666669</v>
      </c>
      <c r="C5985" t="str">
        <f>'Inventory as of 12th Aug 2024'!A28</f>
        <v>Fahari Tea 15g</v>
      </c>
      <c r="D5985">
        <v>1</v>
      </c>
      <c r="E5985" s="5">
        <f>Table4[[#This Row],[qty]]*(VLOOKUP(Table4[[#This Row],[item_sold]],Table1[],5,FALSE))</f>
        <v>15</v>
      </c>
      <c r="F5985" s="5">
        <f>(VLOOKUP(Table4[[#This Row],[item_sold]],Table1[],4,FALSE))*Table4[[#This Row],[qty]]</f>
        <v>9.1666666666666661</v>
      </c>
      <c r="G5985">
        <f t="shared" si="995"/>
        <v>5.8333333333333339</v>
      </c>
      <c r="H5985" t="s">
        <v>247</v>
      </c>
    </row>
    <row r="5986" spans="1:12" x14ac:dyDescent="0.25">
      <c r="A5986" s="1">
        <f t="shared" ref="A5986:A6037" si="1000">DATE(2024,10,16)</f>
        <v>45581</v>
      </c>
      <c r="B5986" s="31">
        <f t="shared" ref="B5986" si="1001">TIME(7,0,0)</f>
        <v>0.29166666666666669</v>
      </c>
      <c r="C5986" t="str">
        <f>'Inventory as of 12th Aug 2024'!A236</f>
        <v>Gomba</v>
      </c>
      <c r="D5986">
        <v>2</v>
      </c>
      <c r="E5986" s="5">
        <f>Table4[[#This Row],[qty]]*(VLOOKUP(Table4[[#This Row],[item_sold]],Table1[],5,FALSE))</f>
        <v>5</v>
      </c>
      <c r="F5986" s="5">
        <f>(VLOOKUP(Table4[[#This Row],[item_sold]],Table1[],4,FALSE))*Table4[[#This Row],[qty]]</f>
        <v>3.6</v>
      </c>
      <c r="G5986">
        <f t="shared" si="995"/>
        <v>1.4</v>
      </c>
      <c r="H5986" t="s">
        <v>247</v>
      </c>
    </row>
    <row r="5987" spans="1:12" x14ac:dyDescent="0.25">
      <c r="A5987" s="1">
        <f t="shared" si="1000"/>
        <v>45581</v>
      </c>
      <c r="B5987" s="31">
        <f>TIME(7,17,0)</f>
        <v>0.3034722222222222</v>
      </c>
      <c r="C5987" t="str">
        <f>'Inventory as of 12th Aug 2024'!A70</f>
        <v>Sugar 1/2 kg</v>
      </c>
      <c r="D5987">
        <v>1</v>
      </c>
      <c r="E5987" s="5">
        <f>Table4[[#This Row],[qty]]*(VLOOKUP(Table4[[#This Row],[item_sold]],Table1[],5,FALSE))</f>
        <v>90</v>
      </c>
      <c r="F5987" s="5">
        <f>(VLOOKUP(Table4[[#This Row],[item_sold]],Table1[],4,FALSE))*Table4[[#This Row],[qty]]</f>
        <v>60</v>
      </c>
      <c r="G5987">
        <f t="shared" si="995"/>
        <v>30</v>
      </c>
      <c r="H5987" t="s">
        <v>361</v>
      </c>
    </row>
    <row r="5988" spans="1:12" x14ac:dyDescent="0.25">
      <c r="A5988" s="1">
        <f t="shared" si="1000"/>
        <v>45581</v>
      </c>
      <c r="B5988" s="31">
        <f t="shared" ref="B5988:B5989" si="1002">TIME(7,17,0)</f>
        <v>0.3034722222222222</v>
      </c>
      <c r="C5988" t="str">
        <f>'Inventory as of 12th Aug 2024'!A33</f>
        <v>BB Bread 400g</v>
      </c>
      <c r="D5988">
        <v>1</v>
      </c>
      <c r="E5988" s="5">
        <f>Table4[[#This Row],[qty]]*(VLOOKUP(Table4[[#This Row],[item_sold]],Table1[],5,FALSE))</f>
        <v>65</v>
      </c>
      <c r="F5988" s="5">
        <f>(VLOOKUP(Table4[[#This Row],[item_sold]],Table1[],4,FALSE))*Table4[[#This Row],[qty]]</f>
        <v>60</v>
      </c>
      <c r="G5988">
        <f t="shared" si="995"/>
        <v>5</v>
      </c>
      <c r="H5988" t="s">
        <v>361</v>
      </c>
    </row>
    <row r="5989" spans="1:12" x14ac:dyDescent="0.25">
      <c r="A5989" s="1">
        <f t="shared" si="1000"/>
        <v>45581</v>
      </c>
      <c r="B5989" s="31">
        <f t="shared" si="1002"/>
        <v>0.3034722222222222</v>
      </c>
      <c r="C5989" t="str">
        <f>'Inventory as of 12th Aug 2024'!A9</f>
        <v>Kinangop Fresh Milk 500ml</v>
      </c>
      <c r="D5989">
        <v>1</v>
      </c>
      <c r="E5989" s="5">
        <f>Table4[[#This Row],[qty]]*(VLOOKUP(Table4[[#This Row],[item_sold]],Table1[],5,FALSE))</f>
        <v>60</v>
      </c>
      <c r="F5989" s="5">
        <f>(VLOOKUP(Table4[[#This Row],[item_sold]],Table1[],4,FALSE))*Table4[[#This Row],[qty]]</f>
        <v>55</v>
      </c>
      <c r="G5989">
        <f t="shared" si="995"/>
        <v>5</v>
      </c>
      <c r="H5989" t="s">
        <v>430</v>
      </c>
      <c r="I5989" t="s">
        <v>385</v>
      </c>
    </row>
    <row r="5990" spans="1:12" x14ac:dyDescent="0.25">
      <c r="A5990" s="1">
        <f t="shared" si="1000"/>
        <v>45581</v>
      </c>
      <c r="B5990" s="31">
        <f>TIME(7,50,0)</f>
        <v>0.3263888888888889</v>
      </c>
      <c r="C5990" t="str">
        <f>'Inventory as of 12th Aug 2024'!A162</f>
        <v>Nice and lovely</v>
      </c>
      <c r="D5990">
        <v>1</v>
      </c>
      <c r="E5990" s="5">
        <f>Table4[[#This Row],[qty]]*(VLOOKUP(Table4[[#This Row],[item_sold]],Table1[],5,FALSE))</f>
        <v>200</v>
      </c>
      <c r="F5990" s="5">
        <f>(VLOOKUP(Table4[[#This Row],[item_sold]],Table1[],4,FALSE))*Table4[[#This Row],[qty]]</f>
        <v>160</v>
      </c>
      <c r="G5990">
        <f t="shared" si="995"/>
        <v>40</v>
      </c>
      <c r="H5990" t="s">
        <v>361</v>
      </c>
      <c r="J5990" t="s">
        <v>456</v>
      </c>
      <c r="K5990">
        <v>200</v>
      </c>
      <c r="L5990" t="s">
        <v>361</v>
      </c>
    </row>
    <row r="5991" spans="1:12" x14ac:dyDescent="0.25">
      <c r="A5991" s="1">
        <f t="shared" si="1000"/>
        <v>45581</v>
      </c>
      <c r="B5991" s="31">
        <f>TIME(7,52,0)</f>
        <v>0.32777777777777778</v>
      </c>
      <c r="C5991" t="str">
        <f>'Inventory as of 12th Aug 2024'!A199</f>
        <v>Kdf</v>
      </c>
      <c r="D5991">
        <v>1</v>
      </c>
      <c r="E5991" s="5">
        <f>Table4[[#This Row],[qty]]*(VLOOKUP(Table4[[#This Row],[item_sold]],Table1[],5,FALSE))</f>
        <v>10</v>
      </c>
      <c r="F5991" s="5">
        <f>(VLOOKUP(Table4[[#This Row],[item_sold]],Table1[],4,FALSE))*Table4[[#This Row],[qty]]</f>
        <v>8.3333333333333339</v>
      </c>
      <c r="G5991">
        <f t="shared" si="995"/>
        <v>1.6666666666666661</v>
      </c>
      <c r="H5991" t="s">
        <v>361</v>
      </c>
    </row>
    <row r="5992" spans="1:12" x14ac:dyDescent="0.25">
      <c r="A5992" s="1">
        <f t="shared" si="1000"/>
        <v>45581</v>
      </c>
      <c r="B5992" s="31">
        <f>TIME(8,5,0)</f>
        <v>0.33680555555555558</v>
      </c>
      <c r="C5992" t="str">
        <f>'Inventory as of 12th Aug 2024'!A91</f>
        <v>Tomatoes</v>
      </c>
      <c r="D5992">
        <v>1</v>
      </c>
      <c r="E5992" s="5">
        <f>Table4[[#This Row],[qty]]*(VLOOKUP(Table4[[#This Row],[item_sold]],Table1[],5,FALSE))</f>
        <v>10</v>
      </c>
      <c r="F5992" s="5">
        <f>(VLOOKUP(Table4[[#This Row],[item_sold]],Table1[],4,FALSE))*Table4[[#This Row],[qty]]</f>
        <v>5</v>
      </c>
      <c r="G5992">
        <f t="shared" si="995"/>
        <v>5</v>
      </c>
      <c r="H5992" t="s">
        <v>430</v>
      </c>
      <c r="I5992" t="s">
        <v>615</v>
      </c>
    </row>
    <row r="5993" spans="1:12" x14ac:dyDescent="0.25">
      <c r="A5993" s="1">
        <f t="shared" si="1000"/>
        <v>45581</v>
      </c>
      <c r="B5993" s="31">
        <f>TIME(8,5,0)</f>
        <v>0.33680555555555558</v>
      </c>
      <c r="C5993" t="str">
        <f>'Inventory as of 12th Aug 2024'!A37</f>
        <v>Festive Bread 400g</v>
      </c>
      <c r="D5993">
        <v>1</v>
      </c>
      <c r="E5993" s="5">
        <f>Table4[[#This Row],[qty]]*(VLOOKUP(Table4[[#This Row],[item_sold]],Table1[],5,FALSE))</f>
        <v>65</v>
      </c>
      <c r="F5993" s="5">
        <f>(VLOOKUP(Table4[[#This Row],[item_sold]],Table1[],4,FALSE))*Table4[[#This Row],[qty]]</f>
        <v>60</v>
      </c>
      <c r="G5993">
        <f t="shared" si="995"/>
        <v>5</v>
      </c>
      <c r="H5993" t="s">
        <v>430</v>
      </c>
      <c r="I5993" t="s">
        <v>385</v>
      </c>
    </row>
    <row r="5994" spans="1:12" x14ac:dyDescent="0.25">
      <c r="A5994" s="1">
        <f t="shared" si="1000"/>
        <v>45581</v>
      </c>
      <c r="B5994" s="31">
        <f>TIME(8,38,0)</f>
        <v>0.35972222222222222</v>
      </c>
      <c r="C5994" t="str">
        <f>'Inventory as of 12th Aug 2024'!A207</f>
        <v>soda 350ml plastic</v>
      </c>
      <c r="D5994">
        <v>1</v>
      </c>
      <c r="E5994" s="5">
        <f>Table4[[#This Row],[qty]]*(VLOOKUP(Table4[[#This Row],[item_sold]],Table1[],5,FALSE))</f>
        <v>50</v>
      </c>
      <c r="F5994" s="5">
        <f>(VLOOKUP(Table4[[#This Row],[item_sold]],Table1[],4,FALSE))*Table4[[#This Row],[qty]]</f>
        <v>41.666666666666664</v>
      </c>
      <c r="G5994">
        <f t="shared" si="995"/>
        <v>8.3333333333333357</v>
      </c>
      <c r="H5994" t="s">
        <v>361</v>
      </c>
    </row>
    <row r="5995" spans="1:12" x14ac:dyDescent="0.25">
      <c r="A5995" s="1">
        <f t="shared" si="1000"/>
        <v>45581</v>
      </c>
      <c r="B5995" s="31">
        <f t="shared" ref="B5995:B5999" si="1003">TIME(8,38,0)</f>
        <v>0.35972222222222222</v>
      </c>
      <c r="C5995" t="str">
        <f>'Inventory as of 12th Aug 2024'!A198</f>
        <v>Mandazi</v>
      </c>
      <c r="D5995">
        <v>1</v>
      </c>
      <c r="E5995" s="5">
        <f>Table4[[#This Row],[qty]]*(VLOOKUP(Table4[[#This Row],[item_sold]],Table1[],5,FALSE))</f>
        <v>5</v>
      </c>
      <c r="F5995" s="5">
        <f>(VLOOKUP(Table4[[#This Row],[item_sold]],Table1[],4,FALSE))*Table4[[#This Row],[qty]]</f>
        <v>4.166666666666667</v>
      </c>
      <c r="G5995">
        <f t="shared" si="995"/>
        <v>0.83333333333333304</v>
      </c>
      <c r="H5995" t="s">
        <v>361</v>
      </c>
    </row>
    <row r="5996" spans="1:12" x14ac:dyDescent="0.25">
      <c r="A5996" s="1">
        <f t="shared" si="1000"/>
        <v>45581</v>
      </c>
      <c r="B5996" s="31">
        <f t="shared" si="1003"/>
        <v>0.35972222222222222</v>
      </c>
      <c r="C5996" t="str">
        <f>'Inventory as of 12th Aug 2024'!A8</f>
        <v>eggs</v>
      </c>
      <c r="D5996">
        <v>5</v>
      </c>
      <c r="E5996" s="5">
        <f>Table4[[#This Row],[qty]]*(VLOOKUP(Table4[[#This Row],[item_sold]],Table1[],5,FALSE))</f>
        <v>100</v>
      </c>
      <c r="F5996" s="5">
        <f>(VLOOKUP(Table4[[#This Row],[item_sold]],Table1[],4,FALSE))*Table4[[#This Row],[qty]]</f>
        <v>71.666666666666671</v>
      </c>
      <c r="G5996">
        <f t="shared" si="995"/>
        <v>28.333333333333329</v>
      </c>
      <c r="H5996" t="s">
        <v>430</v>
      </c>
      <c r="I5996" t="s">
        <v>404</v>
      </c>
    </row>
    <row r="5997" spans="1:12" x14ac:dyDescent="0.25">
      <c r="A5997" s="1">
        <f t="shared" si="1000"/>
        <v>45581</v>
      </c>
      <c r="B5997" s="31">
        <f t="shared" si="1003"/>
        <v>0.35972222222222222</v>
      </c>
      <c r="C5997" t="str">
        <f>'Inventory as of 12th Aug 2024'!A17</f>
        <v>Brookside milk 500ml</v>
      </c>
      <c r="D5997">
        <v>2</v>
      </c>
      <c r="E5997" s="5">
        <f>Table4[[#This Row],[qty]]*(VLOOKUP(Table4[[#This Row],[item_sold]],Table1[],5,FALSE))</f>
        <v>140</v>
      </c>
      <c r="F5997" s="5">
        <f>(VLOOKUP(Table4[[#This Row],[item_sold]],Table1[],4,FALSE))*Table4[[#This Row],[qty]]</f>
        <v>118</v>
      </c>
      <c r="G5997">
        <f t="shared" si="995"/>
        <v>22</v>
      </c>
      <c r="H5997" t="s">
        <v>430</v>
      </c>
      <c r="I5997" t="s">
        <v>404</v>
      </c>
    </row>
    <row r="5998" spans="1:12" x14ac:dyDescent="0.25">
      <c r="A5998" s="1">
        <f t="shared" si="1000"/>
        <v>45581</v>
      </c>
      <c r="B5998" s="31">
        <f t="shared" si="1003"/>
        <v>0.35972222222222222</v>
      </c>
      <c r="C5998" t="str">
        <f>'Inventory as of 12th Aug 2024'!A87</f>
        <v>Menengai Bar 1kg</v>
      </c>
      <c r="D5998">
        <v>1</v>
      </c>
      <c r="E5998" s="5">
        <f>Table4[[#This Row],[qty]]*(VLOOKUP(Table4[[#This Row],[item_sold]],Table1[],5,FALSE))</f>
        <v>250</v>
      </c>
      <c r="F5998" s="5">
        <f>(VLOOKUP(Table4[[#This Row],[item_sold]],Table1[],4,FALSE))*Table4[[#This Row],[qty]]</f>
        <v>190</v>
      </c>
      <c r="G5998">
        <f t="shared" si="995"/>
        <v>60</v>
      </c>
      <c r="H5998" t="s">
        <v>430</v>
      </c>
      <c r="I5998" t="s">
        <v>404</v>
      </c>
    </row>
    <row r="5999" spans="1:12" x14ac:dyDescent="0.25">
      <c r="A5999" s="1">
        <f t="shared" si="1000"/>
        <v>45581</v>
      </c>
      <c r="B5999" s="31">
        <f t="shared" si="1003"/>
        <v>0.35972222222222222</v>
      </c>
      <c r="C5999" t="str">
        <f>'Inventory as of 12th Aug 2024'!A33</f>
        <v>BB Bread 400g</v>
      </c>
      <c r="D5999">
        <v>1</v>
      </c>
      <c r="E5999" s="5">
        <f>Table4[[#This Row],[qty]]*(VLOOKUP(Table4[[#This Row],[item_sold]],Table1[],5,FALSE))</f>
        <v>65</v>
      </c>
      <c r="F5999" s="5">
        <f>(VLOOKUP(Table4[[#This Row],[item_sold]],Table1[],4,FALSE))*Table4[[#This Row],[qty]]</f>
        <v>60</v>
      </c>
      <c r="G5999">
        <f t="shared" si="995"/>
        <v>5</v>
      </c>
      <c r="H5999" t="s">
        <v>430</v>
      </c>
      <c r="I5999" t="s">
        <v>404</v>
      </c>
    </row>
    <row r="6000" spans="1:12" x14ac:dyDescent="0.25">
      <c r="A6000" s="1">
        <f t="shared" si="1000"/>
        <v>45581</v>
      </c>
      <c r="B6000" s="31">
        <f>TIME(10,48,0)</f>
        <v>0.45</v>
      </c>
      <c r="C6000" t="str">
        <f>'Inventory as of 12th Aug 2024'!A212</f>
        <v>soda 300ml glass</v>
      </c>
      <c r="D6000">
        <v>1</v>
      </c>
      <c r="E6000" s="5">
        <f>Table4[[#This Row],[qty]]*(VLOOKUP(Table4[[#This Row],[item_sold]],Table1[],5,FALSE))</f>
        <v>40</v>
      </c>
      <c r="F6000" s="5">
        <f>(VLOOKUP(Table4[[#This Row],[item_sold]],Table1[],4,FALSE))*Table4[[#This Row],[qty]]</f>
        <v>32.5</v>
      </c>
      <c r="G6000">
        <f t="shared" si="995"/>
        <v>7.5</v>
      </c>
      <c r="H6000" t="s">
        <v>361</v>
      </c>
    </row>
    <row r="6001" spans="1:12" x14ac:dyDescent="0.25">
      <c r="A6001" s="1">
        <f t="shared" si="1000"/>
        <v>45581</v>
      </c>
      <c r="B6001" s="31">
        <f t="shared" ref="B6001:B6002" si="1004">TIME(10,48,0)</f>
        <v>0.45</v>
      </c>
      <c r="C6001" t="str">
        <f>'Inventory as of 12th Aug 2024'!A7</f>
        <v>Airtel 50 Credit</v>
      </c>
      <c r="E6001" s="5">
        <f>Table4[[#This Row],[qty]]*(VLOOKUP(Table4[[#This Row],[item_sold]],Table1[],5,FALSE))</f>
        <v>0</v>
      </c>
      <c r="F6001" s="5">
        <f>(VLOOKUP(Table4[[#This Row],[item_sold]],Table1[],4,FALSE))*Table4[[#This Row],[qty]]</f>
        <v>0</v>
      </c>
      <c r="G6001">
        <f t="shared" si="995"/>
        <v>0</v>
      </c>
      <c r="H6001" t="s">
        <v>247</v>
      </c>
    </row>
    <row r="6002" spans="1:12" x14ac:dyDescent="0.25">
      <c r="A6002" s="1">
        <f t="shared" si="1000"/>
        <v>45581</v>
      </c>
      <c r="B6002" s="31">
        <f t="shared" si="1004"/>
        <v>0.45</v>
      </c>
      <c r="C6002" t="str">
        <f>'Inventory as of 12th Aug 2024'!A58</f>
        <v>Safari</v>
      </c>
      <c r="D6002">
        <v>1</v>
      </c>
      <c r="E6002" s="5">
        <f>Table4[[#This Row],[qty]]*(VLOOKUP(Table4[[#This Row],[item_sold]],Table1[],5,FALSE))</f>
        <v>15</v>
      </c>
      <c r="F6002" s="5">
        <f>(VLOOKUP(Table4[[#This Row],[item_sold]],Table1[],4,FALSE))*Table4[[#This Row],[qty]]</f>
        <v>8.5</v>
      </c>
      <c r="G6002">
        <f t="shared" si="995"/>
        <v>6.5</v>
      </c>
      <c r="H6002" t="s">
        <v>247</v>
      </c>
    </row>
    <row r="6003" spans="1:12" x14ac:dyDescent="0.25">
      <c r="A6003" s="1">
        <f t="shared" si="1000"/>
        <v>45581</v>
      </c>
      <c r="B6003" s="31">
        <f>TIME(10,50,0)</f>
        <v>0.4513888888888889</v>
      </c>
      <c r="C6003" t="str">
        <f>'Inventory as of 12th Aug 2024'!A212</f>
        <v>soda 300ml glass</v>
      </c>
      <c r="D6003">
        <v>1</v>
      </c>
      <c r="E6003" s="5">
        <f>Table4[[#This Row],[qty]]*(VLOOKUP(Table4[[#This Row],[item_sold]],Table1[],5,FALSE))</f>
        <v>40</v>
      </c>
      <c r="F6003" s="5">
        <f>(VLOOKUP(Table4[[#This Row],[item_sold]],Table1[],4,FALSE))*Table4[[#This Row],[qty]]</f>
        <v>32.5</v>
      </c>
      <c r="G6003">
        <f t="shared" si="995"/>
        <v>7.5</v>
      </c>
      <c r="H6003" t="s">
        <v>361</v>
      </c>
    </row>
    <row r="6004" spans="1:12" x14ac:dyDescent="0.25">
      <c r="A6004" s="1">
        <f t="shared" si="1000"/>
        <v>45581</v>
      </c>
      <c r="B6004" s="31">
        <f t="shared" ref="B6004:B6005" si="1005">TIME(10,50,0)</f>
        <v>0.4513888888888889</v>
      </c>
      <c r="C6004" t="str">
        <f>'Inventory as of 12th Aug 2024'!A213</f>
        <v>soda 500ml glass</v>
      </c>
      <c r="D6004">
        <v>2</v>
      </c>
      <c r="E6004" s="5">
        <f>Table4[[#This Row],[qty]]*(VLOOKUP(Table4[[#This Row],[item_sold]],Table1[],5,FALSE))</f>
        <v>110</v>
      </c>
      <c r="F6004" s="5">
        <f>(VLOOKUP(Table4[[#This Row],[item_sold]],Table1[],4,FALSE))*Table4[[#This Row],[qty]]</f>
        <v>100</v>
      </c>
      <c r="G6004">
        <f t="shared" si="995"/>
        <v>10</v>
      </c>
      <c r="H6004" t="s">
        <v>430</v>
      </c>
      <c r="I6004" t="s">
        <v>616</v>
      </c>
    </row>
    <row r="6005" spans="1:12" x14ac:dyDescent="0.25">
      <c r="A6005" s="1">
        <f t="shared" si="1000"/>
        <v>45581</v>
      </c>
      <c r="B6005" s="31">
        <f t="shared" si="1005"/>
        <v>0.4513888888888889</v>
      </c>
      <c r="C6005" t="str">
        <f>'Inventory as of 12th Aug 2024'!A33</f>
        <v>BB Bread 400g</v>
      </c>
      <c r="D6005">
        <v>1</v>
      </c>
      <c r="E6005" s="5">
        <f>Table4[[#This Row],[qty]]*(VLOOKUP(Table4[[#This Row],[item_sold]],Table1[],5,FALSE))</f>
        <v>65</v>
      </c>
      <c r="F6005" s="5">
        <f>(VLOOKUP(Table4[[#This Row],[item_sold]],Table1[],4,FALSE))*Table4[[#This Row],[qty]]</f>
        <v>60</v>
      </c>
      <c r="G6005">
        <f t="shared" si="995"/>
        <v>5</v>
      </c>
      <c r="H6005" t="s">
        <v>430</v>
      </c>
      <c r="I6005" t="s">
        <v>616</v>
      </c>
    </row>
    <row r="6006" spans="1:12" x14ac:dyDescent="0.25">
      <c r="A6006" s="1">
        <f t="shared" si="1000"/>
        <v>45581</v>
      </c>
      <c r="B6006" s="31">
        <f>TIME(13,27,0)</f>
        <v>0.56041666666666667</v>
      </c>
      <c r="C6006" t="str">
        <f>'Inventory as of 12th Aug 2024'!A8</f>
        <v>eggs</v>
      </c>
      <c r="D6006">
        <v>4</v>
      </c>
      <c r="E6006" s="5">
        <f>Table4[[#This Row],[qty]]*(VLOOKUP(Table4[[#This Row],[item_sold]],Table1[],5,FALSE))</f>
        <v>80</v>
      </c>
      <c r="F6006" s="5">
        <f>(VLOOKUP(Table4[[#This Row],[item_sold]],Table1[],4,FALSE))*Table4[[#This Row],[qty]]</f>
        <v>57.333333333333336</v>
      </c>
      <c r="G6006">
        <f t="shared" si="995"/>
        <v>22.666666666666664</v>
      </c>
      <c r="H6006" t="s">
        <v>361</v>
      </c>
    </row>
    <row r="6007" spans="1:12" x14ac:dyDescent="0.25">
      <c r="A6007" s="1">
        <f t="shared" si="1000"/>
        <v>45581</v>
      </c>
      <c r="B6007" s="31">
        <f>TIME(15,12,0)</f>
        <v>0.6333333333333333</v>
      </c>
      <c r="C6007" t="str">
        <f>'Inventory as of 12th Aug 2024'!A212</f>
        <v>soda 300ml glass</v>
      </c>
      <c r="D6007">
        <v>1</v>
      </c>
      <c r="E6007" s="5">
        <f>Table4[[#This Row],[qty]]*(VLOOKUP(Table4[[#This Row],[item_sold]],Table1[],5,FALSE))</f>
        <v>40</v>
      </c>
      <c r="F6007" s="5">
        <f>(VLOOKUP(Table4[[#This Row],[item_sold]],Table1[],4,FALSE))*Table4[[#This Row],[qty]]</f>
        <v>32.5</v>
      </c>
      <c r="G6007">
        <f t="shared" si="995"/>
        <v>7.5</v>
      </c>
      <c r="H6007" t="s">
        <v>430</v>
      </c>
      <c r="I6007" t="s">
        <v>590</v>
      </c>
    </row>
    <row r="6008" spans="1:12" x14ac:dyDescent="0.25">
      <c r="A6008" s="1">
        <f t="shared" si="1000"/>
        <v>45581</v>
      </c>
      <c r="B6008" s="31">
        <f>TIME(15,29,0)</f>
        <v>0.64513888888888882</v>
      </c>
      <c r="C6008" t="str">
        <f>'Inventory as of 12th Aug 2024'!A199</f>
        <v>Kdf</v>
      </c>
      <c r="D6008">
        <v>2</v>
      </c>
      <c r="E6008" s="5">
        <f>Table4[[#This Row],[qty]]*(VLOOKUP(Table4[[#This Row],[item_sold]],Table1[],5,FALSE))</f>
        <v>20</v>
      </c>
      <c r="F6008" s="5">
        <f>(VLOOKUP(Table4[[#This Row],[item_sold]],Table1[],4,FALSE))*Table4[[#This Row],[qty]]</f>
        <v>16.666666666666668</v>
      </c>
      <c r="G6008">
        <f t="shared" si="995"/>
        <v>3.3333333333333321</v>
      </c>
      <c r="H6008" t="s">
        <v>361</v>
      </c>
      <c r="J6008" t="s">
        <v>428</v>
      </c>
      <c r="K6008">
        <v>315</v>
      </c>
      <c r="L6008" t="s">
        <v>247</v>
      </c>
    </row>
    <row r="6009" spans="1:12" x14ac:dyDescent="0.25">
      <c r="A6009" s="1">
        <f t="shared" si="1000"/>
        <v>45581</v>
      </c>
      <c r="B6009" s="31">
        <f>TIME(15,56,0)</f>
        <v>0.66388888888888886</v>
      </c>
      <c r="C6009" t="str">
        <f>'Inventory as of 12th Aug 2024'!A8</f>
        <v>eggs</v>
      </c>
      <c r="D6009">
        <v>1</v>
      </c>
      <c r="E6009" s="5">
        <f>Table4[[#This Row],[qty]]*(VLOOKUP(Table4[[#This Row],[item_sold]],Table1[],5,FALSE))</f>
        <v>20</v>
      </c>
      <c r="F6009" s="5">
        <f>(VLOOKUP(Table4[[#This Row],[item_sold]],Table1[],4,FALSE))*Table4[[#This Row],[qty]]</f>
        <v>14.333333333333334</v>
      </c>
      <c r="G6009">
        <f t="shared" si="995"/>
        <v>5.6666666666666661</v>
      </c>
      <c r="H6009" t="s">
        <v>361</v>
      </c>
    </row>
    <row r="6010" spans="1:12" x14ac:dyDescent="0.25">
      <c r="A6010" s="1">
        <f t="shared" si="1000"/>
        <v>45581</v>
      </c>
      <c r="B6010" s="31">
        <f t="shared" ref="B6010" si="1006">TIME(15,56,0)</f>
        <v>0.66388888888888886</v>
      </c>
      <c r="C6010" t="str">
        <f>'Inventory as of 12th Aug 2024'!A90</f>
        <v>Onion</v>
      </c>
      <c r="D6010">
        <v>1</v>
      </c>
      <c r="E6010" s="5">
        <f>Table4[[#This Row],[qty]]*(VLOOKUP(Table4[[#This Row],[item_sold]],Table1[],5,FALSE))</f>
        <v>10</v>
      </c>
      <c r="F6010" s="5">
        <f>(VLOOKUP(Table4[[#This Row],[item_sold]],Table1[],4,FALSE))*Table4[[#This Row],[qty]]</f>
        <v>8</v>
      </c>
      <c r="G6010">
        <f t="shared" si="995"/>
        <v>2</v>
      </c>
      <c r="H6010" t="s">
        <v>361</v>
      </c>
    </row>
    <row r="6011" spans="1:12" x14ac:dyDescent="0.25">
      <c r="A6011" s="1">
        <f t="shared" si="1000"/>
        <v>45581</v>
      </c>
      <c r="B6011" s="31">
        <f>TIME(17,0,0)</f>
        <v>0.70833333333333337</v>
      </c>
      <c r="C6011" t="str">
        <f>'Inventory as of 12th Aug 2024'!A212</f>
        <v>soda 300ml glass</v>
      </c>
      <c r="D6011">
        <v>1</v>
      </c>
      <c r="E6011" s="5">
        <f>Table4[[#This Row],[qty]]*(VLOOKUP(Table4[[#This Row],[item_sold]],Table1[],5,FALSE))</f>
        <v>40</v>
      </c>
      <c r="F6011" s="5">
        <f>(VLOOKUP(Table4[[#This Row],[item_sold]],Table1[],4,FALSE))*Table4[[#This Row],[qty]]</f>
        <v>32.5</v>
      </c>
      <c r="G6011">
        <f t="shared" si="995"/>
        <v>7.5</v>
      </c>
      <c r="H6011" t="s">
        <v>361</v>
      </c>
    </row>
    <row r="6012" spans="1:12" x14ac:dyDescent="0.25">
      <c r="A6012" s="1">
        <f t="shared" si="1000"/>
        <v>45581</v>
      </c>
      <c r="B6012" s="31">
        <f t="shared" ref="B6012" si="1007">TIME(17,0,0)</f>
        <v>0.70833333333333337</v>
      </c>
      <c r="C6012" t="str">
        <f>'Inventory as of 12th Aug 2024'!A33</f>
        <v>BB Bread 400g</v>
      </c>
      <c r="D6012">
        <v>1</v>
      </c>
      <c r="E6012" s="5">
        <f>Table4[[#This Row],[qty]]*(VLOOKUP(Table4[[#This Row],[item_sold]],Table1[],5,FALSE))</f>
        <v>65</v>
      </c>
      <c r="F6012" s="5">
        <f>(VLOOKUP(Table4[[#This Row],[item_sold]],Table1[],4,FALSE))*Table4[[#This Row],[qty]]</f>
        <v>60</v>
      </c>
      <c r="G6012">
        <f t="shared" si="995"/>
        <v>5</v>
      </c>
      <c r="H6012" t="s">
        <v>361</v>
      </c>
    </row>
    <row r="6013" spans="1:12" x14ac:dyDescent="0.25">
      <c r="A6013" s="1">
        <f t="shared" si="1000"/>
        <v>45581</v>
      </c>
      <c r="B6013" s="31">
        <f>TIME(17,27,0)</f>
        <v>0.7270833333333333</v>
      </c>
      <c r="C6013" t="str">
        <f>'Inventory as of 12th Aug 2024'!A16</f>
        <v>Mt kenya milk 500ml</v>
      </c>
      <c r="D6013">
        <v>1</v>
      </c>
      <c r="E6013" s="5">
        <f>Table4[[#This Row],[qty]]*(VLOOKUP(Table4[[#This Row],[item_sold]],Table1[],5,FALSE))</f>
        <v>65</v>
      </c>
      <c r="F6013" s="5">
        <f>(VLOOKUP(Table4[[#This Row],[item_sold]],Table1[],4,FALSE))*Table4[[#This Row],[qty]]</f>
        <v>48.333333333333336</v>
      </c>
      <c r="G6013">
        <f t="shared" si="995"/>
        <v>16.666666666666664</v>
      </c>
      <c r="H6013" t="s">
        <v>247</v>
      </c>
    </row>
    <row r="6014" spans="1:12" x14ac:dyDescent="0.25">
      <c r="A6014" s="1">
        <f t="shared" si="1000"/>
        <v>45581</v>
      </c>
      <c r="B6014" s="31">
        <f>TIME(17,33,0)</f>
        <v>0.73125000000000007</v>
      </c>
      <c r="C6014" t="str">
        <f>'Inventory as of 12th Aug 2024'!A202</f>
        <v>funtime snacks</v>
      </c>
      <c r="D6014">
        <v>1</v>
      </c>
      <c r="E6014" s="5">
        <f>Table4[[#This Row],[qty]]*(VLOOKUP(Table4[[#This Row],[item_sold]],Table1[],5,FALSE))</f>
        <v>15</v>
      </c>
      <c r="F6014" s="5">
        <f>(VLOOKUP(Table4[[#This Row],[item_sold]],Table1[],4,FALSE))*Table4[[#This Row],[qty]]</f>
        <v>9</v>
      </c>
      <c r="G6014">
        <f t="shared" si="995"/>
        <v>6</v>
      </c>
      <c r="H6014" t="s">
        <v>361</v>
      </c>
    </row>
    <row r="6015" spans="1:12" x14ac:dyDescent="0.25">
      <c r="A6015" s="1">
        <f t="shared" si="1000"/>
        <v>45581</v>
      </c>
      <c r="B6015" s="31">
        <f>TIME(19,50,0)</f>
        <v>0.82638888888888884</v>
      </c>
      <c r="C6015" t="str">
        <f>'Inventory as of 12th Aug 2024'!A138</f>
        <v>Softcare pads</v>
      </c>
      <c r="D6015">
        <v>1</v>
      </c>
      <c r="E6015" s="5">
        <f>Table4[[#This Row],[qty]]*(VLOOKUP(Table4[[#This Row],[item_sold]],Table1[],5,FALSE))</f>
        <v>85</v>
      </c>
      <c r="F6015" s="5">
        <f>(VLOOKUP(Table4[[#This Row],[item_sold]],Table1[],4,FALSE))*Table4[[#This Row],[qty]]</f>
        <v>66</v>
      </c>
      <c r="G6015">
        <f t="shared" si="995"/>
        <v>19</v>
      </c>
      <c r="H6015" t="s">
        <v>247</v>
      </c>
      <c r="J6015" t="s">
        <v>617</v>
      </c>
      <c r="K6015">
        <v>180</v>
      </c>
      <c r="L6015" t="s">
        <v>361</v>
      </c>
    </row>
    <row r="6016" spans="1:12" x14ac:dyDescent="0.25">
      <c r="A6016" s="1">
        <f t="shared" si="1000"/>
        <v>45581</v>
      </c>
      <c r="B6016" s="31">
        <f>TIME(17,44,0)</f>
        <v>0.73888888888888893</v>
      </c>
      <c r="C6016" t="str">
        <f>'Inventory as of 12th Aug 2024'!A58</f>
        <v>Safari</v>
      </c>
      <c r="D6016">
        <v>2</v>
      </c>
      <c r="E6016" s="5">
        <f>Table4[[#This Row],[qty]]*(VLOOKUP(Table4[[#This Row],[item_sold]],Table1[],5,FALSE))</f>
        <v>30</v>
      </c>
      <c r="F6016" s="5">
        <f>(VLOOKUP(Table4[[#This Row],[item_sold]],Table1[],4,FALSE))*Table4[[#This Row],[qty]]</f>
        <v>17</v>
      </c>
      <c r="G6016">
        <f t="shared" si="995"/>
        <v>13</v>
      </c>
      <c r="H6016" t="s">
        <v>361</v>
      </c>
      <c r="J6016" t="s">
        <v>616</v>
      </c>
      <c r="K6016">
        <v>175</v>
      </c>
      <c r="L6016" t="s">
        <v>361</v>
      </c>
    </row>
    <row r="6017" spans="1:9" x14ac:dyDescent="0.25">
      <c r="A6017" s="1">
        <f t="shared" si="1000"/>
        <v>45581</v>
      </c>
      <c r="B6017" s="31">
        <f t="shared" ref="B6017" si="1008">TIME(17,44,0)</f>
        <v>0.73888888888888893</v>
      </c>
      <c r="C6017" t="str">
        <f>'Inventory as of 12th Aug 2024'!A84</f>
        <v>omo 20g</v>
      </c>
      <c r="D6017">
        <v>1</v>
      </c>
      <c r="E6017" s="5">
        <f>Table4[[#This Row],[qty]]*(VLOOKUP(Table4[[#This Row],[item_sold]],Table1[],5,FALSE))</f>
        <v>15</v>
      </c>
      <c r="F6017" s="5">
        <f>(VLOOKUP(Table4[[#This Row],[item_sold]],Table1[],4,FALSE))*Table4[[#This Row],[qty]]</f>
        <v>9.1666666666666661</v>
      </c>
      <c r="G6017">
        <f t="shared" si="995"/>
        <v>5.8333333333333339</v>
      </c>
      <c r="H6017" t="s">
        <v>361</v>
      </c>
    </row>
    <row r="6018" spans="1:9" x14ac:dyDescent="0.25">
      <c r="A6018" s="1">
        <f t="shared" si="1000"/>
        <v>45581</v>
      </c>
      <c r="B6018" s="31">
        <f>TIME(19,7,0)</f>
        <v>0.79652777777777783</v>
      </c>
      <c r="C6018" t="str">
        <f>'Inventory as of 12th Aug 2024'!A33</f>
        <v>BB Bread 400g</v>
      </c>
      <c r="D6018">
        <v>1</v>
      </c>
      <c r="E6018" s="5">
        <f>Table4[[#This Row],[qty]]*(VLOOKUP(Table4[[#This Row],[item_sold]],Table1[],5,FALSE))</f>
        <v>65</v>
      </c>
      <c r="F6018" s="5">
        <f>(VLOOKUP(Table4[[#This Row],[item_sold]],Table1[],4,FALSE))*Table4[[#This Row],[qty]]</f>
        <v>60</v>
      </c>
      <c r="G6018">
        <f t="shared" si="995"/>
        <v>5</v>
      </c>
      <c r="H6018" t="s">
        <v>247</v>
      </c>
    </row>
    <row r="6019" spans="1:9" x14ac:dyDescent="0.25">
      <c r="A6019" s="1">
        <f t="shared" si="1000"/>
        <v>45581</v>
      </c>
      <c r="B6019" s="31">
        <f t="shared" ref="B6019" si="1009">TIME(19,7,0)</f>
        <v>0.79652777777777783</v>
      </c>
      <c r="C6019" t="str">
        <f>'Inventory as of 12th Aug 2024'!A193</f>
        <v>Ginger Bisquit</v>
      </c>
      <c r="D6019">
        <v>3</v>
      </c>
      <c r="E6019" s="5">
        <f>Table4[[#This Row],[qty]]*(VLOOKUP(Table4[[#This Row],[item_sold]],Table1[],5,FALSE))</f>
        <v>15</v>
      </c>
      <c r="F6019" s="5">
        <f>(VLOOKUP(Table4[[#This Row],[item_sold]],Table1[],4,FALSE))*Table4[[#This Row],[qty]]</f>
        <v>13</v>
      </c>
      <c r="G6019">
        <f t="shared" si="995"/>
        <v>2</v>
      </c>
      <c r="H6019" t="s">
        <v>247</v>
      </c>
    </row>
    <row r="6020" spans="1:9" x14ac:dyDescent="0.25">
      <c r="A6020" s="1">
        <f t="shared" si="1000"/>
        <v>45581</v>
      </c>
      <c r="B6020" s="31">
        <f>TIME(19,14,0)</f>
        <v>0.80138888888888893</v>
      </c>
      <c r="C6020" t="str">
        <f>'Inventory as of 12th Aug 2024'!A29</f>
        <v>Fahari Tea 50g</v>
      </c>
      <c r="D6020">
        <v>1</v>
      </c>
      <c r="E6020" s="5">
        <f>Table4[[#This Row],[qty]]*(VLOOKUP(Table4[[#This Row],[item_sold]],Table1[],5,FALSE))</f>
        <v>30</v>
      </c>
      <c r="F6020" s="5">
        <f>(VLOOKUP(Table4[[#This Row],[item_sold]],Table1[],4,FALSE))*Table4[[#This Row],[qty]]</f>
        <v>17.5</v>
      </c>
      <c r="G6020">
        <f t="shared" si="995"/>
        <v>12.5</v>
      </c>
      <c r="H6020" t="s">
        <v>247</v>
      </c>
    </row>
    <row r="6021" spans="1:9" x14ac:dyDescent="0.25">
      <c r="A6021" s="1">
        <f t="shared" si="1000"/>
        <v>45581</v>
      </c>
      <c r="B6021" s="31">
        <f t="shared" ref="B6021" si="1010">TIME(19,14,0)</f>
        <v>0.80138888888888893</v>
      </c>
      <c r="C6021" t="str">
        <f>'Inventory as of 12th Aug 2024'!A107</f>
        <v>Match Box</v>
      </c>
      <c r="D6021">
        <v>4</v>
      </c>
      <c r="E6021" s="5">
        <f>Table4[[#This Row],[qty]]*(VLOOKUP(Table4[[#This Row],[item_sold]],Table1[],5,FALSE))</f>
        <v>20</v>
      </c>
      <c r="F6021" s="5">
        <f>(VLOOKUP(Table4[[#This Row],[item_sold]],Table1[],4,FALSE))*Table4[[#This Row],[qty]]</f>
        <v>9.4444444444444446</v>
      </c>
      <c r="G6021">
        <f t="shared" si="995"/>
        <v>10.555555555555555</v>
      </c>
      <c r="H6021" t="s">
        <v>247</v>
      </c>
    </row>
    <row r="6022" spans="1:9" x14ac:dyDescent="0.25">
      <c r="A6022" s="1">
        <f t="shared" si="1000"/>
        <v>45581</v>
      </c>
      <c r="B6022" s="31">
        <f>TIME(19,34,0)</f>
        <v>0.81527777777777777</v>
      </c>
      <c r="C6022" t="str">
        <f>'Inventory as of 12th Aug 2024'!A43</f>
        <v>sossi</v>
      </c>
      <c r="D6022">
        <v>1</v>
      </c>
      <c r="E6022" s="5">
        <f>Table4[[#This Row],[qty]]*(VLOOKUP(Table4[[#This Row],[item_sold]],Table1[],5,FALSE))</f>
        <v>50</v>
      </c>
      <c r="F6022" s="5">
        <f>(VLOOKUP(Table4[[#This Row],[item_sold]],Table1[],4,FALSE))*Table4[[#This Row],[qty]]</f>
        <v>37.5</v>
      </c>
      <c r="G6022">
        <f t="shared" si="995"/>
        <v>12.5</v>
      </c>
      <c r="H6022" t="s">
        <v>361</v>
      </c>
    </row>
    <row r="6023" spans="1:9" x14ac:dyDescent="0.25">
      <c r="A6023" s="1">
        <f t="shared" si="1000"/>
        <v>45581</v>
      </c>
      <c r="B6023" s="31">
        <f t="shared" ref="B6023:B6024" si="1011">TIME(19,34,0)</f>
        <v>0.81527777777777777</v>
      </c>
      <c r="C6023" t="str">
        <f>'Inventory as of 12th Aug 2024'!A33</f>
        <v>BB Bread 400g</v>
      </c>
      <c r="D6023">
        <v>1</v>
      </c>
      <c r="E6023" s="5">
        <f>Table4[[#This Row],[qty]]*(VLOOKUP(Table4[[#This Row],[item_sold]],Table1[],5,FALSE))</f>
        <v>65</v>
      </c>
      <c r="F6023" s="5">
        <f>(VLOOKUP(Table4[[#This Row],[item_sold]],Table1[],4,FALSE))*Table4[[#This Row],[qty]]</f>
        <v>60</v>
      </c>
      <c r="G6023">
        <f t="shared" si="995"/>
        <v>5</v>
      </c>
      <c r="H6023" t="s">
        <v>361</v>
      </c>
    </row>
    <row r="6024" spans="1:9" x14ac:dyDescent="0.25">
      <c r="A6024" s="1">
        <f t="shared" si="1000"/>
        <v>45581</v>
      </c>
      <c r="B6024" s="31">
        <f t="shared" si="1011"/>
        <v>0.81527777777777777</v>
      </c>
      <c r="C6024" t="str">
        <f>'Inventory as of 12th Aug 2024'!A10</f>
        <v>Mt Kenya milk 200ml</v>
      </c>
      <c r="D6024">
        <v>1</v>
      </c>
      <c r="E6024" s="5">
        <f>Table4[[#This Row],[qty]]*(VLOOKUP(Table4[[#This Row],[item_sold]],Table1[],5,FALSE))</f>
        <v>35</v>
      </c>
      <c r="F6024" s="5">
        <f>(VLOOKUP(Table4[[#This Row],[item_sold]],Table1[],4,FALSE))*Table4[[#This Row],[qty]]</f>
        <v>24.285714285714285</v>
      </c>
      <c r="G6024">
        <f t="shared" si="995"/>
        <v>10.714285714285715</v>
      </c>
      <c r="H6024" t="s">
        <v>361</v>
      </c>
    </row>
    <row r="6025" spans="1:9" x14ac:dyDescent="0.25">
      <c r="A6025" s="1">
        <f t="shared" si="1000"/>
        <v>45581</v>
      </c>
      <c r="B6025" s="31">
        <f>TIME(19,56,0)</f>
        <v>0.8305555555555556</v>
      </c>
      <c r="C6025" t="str">
        <f>'Inventory as of 12th Aug 2024'!A58</f>
        <v>Safari</v>
      </c>
      <c r="D6025">
        <v>1</v>
      </c>
      <c r="E6025" s="5">
        <f>Table4[[#This Row],[qty]]*(VLOOKUP(Table4[[#This Row],[item_sold]],Table1[],5,FALSE))</f>
        <v>15</v>
      </c>
      <c r="F6025" s="5">
        <f>(VLOOKUP(Table4[[#This Row],[item_sold]],Table1[],4,FALSE))*Table4[[#This Row],[qty]]</f>
        <v>8.5</v>
      </c>
      <c r="G6025">
        <f t="shared" si="995"/>
        <v>6.5</v>
      </c>
      <c r="H6025" t="s">
        <v>430</v>
      </c>
      <c r="I6025" t="s">
        <v>447</v>
      </c>
    </row>
    <row r="6026" spans="1:9" x14ac:dyDescent="0.25">
      <c r="A6026" s="1">
        <f t="shared" si="1000"/>
        <v>45581</v>
      </c>
      <c r="B6026" s="31">
        <f t="shared" ref="B6026:B6027" si="1012">TIME(19,56,0)</f>
        <v>0.8305555555555556</v>
      </c>
      <c r="C6026" t="str">
        <f>'Inventory as of 12th Aug 2024'!A266</f>
        <v>Zenta Bar Soap</v>
      </c>
      <c r="D6026">
        <v>1</v>
      </c>
      <c r="E6026" s="5">
        <f>Table4[[#This Row],[qty]]*(VLOOKUP(Table4[[#This Row],[item_sold]],Table1[],5,FALSE))</f>
        <v>250</v>
      </c>
      <c r="F6026" s="5">
        <f>(VLOOKUP(Table4[[#This Row],[item_sold]],Table1[],4,FALSE))*Table4[[#This Row],[qty]]</f>
        <v>160</v>
      </c>
      <c r="G6026">
        <f t="shared" si="995"/>
        <v>90</v>
      </c>
      <c r="H6026" t="s">
        <v>361</v>
      </c>
    </row>
    <row r="6027" spans="1:9" x14ac:dyDescent="0.25">
      <c r="A6027" s="1">
        <f t="shared" si="1000"/>
        <v>45581</v>
      </c>
      <c r="B6027" s="31">
        <f t="shared" si="1012"/>
        <v>0.8305555555555556</v>
      </c>
      <c r="C6027" t="str">
        <f>'Inventory as of 12th Aug 2024'!A58</f>
        <v>Safari</v>
      </c>
      <c r="D6027">
        <v>2</v>
      </c>
      <c r="E6027" s="5">
        <f>Table4[[#This Row],[qty]]*(VLOOKUP(Table4[[#This Row],[item_sold]],Table1[],5,FALSE))</f>
        <v>30</v>
      </c>
      <c r="F6027" s="5">
        <f>(VLOOKUP(Table4[[#This Row],[item_sold]],Table1[],4,FALSE))*Table4[[#This Row],[qty]]</f>
        <v>17</v>
      </c>
      <c r="G6027">
        <f t="shared" si="995"/>
        <v>13</v>
      </c>
      <c r="H6027" t="s">
        <v>361</v>
      </c>
    </row>
    <row r="6028" spans="1:9" x14ac:dyDescent="0.25">
      <c r="A6028" s="1">
        <f t="shared" si="1000"/>
        <v>45581</v>
      </c>
      <c r="B6028" s="31">
        <f>TIME(20,20,0)</f>
        <v>0.84722222222222221</v>
      </c>
      <c r="C6028" t="str">
        <f>'Inventory as of 12th Aug 2024'!A199</f>
        <v>Kdf</v>
      </c>
      <c r="D6028">
        <v>6</v>
      </c>
      <c r="E6028" s="5">
        <f>Table4[[#This Row],[qty]]*(VLOOKUP(Table4[[#This Row],[item_sold]],Table1[],5,FALSE))</f>
        <v>60</v>
      </c>
      <c r="F6028" s="5">
        <f>(VLOOKUP(Table4[[#This Row],[item_sold]],Table1[],4,FALSE))*Table4[[#This Row],[qty]]</f>
        <v>50</v>
      </c>
      <c r="G6028">
        <f t="shared" si="995"/>
        <v>10</v>
      </c>
      <c r="H6028" t="s">
        <v>361</v>
      </c>
    </row>
    <row r="6029" spans="1:9" x14ac:dyDescent="0.25">
      <c r="A6029" s="1">
        <f t="shared" si="1000"/>
        <v>45581</v>
      </c>
      <c r="B6029" s="31">
        <f t="shared" ref="B6029:B6031" si="1013">TIME(20,20,0)</f>
        <v>0.84722222222222221</v>
      </c>
      <c r="C6029" t="str">
        <f>'Inventory as of 12th Aug 2024'!A33</f>
        <v>BB Bread 400g</v>
      </c>
      <c r="D6029">
        <v>1</v>
      </c>
      <c r="E6029" s="5">
        <f>Table4[[#This Row],[qty]]*(VLOOKUP(Table4[[#This Row],[item_sold]],Table1[],5,FALSE))</f>
        <v>65</v>
      </c>
      <c r="F6029" s="5">
        <f>(VLOOKUP(Table4[[#This Row],[item_sold]],Table1[],4,FALSE))*Table4[[#This Row],[qty]]</f>
        <v>60</v>
      </c>
      <c r="G6029">
        <f t="shared" si="995"/>
        <v>5</v>
      </c>
      <c r="H6029" t="s">
        <v>361</v>
      </c>
    </row>
    <row r="6030" spans="1:9" x14ac:dyDescent="0.25">
      <c r="A6030" s="1">
        <f t="shared" si="1000"/>
        <v>45581</v>
      </c>
      <c r="B6030" s="31">
        <f t="shared" si="1013"/>
        <v>0.84722222222222221</v>
      </c>
      <c r="C6030" t="str">
        <f>'Inventory as of 12th Aug 2024'!A192</f>
        <v>Lemon Bisquit</v>
      </c>
      <c r="D6030">
        <v>3</v>
      </c>
      <c r="E6030" s="5">
        <f>Table4[[#This Row],[qty]]*(VLOOKUP(Table4[[#This Row],[item_sold]],Table1[],5,FALSE))</f>
        <v>15</v>
      </c>
      <c r="F6030" s="5">
        <f>(VLOOKUP(Table4[[#This Row],[item_sold]],Table1[],4,FALSE))*Table4[[#This Row],[qty]]</f>
        <v>13</v>
      </c>
      <c r="G6030">
        <f t="shared" si="995"/>
        <v>2</v>
      </c>
      <c r="H6030" t="s">
        <v>361</v>
      </c>
    </row>
    <row r="6031" spans="1:9" x14ac:dyDescent="0.25">
      <c r="A6031" s="1">
        <f t="shared" si="1000"/>
        <v>45581</v>
      </c>
      <c r="B6031" s="31">
        <f t="shared" si="1013"/>
        <v>0.84722222222222221</v>
      </c>
      <c r="C6031" t="str">
        <f>'Inventory as of 12th Aug 2024'!A16</f>
        <v>Mt kenya milk 500ml</v>
      </c>
      <c r="D6031">
        <v>1</v>
      </c>
      <c r="E6031" s="5">
        <f>Table4[[#This Row],[qty]]*(VLOOKUP(Table4[[#This Row],[item_sold]],Table1[],5,FALSE))</f>
        <v>65</v>
      </c>
      <c r="F6031" s="5">
        <f>(VLOOKUP(Table4[[#This Row],[item_sold]],Table1[],4,FALSE))*Table4[[#This Row],[qty]]</f>
        <v>48.333333333333336</v>
      </c>
      <c r="G6031">
        <f t="shared" si="995"/>
        <v>16.666666666666664</v>
      </c>
      <c r="H6031" t="s">
        <v>430</v>
      </c>
      <c r="I6031" t="s">
        <v>455</v>
      </c>
    </row>
    <row r="6032" spans="1:9" x14ac:dyDescent="0.25">
      <c r="A6032" s="1">
        <f t="shared" si="1000"/>
        <v>45581</v>
      </c>
      <c r="B6032" s="31">
        <f>TIME(20,26,0)</f>
        <v>0.85138888888888886</v>
      </c>
      <c r="C6032" t="str">
        <f>'Inventory as of 12th Aug 2024'!A206</f>
        <v>soda 500ml plastic</v>
      </c>
      <c r="D6032">
        <v>1</v>
      </c>
      <c r="E6032" s="5">
        <f>Table4[[#This Row],[qty]]*(VLOOKUP(Table4[[#This Row],[item_sold]],Table1[],5,FALSE))</f>
        <v>70</v>
      </c>
      <c r="F6032" s="5">
        <f>(VLOOKUP(Table4[[#This Row],[item_sold]],Table1[],4,FALSE))*Table4[[#This Row],[qty]]</f>
        <v>60.416666666666664</v>
      </c>
      <c r="G6032">
        <f t="shared" si="995"/>
        <v>9.5833333333333357</v>
      </c>
      <c r="H6032" t="s">
        <v>247</v>
      </c>
    </row>
    <row r="6033" spans="1:12" x14ac:dyDescent="0.25">
      <c r="A6033" s="1">
        <f t="shared" si="1000"/>
        <v>45581</v>
      </c>
      <c r="B6033" s="31">
        <f t="shared" ref="B6033:B6037" si="1014">TIME(20,26,0)</f>
        <v>0.85138888888888886</v>
      </c>
      <c r="C6033" t="str">
        <f>'Inventory as of 12th Aug 2024'!A9</f>
        <v>Kinangop Fresh Milk 500ml</v>
      </c>
      <c r="D6033">
        <v>3</v>
      </c>
      <c r="E6033" s="5">
        <f>Table4[[#This Row],[qty]]*(VLOOKUP(Table4[[#This Row],[item_sold]],Table1[],5,FALSE))</f>
        <v>180</v>
      </c>
      <c r="F6033" s="5">
        <f>(VLOOKUP(Table4[[#This Row],[item_sold]],Table1[],4,FALSE))*Table4[[#This Row],[qty]]</f>
        <v>165</v>
      </c>
      <c r="G6033">
        <f t="shared" si="995"/>
        <v>15</v>
      </c>
      <c r="H6033" t="s">
        <v>430</v>
      </c>
      <c r="I6033" t="s">
        <v>456</v>
      </c>
    </row>
    <row r="6034" spans="1:12" x14ac:dyDescent="0.25">
      <c r="A6034" s="1">
        <f t="shared" si="1000"/>
        <v>45581</v>
      </c>
      <c r="B6034" s="31">
        <f t="shared" si="1014"/>
        <v>0.85138888888888886</v>
      </c>
      <c r="C6034" t="str">
        <f>'Inventory as of 12th Aug 2024'!A131</f>
        <v>Zycet (cetrizine)</v>
      </c>
      <c r="D6034">
        <v>1</v>
      </c>
      <c r="E6034" s="5">
        <f>Table4[[#This Row],[qty]]*(VLOOKUP(Table4[[#This Row],[item_sold]],Table1[],5,FALSE))</f>
        <v>15</v>
      </c>
      <c r="F6034" s="5">
        <f>(VLOOKUP(Table4[[#This Row],[item_sold]],Table1[],4,FALSE))*Table4[[#This Row],[qty]]</f>
        <v>8</v>
      </c>
      <c r="G6034">
        <f t="shared" si="995"/>
        <v>7</v>
      </c>
      <c r="H6034" t="s">
        <v>247</v>
      </c>
    </row>
    <row r="6035" spans="1:12" x14ac:dyDescent="0.25">
      <c r="A6035" s="1">
        <f t="shared" si="1000"/>
        <v>45581</v>
      </c>
      <c r="B6035" s="31">
        <f t="shared" si="1014"/>
        <v>0.85138888888888886</v>
      </c>
      <c r="C6035" t="str">
        <f>'Inventory as of 12th Aug 2024'!A16</f>
        <v>Mt kenya milk 500ml</v>
      </c>
      <c r="D6035">
        <v>1</v>
      </c>
      <c r="E6035" s="5">
        <f>Table4[[#This Row],[qty]]*(VLOOKUP(Table4[[#This Row],[item_sold]],Table1[],5,FALSE))</f>
        <v>65</v>
      </c>
      <c r="F6035" s="5">
        <f>(VLOOKUP(Table4[[#This Row],[item_sold]],Table1[],4,FALSE))*Table4[[#This Row],[qty]]</f>
        <v>48.333333333333336</v>
      </c>
      <c r="G6035">
        <f t="shared" si="995"/>
        <v>16.666666666666664</v>
      </c>
      <c r="H6035" t="s">
        <v>247</v>
      </c>
    </row>
    <row r="6036" spans="1:12" x14ac:dyDescent="0.25">
      <c r="A6036" s="1">
        <f t="shared" si="1000"/>
        <v>45581</v>
      </c>
      <c r="B6036" s="31">
        <f t="shared" si="1014"/>
        <v>0.85138888888888886</v>
      </c>
      <c r="C6036" t="str">
        <f>'Inventory as of 12th Aug 2024'!A58</f>
        <v>Safari</v>
      </c>
      <c r="D6036">
        <v>1</v>
      </c>
      <c r="E6036" s="5">
        <f>Table4[[#This Row],[qty]]*(VLOOKUP(Table4[[#This Row],[item_sold]],Table1[],5,FALSE))</f>
        <v>15</v>
      </c>
      <c r="F6036" s="5">
        <f>(VLOOKUP(Table4[[#This Row],[item_sold]],Table1[],4,FALSE))*Table4[[#This Row],[qty]]</f>
        <v>8.5</v>
      </c>
      <c r="G6036">
        <f t="shared" ref="G6036:G6099" si="1015">E6036-F6036</f>
        <v>6.5</v>
      </c>
      <c r="H6036" t="s">
        <v>247</v>
      </c>
      <c r="J6036" t="s">
        <v>447</v>
      </c>
      <c r="K6036">
        <v>45</v>
      </c>
      <c r="L6036" t="s">
        <v>247</v>
      </c>
    </row>
    <row r="6037" spans="1:12" x14ac:dyDescent="0.25">
      <c r="A6037" s="1">
        <f t="shared" si="1000"/>
        <v>45581</v>
      </c>
      <c r="B6037" s="31">
        <f t="shared" si="1014"/>
        <v>0.85138888888888886</v>
      </c>
      <c r="C6037" t="str">
        <f>'Inventory as of 12th Aug 2024'!A75</f>
        <v>Cooking Oil Measured</v>
      </c>
      <c r="D6037">
        <v>0.25</v>
      </c>
      <c r="E6037" s="5">
        <f>Table4[[#This Row],[qty]]*(VLOOKUP(Table4[[#This Row],[item_sold]],Table1[],5,FALSE))</f>
        <v>70</v>
      </c>
      <c r="F6037" s="5">
        <f>(VLOOKUP(Table4[[#This Row],[item_sold]],Table1[],4,FALSE))*Table4[[#This Row],[qty]]</f>
        <v>50</v>
      </c>
      <c r="G6037">
        <f t="shared" si="1015"/>
        <v>20</v>
      </c>
      <c r="H6037" t="s">
        <v>430</v>
      </c>
      <c r="I6037" t="s">
        <v>452</v>
      </c>
    </row>
    <row r="6038" spans="1:12" x14ac:dyDescent="0.25">
      <c r="A6038" s="1">
        <f>DATE(2024,10,17)</f>
        <v>45582</v>
      </c>
      <c r="B6038" s="31">
        <f>TIME(7,45,0)</f>
        <v>0.32291666666666669</v>
      </c>
      <c r="C6038" t="str">
        <f>'Inventory as of 12th Aug 2024'!A58</f>
        <v>Safari</v>
      </c>
      <c r="D6038">
        <v>2</v>
      </c>
      <c r="E6038" s="5">
        <f>Table4[[#This Row],[qty]]*(VLOOKUP(Table4[[#This Row],[item_sold]],Table1[],5,FALSE))</f>
        <v>30</v>
      </c>
      <c r="F6038" s="5">
        <f>(VLOOKUP(Table4[[#This Row],[item_sold]],Table1[],4,FALSE))*Table4[[#This Row],[qty]]</f>
        <v>17</v>
      </c>
      <c r="G6038">
        <f t="shared" si="1015"/>
        <v>13</v>
      </c>
      <c r="H6038" t="s">
        <v>361</v>
      </c>
    </row>
    <row r="6039" spans="1:12" x14ac:dyDescent="0.25">
      <c r="A6039" s="1">
        <f t="shared" ref="A6039:A6085" si="1016">DATE(2024,10,17)</f>
        <v>45582</v>
      </c>
      <c r="B6039" s="31">
        <f t="shared" ref="B6039:B6040" si="1017">TIME(7,45,0)</f>
        <v>0.32291666666666669</v>
      </c>
      <c r="C6039" t="str">
        <f>'Inventory as of 12th Aug 2024'!A10</f>
        <v>Mt Kenya milk 200ml</v>
      </c>
      <c r="D6039">
        <v>1</v>
      </c>
      <c r="E6039" s="5">
        <f>Table4[[#This Row],[qty]]*(VLOOKUP(Table4[[#This Row],[item_sold]],Table1[],5,FALSE))</f>
        <v>35</v>
      </c>
      <c r="F6039" s="5">
        <f>(VLOOKUP(Table4[[#This Row],[item_sold]],Table1[],4,FALSE))*Table4[[#This Row],[qty]]</f>
        <v>24.285714285714285</v>
      </c>
      <c r="G6039">
        <f t="shared" si="1015"/>
        <v>10.714285714285715</v>
      </c>
      <c r="H6039" t="s">
        <v>430</v>
      </c>
      <c r="I6039" t="s">
        <v>391</v>
      </c>
    </row>
    <row r="6040" spans="1:12" x14ac:dyDescent="0.25">
      <c r="A6040" s="1">
        <f t="shared" si="1016"/>
        <v>45582</v>
      </c>
      <c r="B6040" s="31">
        <f t="shared" si="1017"/>
        <v>0.32291666666666669</v>
      </c>
      <c r="C6040" t="str">
        <f>'Inventory as of 12th Aug 2024'!A199</f>
        <v>Kdf</v>
      </c>
      <c r="D6040">
        <v>3</v>
      </c>
      <c r="E6040" s="5">
        <f>Table4[[#This Row],[qty]]*(VLOOKUP(Table4[[#This Row],[item_sold]],Table1[],5,FALSE))</f>
        <v>30</v>
      </c>
      <c r="F6040" s="5">
        <f>(VLOOKUP(Table4[[#This Row],[item_sold]],Table1[],4,FALSE))*Table4[[#This Row],[qty]]</f>
        <v>25</v>
      </c>
      <c r="G6040">
        <f t="shared" si="1015"/>
        <v>5</v>
      </c>
      <c r="H6040" t="s">
        <v>430</v>
      </c>
      <c r="I6040" t="s">
        <v>391</v>
      </c>
    </row>
    <row r="6041" spans="1:12" x14ac:dyDescent="0.25">
      <c r="A6041" s="1">
        <f t="shared" si="1016"/>
        <v>45582</v>
      </c>
      <c r="B6041" s="31">
        <f>TIME(7,47,0)</f>
        <v>0.32430555555555557</v>
      </c>
      <c r="C6041" t="str">
        <f>'Inventory as of 12th Aug 2024'!A58</f>
        <v>Safari</v>
      </c>
      <c r="D6041">
        <v>1</v>
      </c>
      <c r="E6041" s="5">
        <f>Table4[[#This Row],[qty]]*(VLOOKUP(Table4[[#This Row],[item_sold]],Table1[],5,FALSE))</f>
        <v>15</v>
      </c>
      <c r="F6041" s="5">
        <f>(VLOOKUP(Table4[[#This Row],[item_sold]],Table1[],4,FALSE))*Table4[[#This Row],[qty]]</f>
        <v>8.5</v>
      </c>
      <c r="G6041">
        <f t="shared" si="1015"/>
        <v>6.5</v>
      </c>
      <c r="H6041" s="25" t="s">
        <v>402</v>
      </c>
    </row>
    <row r="6042" spans="1:12" x14ac:dyDescent="0.25">
      <c r="A6042" s="1">
        <f t="shared" si="1016"/>
        <v>45582</v>
      </c>
      <c r="B6042" s="31">
        <f>TIME(8,38,0)</f>
        <v>0.35972222222222222</v>
      </c>
      <c r="C6042" t="str">
        <f>'Inventory as of 12th Aug 2024'!A9</f>
        <v>Kinangop Fresh Milk 500ml</v>
      </c>
      <c r="D6042">
        <v>2</v>
      </c>
      <c r="E6042" s="5">
        <f>Table4[[#This Row],[qty]]*(VLOOKUP(Table4[[#This Row],[item_sold]],Table1[],5,FALSE))</f>
        <v>120</v>
      </c>
      <c r="F6042" s="5">
        <f>(VLOOKUP(Table4[[#This Row],[item_sold]],Table1[],4,FALSE))*Table4[[#This Row],[qty]]</f>
        <v>110</v>
      </c>
      <c r="G6042">
        <f t="shared" si="1015"/>
        <v>10</v>
      </c>
      <c r="H6042" t="s">
        <v>247</v>
      </c>
    </row>
    <row r="6043" spans="1:12" x14ac:dyDescent="0.25">
      <c r="A6043" s="1">
        <f t="shared" si="1016"/>
        <v>45582</v>
      </c>
      <c r="B6043" s="31">
        <f t="shared" ref="B6043" si="1018">TIME(8,38,0)</f>
        <v>0.35972222222222222</v>
      </c>
      <c r="C6043" t="str">
        <f>'Inventory as of 12th Aug 2024'!A7</f>
        <v>Airtel 50 Credit</v>
      </c>
      <c r="D6043">
        <v>1</v>
      </c>
      <c r="E6043" s="5">
        <f>Table4[[#This Row],[qty]]*(VLOOKUP(Table4[[#This Row],[item_sold]],Table1[],5,FALSE))</f>
        <v>50</v>
      </c>
      <c r="F6043" s="5">
        <f>(VLOOKUP(Table4[[#This Row],[item_sold]],Table1[],4,FALSE))*Table4[[#This Row],[qty]]</f>
        <v>47</v>
      </c>
      <c r="G6043">
        <f t="shared" si="1015"/>
        <v>3</v>
      </c>
      <c r="H6043" t="s">
        <v>247</v>
      </c>
    </row>
    <row r="6044" spans="1:12" x14ac:dyDescent="0.25">
      <c r="A6044" s="1">
        <f t="shared" si="1016"/>
        <v>45582</v>
      </c>
      <c r="B6044" s="31">
        <f>TIME(8,59,0)</f>
        <v>0.3743055555555555</v>
      </c>
      <c r="C6044" t="str">
        <f>'Inventory as of 12th Aug 2024'!A198</f>
        <v>Mandazi</v>
      </c>
      <c r="D6044">
        <v>3</v>
      </c>
      <c r="E6044" s="5">
        <f>Table4[[#This Row],[qty]]*(VLOOKUP(Table4[[#This Row],[item_sold]],Table1[],5,FALSE))</f>
        <v>15</v>
      </c>
      <c r="F6044" s="5">
        <f>(VLOOKUP(Table4[[#This Row],[item_sold]],Table1[],4,FALSE))*Table4[[#This Row],[qty]]</f>
        <v>12.5</v>
      </c>
      <c r="G6044">
        <f t="shared" si="1015"/>
        <v>2.5</v>
      </c>
      <c r="H6044" t="s">
        <v>361</v>
      </c>
      <c r="J6044" t="s">
        <v>385</v>
      </c>
      <c r="K6044">
        <v>760</v>
      </c>
      <c r="L6044" t="s">
        <v>361</v>
      </c>
    </row>
    <row r="6045" spans="1:12" x14ac:dyDescent="0.25">
      <c r="A6045" s="1">
        <f t="shared" si="1016"/>
        <v>45582</v>
      </c>
      <c r="B6045" s="31">
        <f>TIME(9,36,0)</f>
        <v>0.39999999999999997</v>
      </c>
      <c r="C6045" t="str">
        <f>'Inventory as of 12th Aug 2024'!A58</f>
        <v>Safari</v>
      </c>
      <c r="D6045">
        <v>1</v>
      </c>
      <c r="E6045" s="5">
        <f>Table4[[#This Row],[qty]]*(VLOOKUP(Table4[[#This Row],[item_sold]],Table1[],5,FALSE))</f>
        <v>15</v>
      </c>
      <c r="F6045" s="5">
        <f>(VLOOKUP(Table4[[#This Row],[item_sold]],Table1[],4,FALSE))*Table4[[#This Row],[qty]]</f>
        <v>8.5</v>
      </c>
      <c r="G6045">
        <f t="shared" si="1015"/>
        <v>6.5</v>
      </c>
      <c r="H6045" t="s">
        <v>247</v>
      </c>
    </row>
    <row r="6046" spans="1:12" x14ac:dyDescent="0.25">
      <c r="A6046" s="1">
        <f t="shared" si="1016"/>
        <v>45582</v>
      </c>
      <c r="B6046" s="31">
        <f>TIME(9,49,0)</f>
        <v>0.40902777777777777</v>
      </c>
      <c r="C6046" t="str">
        <f>'Inventory as of 12th Aug 2024'!A133</f>
        <v>Medium Colgate Toothbrush</v>
      </c>
      <c r="D6046">
        <v>1</v>
      </c>
      <c r="E6046" s="5">
        <f>Table4[[#This Row],[qty]]*(VLOOKUP(Table4[[#This Row],[item_sold]],Table1[],5,FALSE))</f>
        <v>40</v>
      </c>
      <c r="F6046" s="5">
        <f>(VLOOKUP(Table4[[#This Row],[item_sold]],Table1[],4,FALSE))*Table4[[#This Row],[qty]]</f>
        <v>25</v>
      </c>
      <c r="G6046">
        <f t="shared" si="1015"/>
        <v>15</v>
      </c>
      <c r="H6046" t="s">
        <v>247</v>
      </c>
    </row>
    <row r="6047" spans="1:12" x14ac:dyDescent="0.25">
      <c r="A6047" s="1">
        <f t="shared" si="1016"/>
        <v>45582</v>
      </c>
      <c r="B6047" s="31">
        <f>TIME(9,56,0)</f>
        <v>0.41388888888888892</v>
      </c>
      <c r="C6047" t="str">
        <f>'Inventory as of 12th Aug 2024'!A33</f>
        <v>BB Bread 400g</v>
      </c>
      <c r="D6047">
        <v>1</v>
      </c>
      <c r="E6047" s="5">
        <f>Table4[[#This Row],[qty]]*(VLOOKUP(Table4[[#This Row],[item_sold]],Table1[],5,FALSE))</f>
        <v>65</v>
      </c>
      <c r="F6047" s="5">
        <f>(VLOOKUP(Table4[[#This Row],[item_sold]],Table1[],4,FALSE))*Table4[[#This Row],[qty]]</f>
        <v>60</v>
      </c>
      <c r="G6047">
        <f t="shared" si="1015"/>
        <v>5</v>
      </c>
      <c r="H6047" t="s">
        <v>361</v>
      </c>
    </row>
    <row r="6048" spans="1:12" x14ac:dyDescent="0.25">
      <c r="A6048" s="1">
        <f t="shared" si="1016"/>
        <v>45582</v>
      </c>
      <c r="B6048" s="31">
        <f>TIME(11,4,0)</f>
        <v>0.46111111111111108</v>
      </c>
      <c r="C6048" t="str">
        <f>'Inventory as of 12th Aug 2024'!A5</f>
        <v>Airtel 20 Credit</v>
      </c>
      <c r="D6048">
        <v>1</v>
      </c>
      <c r="E6048" s="5">
        <f>Table4[[#This Row],[qty]]*(VLOOKUP(Table4[[#This Row],[item_sold]],Table1[],5,FALSE))</f>
        <v>20</v>
      </c>
      <c r="F6048" s="5">
        <f>(VLOOKUP(Table4[[#This Row],[item_sold]],Table1[],4,FALSE))*Table4[[#This Row],[qty]]</f>
        <v>18</v>
      </c>
      <c r="G6048">
        <f t="shared" si="1015"/>
        <v>2</v>
      </c>
      <c r="H6048" t="s">
        <v>247</v>
      </c>
    </row>
    <row r="6049" spans="1:9" x14ac:dyDescent="0.25">
      <c r="A6049" s="1">
        <f t="shared" si="1016"/>
        <v>45582</v>
      </c>
      <c r="B6049" s="31">
        <f t="shared" ref="B6049:B6053" si="1019">TIME(11,4,0)</f>
        <v>0.46111111111111108</v>
      </c>
      <c r="C6049" t="str">
        <f>'Inventory as of 12th Aug 2024'!A87</f>
        <v>Menengai Bar 1kg</v>
      </c>
      <c r="D6049">
        <v>0.2</v>
      </c>
      <c r="E6049" s="5">
        <f>Table4[[#This Row],[qty]]*(VLOOKUP(Table4[[#This Row],[item_sold]],Table1[],5,FALSE))</f>
        <v>50</v>
      </c>
      <c r="F6049" s="5">
        <f>(VLOOKUP(Table4[[#This Row],[item_sold]],Table1[],4,FALSE))*Table4[[#This Row],[qty]]</f>
        <v>38</v>
      </c>
      <c r="G6049">
        <f t="shared" si="1015"/>
        <v>12</v>
      </c>
      <c r="H6049" t="s">
        <v>247</v>
      </c>
    </row>
    <row r="6050" spans="1:9" x14ac:dyDescent="0.25">
      <c r="A6050" s="1">
        <f t="shared" si="1016"/>
        <v>45582</v>
      </c>
      <c r="B6050" s="31">
        <f t="shared" si="1019"/>
        <v>0.46111111111111108</v>
      </c>
      <c r="C6050" t="str">
        <f>'Inventory as of 12th Aug 2024'!A266</f>
        <v>Zenta Bar Soap</v>
      </c>
      <c r="D6050">
        <v>0.2</v>
      </c>
      <c r="E6050" s="5">
        <f>Table4[[#This Row],[qty]]*(VLOOKUP(Table4[[#This Row],[item_sold]],Table1[],5,FALSE))</f>
        <v>50</v>
      </c>
      <c r="F6050" s="5">
        <f>(VLOOKUP(Table4[[#This Row],[item_sold]],Table1[],4,FALSE))*Table4[[#This Row],[qty]]</f>
        <v>32</v>
      </c>
      <c r="G6050">
        <f t="shared" si="1015"/>
        <v>18</v>
      </c>
      <c r="H6050" t="s">
        <v>247</v>
      </c>
    </row>
    <row r="6051" spans="1:9" x14ac:dyDescent="0.25">
      <c r="A6051" s="1">
        <f t="shared" si="1016"/>
        <v>45582</v>
      </c>
      <c r="B6051" s="31">
        <f t="shared" si="1019"/>
        <v>0.46111111111111108</v>
      </c>
      <c r="C6051" t="str">
        <f>'Inventory as of 12th Aug 2024'!A9</f>
        <v>Kinangop Fresh Milk 500ml</v>
      </c>
      <c r="D6051">
        <v>3</v>
      </c>
      <c r="E6051" s="5">
        <f>Table4[[#This Row],[qty]]*(VLOOKUP(Table4[[#This Row],[item_sold]],Table1[],5,FALSE))</f>
        <v>180</v>
      </c>
      <c r="F6051" s="5">
        <f>(VLOOKUP(Table4[[#This Row],[item_sold]],Table1[],4,FALSE))*Table4[[#This Row],[qty]]</f>
        <v>165</v>
      </c>
      <c r="G6051">
        <f t="shared" si="1015"/>
        <v>15</v>
      </c>
      <c r="H6051" t="s">
        <v>247</v>
      </c>
    </row>
    <row r="6052" spans="1:9" x14ac:dyDescent="0.25">
      <c r="A6052" s="1">
        <f t="shared" si="1016"/>
        <v>45582</v>
      </c>
      <c r="B6052" s="31">
        <f t="shared" si="1019"/>
        <v>0.46111111111111108</v>
      </c>
      <c r="C6052" t="str">
        <f>'Inventory as of 12th Aug 2024'!A239</f>
        <v>Gumballs</v>
      </c>
      <c r="D6052">
        <v>1</v>
      </c>
      <c r="E6052" s="5">
        <f>Table4[[#This Row],[qty]]*(VLOOKUP(Table4[[#This Row],[item_sold]],Table1[],5,FALSE))</f>
        <v>1</v>
      </c>
      <c r="F6052" s="5">
        <f>(VLOOKUP(Table4[[#This Row],[item_sold]],Table1[],4,FALSE))*Table4[[#This Row],[qty]]</f>
        <v>0.7</v>
      </c>
      <c r="G6052">
        <f t="shared" si="1015"/>
        <v>0.30000000000000004</v>
      </c>
      <c r="H6052" t="s">
        <v>247</v>
      </c>
    </row>
    <row r="6053" spans="1:9" x14ac:dyDescent="0.25">
      <c r="A6053" s="1">
        <f t="shared" si="1016"/>
        <v>45582</v>
      </c>
      <c r="B6053" s="31">
        <f t="shared" si="1019"/>
        <v>0.46111111111111108</v>
      </c>
      <c r="C6053" t="str">
        <f>'Inventory as of 12th Aug 2024'!A61</f>
        <v>kensalt 500g</v>
      </c>
      <c r="D6053">
        <v>1</v>
      </c>
      <c r="E6053" s="5">
        <f>Table4[[#This Row],[qty]]*(VLOOKUP(Table4[[#This Row],[item_sold]],Table1[],5,FALSE))</f>
        <v>25</v>
      </c>
      <c r="F6053" s="5">
        <f>(VLOOKUP(Table4[[#This Row],[item_sold]],Table1[],4,FALSE))*Table4[[#This Row],[qty]]</f>
        <v>14</v>
      </c>
      <c r="G6053">
        <f t="shared" si="1015"/>
        <v>11</v>
      </c>
      <c r="H6053" t="s">
        <v>247</v>
      </c>
    </row>
    <row r="6054" spans="1:9" x14ac:dyDescent="0.25">
      <c r="A6054" s="1">
        <f t="shared" si="1016"/>
        <v>45582</v>
      </c>
      <c r="B6054" s="31">
        <f>TIME(11,41,0)</f>
        <v>0.48680555555555555</v>
      </c>
      <c r="C6054" t="str">
        <f>'Inventory as of 12th Aug 2024'!A9</f>
        <v>Kinangop Fresh Milk 500ml</v>
      </c>
      <c r="D6054">
        <v>1</v>
      </c>
      <c r="E6054" s="5">
        <f>Table4[[#This Row],[qty]]*(VLOOKUP(Table4[[#This Row],[item_sold]],Table1[],5,FALSE))</f>
        <v>60</v>
      </c>
      <c r="F6054" s="5">
        <f>(VLOOKUP(Table4[[#This Row],[item_sold]],Table1[],4,FALSE))*Table4[[#This Row],[qty]]</f>
        <v>55</v>
      </c>
      <c r="G6054">
        <f t="shared" si="1015"/>
        <v>5</v>
      </c>
      <c r="H6054" t="s">
        <v>247</v>
      </c>
    </row>
    <row r="6055" spans="1:9" x14ac:dyDescent="0.25">
      <c r="A6055" s="1">
        <f t="shared" si="1016"/>
        <v>45582</v>
      </c>
      <c r="B6055" s="31">
        <f t="shared" ref="B6055" si="1020">TIME(11,41,0)</f>
        <v>0.48680555555555555</v>
      </c>
      <c r="C6055" t="str">
        <f>'Inventory as of 12th Aug 2024'!A5</f>
        <v>Airtel 20 Credit</v>
      </c>
      <c r="D6055">
        <v>2</v>
      </c>
      <c r="E6055" s="5">
        <f>Table4[[#This Row],[qty]]*(VLOOKUP(Table4[[#This Row],[item_sold]],Table1[],5,FALSE))</f>
        <v>40</v>
      </c>
      <c r="F6055" s="5">
        <f>(VLOOKUP(Table4[[#This Row],[item_sold]],Table1[],4,FALSE))*Table4[[#This Row],[qty]]</f>
        <v>36</v>
      </c>
      <c r="G6055">
        <f t="shared" si="1015"/>
        <v>4</v>
      </c>
      <c r="H6055" t="s">
        <v>247</v>
      </c>
    </row>
    <row r="6056" spans="1:9" x14ac:dyDescent="0.25">
      <c r="A6056" s="1">
        <f t="shared" si="1016"/>
        <v>45582</v>
      </c>
      <c r="B6056" s="31">
        <f>TIME(11,42,0)</f>
        <v>0.48749999999999999</v>
      </c>
      <c r="C6056" t="str">
        <f>'Inventory as of 12th Aug 2024'!A75</f>
        <v>Cooking Oil Measured</v>
      </c>
      <c r="D6056">
        <v>0.25</v>
      </c>
      <c r="E6056" s="5">
        <f>Table4[[#This Row],[qty]]*(VLOOKUP(Table4[[#This Row],[item_sold]],Table1[],5,FALSE))</f>
        <v>70</v>
      </c>
      <c r="F6056" s="5">
        <f>(VLOOKUP(Table4[[#This Row],[item_sold]],Table1[],4,FALSE))*Table4[[#This Row],[qty]]</f>
        <v>50</v>
      </c>
      <c r="G6056">
        <f t="shared" si="1015"/>
        <v>20</v>
      </c>
      <c r="H6056" s="25" t="s">
        <v>361</v>
      </c>
    </row>
    <row r="6057" spans="1:9" x14ac:dyDescent="0.25">
      <c r="A6057" s="1">
        <f t="shared" si="1016"/>
        <v>45582</v>
      </c>
      <c r="B6057" s="31">
        <f>TIME(11,43,0)</f>
        <v>0.48819444444444443</v>
      </c>
      <c r="C6057" t="str">
        <f>'Inventory as of 12th Aug 2024'!A33</f>
        <v>BB Bread 400g</v>
      </c>
      <c r="D6057">
        <v>1</v>
      </c>
      <c r="E6057" s="5">
        <f>Table4[[#This Row],[qty]]*(VLOOKUP(Table4[[#This Row],[item_sold]],Table1[],5,FALSE))</f>
        <v>65</v>
      </c>
      <c r="F6057" s="5">
        <f>(VLOOKUP(Table4[[#This Row],[item_sold]],Table1[],4,FALSE))*Table4[[#This Row],[qty]]</f>
        <v>60</v>
      </c>
      <c r="G6057">
        <f t="shared" si="1015"/>
        <v>5</v>
      </c>
      <c r="H6057" t="s">
        <v>430</v>
      </c>
      <c r="I6057" t="s">
        <v>390</v>
      </c>
    </row>
    <row r="6058" spans="1:9" x14ac:dyDescent="0.25">
      <c r="A6058" s="1">
        <f t="shared" si="1016"/>
        <v>45582</v>
      </c>
      <c r="B6058" s="31">
        <f>TIME(13,22,0)</f>
        <v>0.55694444444444446</v>
      </c>
      <c r="C6058" t="str">
        <f>'Inventory as of 12th Aug 2024'!A50</f>
        <v>Pishori rice</v>
      </c>
      <c r="D6058">
        <v>1</v>
      </c>
      <c r="E6058" s="5">
        <f>Table4[[#This Row],[qty]]*(VLOOKUP(Table4[[#This Row],[item_sold]],Table1[],5,FALSE))</f>
        <v>220</v>
      </c>
      <c r="F6058" s="5">
        <f>(VLOOKUP(Table4[[#This Row],[item_sold]],Table1[],4,FALSE))*Table4[[#This Row],[qty]]</f>
        <v>180</v>
      </c>
      <c r="G6058">
        <f t="shared" si="1015"/>
        <v>40</v>
      </c>
      <c r="H6058" t="s">
        <v>361</v>
      </c>
    </row>
    <row r="6059" spans="1:9" x14ac:dyDescent="0.25">
      <c r="A6059" s="1">
        <f t="shared" si="1016"/>
        <v>45582</v>
      </c>
      <c r="B6059" s="31">
        <f t="shared" ref="B6059:B6061" si="1021">TIME(13,22,0)</f>
        <v>0.55694444444444446</v>
      </c>
      <c r="C6059" t="str">
        <f>'Inventory as of 12th Aug 2024'!A49</f>
        <v>Ndengu</v>
      </c>
      <c r="D6059">
        <v>0.5</v>
      </c>
      <c r="E6059" s="5">
        <f>Table4[[#This Row],[qty]]*(VLOOKUP(Table4[[#This Row],[item_sold]],Table1[],5,FALSE))</f>
        <v>80</v>
      </c>
      <c r="F6059" s="5">
        <f>(VLOOKUP(Table4[[#This Row],[item_sold]],Table1[],4,FALSE))*Table4[[#This Row],[qty]]</f>
        <v>60</v>
      </c>
      <c r="G6059">
        <f t="shared" si="1015"/>
        <v>20</v>
      </c>
      <c r="H6059" t="s">
        <v>361</v>
      </c>
    </row>
    <row r="6060" spans="1:9" x14ac:dyDescent="0.25">
      <c r="A6060" s="1">
        <f t="shared" si="1016"/>
        <v>45582</v>
      </c>
      <c r="B6060" s="31">
        <f t="shared" si="1021"/>
        <v>0.55694444444444446</v>
      </c>
      <c r="C6060" t="str">
        <f>'Inventory as of 12th Aug 2024'!A16</f>
        <v>Mt kenya milk 500ml</v>
      </c>
      <c r="D6060">
        <v>1</v>
      </c>
      <c r="E6060" s="5">
        <f>Table4[[#This Row],[qty]]*(VLOOKUP(Table4[[#This Row],[item_sold]],Table1[],5,FALSE))</f>
        <v>65</v>
      </c>
      <c r="F6060" s="5">
        <f>(VLOOKUP(Table4[[#This Row],[item_sold]],Table1[],4,FALSE))*Table4[[#This Row],[qty]]</f>
        <v>48.333333333333336</v>
      </c>
      <c r="G6060">
        <f t="shared" si="1015"/>
        <v>16.666666666666664</v>
      </c>
      <c r="H6060" t="s">
        <v>361</v>
      </c>
    </row>
    <row r="6061" spans="1:9" x14ac:dyDescent="0.25">
      <c r="A6061" s="1">
        <f t="shared" si="1016"/>
        <v>45582</v>
      </c>
      <c r="B6061" s="31">
        <f t="shared" si="1021"/>
        <v>0.55694444444444446</v>
      </c>
      <c r="C6061" t="str">
        <f>'Inventory as of 12th Aug 2024'!A17</f>
        <v>Brookside milk 500ml</v>
      </c>
      <c r="D6061">
        <v>2</v>
      </c>
      <c r="E6061" s="5">
        <f>Table4[[#This Row],[qty]]*(VLOOKUP(Table4[[#This Row],[item_sold]],Table1[],5,FALSE))</f>
        <v>140</v>
      </c>
      <c r="F6061" s="5">
        <f>(VLOOKUP(Table4[[#This Row],[item_sold]],Table1[],4,FALSE))*Table4[[#This Row],[qty]]</f>
        <v>118</v>
      </c>
      <c r="G6061">
        <f t="shared" si="1015"/>
        <v>22</v>
      </c>
      <c r="H6061" t="s">
        <v>361</v>
      </c>
    </row>
    <row r="6062" spans="1:9" x14ac:dyDescent="0.25">
      <c r="A6062" s="1">
        <f t="shared" si="1016"/>
        <v>45582</v>
      </c>
      <c r="B6062" s="31">
        <f>TIME(13,48,0)</f>
        <v>0.57500000000000007</v>
      </c>
      <c r="C6062" t="str">
        <f>'Inventory as of 12th Aug 2024'!A33</f>
        <v>BB Bread 400g</v>
      </c>
      <c r="D6062">
        <v>1</v>
      </c>
      <c r="E6062" s="5">
        <f>Table4[[#This Row],[qty]]*(VLOOKUP(Table4[[#This Row],[item_sold]],Table1[],5,FALSE))</f>
        <v>65</v>
      </c>
      <c r="F6062" s="5">
        <f>(VLOOKUP(Table4[[#This Row],[item_sold]],Table1[],4,FALSE))*Table4[[#This Row],[qty]]</f>
        <v>60</v>
      </c>
      <c r="G6062">
        <f t="shared" si="1015"/>
        <v>5</v>
      </c>
      <c r="H6062" t="s">
        <v>247</v>
      </c>
    </row>
    <row r="6063" spans="1:9" x14ac:dyDescent="0.25">
      <c r="A6063" s="1">
        <f t="shared" si="1016"/>
        <v>45582</v>
      </c>
      <c r="B6063" s="31">
        <f t="shared" ref="B6063:B6067" si="1022">TIME(13,48,0)</f>
        <v>0.57500000000000007</v>
      </c>
      <c r="C6063" t="str">
        <f>'Inventory as of 12th Aug 2024'!A198</f>
        <v>Mandazi</v>
      </c>
      <c r="D6063">
        <v>4</v>
      </c>
      <c r="E6063" s="5">
        <f>Table4[[#This Row],[qty]]*(VLOOKUP(Table4[[#This Row],[item_sold]],Table1[],5,FALSE))</f>
        <v>20</v>
      </c>
      <c r="F6063" s="5">
        <f>(VLOOKUP(Table4[[#This Row],[item_sold]],Table1[],4,FALSE))*Table4[[#This Row],[qty]]</f>
        <v>16.666666666666668</v>
      </c>
      <c r="G6063">
        <f t="shared" si="1015"/>
        <v>3.3333333333333321</v>
      </c>
      <c r="H6063" t="s">
        <v>361</v>
      </c>
    </row>
    <row r="6064" spans="1:9" x14ac:dyDescent="0.25">
      <c r="A6064" s="1">
        <f t="shared" si="1016"/>
        <v>45582</v>
      </c>
      <c r="B6064" s="31">
        <f t="shared" si="1022"/>
        <v>0.57500000000000007</v>
      </c>
      <c r="C6064" t="str">
        <f>'Inventory as of 12th Aug 2024'!A91</f>
        <v>Tomatoes</v>
      </c>
      <c r="D6064">
        <v>3</v>
      </c>
      <c r="E6064" s="5">
        <f>Table4[[#This Row],[qty]]*(VLOOKUP(Table4[[#This Row],[item_sold]],Table1[],5,FALSE))</f>
        <v>30</v>
      </c>
      <c r="F6064" s="5">
        <f>(VLOOKUP(Table4[[#This Row],[item_sold]],Table1[],4,FALSE))*Table4[[#This Row],[qty]]</f>
        <v>15</v>
      </c>
      <c r="G6064">
        <f t="shared" si="1015"/>
        <v>15</v>
      </c>
      <c r="H6064" t="s">
        <v>247</v>
      </c>
    </row>
    <row r="6065" spans="1:12" x14ac:dyDescent="0.25">
      <c r="A6065" s="1">
        <f t="shared" si="1016"/>
        <v>45582</v>
      </c>
      <c r="B6065" s="31">
        <f t="shared" si="1022"/>
        <v>0.57500000000000007</v>
      </c>
      <c r="C6065" t="str">
        <f>'Inventory as of 12th Aug 2024'!A9</f>
        <v>Kinangop Fresh Milk 500ml</v>
      </c>
      <c r="D6065">
        <v>1</v>
      </c>
      <c r="E6065" s="5">
        <f>Table4[[#This Row],[qty]]*(VLOOKUP(Table4[[#This Row],[item_sold]],Table1[],5,FALSE))</f>
        <v>60</v>
      </c>
      <c r="F6065" s="5">
        <f>(VLOOKUP(Table4[[#This Row],[item_sold]],Table1[],4,FALSE))*Table4[[#This Row],[qty]]</f>
        <v>55</v>
      </c>
      <c r="G6065">
        <f t="shared" si="1015"/>
        <v>5</v>
      </c>
      <c r="H6065" t="s">
        <v>361</v>
      </c>
    </row>
    <row r="6066" spans="1:12" x14ac:dyDescent="0.25">
      <c r="A6066" s="1">
        <f t="shared" si="1016"/>
        <v>45582</v>
      </c>
      <c r="B6066" s="31">
        <f t="shared" si="1022"/>
        <v>0.57500000000000007</v>
      </c>
      <c r="C6066" t="str">
        <f>'Inventory as of 12th Aug 2024'!A198</f>
        <v>Mandazi</v>
      </c>
      <c r="D6066">
        <v>4</v>
      </c>
      <c r="E6066" s="5">
        <f>Table4[[#This Row],[qty]]*(VLOOKUP(Table4[[#This Row],[item_sold]],Table1[],5,FALSE))</f>
        <v>20</v>
      </c>
      <c r="F6066" s="5">
        <f>(VLOOKUP(Table4[[#This Row],[item_sold]],Table1[],4,FALSE))*Table4[[#This Row],[qty]]</f>
        <v>16.666666666666668</v>
      </c>
      <c r="G6066">
        <f t="shared" si="1015"/>
        <v>3.3333333333333321</v>
      </c>
      <c r="H6066" t="s">
        <v>361</v>
      </c>
    </row>
    <row r="6067" spans="1:12" x14ac:dyDescent="0.25">
      <c r="A6067" s="1">
        <f t="shared" si="1016"/>
        <v>45582</v>
      </c>
      <c r="B6067" s="31">
        <f t="shared" si="1022"/>
        <v>0.57500000000000007</v>
      </c>
      <c r="C6067" t="str">
        <f>'Inventory as of 12th Aug 2024'!A206</f>
        <v>soda 500ml plastic</v>
      </c>
      <c r="D6067">
        <v>1</v>
      </c>
      <c r="E6067" s="5">
        <f>Table4[[#This Row],[qty]]*(VLOOKUP(Table4[[#This Row],[item_sold]],Table1[],5,FALSE))</f>
        <v>70</v>
      </c>
      <c r="F6067" s="5">
        <f>(VLOOKUP(Table4[[#This Row],[item_sold]],Table1[],4,FALSE))*Table4[[#This Row],[qty]]</f>
        <v>60.416666666666664</v>
      </c>
      <c r="G6067">
        <f t="shared" si="1015"/>
        <v>9.5833333333333357</v>
      </c>
      <c r="H6067" t="s">
        <v>361</v>
      </c>
    </row>
    <row r="6068" spans="1:12" x14ac:dyDescent="0.25">
      <c r="A6068" s="1">
        <f t="shared" si="1016"/>
        <v>45582</v>
      </c>
      <c r="B6068" s="31">
        <f>TIME(14,13,0)</f>
        <v>0.59236111111111112</v>
      </c>
      <c r="C6068" t="str">
        <f>'Inventory as of 12th Aug 2024'!A207</f>
        <v>soda 350ml plastic</v>
      </c>
      <c r="D6068">
        <v>1</v>
      </c>
      <c r="E6068" s="5">
        <f>Table4[[#This Row],[qty]]*(VLOOKUP(Table4[[#This Row],[item_sold]],Table1[],5,FALSE))</f>
        <v>50</v>
      </c>
      <c r="F6068" s="5">
        <f>(VLOOKUP(Table4[[#This Row],[item_sold]],Table1[],4,FALSE))*Table4[[#This Row],[qty]]</f>
        <v>41.666666666666664</v>
      </c>
      <c r="G6068">
        <f t="shared" si="1015"/>
        <v>8.3333333333333357</v>
      </c>
      <c r="H6068" t="s">
        <v>361</v>
      </c>
    </row>
    <row r="6069" spans="1:12" x14ac:dyDescent="0.25">
      <c r="A6069" s="1">
        <f t="shared" si="1016"/>
        <v>45582</v>
      </c>
      <c r="B6069" s="31">
        <f>TIME(14,58,0)</f>
        <v>0.62361111111111112</v>
      </c>
      <c r="C6069" t="str">
        <f>'Inventory as of 12th Aug 2024'!A16</f>
        <v>Mt kenya milk 500ml</v>
      </c>
      <c r="D6069">
        <v>1</v>
      </c>
      <c r="E6069" s="5">
        <f>Table4[[#This Row],[qty]]*(VLOOKUP(Table4[[#This Row],[item_sold]],Table1[],5,FALSE))</f>
        <v>65</v>
      </c>
      <c r="F6069" s="5">
        <f>(VLOOKUP(Table4[[#This Row],[item_sold]],Table1[],4,FALSE))*Table4[[#This Row],[qty]]</f>
        <v>48.333333333333336</v>
      </c>
      <c r="G6069">
        <f t="shared" si="1015"/>
        <v>16.666666666666664</v>
      </c>
      <c r="H6069" t="s">
        <v>361</v>
      </c>
    </row>
    <row r="6070" spans="1:12" x14ac:dyDescent="0.25">
      <c r="A6070" s="1">
        <f t="shared" si="1016"/>
        <v>45582</v>
      </c>
      <c r="B6070" s="31">
        <f>TIME(14,58,0)</f>
        <v>0.62361111111111112</v>
      </c>
      <c r="C6070" t="str">
        <f>'Inventory as of 12th Aug 2024'!A33</f>
        <v>BB Bread 400g</v>
      </c>
      <c r="D6070">
        <v>1</v>
      </c>
      <c r="E6070" s="5">
        <f>Table4[[#This Row],[qty]]*(VLOOKUP(Table4[[#This Row],[item_sold]],Table1[],5,FALSE))</f>
        <v>65</v>
      </c>
      <c r="F6070" s="5">
        <f>(VLOOKUP(Table4[[#This Row],[item_sold]],Table1[],4,FALSE))*Table4[[#This Row],[qty]]</f>
        <v>60</v>
      </c>
      <c r="G6070">
        <f t="shared" si="1015"/>
        <v>5</v>
      </c>
      <c r="H6070" t="s">
        <v>361</v>
      </c>
    </row>
    <row r="6071" spans="1:12" x14ac:dyDescent="0.25">
      <c r="A6071" s="1">
        <f t="shared" si="1016"/>
        <v>45582</v>
      </c>
      <c r="B6071" s="31">
        <f>TIME(15,27,0)</f>
        <v>0.64374999999999993</v>
      </c>
      <c r="C6071" t="str">
        <f>'Inventory as of 12th Aug 2024'!A212</f>
        <v>soda 300ml glass</v>
      </c>
      <c r="D6071">
        <v>1</v>
      </c>
      <c r="E6071" s="5">
        <f>Table4[[#This Row],[qty]]*(VLOOKUP(Table4[[#This Row],[item_sold]],Table1[],5,FALSE))</f>
        <v>40</v>
      </c>
      <c r="F6071" s="5">
        <f>(VLOOKUP(Table4[[#This Row],[item_sold]],Table1[],4,FALSE))*Table4[[#This Row],[qty]]</f>
        <v>32.5</v>
      </c>
      <c r="G6071">
        <f t="shared" si="1015"/>
        <v>7.5</v>
      </c>
      <c r="H6071" s="40" t="s">
        <v>430</v>
      </c>
      <c r="I6071" t="s">
        <v>412</v>
      </c>
    </row>
    <row r="6072" spans="1:12" x14ac:dyDescent="0.25">
      <c r="A6072" s="1">
        <f t="shared" si="1016"/>
        <v>45582</v>
      </c>
      <c r="B6072" s="31">
        <f>TIME(15,27,0)</f>
        <v>0.64374999999999993</v>
      </c>
      <c r="C6072" t="str">
        <f>'Inventory as of 12th Aug 2024'!A58</f>
        <v>Safari</v>
      </c>
      <c r="D6072">
        <v>1</v>
      </c>
      <c r="E6072" s="5">
        <f>Table4[[#This Row],[qty]]*(VLOOKUP(Table4[[#This Row],[item_sold]],Table1[],5,FALSE))</f>
        <v>15</v>
      </c>
      <c r="F6072" s="5">
        <f>(VLOOKUP(Table4[[#This Row],[item_sold]],Table1[],4,FALSE))*Table4[[#This Row],[qty]]</f>
        <v>8.5</v>
      </c>
      <c r="G6072">
        <f t="shared" si="1015"/>
        <v>6.5</v>
      </c>
      <c r="H6072" t="s">
        <v>247</v>
      </c>
      <c r="J6072" t="s">
        <v>447</v>
      </c>
      <c r="K6072">
        <v>5</v>
      </c>
      <c r="L6072" t="s">
        <v>247</v>
      </c>
    </row>
    <row r="6073" spans="1:12" x14ac:dyDescent="0.25">
      <c r="A6073" s="1">
        <f t="shared" si="1016"/>
        <v>45582</v>
      </c>
      <c r="B6073" s="31">
        <f>TIME(18,34,0)</f>
        <v>0.77361111111111114</v>
      </c>
      <c r="C6073" t="str">
        <f>'Inventory as of 12th Aug 2024'!A217</f>
        <v>Pencil</v>
      </c>
      <c r="D6073">
        <v>1</v>
      </c>
      <c r="E6073" s="5">
        <f>Table4[[#This Row],[qty]]*(VLOOKUP(Table4[[#This Row],[item_sold]],Table1[],5,FALSE))</f>
        <v>10</v>
      </c>
      <c r="F6073" s="5">
        <f>(VLOOKUP(Table4[[#This Row],[item_sold]],Table1[],4,FALSE))*Table4[[#This Row],[qty]]</f>
        <v>7.5</v>
      </c>
      <c r="G6073">
        <f t="shared" si="1015"/>
        <v>2.5</v>
      </c>
      <c r="H6073" t="s">
        <v>430</v>
      </c>
      <c r="I6073" t="s">
        <v>456</v>
      </c>
    </row>
    <row r="6074" spans="1:12" x14ac:dyDescent="0.25">
      <c r="A6074" s="1">
        <f t="shared" si="1016"/>
        <v>45582</v>
      </c>
      <c r="B6074" s="31">
        <f t="shared" ref="B6074:B6075" si="1023">TIME(18,34,0)</f>
        <v>0.77361111111111114</v>
      </c>
      <c r="C6074" t="str">
        <f>'Inventory as of 12th Aug 2024'!A212</f>
        <v>soda 300ml glass</v>
      </c>
      <c r="D6074">
        <v>1</v>
      </c>
      <c r="E6074" s="5">
        <f>Table4[[#This Row],[qty]]*(VLOOKUP(Table4[[#This Row],[item_sold]],Table1[],5,FALSE))</f>
        <v>40</v>
      </c>
      <c r="F6074" s="5">
        <f>(VLOOKUP(Table4[[#This Row],[item_sold]],Table1[],4,FALSE))*Table4[[#This Row],[qty]]</f>
        <v>32.5</v>
      </c>
      <c r="G6074">
        <f t="shared" si="1015"/>
        <v>7.5</v>
      </c>
      <c r="H6074" t="s">
        <v>430</v>
      </c>
      <c r="I6074" t="s">
        <v>419</v>
      </c>
    </row>
    <row r="6075" spans="1:12" x14ac:dyDescent="0.25">
      <c r="A6075" s="1">
        <f t="shared" si="1016"/>
        <v>45582</v>
      </c>
      <c r="B6075" s="31">
        <f t="shared" si="1023"/>
        <v>0.77361111111111114</v>
      </c>
      <c r="C6075" t="str">
        <f>'Inventory as of 12th Aug 2024'!A256</f>
        <v>Family bisquit</v>
      </c>
      <c r="D6075">
        <v>1</v>
      </c>
      <c r="E6075" s="5">
        <f>Table4[[#This Row],[qty]]*(VLOOKUP(Table4[[#This Row],[item_sold]],Table1[],5,FALSE))</f>
        <v>35</v>
      </c>
      <c r="F6075" s="5">
        <f>(VLOOKUP(Table4[[#This Row],[item_sold]],Table1[],4,FALSE))*Table4[[#This Row],[qty]]</f>
        <v>23.333333333333332</v>
      </c>
      <c r="G6075">
        <f t="shared" si="1015"/>
        <v>11.666666666666668</v>
      </c>
      <c r="H6075" t="s">
        <v>430</v>
      </c>
      <c r="I6075" t="s">
        <v>419</v>
      </c>
    </row>
    <row r="6076" spans="1:12" x14ac:dyDescent="0.25">
      <c r="A6076" s="1">
        <f t="shared" si="1016"/>
        <v>45582</v>
      </c>
      <c r="B6076" s="31">
        <f>TIME(18,49,0)</f>
        <v>0.78402777777777777</v>
      </c>
      <c r="C6076" t="str">
        <f>'Inventory as of 12th Aug 2024'!A7</f>
        <v>Airtel 50 Credit</v>
      </c>
      <c r="D6076">
        <v>1</v>
      </c>
      <c r="E6076" s="5">
        <f>Table4[[#This Row],[qty]]*(VLOOKUP(Table4[[#This Row],[item_sold]],Table1[],5,FALSE))</f>
        <v>50</v>
      </c>
      <c r="F6076" s="5">
        <f>(VLOOKUP(Table4[[#This Row],[item_sold]],Table1[],4,FALSE))*Table4[[#This Row],[qty]]</f>
        <v>47</v>
      </c>
      <c r="G6076">
        <f t="shared" si="1015"/>
        <v>3</v>
      </c>
      <c r="H6076" t="s">
        <v>361</v>
      </c>
      <c r="J6076" t="s">
        <v>590</v>
      </c>
      <c r="K6076">
        <v>60</v>
      </c>
      <c r="L6076" t="s">
        <v>361</v>
      </c>
    </row>
    <row r="6077" spans="1:12" x14ac:dyDescent="0.25">
      <c r="A6077" s="1">
        <f t="shared" si="1016"/>
        <v>45582</v>
      </c>
      <c r="B6077" s="31">
        <f>TIME(19,1,0)</f>
        <v>0.79236111111111107</v>
      </c>
      <c r="C6077" t="str">
        <f>'Inventory as of 12th Aug 2024'!A266</f>
        <v>Zenta Bar Soap</v>
      </c>
      <c r="D6077">
        <v>1</v>
      </c>
      <c r="E6077" s="5">
        <f>Table4[[#This Row],[qty]]*(VLOOKUP(Table4[[#This Row],[item_sold]],Table1[],5,FALSE))</f>
        <v>250</v>
      </c>
      <c r="F6077" s="5">
        <f>(VLOOKUP(Table4[[#This Row],[item_sold]],Table1[],4,FALSE))*Table4[[#This Row],[qty]]</f>
        <v>160</v>
      </c>
      <c r="G6077">
        <f t="shared" si="1015"/>
        <v>90</v>
      </c>
      <c r="H6077" t="s">
        <v>247</v>
      </c>
    </row>
    <row r="6078" spans="1:12" x14ac:dyDescent="0.25">
      <c r="A6078" s="1">
        <f t="shared" si="1016"/>
        <v>45582</v>
      </c>
      <c r="B6078" s="31">
        <f>TIME(19,35,0)</f>
        <v>0.81597222222222221</v>
      </c>
      <c r="C6078" t="str">
        <f>'Inventory as of 12th Aug 2024'!A198</f>
        <v>Mandazi</v>
      </c>
      <c r="D6078">
        <v>6</v>
      </c>
      <c r="E6078" s="5">
        <f>Table4[[#This Row],[qty]]*(VLOOKUP(Table4[[#This Row],[item_sold]],Table1[],5,FALSE))</f>
        <v>30</v>
      </c>
      <c r="F6078" s="5">
        <f>(VLOOKUP(Table4[[#This Row],[item_sold]],Table1[],4,FALSE))*Table4[[#This Row],[qty]]</f>
        <v>25</v>
      </c>
      <c r="G6078">
        <f t="shared" si="1015"/>
        <v>5</v>
      </c>
      <c r="H6078" t="s">
        <v>361</v>
      </c>
    </row>
    <row r="6079" spans="1:12" x14ac:dyDescent="0.25">
      <c r="A6079" s="1">
        <f t="shared" si="1016"/>
        <v>45582</v>
      </c>
      <c r="B6079" s="31">
        <f>TIME(20,20,0)</f>
        <v>0.84722222222222221</v>
      </c>
      <c r="C6079" t="str">
        <f>'Inventory as of 12th Aug 2024'!A41</f>
        <v>Indomie beef</v>
      </c>
      <c r="D6079">
        <v>1</v>
      </c>
      <c r="E6079" s="5">
        <f>Table4[[#This Row],[qty]]*(VLOOKUP(Table4[[#This Row],[item_sold]],Table1[],5,FALSE))</f>
        <v>50</v>
      </c>
      <c r="F6079" s="5">
        <f>(VLOOKUP(Table4[[#This Row],[item_sold]],Table1[],4,FALSE))*Table4[[#This Row],[qty]]</f>
        <v>38</v>
      </c>
      <c r="G6079">
        <f t="shared" si="1015"/>
        <v>12</v>
      </c>
      <c r="H6079" t="s">
        <v>247</v>
      </c>
    </row>
    <row r="6080" spans="1:12" x14ac:dyDescent="0.25">
      <c r="A6080" s="1">
        <f t="shared" si="1016"/>
        <v>45582</v>
      </c>
      <c r="B6080" s="31">
        <f t="shared" ref="B6080" si="1024">TIME(20,20,0)</f>
        <v>0.84722222222222221</v>
      </c>
      <c r="C6080" t="str">
        <f>'Inventory as of 12th Aug 2024'!A8</f>
        <v>eggs</v>
      </c>
      <c r="D6080">
        <v>3</v>
      </c>
      <c r="E6080" s="5">
        <f>Table4[[#This Row],[qty]]*(VLOOKUP(Table4[[#This Row],[item_sold]],Table1[],5,FALSE))</f>
        <v>60</v>
      </c>
      <c r="F6080" s="5">
        <f>(VLOOKUP(Table4[[#This Row],[item_sold]],Table1[],4,FALSE))*Table4[[#This Row],[qty]]</f>
        <v>43</v>
      </c>
      <c r="G6080">
        <f t="shared" si="1015"/>
        <v>17</v>
      </c>
      <c r="H6080" t="s">
        <v>247</v>
      </c>
    </row>
    <row r="6081" spans="1:12" x14ac:dyDescent="0.25">
      <c r="A6081" s="1">
        <f t="shared" si="1016"/>
        <v>45582</v>
      </c>
      <c r="B6081" s="31">
        <f>TIME(20,27,0)</f>
        <v>0.8520833333333333</v>
      </c>
      <c r="C6081" t="str">
        <f>'Inventory as of 12th Aug 2024'!A42</f>
        <v>Indomie chicken</v>
      </c>
      <c r="D6081">
        <v>1</v>
      </c>
      <c r="E6081" s="5">
        <f>Table4[[#This Row],[qty]]*(VLOOKUP(Table4[[#This Row],[item_sold]],Table1[],5,FALSE))</f>
        <v>50</v>
      </c>
      <c r="F6081" s="5">
        <f>(VLOOKUP(Table4[[#This Row],[item_sold]],Table1[],4,FALSE))*Table4[[#This Row],[qty]]</f>
        <v>37.5</v>
      </c>
      <c r="G6081">
        <f t="shared" si="1015"/>
        <v>12.5</v>
      </c>
      <c r="H6081" t="s">
        <v>247</v>
      </c>
    </row>
    <row r="6082" spans="1:12" x14ac:dyDescent="0.25">
      <c r="A6082" s="1">
        <f t="shared" si="1016"/>
        <v>45582</v>
      </c>
      <c r="B6082" s="31">
        <f>TIME(20,32,0)</f>
        <v>0.85555555555555562</v>
      </c>
      <c r="C6082" t="str">
        <f>'Inventory as of 12th Aug 2024'!A8</f>
        <v>eggs</v>
      </c>
      <c r="D6082">
        <v>2</v>
      </c>
      <c r="E6082" s="5">
        <f>Table4[[#This Row],[qty]]*(VLOOKUP(Table4[[#This Row],[item_sold]],Table1[],5,FALSE))</f>
        <v>40</v>
      </c>
      <c r="F6082" s="5">
        <f>(VLOOKUP(Table4[[#This Row],[item_sold]],Table1[],4,FALSE))*Table4[[#This Row],[qty]]</f>
        <v>28.666666666666668</v>
      </c>
      <c r="G6082">
        <f t="shared" si="1015"/>
        <v>11.333333333333332</v>
      </c>
      <c r="H6082" t="s">
        <v>361</v>
      </c>
    </row>
    <row r="6083" spans="1:12" x14ac:dyDescent="0.25">
      <c r="A6083" s="1">
        <f t="shared" si="1016"/>
        <v>45582</v>
      </c>
      <c r="B6083" s="31">
        <f t="shared" ref="B6083" si="1025">TIME(20,32,0)</f>
        <v>0.85555555555555562</v>
      </c>
      <c r="C6083" t="str">
        <f>'Inventory as of 12th Aug 2024'!A91</f>
        <v>Tomatoes</v>
      </c>
      <c r="D6083">
        <v>2</v>
      </c>
      <c r="E6083" s="5">
        <f>Table4[[#This Row],[qty]]*(VLOOKUP(Table4[[#This Row],[item_sold]],Table1[],5,FALSE))</f>
        <v>20</v>
      </c>
      <c r="F6083" s="5">
        <f>(VLOOKUP(Table4[[#This Row],[item_sold]],Table1[],4,FALSE))*Table4[[#This Row],[qty]]</f>
        <v>10</v>
      </c>
      <c r="G6083">
        <f t="shared" si="1015"/>
        <v>10</v>
      </c>
      <c r="H6083" t="s">
        <v>361</v>
      </c>
    </row>
    <row r="6084" spans="1:12" x14ac:dyDescent="0.25">
      <c r="A6084" s="1">
        <f t="shared" si="1016"/>
        <v>45582</v>
      </c>
      <c r="B6084" s="31">
        <f>TIME(20,34,0)</f>
        <v>0.8569444444444444</v>
      </c>
      <c r="C6084" t="str">
        <f>'Inventory as of 12th Aug 2024'!A120</f>
        <v>Maramoja</v>
      </c>
      <c r="D6084">
        <v>2</v>
      </c>
      <c r="E6084" s="5">
        <f>Table4[[#This Row],[qty]]*(VLOOKUP(Table4[[#This Row],[item_sold]],Table1[],5,FALSE))</f>
        <v>20</v>
      </c>
      <c r="F6084" s="5">
        <f>(VLOOKUP(Table4[[#This Row],[item_sold]],Table1[],4,FALSE))*Table4[[#This Row],[qty]]</f>
        <v>14</v>
      </c>
      <c r="G6084">
        <f t="shared" si="1015"/>
        <v>6</v>
      </c>
      <c r="H6084" t="s">
        <v>430</v>
      </c>
      <c r="I6084" t="s">
        <v>390</v>
      </c>
    </row>
    <row r="6085" spans="1:12" x14ac:dyDescent="0.25">
      <c r="A6085" s="1">
        <f t="shared" si="1016"/>
        <v>45582</v>
      </c>
      <c r="B6085" s="31">
        <f>TIME(20,35,0)</f>
        <v>0.85763888888888884</v>
      </c>
      <c r="C6085" t="str">
        <f>'Inventory as of 12th Aug 2024'!A266</f>
        <v>Zenta Bar Soap</v>
      </c>
      <c r="D6085">
        <v>0.2</v>
      </c>
      <c r="E6085" s="5">
        <f>Table4[[#This Row],[qty]]*(VLOOKUP(Table4[[#This Row],[item_sold]],Table1[],5,FALSE))</f>
        <v>50</v>
      </c>
      <c r="F6085" s="5">
        <f>(VLOOKUP(Table4[[#This Row],[item_sold]],Table1[],4,FALSE))*Table4[[#This Row],[qty]]</f>
        <v>32</v>
      </c>
      <c r="G6085">
        <f t="shared" si="1015"/>
        <v>18</v>
      </c>
      <c r="H6085" t="s">
        <v>430</v>
      </c>
      <c r="I6085" t="s">
        <v>447</v>
      </c>
    </row>
    <row r="6086" spans="1:12" x14ac:dyDescent="0.25">
      <c r="A6086" s="1">
        <f>DATE(2024,10,18)</f>
        <v>45583</v>
      </c>
      <c r="B6086" s="31">
        <f>TIME(7,36,0)</f>
        <v>0.31666666666666665</v>
      </c>
      <c r="C6086" t="str">
        <f>'Inventory as of 12th Aug 2024'!A198</f>
        <v>Mandazi</v>
      </c>
      <c r="D6086">
        <v>3</v>
      </c>
      <c r="E6086" s="5">
        <f>Table4[[#This Row],[qty]]*(VLOOKUP(Table4[[#This Row],[item_sold]],Table1[],5,FALSE))</f>
        <v>15</v>
      </c>
      <c r="F6086" s="5">
        <f>(VLOOKUP(Table4[[#This Row],[item_sold]],Table1[],4,FALSE))*Table4[[#This Row],[qty]]</f>
        <v>12.5</v>
      </c>
      <c r="G6086">
        <f t="shared" si="1015"/>
        <v>2.5</v>
      </c>
      <c r="H6086" t="s">
        <v>247</v>
      </c>
    </row>
    <row r="6087" spans="1:12" x14ac:dyDescent="0.25">
      <c r="A6087" s="1">
        <f t="shared" ref="A6087:A6121" si="1026">DATE(2024,10,18)</f>
        <v>45583</v>
      </c>
      <c r="B6087" s="31">
        <f>TIME(7,47,0)</f>
        <v>0.32430555555555557</v>
      </c>
      <c r="C6087" t="str">
        <f>'Inventory as of 12th Aug 2024'!A33</f>
        <v>BB Bread 400g</v>
      </c>
      <c r="D6087">
        <v>1</v>
      </c>
      <c r="E6087" s="5">
        <f>Table4[[#This Row],[qty]]*(VLOOKUP(Table4[[#This Row],[item_sold]],Table1[],5,FALSE))</f>
        <v>65</v>
      </c>
      <c r="F6087" s="5">
        <f>(VLOOKUP(Table4[[#This Row],[item_sold]],Table1[],4,FALSE))*Table4[[#This Row],[qty]]</f>
        <v>60</v>
      </c>
      <c r="G6087">
        <f t="shared" si="1015"/>
        <v>5</v>
      </c>
      <c r="H6087" t="s">
        <v>402</v>
      </c>
      <c r="J6087" t="s">
        <v>455</v>
      </c>
      <c r="K6087">
        <v>65</v>
      </c>
      <c r="L6087" t="s">
        <v>247</v>
      </c>
    </row>
    <row r="6088" spans="1:12" x14ac:dyDescent="0.25">
      <c r="A6088" s="1">
        <f t="shared" si="1026"/>
        <v>45583</v>
      </c>
      <c r="B6088" s="31">
        <f>TIME(9,7,0)</f>
        <v>0.37986111111111115</v>
      </c>
      <c r="C6088" t="str">
        <f>'Inventory as of 12th Aug 2024'!A16</f>
        <v>Mt kenya milk 500ml</v>
      </c>
      <c r="D6088">
        <v>1</v>
      </c>
      <c r="E6088" s="5">
        <f>Table4[[#This Row],[qty]]*(VLOOKUP(Table4[[#This Row],[item_sold]],Table1[],5,FALSE))</f>
        <v>65</v>
      </c>
      <c r="F6088" s="5">
        <f>(VLOOKUP(Table4[[#This Row],[item_sold]],Table1[],4,FALSE))*Table4[[#This Row],[qty]]</f>
        <v>48.333333333333336</v>
      </c>
      <c r="G6088">
        <f t="shared" si="1015"/>
        <v>16.666666666666664</v>
      </c>
      <c r="H6088" t="s">
        <v>430</v>
      </c>
      <c r="I6088" t="s">
        <v>412</v>
      </c>
    </row>
    <row r="6089" spans="1:12" x14ac:dyDescent="0.25">
      <c r="A6089" s="1">
        <f t="shared" si="1026"/>
        <v>45583</v>
      </c>
      <c r="B6089" s="31">
        <f>TIME(9,44,0)</f>
        <v>0.4055555555555555</v>
      </c>
      <c r="C6089" t="str">
        <f>'Inventory as of 12th Aug 2024'!A57</f>
        <v>Sportsman</v>
      </c>
      <c r="D6089">
        <v>1</v>
      </c>
      <c r="E6089" s="5">
        <f>Table4[[#This Row],[qty]]*(VLOOKUP(Table4[[#This Row],[item_sold]],Table1[],5,FALSE))</f>
        <v>20</v>
      </c>
      <c r="F6089" s="5">
        <f>(VLOOKUP(Table4[[#This Row],[item_sold]],Table1[],4,FALSE))*Table4[[#This Row],[qty]]</f>
        <v>13</v>
      </c>
      <c r="G6089">
        <f t="shared" si="1015"/>
        <v>7</v>
      </c>
      <c r="H6089" t="s">
        <v>402</v>
      </c>
    </row>
    <row r="6090" spans="1:12" x14ac:dyDescent="0.25">
      <c r="A6090" s="1">
        <f t="shared" si="1026"/>
        <v>45583</v>
      </c>
      <c r="B6090" s="31">
        <f t="shared" ref="B6090" si="1027">TIME(9,44,0)</f>
        <v>0.4055555555555555</v>
      </c>
      <c r="C6090" t="str">
        <f>'Inventory as of 12th Aug 2024'!A5</f>
        <v>Airtel 20 Credit</v>
      </c>
      <c r="D6090">
        <v>1</v>
      </c>
      <c r="E6090" s="5">
        <f>Table4[[#This Row],[qty]]*(VLOOKUP(Table4[[#This Row],[item_sold]],Table1[],5,FALSE))</f>
        <v>20</v>
      </c>
      <c r="F6090" s="5">
        <f>(VLOOKUP(Table4[[#This Row],[item_sold]],Table1[],4,FALSE))*Table4[[#This Row],[qty]]</f>
        <v>18</v>
      </c>
      <c r="G6090">
        <f t="shared" si="1015"/>
        <v>2</v>
      </c>
      <c r="H6090" t="s">
        <v>402</v>
      </c>
    </row>
    <row r="6091" spans="1:12" x14ac:dyDescent="0.25">
      <c r="A6091" s="1">
        <f t="shared" si="1026"/>
        <v>45583</v>
      </c>
      <c r="B6091" s="31">
        <f>TIME(10,3,0)</f>
        <v>0.41875000000000001</v>
      </c>
      <c r="C6091" t="str">
        <f>'Inventory as of 12th Aug 2024'!A86</f>
        <v>Downy sunrise fresh</v>
      </c>
      <c r="D6091">
        <v>2</v>
      </c>
      <c r="E6091" s="5">
        <f>Table4[[#This Row],[qty]]*(VLOOKUP(Table4[[#This Row],[item_sold]],Table1[],5,FALSE))</f>
        <v>40</v>
      </c>
      <c r="F6091" s="5">
        <f>(VLOOKUP(Table4[[#This Row],[item_sold]],Table1[],4,FALSE))*Table4[[#This Row],[qty]]</f>
        <v>34.666666666666664</v>
      </c>
      <c r="G6091">
        <f t="shared" si="1015"/>
        <v>5.3333333333333357</v>
      </c>
      <c r="H6091" t="s">
        <v>361</v>
      </c>
    </row>
    <row r="6092" spans="1:12" x14ac:dyDescent="0.25">
      <c r="A6092" s="1">
        <f t="shared" si="1026"/>
        <v>45583</v>
      </c>
      <c r="B6092" s="31">
        <f t="shared" ref="B6092:B6093" si="1028">TIME(10,3,0)</f>
        <v>0.41875000000000001</v>
      </c>
      <c r="C6092" t="str">
        <f>'Inventory as of 12th Aug 2024'!A106</f>
        <v>Steel Wool 15g</v>
      </c>
      <c r="D6092">
        <v>1</v>
      </c>
      <c r="E6092" s="5">
        <f>Table4[[#This Row],[qty]]*(VLOOKUP(Table4[[#This Row],[item_sold]],Table1[],5,FALSE))</f>
        <v>10</v>
      </c>
      <c r="F6092" s="5">
        <f>(VLOOKUP(Table4[[#This Row],[item_sold]],Table1[],4,FALSE))*Table4[[#This Row],[qty]]</f>
        <v>5.2333333333333334</v>
      </c>
      <c r="G6092">
        <f t="shared" si="1015"/>
        <v>4.7666666666666666</v>
      </c>
      <c r="H6092" t="s">
        <v>361</v>
      </c>
    </row>
    <row r="6093" spans="1:12" x14ac:dyDescent="0.25">
      <c r="A6093" s="1">
        <f t="shared" si="1026"/>
        <v>45583</v>
      </c>
      <c r="B6093" s="31">
        <f t="shared" si="1028"/>
        <v>0.41875000000000001</v>
      </c>
      <c r="C6093" t="str">
        <f>'Inventory as of 12th Aug 2024'!A138</f>
        <v>Softcare pads</v>
      </c>
      <c r="D6093">
        <v>1</v>
      </c>
      <c r="E6093" s="5">
        <f>Table4[[#This Row],[qty]]*(VLOOKUP(Table4[[#This Row],[item_sold]],Table1[],5,FALSE))</f>
        <v>85</v>
      </c>
      <c r="F6093" s="5">
        <f>(VLOOKUP(Table4[[#This Row],[item_sold]],Table1[],4,FALSE))*Table4[[#This Row],[qty]]</f>
        <v>66</v>
      </c>
      <c r="G6093">
        <f t="shared" si="1015"/>
        <v>19</v>
      </c>
      <c r="H6093" t="s">
        <v>430</v>
      </c>
      <c r="I6093" t="s">
        <v>390</v>
      </c>
    </row>
    <row r="6094" spans="1:12" x14ac:dyDescent="0.25">
      <c r="A6094" s="1">
        <f t="shared" si="1026"/>
        <v>45583</v>
      </c>
      <c r="B6094" s="31">
        <f>TIME(11,29,0)</f>
        <v>0.47847222222222219</v>
      </c>
      <c r="C6094" t="str">
        <f>'Inventory as of 12th Aug 2024'!A107</f>
        <v>Match Box</v>
      </c>
      <c r="D6094">
        <v>1</v>
      </c>
      <c r="E6094" s="5">
        <f>Table4[[#This Row],[qty]]*(VLOOKUP(Table4[[#This Row],[item_sold]],Table1[],5,FALSE))</f>
        <v>5</v>
      </c>
      <c r="F6094" s="5">
        <f>(VLOOKUP(Table4[[#This Row],[item_sold]],Table1[],4,FALSE))*Table4[[#This Row],[qty]]</f>
        <v>2.3611111111111112</v>
      </c>
      <c r="G6094">
        <f t="shared" si="1015"/>
        <v>2.6388888888888888</v>
      </c>
      <c r="H6094" t="s">
        <v>430</v>
      </c>
      <c r="I6094" t="s">
        <v>456</v>
      </c>
    </row>
    <row r="6095" spans="1:12" x14ac:dyDescent="0.25">
      <c r="A6095" s="1">
        <f t="shared" si="1026"/>
        <v>45583</v>
      </c>
      <c r="B6095" s="31">
        <f>TIME(13,14,0)</f>
        <v>0.55138888888888882</v>
      </c>
      <c r="C6095" t="str">
        <f>'Inventory as of 12th Aug 2024'!A213</f>
        <v>soda 500ml glass</v>
      </c>
      <c r="D6095">
        <v>1</v>
      </c>
      <c r="E6095" s="5">
        <f>Table4[[#This Row],[qty]]*(VLOOKUP(Table4[[#This Row],[item_sold]],Table1[],5,FALSE))</f>
        <v>55</v>
      </c>
      <c r="F6095" s="5">
        <f>(VLOOKUP(Table4[[#This Row],[item_sold]],Table1[],4,FALSE))*Table4[[#This Row],[qty]]</f>
        <v>50</v>
      </c>
      <c r="G6095">
        <f t="shared" si="1015"/>
        <v>5</v>
      </c>
      <c r="H6095" t="s">
        <v>430</v>
      </c>
      <c r="I6095" t="s">
        <v>590</v>
      </c>
    </row>
    <row r="6096" spans="1:12" x14ac:dyDescent="0.25">
      <c r="A6096" s="1">
        <f t="shared" si="1026"/>
        <v>45583</v>
      </c>
      <c r="B6096" s="31">
        <f t="shared" ref="B6096" si="1029">TIME(13,14,0)</f>
        <v>0.55138888888888882</v>
      </c>
      <c r="C6096" t="str">
        <f>'Inventory as of 12th Aug 2024'!A33</f>
        <v>BB Bread 400g</v>
      </c>
      <c r="D6096">
        <v>1</v>
      </c>
      <c r="E6096" s="5">
        <f>Table4[[#This Row],[qty]]*(VLOOKUP(Table4[[#This Row],[item_sold]],Table1[],5,FALSE))</f>
        <v>65</v>
      </c>
      <c r="F6096" s="5">
        <f>(VLOOKUP(Table4[[#This Row],[item_sold]],Table1[],4,FALSE))*Table4[[#This Row],[qty]]</f>
        <v>60</v>
      </c>
      <c r="G6096">
        <f t="shared" si="1015"/>
        <v>5</v>
      </c>
      <c r="H6096" t="s">
        <v>430</v>
      </c>
      <c r="I6096" t="s">
        <v>590</v>
      </c>
    </row>
    <row r="6097" spans="1:12" x14ac:dyDescent="0.25">
      <c r="A6097" s="1">
        <f t="shared" si="1026"/>
        <v>45583</v>
      </c>
      <c r="B6097" s="31">
        <f>TIME(13,15,0)</f>
        <v>0.55208333333333337</v>
      </c>
      <c r="C6097" t="str">
        <f>'Inventory as of 12th Aug 2024'!A193</f>
        <v>Ginger Bisquit</v>
      </c>
      <c r="D6097">
        <v>1</v>
      </c>
      <c r="E6097" s="5">
        <f>Table4[[#This Row],[qty]]*(VLOOKUP(Table4[[#This Row],[item_sold]],Table1[],5,FALSE))</f>
        <v>5</v>
      </c>
      <c r="F6097" s="5">
        <f>(VLOOKUP(Table4[[#This Row],[item_sold]],Table1[],4,FALSE))*Table4[[#This Row],[qty]]</f>
        <v>4.333333333333333</v>
      </c>
      <c r="G6097">
        <f t="shared" si="1015"/>
        <v>0.66666666666666696</v>
      </c>
      <c r="H6097" t="s">
        <v>361</v>
      </c>
    </row>
    <row r="6098" spans="1:12" x14ac:dyDescent="0.25">
      <c r="A6098" s="1">
        <f t="shared" si="1026"/>
        <v>45583</v>
      </c>
      <c r="B6098" s="31">
        <f t="shared" ref="B6098" si="1030">TIME(13,15,0)</f>
        <v>0.55208333333333337</v>
      </c>
      <c r="C6098" t="str">
        <f>'Inventory as of 12th Aug 2024'!A233</f>
        <v>Lollipop</v>
      </c>
      <c r="D6098">
        <v>1</v>
      </c>
      <c r="E6098" s="5">
        <f>Table4[[#This Row],[qty]]*(VLOOKUP(Table4[[#This Row],[item_sold]],Table1[],5,FALSE))</f>
        <v>5</v>
      </c>
      <c r="F6098" s="5">
        <f>(VLOOKUP(Table4[[#This Row],[item_sold]],Table1[],4,FALSE))*Table4[[#This Row],[qty]]</f>
        <v>2.4</v>
      </c>
      <c r="G6098">
        <f t="shared" si="1015"/>
        <v>2.6</v>
      </c>
      <c r="H6098" t="s">
        <v>361</v>
      </c>
    </row>
    <row r="6099" spans="1:12" x14ac:dyDescent="0.25">
      <c r="A6099" s="1">
        <f t="shared" si="1026"/>
        <v>45583</v>
      </c>
      <c r="B6099" s="31">
        <f>TIME(13,33,0)</f>
        <v>0.56458333333333333</v>
      </c>
      <c r="C6099" t="str">
        <f>'Inventory as of 12th Aug 2024'!A83</f>
        <v>omo 75g</v>
      </c>
      <c r="D6099">
        <v>1</v>
      </c>
      <c r="E6099" s="5">
        <f>Table4[[#This Row],[qty]]*(VLOOKUP(Table4[[#This Row],[item_sold]],Table1[],5,FALSE))</f>
        <v>35</v>
      </c>
      <c r="F6099" s="5">
        <f>(VLOOKUP(Table4[[#This Row],[item_sold]],Table1[],4,FALSE))*Table4[[#This Row],[qty]]</f>
        <v>27.5</v>
      </c>
      <c r="G6099">
        <f t="shared" si="1015"/>
        <v>7.5</v>
      </c>
      <c r="H6099" t="s">
        <v>361</v>
      </c>
    </row>
    <row r="6100" spans="1:12" x14ac:dyDescent="0.25">
      <c r="A6100" s="1">
        <f t="shared" si="1026"/>
        <v>45583</v>
      </c>
      <c r="B6100" s="31">
        <f t="shared" ref="B6100" si="1031">TIME(13,33,0)</f>
        <v>0.56458333333333333</v>
      </c>
      <c r="C6100" t="str">
        <f>'Inventory as of 12th Aug 2024'!A231</f>
        <v>Patco</v>
      </c>
      <c r="D6100">
        <v>6</v>
      </c>
      <c r="E6100" s="5">
        <f>Table4[[#This Row],[qty]]*(VLOOKUP(Table4[[#This Row],[item_sold]],Table1[],5,FALSE))</f>
        <v>15</v>
      </c>
      <c r="F6100" s="5">
        <f>(VLOOKUP(Table4[[#This Row],[item_sold]],Table1[],4,FALSE))*Table4[[#This Row],[qty]]</f>
        <v>7.1999999999999993</v>
      </c>
      <c r="G6100">
        <f t="shared" ref="G6100:G6163" si="1032">E6100-F6100</f>
        <v>7.8000000000000007</v>
      </c>
      <c r="H6100" t="s">
        <v>361</v>
      </c>
    </row>
    <row r="6101" spans="1:12" x14ac:dyDescent="0.25">
      <c r="A6101" s="1">
        <f t="shared" si="1026"/>
        <v>45583</v>
      </c>
      <c r="B6101" s="31">
        <f>TIME(13,36,0)</f>
        <v>0.56666666666666665</v>
      </c>
      <c r="C6101" t="str">
        <f>'Inventory as of 12th Aug 2024'!A41</f>
        <v>Indomie beef</v>
      </c>
      <c r="D6101">
        <v>1</v>
      </c>
      <c r="E6101" s="5">
        <f>Table4[[#This Row],[qty]]*(VLOOKUP(Table4[[#This Row],[item_sold]],Table1[],5,FALSE))</f>
        <v>50</v>
      </c>
      <c r="F6101" s="5">
        <f>(VLOOKUP(Table4[[#This Row],[item_sold]],Table1[],4,FALSE))*Table4[[#This Row],[qty]]</f>
        <v>38</v>
      </c>
      <c r="G6101">
        <f t="shared" si="1032"/>
        <v>12</v>
      </c>
      <c r="H6101" t="s">
        <v>361</v>
      </c>
    </row>
    <row r="6102" spans="1:12" x14ac:dyDescent="0.25">
      <c r="A6102" s="1">
        <f t="shared" si="1026"/>
        <v>45583</v>
      </c>
      <c r="B6102" s="31">
        <f t="shared" ref="B6102" si="1033">TIME(13,36,0)</f>
        <v>0.56666666666666665</v>
      </c>
      <c r="C6102" t="str">
        <f>'Inventory as of 12th Aug 2024'!A8</f>
        <v>eggs</v>
      </c>
      <c r="D6102">
        <v>1</v>
      </c>
      <c r="E6102" s="5">
        <f>Table4[[#This Row],[qty]]*(VLOOKUP(Table4[[#This Row],[item_sold]],Table1[],5,FALSE))</f>
        <v>20</v>
      </c>
      <c r="F6102" s="5">
        <f>(VLOOKUP(Table4[[#This Row],[item_sold]],Table1[],4,FALSE))*Table4[[#This Row],[qty]]</f>
        <v>14.333333333333334</v>
      </c>
      <c r="G6102">
        <f t="shared" si="1032"/>
        <v>5.6666666666666661</v>
      </c>
      <c r="H6102" t="s">
        <v>361</v>
      </c>
    </row>
    <row r="6103" spans="1:12" x14ac:dyDescent="0.25">
      <c r="A6103" s="1">
        <f t="shared" si="1026"/>
        <v>45583</v>
      </c>
      <c r="B6103" s="31">
        <f>TIME(14,13,0)</f>
        <v>0.59236111111111112</v>
      </c>
      <c r="C6103" t="str">
        <f>'Inventory as of 12th Aug 2024'!A92</f>
        <v>Banana</v>
      </c>
      <c r="D6103">
        <v>2</v>
      </c>
      <c r="E6103" s="5">
        <f>Table4[[#This Row],[qty]]*(VLOOKUP(Table4[[#This Row],[item_sold]],Table1[],5,FALSE))</f>
        <v>20</v>
      </c>
      <c r="F6103" s="5">
        <f>(VLOOKUP(Table4[[#This Row],[item_sold]],Table1[],4,FALSE))*Table4[[#This Row],[qty]]</f>
        <v>16.666666666666668</v>
      </c>
      <c r="G6103">
        <f t="shared" si="1032"/>
        <v>3.3333333333333321</v>
      </c>
      <c r="H6103" t="s">
        <v>430</v>
      </c>
      <c r="I6103" t="s">
        <v>395</v>
      </c>
    </row>
    <row r="6104" spans="1:12" x14ac:dyDescent="0.25">
      <c r="A6104" s="1">
        <f t="shared" si="1026"/>
        <v>45583</v>
      </c>
      <c r="B6104" s="31">
        <f>TIME(15,43,0)</f>
        <v>0.65486111111111112</v>
      </c>
      <c r="C6104" t="str">
        <f>'Inventory as of 12th Aug 2024'!A199</f>
        <v>Kdf</v>
      </c>
      <c r="D6104">
        <v>1</v>
      </c>
      <c r="E6104" s="5">
        <f>Table4[[#This Row],[qty]]*(VLOOKUP(Table4[[#This Row],[item_sold]],Table1[],5,FALSE))</f>
        <v>10</v>
      </c>
      <c r="F6104" s="5">
        <f>(VLOOKUP(Table4[[#This Row],[item_sold]],Table1[],4,FALSE))*Table4[[#This Row],[qty]]</f>
        <v>8.3333333333333339</v>
      </c>
      <c r="G6104">
        <f t="shared" si="1032"/>
        <v>1.6666666666666661</v>
      </c>
      <c r="H6104" t="s">
        <v>247</v>
      </c>
    </row>
    <row r="6105" spans="1:12" x14ac:dyDescent="0.25">
      <c r="A6105" s="1">
        <f t="shared" si="1026"/>
        <v>45583</v>
      </c>
      <c r="B6105" s="31">
        <f>TIME(16,2,0)</f>
        <v>0.66805555555555562</v>
      </c>
      <c r="C6105" t="str">
        <f>'Inventory as of 12th Aug 2024'!A211</f>
        <v>predator</v>
      </c>
      <c r="D6105">
        <v>1</v>
      </c>
      <c r="E6105" s="5">
        <f>Table4[[#This Row],[qty]]*(VLOOKUP(Table4[[#This Row],[item_sold]],Table1[],5,FALSE))</f>
        <v>70</v>
      </c>
      <c r="F6105" s="5">
        <f>(VLOOKUP(Table4[[#This Row],[item_sold]],Table1[],4,FALSE))*Table4[[#This Row],[qty]]</f>
        <v>54.166666666666664</v>
      </c>
      <c r="G6105">
        <f t="shared" si="1032"/>
        <v>15.833333333333336</v>
      </c>
      <c r="H6105" t="s">
        <v>430</v>
      </c>
      <c r="I6105" t="s">
        <v>409</v>
      </c>
    </row>
    <row r="6106" spans="1:12" x14ac:dyDescent="0.25">
      <c r="A6106" s="1">
        <f t="shared" si="1026"/>
        <v>45583</v>
      </c>
      <c r="B6106" s="31">
        <f>TIME(16,2,0)</f>
        <v>0.66805555555555562</v>
      </c>
      <c r="C6106" t="str">
        <f>'Inventory as of 12th Aug 2024'!A153</f>
        <v>mosquito stick</v>
      </c>
      <c r="D6106">
        <v>4</v>
      </c>
      <c r="E6106" s="5">
        <f>Table4[[#This Row],[qty]]*(VLOOKUP(Table4[[#This Row],[item_sold]],Table1[],5,FALSE))</f>
        <v>40</v>
      </c>
      <c r="F6106" s="5">
        <f>(VLOOKUP(Table4[[#This Row],[item_sold]],Table1[],4,FALSE))*Table4[[#This Row],[qty]]</f>
        <v>36</v>
      </c>
      <c r="G6106">
        <f t="shared" si="1032"/>
        <v>4</v>
      </c>
      <c r="H6106" t="s">
        <v>430</v>
      </c>
      <c r="I6106" t="s">
        <v>409</v>
      </c>
    </row>
    <row r="6107" spans="1:12" x14ac:dyDescent="0.25">
      <c r="A6107" s="1">
        <f t="shared" si="1026"/>
        <v>45583</v>
      </c>
      <c r="B6107" s="31">
        <f>TIME(16,36,0)</f>
        <v>0.69166666666666676</v>
      </c>
      <c r="C6107" t="str">
        <f>'Inventory as of 12th Aug 2024'!A58</f>
        <v>Safari</v>
      </c>
      <c r="D6107">
        <v>1</v>
      </c>
      <c r="E6107" s="5">
        <f>Table4[[#This Row],[qty]]*(VLOOKUP(Table4[[#This Row],[item_sold]],Table1[],5,FALSE))</f>
        <v>15</v>
      </c>
      <c r="F6107" s="5">
        <f>(VLOOKUP(Table4[[#This Row],[item_sold]],Table1[],4,FALSE))*Table4[[#This Row],[qty]]</f>
        <v>8.5</v>
      </c>
      <c r="G6107">
        <f t="shared" si="1032"/>
        <v>6.5</v>
      </c>
      <c r="H6107" t="s">
        <v>430</v>
      </c>
      <c r="I6107" t="s">
        <v>447</v>
      </c>
    </row>
    <row r="6108" spans="1:12" x14ac:dyDescent="0.25">
      <c r="A6108" s="1">
        <f t="shared" si="1026"/>
        <v>45583</v>
      </c>
      <c r="B6108" s="31">
        <f>TIME(18,3,0)</f>
        <v>0.75208333333333333</v>
      </c>
      <c r="C6108" t="str">
        <f>'Inventory as of 12th Aug 2024'!A37</f>
        <v>Festive Bread 400g</v>
      </c>
      <c r="D6108">
        <v>2</v>
      </c>
      <c r="E6108" s="5">
        <f>Table4[[#This Row],[qty]]*(VLOOKUP(Table4[[#This Row],[item_sold]],Table1[],5,FALSE))</f>
        <v>130</v>
      </c>
      <c r="F6108" s="5">
        <f>(VLOOKUP(Table4[[#This Row],[item_sold]],Table1[],4,FALSE))*Table4[[#This Row],[qty]]</f>
        <v>120</v>
      </c>
      <c r="G6108">
        <f t="shared" si="1032"/>
        <v>10</v>
      </c>
      <c r="H6108" t="s">
        <v>247</v>
      </c>
      <c r="J6108" t="s">
        <v>618</v>
      </c>
      <c r="K6108">
        <v>120</v>
      </c>
      <c r="L6108" t="s">
        <v>361</v>
      </c>
    </row>
    <row r="6109" spans="1:12" x14ac:dyDescent="0.25">
      <c r="A6109" s="1">
        <f t="shared" si="1026"/>
        <v>45583</v>
      </c>
      <c r="B6109" s="31">
        <f t="shared" ref="B6109:B6112" si="1034">TIME(18,3,0)</f>
        <v>0.75208333333333333</v>
      </c>
      <c r="C6109" t="str">
        <f>'Inventory as of 12th Aug 2024'!A64</f>
        <v>Tomato paste</v>
      </c>
      <c r="D6109">
        <v>2</v>
      </c>
      <c r="E6109" s="5">
        <f>Table4[[#This Row],[qty]]*(VLOOKUP(Table4[[#This Row],[item_sold]],Table1[],5,FALSE))</f>
        <v>60</v>
      </c>
      <c r="F6109" s="5">
        <f>(VLOOKUP(Table4[[#This Row],[item_sold]],Table1[],4,FALSE))*Table4[[#This Row],[qty]]</f>
        <v>25</v>
      </c>
      <c r="G6109">
        <f t="shared" si="1032"/>
        <v>35</v>
      </c>
      <c r="H6109" t="s">
        <v>247</v>
      </c>
    </row>
    <row r="6110" spans="1:12" x14ac:dyDescent="0.25">
      <c r="A6110" s="1">
        <f t="shared" si="1026"/>
        <v>45583</v>
      </c>
      <c r="B6110" s="31">
        <f t="shared" si="1034"/>
        <v>0.75208333333333333</v>
      </c>
      <c r="C6110" t="str">
        <f>'Inventory as of 12th Aug 2024'!A153</f>
        <v>mosquito stick</v>
      </c>
      <c r="D6110">
        <v>1</v>
      </c>
      <c r="E6110" s="5">
        <f>Table4[[#This Row],[qty]]*(VLOOKUP(Table4[[#This Row],[item_sold]],Table1[],5,FALSE))</f>
        <v>10</v>
      </c>
      <c r="F6110" s="5">
        <f>(VLOOKUP(Table4[[#This Row],[item_sold]],Table1[],4,FALSE))*Table4[[#This Row],[qty]]</f>
        <v>9</v>
      </c>
      <c r="G6110">
        <f t="shared" si="1032"/>
        <v>1</v>
      </c>
      <c r="H6110" t="s">
        <v>430</v>
      </c>
      <c r="I6110" t="s">
        <v>591</v>
      </c>
    </row>
    <row r="6111" spans="1:12" x14ac:dyDescent="0.25">
      <c r="A6111" s="1">
        <f t="shared" si="1026"/>
        <v>45583</v>
      </c>
      <c r="B6111" s="31">
        <f t="shared" si="1034"/>
        <v>0.75208333333333333</v>
      </c>
      <c r="C6111" t="str">
        <f>'Inventory as of 12th Aug 2024'!A219</f>
        <v>candle</v>
      </c>
      <c r="D6111">
        <v>1</v>
      </c>
      <c r="E6111" s="5">
        <f>Table4[[#This Row],[qty]]*(VLOOKUP(Table4[[#This Row],[item_sold]],Table1[],5,FALSE))</f>
        <v>15</v>
      </c>
      <c r="F6111" s="5">
        <f>(VLOOKUP(Table4[[#This Row],[item_sold]],Table1[],4,FALSE))*Table4[[#This Row],[qty]]</f>
        <v>9.375</v>
      </c>
      <c r="G6111">
        <f t="shared" si="1032"/>
        <v>5.625</v>
      </c>
      <c r="H6111" t="s">
        <v>430</v>
      </c>
      <c r="I6111" t="s">
        <v>591</v>
      </c>
    </row>
    <row r="6112" spans="1:12" x14ac:dyDescent="0.25">
      <c r="A6112" s="1">
        <f t="shared" si="1026"/>
        <v>45583</v>
      </c>
      <c r="B6112" s="31">
        <f t="shared" si="1034"/>
        <v>0.75208333333333333</v>
      </c>
      <c r="C6112" t="str">
        <f>'Inventory as of 12th Aug 2024'!A37</f>
        <v>Festive Bread 400g</v>
      </c>
      <c r="D6112">
        <v>1</v>
      </c>
      <c r="E6112" s="5">
        <f>Table4[[#This Row],[qty]]*(VLOOKUP(Table4[[#This Row],[item_sold]],Table1[],5,FALSE))</f>
        <v>65</v>
      </c>
      <c r="F6112" s="5">
        <f>(VLOOKUP(Table4[[#This Row],[item_sold]],Table1[],4,FALSE))*Table4[[#This Row],[qty]]</f>
        <v>60</v>
      </c>
      <c r="G6112">
        <f t="shared" si="1032"/>
        <v>5</v>
      </c>
      <c r="H6112" t="s">
        <v>430</v>
      </c>
      <c r="I6112" t="s">
        <v>591</v>
      </c>
    </row>
    <row r="6113" spans="1:12" x14ac:dyDescent="0.25">
      <c r="A6113" s="1">
        <f t="shared" si="1026"/>
        <v>45583</v>
      </c>
      <c r="B6113" s="31">
        <f>TIME(18,43,0)</f>
        <v>0.77986111111111101</v>
      </c>
      <c r="C6113" t="str">
        <f>'Inventory as of 12th Aug 2024'!A58</f>
        <v>Safari</v>
      </c>
      <c r="D6113">
        <v>1</v>
      </c>
      <c r="E6113" s="5">
        <f>Table4[[#This Row],[qty]]*(VLOOKUP(Table4[[#This Row],[item_sold]],Table1[],5,FALSE))</f>
        <v>15</v>
      </c>
      <c r="F6113" s="5">
        <f>(VLOOKUP(Table4[[#This Row],[item_sold]],Table1[],4,FALSE))*Table4[[#This Row],[qty]]</f>
        <v>8.5</v>
      </c>
      <c r="G6113">
        <f t="shared" si="1032"/>
        <v>6.5</v>
      </c>
      <c r="H6113" t="s">
        <v>430</v>
      </c>
      <c r="I6113" t="s">
        <v>447</v>
      </c>
    </row>
    <row r="6114" spans="1:12" x14ac:dyDescent="0.25">
      <c r="A6114" s="1">
        <f t="shared" si="1026"/>
        <v>45583</v>
      </c>
      <c r="B6114" s="31">
        <f t="shared" ref="B6114" si="1035">TIME(18,43,0)</f>
        <v>0.77986111111111101</v>
      </c>
      <c r="C6114" t="str">
        <f>'Inventory as of 12th Aug 2024'!A16</f>
        <v>Mt kenya milk 500ml</v>
      </c>
      <c r="D6114">
        <v>1</v>
      </c>
      <c r="E6114" s="5">
        <f>Table4[[#This Row],[qty]]*(VLOOKUP(Table4[[#This Row],[item_sold]],Table1[],5,FALSE))</f>
        <v>65</v>
      </c>
      <c r="F6114" s="5">
        <f>(VLOOKUP(Table4[[#This Row],[item_sold]],Table1[],4,FALSE))*Table4[[#This Row],[qty]]</f>
        <v>48.333333333333336</v>
      </c>
      <c r="G6114">
        <f t="shared" si="1032"/>
        <v>16.666666666666664</v>
      </c>
      <c r="H6114" t="s">
        <v>430</v>
      </c>
      <c r="I6114" t="s">
        <v>591</v>
      </c>
    </row>
    <row r="6115" spans="1:12" x14ac:dyDescent="0.25">
      <c r="A6115" s="1">
        <f t="shared" si="1026"/>
        <v>45583</v>
      </c>
      <c r="B6115" s="31">
        <f>TIME(19,11,0)</f>
        <v>0.7993055555555556</v>
      </c>
      <c r="C6115" t="str">
        <f>'Inventory as of 12th Aug 2024'!A91</f>
        <v>Tomatoes</v>
      </c>
      <c r="D6115">
        <v>2</v>
      </c>
      <c r="E6115" s="5">
        <f>Table4[[#This Row],[qty]]*(VLOOKUP(Table4[[#This Row],[item_sold]],Table1[],5,FALSE))</f>
        <v>20</v>
      </c>
      <c r="F6115" s="5">
        <f>(VLOOKUP(Table4[[#This Row],[item_sold]],Table1[],4,FALSE))*Table4[[#This Row],[qty]]</f>
        <v>10</v>
      </c>
      <c r="G6115">
        <f t="shared" si="1032"/>
        <v>10</v>
      </c>
      <c r="H6115" t="s">
        <v>247</v>
      </c>
    </row>
    <row r="6116" spans="1:12" x14ac:dyDescent="0.25">
      <c r="A6116" s="1">
        <f t="shared" si="1026"/>
        <v>45583</v>
      </c>
      <c r="B6116" s="31">
        <f t="shared" ref="B6116" si="1036">TIME(19,11,0)</f>
        <v>0.7993055555555556</v>
      </c>
      <c r="C6116" t="str">
        <f>'Inventory as of 12th Aug 2024'!A7</f>
        <v>Airtel 50 Credit</v>
      </c>
      <c r="D6116">
        <v>1</v>
      </c>
      <c r="E6116" s="5">
        <f>Table4[[#This Row],[qty]]*(VLOOKUP(Table4[[#This Row],[item_sold]],Table1[],5,FALSE))</f>
        <v>50</v>
      </c>
      <c r="F6116" s="5">
        <f>(VLOOKUP(Table4[[#This Row],[item_sold]],Table1[],4,FALSE))*Table4[[#This Row],[qty]]</f>
        <v>47</v>
      </c>
      <c r="G6116">
        <f t="shared" si="1032"/>
        <v>3</v>
      </c>
      <c r="H6116" t="s">
        <v>430</v>
      </c>
      <c r="I6116" t="s">
        <v>591</v>
      </c>
    </row>
    <row r="6117" spans="1:12" x14ac:dyDescent="0.25">
      <c r="A6117" s="1">
        <f t="shared" si="1026"/>
        <v>45583</v>
      </c>
      <c r="B6117" s="31">
        <f>TIME(19,44,0)</f>
        <v>0.8222222222222223</v>
      </c>
      <c r="C6117" t="str">
        <f>'Inventory as of 12th Aug 2024'!A211</f>
        <v>predator</v>
      </c>
      <c r="D6117">
        <v>1</v>
      </c>
      <c r="E6117" s="5">
        <f>Table4[[#This Row],[qty]]*(VLOOKUP(Table4[[#This Row],[item_sold]],Table1[],5,FALSE))</f>
        <v>70</v>
      </c>
      <c r="F6117" s="5">
        <f>(VLOOKUP(Table4[[#This Row],[item_sold]],Table1[],4,FALSE))*Table4[[#This Row],[qty]]</f>
        <v>54.166666666666664</v>
      </c>
      <c r="G6117">
        <f t="shared" si="1032"/>
        <v>15.833333333333336</v>
      </c>
      <c r="H6117" t="s">
        <v>361</v>
      </c>
      <c r="J6117" t="s">
        <v>409</v>
      </c>
      <c r="K6117">
        <v>150</v>
      </c>
      <c r="L6117" t="s">
        <v>361</v>
      </c>
    </row>
    <row r="6118" spans="1:12" x14ac:dyDescent="0.25">
      <c r="A6118" s="1">
        <f t="shared" si="1026"/>
        <v>45583</v>
      </c>
      <c r="B6118" s="31">
        <f>TIME(20,2,0)</f>
        <v>0.83472222222222225</v>
      </c>
      <c r="C6118" t="str">
        <f>'Inventory as of 12th Aug 2024'!A61</f>
        <v>kensalt 500g</v>
      </c>
      <c r="D6118">
        <v>1</v>
      </c>
      <c r="E6118" s="5">
        <f>Table4[[#This Row],[qty]]*(VLOOKUP(Table4[[#This Row],[item_sold]],Table1[],5,FALSE))</f>
        <v>25</v>
      </c>
      <c r="F6118" s="5">
        <f>(VLOOKUP(Table4[[#This Row],[item_sold]],Table1[],4,FALSE))*Table4[[#This Row],[qty]]</f>
        <v>14</v>
      </c>
      <c r="G6118">
        <f t="shared" si="1032"/>
        <v>11</v>
      </c>
      <c r="H6118" t="s">
        <v>361</v>
      </c>
    </row>
    <row r="6119" spans="1:12" x14ac:dyDescent="0.25">
      <c r="A6119" s="1">
        <f t="shared" si="1026"/>
        <v>45583</v>
      </c>
      <c r="B6119" s="31">
        <f>TIME(20,3,0)</f>
        <v>0.8354166666666667</v>
      </c>
      <c r="C6119" t="str">
        <f>'Inventory as of 12th Aug 2024'!A6</f>
        <v>Airtel 10 Credit</v>
      </c>
      <c r="D6119">
        <v>1</v>
      </c>
      <c r="E6119" s="5">
        <f>Table4[[#This Row],[qty]]*(VLOOKUP(Table4[[#This Row],[item_sold]],Table1[],5,FALSE))</f>
        <v>10</v>
      </c>
      <c r="F6119" s="5">
        <f>(VLOOKUP(Table4[[#This Row],[item_sold]],Table1[],4,FALSE))*Table4[[#This Row],[qty]]</f>
        <v>9</v>
      </c>
      <c r="G6119">
        <f t="shared" si="1032"/>
        <v>1</v>
      </c>
      <c r="H6119" t="s">
        <v>361</v>
      </c>
      <c r="J6119" t="s">
        <v>591</v>
      </c>
      <c r="K6119">
        <v>210</v>
      </c>
      <c r="L6119" t="s">
        <v>361</v>
      </c>
    </row>
    <row r="6120" spans="1:12" x14ac:dyDescent="0.25">
      <c r="A6120" s="1">
        <f t="shared" si="1026"/>
        <v>45583</v>
      </c>
      <c r="B6120" s="31">
        <f t="shared" ref="B6120:B6121" si="1037">TIME(20,3,0)</f>
        <v>0.8354166666666667</v>
      </c>
      <c r="C6120" t="str">
        <f>'Inventory as of 12th Aug 2024'!A10</f>
        <v>Mt Kenya milk 200ml</v>
      </c>
      <c r="D6120">
        <v>1</v>
      </c>
      <c r="E6120" s="5">
        <f>Table4[[#This Row],[qty]]*(VLOOKUP(Table4[[#This Row],[item_sold]],Table1[],5,FALSE))</f>
        <v>35</v>
      </c>
      <c r="F6120" s="5">
        <f>(VLOOKUP(Table4[[#This Row],[item_sold]],Table1[],4,FALSE))*Table4[[#This Row],[qty]]</f>
        <v>24.285714285714285</v>
      </c>
      <c r="G6120">
        <f t="shared" si="1032"/>
        <v>10.714285714285715</v>
      </c>
      <c r="H6120" t="s">
        <v>361</v>
      </c>
    </row>
    <row r="6121" spans="1:12" x14ac:dyDescent="0.25">
      <c r="A6121" s="1">
        <f t="shared" si="1026"/>
        <v>45583</v>
      </c>
      <c r="B6121" s="31">
        <f t="shared" si="1037"/>
        <v>0.8354166666666667</v>
      </c>
      <c r="C6121" t="str">
        <f>'Inventory as of 12th Aug 2024'!A246</f>
        <v>300ml water</v>
      </c>
      <c r="D6121">
        <v>1</v>
      </c>
      <c r="E6121" s="5">
        <f>Table4[[#This Row],[qty]]*(VLOOKUP(Table4[[#This Row],[item_sold]],Table1[],5,FALSE))</f>
        <v>30</v>
      </c>
      <c r="F6121" s="5">
        <f>(VLOOKUP(Table4[[#This Row],[item_sold]],Table1[],4,FALSE))*Table4[[#This Row],[qty]]</f>
        <v>12.5</v>
      </c>
      <c r="G6121">
        <f t="shared" si="1032"/>
        <v>17.5</v>
      </c>
      <c r="H6121" t="s">
        <v>361</v>
      </c>
    </row>
    <row r="6122" spans="1:12" x14ac:dyDescent="0.25">
      <c r="A6122" s="1">
        <f>DATE(2024,10,19)</f>
        <v>45584</v>
      </c>
      <c r="B6122" s="31">
        <f>TIME(8,27,0)</f>
        <v>0.3520833333333333</v>
      </c>
      <c r="C6122" t="str">
        <f>'Inventory as of 12th Aug 2024'!A16</f>
        <v>Mt kenya milk 500ml</v>
      </c>
      <c r="D6122">
        <v>4</v>
      </c>
      <c r="E6122" s="5">
        <f>Table4[[#This Row],[qty]]*(VLOOKUP(Table4[[#This Row],[item_sold]],Table1[],5,FALSE))</f>
        <v>260</v>
      </c>
      <c r="F6122" s="5">
        <f>(VLOOKUP(Table4[[#This Row],[item_sold]],Table1[],4,FALSE))*Table4[[#This Row],[qty]]</f>
        <v>193.33333333333334</v>
      </c>
      <c r="G6122">
        <f t="shared" si="1032"/>
        <v>66.666666666666657</v>
      </c>
      <c r="H6122" t="s">
        <v>247</v>
      </c>
    </row>
    <row r="6123" spans="1:12" x14ac:dyDescent="0.25">
      <c r="A6123" s="1">
        <f t="shared" ref="A6123:A6158" si="1038">DATE(2024,10,19)</f>
        <v>45584</v>
      </c>
      <c r="B6123" s="31">
        <f>TIME(8,31,0)</f>
        <v>0.35486111111111113</v>
      </c>
      <c r="C6123" t="str">
        <f>'Inventory as of 12th Aug 2024'!A7</f>
        <v>Airtel 50 Credit</v>
      </c>
      <c r="D6123">
        <v>2</v>
      </c>
      <c r="E6123" s="5">
        <f>Table4[[#This Row],[qty]]*(VLOOKUP(Table4[[#This Row],[item_sold]],Table1[],5,FALSE))</f>
        <v>100</v>
      </c>
      <c r="F6123" s="5">
        <f>(VLOOKUP(Table4[[#This Row],[item_sold]],Table1[],4,FALSE))*Table4[[#This Row],[qty]]</f>
        <v>94</v>
      </c>
      <c r="G6123">
        <f t="shared" si="1032"/>
        <v>6</v>
      </c>
      <c r="H6123" t="s">
        <v>247</v>
      </c>
    </row>
    <row r="6124" spans="1:12" x14ac:dyDescent="0.25">
      <c r="A6124" s="1">
        <f t="shared" si="1038"/>
        <v>45584</v>
      </c>
      <c r="B6124" s="31">
        <f t="shared" ref="B6124:B6128" si="1039">TIME(8,31,0)</f>
        <v>0.35486111111111113</v>
      </c>
      <c r="C6124" t="str">
        <f>'Inventory as of 12th Aug 2024'!A244</f>
        <v>5ltrs water</v>
      </c>
      <c r="D6124">
        <v>1</v>
      </c>
      <c r="E6124" s="5">
        <f>Table4[[#This Row],[qty]]*(VLOOKUP(Table4[[#This Row],[item_sold]],Table1[],5,FALSE))</f>
        <v>120</v>
      </c>
      <c r="F6124" s="5">
        <f>(VLOOKUP(Table4[[#This Row],[item_sold]],Table1[],4,FALSE))*Table4[[#This Row],[qty]]</f>
        <v>75</v>
      </c>
      <c r="G6124">
        <f t="shared" si="1032"/>
        <v>45</v>
      </c>
      <c r="H6124" t="s">
        <v>247</v>
      </c>
    </row>
    <row r="6125" spans="1:12" x14ac:dyDescent="0.25">
      <c r="A6125" s="1">
        <f t="shared" si="1038"/>
        <v>45584</v>
      </c>
      <c r="B6125" s="31">
        <f t="shared" si="1039"/>
        <v>0.35486111111111113</v>
      </c>
      <c r="C6125" t="str">
        <f>'Inventory as of 12th Aug 2024'!A214</f>
        <v>smash juice</v>
      </c>
      <c r="D6125">
        <v>3</v>
      </c>
      <c r="E6125" s="5">
        <f>Table4[[#This Row],[qty]]*(VLOOKUP(Table4[[#This Row],[item_sold]],Table1[],5,FALSE))</f>
        <v>60</v>
      </c>
      <c r="F6125" s="5">
        <f>(VLOOKUP(Table4[[#This Row],[item_sold]],Table1[],4,FALSE))*Table4[[#This Row],[qty]]</f>
        <v>45</v>
      </c>
      <c r="G6125">
        <f t="shared" si="1032"/>
        <v>15</v>
      </c>
      <c r="H6125" t="s">
        <v>247</v>
      </c>
    </row>
    <row r="6126" spans="1:12" x14ac:dyDescent="0.25">
      <c r="A6126" s="1">
        <f t="shared" si="1038"/>
        <v>45584</v>
      </c>
      <c r="B6126" s="31">
        <f t="shared" si="1039"/>
        <v>0.35486111111111113</v>
      </c>
      <c r="C6126" t="str">
        <f>'Inventory as of 12th Aug 2024'!A267</f>
        <v>Ting Ting</v>
      </c>
      <c r="D6126">
        <v>2</v>
      </c>
      <c r="E6126" s="5">
        <f>Table4[[#This Row],[qty]]*(VLOOKUP(Table4[[#This Row],[item_sold]],Table1[],5,FALSE))</f>
        <v>10</v>
      </c>
      <c r="F6126" s="5">
        <f>(VLOOKUP(Table4[[#This Row],[item_sold]],Table1[],4,FALSE))*Table4[[#This Row],[qty]]</f>
        <v>8.1199999999999992</v>
      </c>
      <c r="G6126">
        <f t="shared" si="1032"/>
        <v>1.8800000000000008</v>
      </c>
      <c r="H6126" t="s">
        <v>247</v>
      </c>
    </row>
    <row r="6127" spans="1:12" x14ac:dyDescent="0.25">
      <c r="A6127" s="1">
        <f t="shared" si="1038"/>
        <v>45584</v>
      </c>
      <c r="B6127" s="31">
        <f t="shared" si="1039"/>
        <v>0.35486111111111113</v>
      </c>
      <c r="C6127" t="str">
        <f>'Inventory as of 12th Aug 2024'!A233</f>
        <v>Lollipop</v>
      </c>
      <c r="D6127">
        <v>2</v>
      </c>
      <c r="E6127" s="5">
        <f>Table4[[#This Row],[qty]]*(VLOOKUP(Table4[[#This Row],[item_sold]],Table1[],5,FALSE))</f>
        <v>10</v>
      </c>
      <c r="F6127" s="5">
        <f>(VLOOKUP(Table4[[#This Row],[item_sold]],Table1[],4,FALSE))*Table4[[#This Row],[qty]]</f>
        <v>4.8</v>
      </c>
      <c r="G6127">
        <f t="shared" si="1032"/>
        <v>5.2</v>
      </c>
      <c r="H6127" t="s">
        <v>247</v>
      </c>
    </row>
    <row r="6128" spans="1:12" x14ac:dyDescent="0.25">
      <c r="A6128" s="1">
        <f t="shared" si="1038"/>
        <v>45584</v>
      </c>
      <c r="B6128" s="31">
        <f t="shared" si="1039"/>
        <v>0.35486111111111113</v>
      </c>
      <c r="C6128" t="str">
        <f>'Inventory as of 12th Aug 2024'!A172</f>
        <v>Carrier bag small</v>
      </c>
      <c r="D6128">
        <v>1</v>
      </c>
      <c r="E6128" s="5">
        <f>Table4[[#This Row],[qty]]*(VLOOKUP(Table4[[#This Row],[item_sold]],Table1[],5,FALSE))</f>
        <v>10</v>
      </c>
      <c r="F6128" s="5">
        <f>(VLOOKUP(Table4[[#This Row],[item_sold]],Table1[],4,FALSE))*Table4[[#This Row],[qty]]</f>
        <v>3</v>
      </c>
      <c r="G6128">
        <f t="shared" si="1032"/>
        <v>7</v>
      </c>
      <c r="H6128" t="s">
        <v>247</v>
      </c>
    </row>
    <row r="6129" spans="1:9" x14ac:dyDescent="0.25">
      <c r="A6129" s="1">
        <f t="shared" si="1038"/>
        <v>45584</v>
      </c>
      <c r="B6129" s="31">
        <f>TIME(9,34,0)</f>
        <v>0.39861111111111108</v>
      </c>
      <c r="C6129" t="str">
        <f>'Inventory as of 12th Aug 2024'!A58</f>
        <v>Safari</v>
      </c>
      <c r="D6129">
        <v>1</v>
      </c>
      <c r="E6129" s="5">
        <f>Table4[[#This Row],[qty]]*(VLOOKUP(Table4[[#This Row],[item_sold]],Table1[],5,FALSE))</f>
        <v>15</v>
      </c>
      <c r="F6129" s="5">
        <f>(VLOOKUP(Table4[[#This Row],[item_sold]],Table1[],4,FALSE))*Table4[[#This Row],[qty]]</f>
        <v>8.5</v>
      </c>
      <c r="G6129">
        <f t="shared" si="1032"/>
        <v>6.5</v>
      </c>
      <c r="H6129" s="25" t="s">
        <v>430</v>
      </c>
    </row>
    <row r="6130" spans="1:9" x14ac:dyDescent="0.25">
      <c r="A6130" s="1">
        <f t="shared" si="1038"/>
        <v>45584</v>
      </c>
      <c r="B6130" s="31">
        <f>TIME(10,10,0)</f>
        <v>0.4236111111111111</v>
      </c>
      <c r="C6130" t="str">
        <f>'Inventory as of 12th Aug 2024'!A37</f>
        <v>Festive Bread 400g</v>
      </c>
      <c r="D6130">
        <v>1</v>
      </c>
      <c r="E6130" s="5">
        <f>Table4[[#This Row],[qty]]*(VLOOKUP(Table4[[#This Row],[item_sold]],Table1[],5,FALSE))</f>
        <v>65</v>
      </c>
      <c r="F6130" s="5">
        <f>(VLOOKUP(Table4[[#This Row],[item_sold]],Table1[],4,FALSE))*Table4[[#This Row],[qty]]</f>
        <v>60</v>
      </c>
      <c r="G6130">
        <f t="shared" si="1032"/>
        <v>5</v>
      </c>
      <c r="H6130" t="s">
        <v>247</v>
      </c>
    </row>
    <row r="6131" spans="1:9" x14ac:dyDescent="0.25">
      <c r="A6131" s="1">
        <f t="shared" si="1038"/>
        <v>45584</v>
      </c>
      <c r="B6131" s="31">
        <f>TIME(11,0,0)</f>
        <v>0.45833333333333331</v>
      </c>
      <c r="C6131" t="str">
        <f>'Inventory as of 12th Aug 2024'!A231</f>
        <v>Patco</v>
      </c>
      <c r="D6131">
        <v>8</v>
      </c>
      <c r="E6131" s="5">
        <f>Table4[[#This Row],[qty]]*(VLOOKUP(Table4[[#This Row],[item_sold]],Table1[],5,FALSE))</f>
        <v>20</v>
      </c>
      <c r="F6131" s="5">
        <f>(VLOOKUP(Table4[[#This Row],[item_sold]],Table1[],4,FALSE))*Table4[[#This Row],[qty]]</f>
        <v>9.6</v>
      </c>
      <c r="G6131">
        <f t="shared" si="1032"/>
        <v>10.4</v>
      </c>
      <c r="H6131" t="s">
        <v>247</v>
      </c>
    </row>
    <row r="6132" spans="1:9" x14ac:dyDescent="0.25">
      <c r="A6132" s="1">
        <f t="shared" si="1038"/>
        <v>45584</v>
      </c>
      <c r="B6132" s="31">
        <f t="shared" ref="B6132" si="1040">TIME(11,0,0)</f>
        <v>0.45833333333333331</v>
      </c>
      <c r="C6132" t="str">
        <f>'Inventory as of 12th Aug 2024'!A33</f>
        <v>BB Bread 400g</v>
      </c>
      <c r="D6132">
        <v>1</v>
      </c>
      <c r="E6132" s="5">
        <f>Table4[[#This Row],[qty]]*(VLOOKUP(Table4[[#This Row],[item_sold]],Table1[],5,FALSE))</f>
        <v>65</v>
      </c>
      <c r="F6132" s="5">
        <f>(VLOOKUP(Table4[[#This Row],[item_sold]],Table1[],4,FALSE))*Table4[[#This Row],[qty]]</f>
        <v>60</v>
      </c>
      <c r="G6132">
        <f t="shared" si="1032"/>
        <v>5</v>
      </c>
      <c r="H6132" t="s">
        <v>430</v>
      </c>
      <c r="I6132" t="s">
        <v>394</v>
      </c>
    </row>
    <row r="6133" spans="1:9" x14ac:dyDescent="0.25">
      <c r="A6133" s="1">
        <f t="shared" si="1038"/>
        <v>45584</v>
      </c>
      <c r="B6133" s="31">
        <f>TIME(11,12,0)</f>
        <v>0.46666666666666662</v>
      </c>
      <c r="C6133" t="str">
        <f>'Inventory as of 12th Aug 2024'!A240</f>
        <v>Bigboss</v>
      </c>
      <c r="D6133">
        <v>3</v>
      </c>
      <c r="E6133" s="5">
        <f>Table4[[#This Row],[qty]]*(VLOOKUP(Table4[[#This Row],[item_sold]],Table1[],5,FALSE))</f>
        <v>15</v>
      </c>
      <c r="F6133" s="5">
        <f>(VLOOKUP(Table4[[#This Row],[item_sold]],Table1[],4,FALSE))*Table4[[#This Row],[qty]]</f>
        <v>10.5</v>
      </c>
      <c r="G6133">
        <f t="shared" si="1032"/>
        <v>4.5</v>
      </c>
      <c r="H6133" t="s">
        <v>247</v>
      </c>
    </row>
    <row r="6134" spans="1:9" x14ac:dyDescent="0.25">
      <c r="A6134" s="1">
        <f t="shared" si="1038"/>
        <v>45584</v>
      </c>
      <c r="B6134" s="31">
        <f>TIME(13,33,0)</f>
        <v>0.56458333333333333</v>
      </c>
      <c r="C6134" t="str">
        <f>'Inventory as of 12th Aug 2024'!A8</f>
        <v>eggs</v>
      </c>
      <c r="D6134">
        <v>2</v>
      </c>
      <c r="E6134" s="5">
        <f>Table4[[#This Row],[qty]]*(VLOOKUP(Table4[[#This Row],[item_sold]],Table1[],5,FALSE))</f>
        <v>40</v>
      </c>
      <c r="F6134" s="5">
        <f>(VLOOKUP(Table4[[#This Row],[item_sold]],Table1[],4,FALSE))*Table4[[#This Row],[qty]]</f>
        <v>28.666666666666668</v>
      </c>
      <c r="G6134">
        <f t="shared" si="1032"/>
        <v>11.333333333333332</v>
      </c>
      <c r="H6134" t="s">
        <v>361</v>
      </c>
    </row>
    <row r="6135" spans="1:9" x14ac:dyDescent="0.25">
      <c r="A6135" s="1">
        <f t="shared" si="1038"/>
        <v>45584</v>
      </c>
      <c r="B6135" s="31">
        <f t="shared" ref="B6135" si="1041">TIME(13,33,0)</f>
        <v>0.56458333333333333</v>
      </c>
      <c r="C6135" t="str">
        <f>'Inventory as of 12th Aug 2024'!A90</f>
        <v>Onion</v>
      </c>
      <c r="D6135">
        <v>1</v>
      </c>
      <c r="E6135" s="5">
        <f>Table4[[#This Row],[qty]]*(VLOOKUP(Table4[[#This Row],[item_sold]],Table1[],5,FALSE))</f>
        <v>10</v>
      </c>
      <c r="F6135" s="5">
        <f>(VLOOKUP(Table4[[#This Row],[item_sold]],Table1[],4,FALSE))*Table4[[#This Row],[qty]]</f>
        <v>8</v>
      </c>
      <c r="G6135">
        <f t="shared" si="1032"/>
        <v>2</v>
      </c>
      <c r="H6135" t="s">
        <v>361</v>
      </c>
    </row>
    <row r="6136" spans="1:9" x14ac:dyDescent="0.25">
      <c r="A6136" s="1">
        <f t="shared" si="1038"/>
        <v>45584</v>
      </c>
      <c r="B6136" s="31">
        <f>TIME(15,18,0)</f>
        <v>0.63750000000000007</v>
      </c>
      <c r="C6136" t="str">
        <f>'Inventory as of 12th Aug 2024'!A186</f>
        <v>Glucose 50g</v>
      </c>
      <c r="D6136">
        <v>2</v>
      </c>
      <c r="E6136" s="5">
        <f>Table4[[#This Row],[qty]]*(VLOOKUP(Table4[[#This Row],[item_sold]],Table1[],5,FALSE))</f>
        <v>60</v>
      </c>
      <c r="F6136" s="5">
        <f>(VLOOKUP(Table4[[#This Row],[item_sold]],Table1[],4,FALSE))*Table4[[#This Row],[qty]]</f>
        <v>31.666666666666668</v>
      </c>
      <c r="G6136">
        <f t="shared" si="1032"/>
        <v>28.333333333333332</v>
      </c>
      <c r="H6136" t="s">
        <v>247</v>
      </c>
    </row>
    <row r="6137" spans="1:9" x14ac:dyDescent="0.25">
      <c r="A6137" s="1">
        <f t="shared" si="1038"/>
        <v>45584</v>
      </c>
      <c r="B6137" s="31">
        <f>TIME(15,33,0)</f>
        <v>0.6479166666666667</v>
      </c>
      <c r="C6137" t="str">
        <f>'Inventory as of 12th Aug 2024'!A16</f>
        <v>Mt kenya milk 500ml</v>
      </c>
      <c r="D6137">
        <v>1</v>
      </c>
      <c r="E6137" s="5">
        <f>Table4[[#This Row],[qty]]*(VLOOKUP(Table4[[#This Row],[item_sold]],Table1[],5,FALSE))</f>
        <v>65</v>
      </c>
      <c r="F6137" s="5">
        <f>(VLOOKUP(Table4[[#This Row],[item_sold]],Table1[],4,FALSE))*Table4[[#This Row],[qty]]</f>
        <v>48.333333333333336</v>
      </c>
      <c r="G6137">
        <f t="shared" si="1032"/>
        <v>16.666666666666664</v>
      </c>
      <c r="H6137" t="s">
        <v>402</v>
      </c>
    </row>
    <row r="6138" spans="1:9" x14ac:dyDescent="0.25">
      <c r="A6138" s="1">
        <f t="shared" si="1038"/>
        <v>45584</v>
      </c>
      <c r="B6138" s="31">
        <f t="shared" ref="B6138:B6140" si="1042">TIME(15,33,0)</f>
        <v>0.6479166666666667</v>
      </c>
      <c r="C6138" t="str">
        <f>'Inventory as of 12th Aug 2024'!A179</f>
        <v>Bitez</v>
      </c>
      <c r="D6138">
        <v>1</v>
      </c>
      <c r="E6138" s="5">
        <f>Table4[[#This Row],[qty]]*(VLOOKUP(Table4[[#This Row],[item_sold]],Table1[],5,FALSE))</f>
        <v>15</v>
      </c>
      <c r="F6138" s="5">
        <f>(VLOOKUP(Table4[[#This Row],[item_sold]],Table1[],4,FALSE))*Table4[[#This Row],[qty]]</f>
        <v>8.8000000000000007</v>
      </c>
      <c r="G6138">
        <f t="shared" si="1032"/>
        <v>6.1999999999999993</v>
      </c>
      <c r="H6138" t="s">
        <v>402</v>
      </c>
    </row>
    <row r="6139" spans="1:9" x14ac:dyDescent="0.25">
      <c r="A6139" s="1">
        <f t="shared" si="1038"/>
        <v>45584</v>
      </c>
      <c r="B6139" s="31">
        <f t="shared" si="1042"/>
        <v>0.6479166666666667</v>
      </c>
      <c r="C6139" t="str">
        <f>'Inventory as of 12th Aug 2024'!A154</f>
        <v>toothpick</v>
      </c>
      <c r="D6139">
        <v>1</v>
      </c>
      <c r="E6139" s="5">
        <f>Table4[[#This Row],[qty]]*(VLOOKUP(Table4[[#This Row],[item_sold]],Table1[],5,FALSE))</f>
        <v>20</v>
      </c>
      <c r="F6139" s="5">
        <f>(VLOOKUP(Table4[[#This Row],[item_sold]],Table1[],4,FALSE))*Table4[[#This Row],[qty]]</f>
        <v>15</v>
      </c>
      <c r="G6139">
        <f t="shared" si="1032"/>
        <v>5</v>
      </c>
      <c r="H6139" t="s">
        <v>402</v>
      </c>
    </row>
    <row r="6140" spans="1:9" x14ac:dyDescent="0.25">
      <c r="A6140" s="1">
        <f t="shared" si="1038"/>
        <v>45584</v>
      </c>
      <c r="B6140" s="31">
        <f t="shared" si="1042"/>
        <v>0.6479166666666667</v>
      </c>
      <c r="C6140" t="str">
        <f>'Inventory as of 12th Aug 2024'!A240</f>
        <v>Bigboss</v>
      </c>
      <c r="D6140">
        <v>1</v>
      </c>
      <c r="E6140" s="5">
        <f>Table4[[#This Row],[qty]]*(VLOOKUP(Table4[[#This Row],[item_sold]],Table1[],5,FALSE))</f>
        <v>5</v>
      </c>
      <c r="F6140" s="5">
        <f>(VLOOKUP(Table4[[#This Row],[item_sold]],Table1[],4,FALSE))*Table4[[#This Row],[qty]]</f>
        <v>3.5</v>
      </c>
      <c r="G6140">
        <f t="shared" si="1032"/>
        <v>1.5</v>
      </c>
      <c r="H6140" t="s">
        <v>402</v>
      </c>
    </row>
    <row r="6141" spans="1:9" x14ac:dyDescent="0.25">
      <c r="A6141" s="1">
        <f t="shared" si="1038"/>
        <v>45584</v>
      </c>
      <c r="B6141" s="31">
        <f>TIME(16,7,0)</f>
        <v>0.67152777777777783</v>
      </c>
      <c r="C6141" t="str">
        <f>'Inventory as of 12th Aug 2024'!A178</f>
        <v>Ringoz Paprika</v>
      </c>
      <c r="D6141">
        <v>3</v>
      </c>
      <c r="E6141" s="5">
        <f>Table4[[#This Row],[qty]]*(VLOOKUP(Table4[[#This Row],[item_sold]],Table1[],5,FALSE))</f>
        <v>45</v>
      </c>
      <c r="F6141" s="5">
        <f>(VLOOKUP(Table4[[#This Row],[item_sold]],Table1[],4,FALSE))*Table4[[#This Row],[qty]]</f>
        <v>26.400000000000002</v>
      </c>
      <c r="G6141">
        <f t="shared" si="1032"/>
        <v>18.599999999999998</v>
      </c>
      <c r="H6141" t="s">
        <v>247</v>
      </c>
    </row>
    <row r="6142" spans="1:9" x14ac:dyDescent="0.25">
      <c r="A6142" s="1">
        <f t="shared" si="1038"/>
        <v>45584</v>
      </c>
      <c r="B6142" s="31">
        <f>TIME(16,51,0)</f>
        <v>0.70208333333333339</v>
      </c>
      <c r="C6142" t="str">
        <f>'Inventory as of 12th Aug 2024'!A121</f>
        <v>Panadol Extra</v>
      </c>
      <c r="D6142">
        <v>1</v>
      </c>
      <c r="E6142" s="5">
        <f>Table4[[#This Row],[qty]]*(VLOOKUP(Table4[[#This Row],[item_sold]],Table1[],5,FALSE))</f>
        <v>20</v>
      </c>
      <c r="F6142" s="5">
        <f>(VLOOKUP(Table4[[#This Row],[item_sold]],Table1[],4,FALSE))*Table4[[#This Row],[qty]]</f>
        <v>13</v>
      </c>
      <c r="G6142">
        <f t="shared" si="1032"/>
        <v>7</v>
      </c>
      <c r="H6142" t="s">
        <v>361</v>
      </c>
    </row>
    <row r="6143" spans="1:9" x14ac:dyDescent="0.25">
      <c r="A6143" s="1">
        <f t="shared" si="1038"/>
        <v>45584</v>
      </c>
      <c r="B6143" s="31">
        <f>TIME(16,58,0)</f>
        <v>0.70694444444444438</v>
      </c>
      <c r="C6143" t="str">
        <f>'Inventory as of 12th Aug 2024'!A5</f>
        <v>Airtel 20 Credit</v>
      </c>
      <c r="D6143">
        <v>1</v>
      </c>
      <c r="E6143" s="5">
        <f>Table4[[#This Row],[qty]]*(VLOOKUP(Table4[[#This Row],[item_sold]],Table1[],5,FALSE))</f>
        <v>20</v>
      </c>
      <c r="F6143" s="5">
        <f>(VLOOKUP(Table4[[#This Row],[item_sold]],Table1[],4,FALSE))*Table4[[#This Row],[qty]]</f>
        <v>18</v>
      </c>
      <c r="G6143">
        <f t="shared" si="1032"/>
        <v>2</v>
      </c>
      <c r="H6143" t="s">
        <v>247</v>
      </c>
    </row>
    <row r="6144" spans="1:9" x14ac:dyDescent="0.25">
      <c r="A6144" s="1">
        <f t="shared" si="1038"/>
        <v>45584</v>
      </c>
      <c r="B6144" s="31">
        <f>TIME(17,44,0)</f>
        <v>0.73888888888888893</v>
      </c>
      <c r="C6144" t="str">
        <f>'Inventory as of 12th Aug 2024'!A2</f>
        <v>Safaricom 20 Credit</v>
      </c>
      <c r="D6144">
        <v>1</v>
      </c>
      <c r="E6144" s="5">
        <f>Table4[[#This Row],[qty]]*(VLOOKUP(Table4[[#This Row],[item_sold]],Table1[],5,FALSE))</f>
        <v>20</v>
      </c>
      <c r="F6144" s="5">
        <f>(VLOOKUP(Table4[[#This Row],[item_sold]],Table1[],4,FALSE))*Table4[[#This Row],[qty]]</f>
        <v>18</v>
      </c>
      <c r="G6144">
        <f t="shared" si="1032"/>
        <v>2</v>
      </c>
      <c r="H6144" t="s">
        <v>361</v>
      </c>
    </row>
    <row r="6145" spans="1:12" x14ac:dyDescent="0.25">
      <c r="A6145" s="1">
        <f t="shared" si="1038"/>
        <v>45584</v>
      </c>
      <c r="B6145" s="31">
        <f t="shared" ref="B6145" si="1043">TIME(17,44,0)</f>
        <v>0.73888888888888893</v>
      </c>
      <c r="C6145" t="str">
        <f>'Inventory as of 12th Aug 2024'!A92</f>
        <v>Banana</v>
      </c>
      <c r="D6145">
        <v>10</v>
      </c>
      <c r="E6145" s="5">
        <f>Table4[[#This Row],[qty]]*(VLOOKUP(Table4[[#This Row],[item_sold]],Table1[],5,FALSE))</f>
        <v>100</v>
      </c>
      <c r="F6145" s="5">
        <f>(VLOOKUP(Table4[[#This Row],[item_sold]],Table1[],4,FALSE))*Table4[[#This Row],[qty]]</f>
        <v>83.333333333333343</v>
      </c>
      <c r="G6145">
        <f t="shared" si="1032"/>
        <v>16.666666666666657</v>
      </c>
      <c r="H6145" t="s">
        <v>430</v>
      </c>
      <c r="I6145" t="s">
        <v>390</v>
      </c>
    </row>
    <row r="6146" spans="1:12" x14ac:dyDescent="0.25">
      <c r="A6146" s="1">
        <f t="shared" si="1038"/>
        <v>45584</v>
      </c>
      <c r="B6146" s="31">
        <f>TIME(17,49,0)</f>
        <v>0.74236111111111114</v>
      </c>
      <c r="C6146" t="str">
        <f>'Inventory as of 12th Aug 2024'!A138</f>
        <v>Softcare pads</v>
      </c>
      <c r="D6146">
        <v>1</v>
      </c>
      <c r="E6146" s="5">
        <f>Table4[[#This Row],[qty]]*(VLOOKUP(Table4[[#This Row],[item_sold]],Table1[],5,FALSE))</f>
        <v>85</v>
      </c>
      <c r="F6146" s="5">
        <f>(VLOOKUP(Table4[[#This Row],[item_sold]],Table1[],4,FALSE))*Table4[[#This Row],[qty]]</f>
        <v>66</v>
      </c>
      <c r="G6146">
        <f t="shared" si="1032"/>
        <v>19</v>
      </c>
      <c r="H6146" t="s">
        <v>430</v>
      </c>
      <c r="I6146" t="s">
        <v>393</v>
      </c>
      <c r="J6146" t="s">
        <v>393</v>
      </c>
      <c r="K6146">
        <v>85</v>
      </c>
      <c r="L6146" t="s">
        <v>361</v>
      </c>
    </row>
    <row r="6147" spans="1:12" x14ac:dyDescent="0.25">
      <c r="A6147" s="1">
        <f t="shared" si="1038"/>
        <v>45584</v>
      </c>
      <c r="B6147" s="31">
        <f>TIME(17,54,0)</f>
        <v>0.74583333333333324</v>
      </c>
      <c r="C6147" t="str">
        <f>'Inventory as of 12th Aug 2024'!A16</f>
        <v>Mt kenya milk 500ml</v>
      </c>
      <c r="D6147">
        <v>2</v>
      </c>
      <c r="E6147" s="5">
        <f>Table4[[#This Row],[qty]]*(VLOOKUP(Table4[[#This Row],[item_sold]],Table1[],5,FALSE))</f>
        <v>130</v>
      </c>
      <c r="F6147" s="5">
        <f>(VLOOKUP(Table4[[#This Row],[item_sold]],Table1[],4,FALSE))*Table4[[#This Row],[qty]]</f>
        <v>96.666666666666671</v>
      </c>
      <c r="G6147">
        <f t="shared" si="1032"/>
        <v>33.333333333333329</v>
      </c>
      <c r="H6147" t="s">
        <v>430</v>
      </c>
      <c r="I6147" t="s">
        <v>455</v>
      </c>
    </row>
    <row r="6148" spans="1:12" x14ac:dyDescent="0.25">
      <c r="A6148" s="1">
        <f t="shared" si="1038"/>
        <v>45584</v>
      </c>
      <c r="B6148" s="31">
        <f t="shared" ref="B6148" si="1044">TIME(17,54,0)</f>
        <v>0.74583333333333324</v>
      </c>
      <c r="C6148" t="str">
        <f>'Inventory as of 12th Aug 2024'!A79</f>
        <v xml:space="preserve">Whitewash </v>
      </c>
      <c r="D6148">
        <v>1</v>
      </c>
      <c r="E6148" s="5">
        <f>Table4[[#This Row],[qty]]*(VLOOKUP(Table4[[#This Row],[item_sold]],Table1[],5,FALSE))</f>
        <v>50</v>
      </c>
      <c r="F6148" s="5">
        <f>(VLOOKUP(Table4[[#This Row],[item_sold]],Table1[],4,FALSE))*Table4[[#This Row],[qty]]</f>
        <v>33.75</v>
      </c>
      <c r="G6148">
        <f t="shared" si="1032"/>
        <v>16.25</v>
      </c>
      <c r="H6148" t="s">
        <v>247</v>
      </c>
    </row>
    <row r="6149" spans="1:12" x14ac:dyDescent="0.25">
      <c r="A6149" s="1">
        <f t="shared" si="1038"/>
        <v>45584</v>
      </c>
      <c r="B6149" s="31">
        <f>TIME(18,39,0)</f>
        <v>0.77708333333333324</v>
      </c>
      <c r="C6149" t="str">
        <f>'Inventory as of 12th Aug 2024'!A58</f>
        <v>Safari</v>
      </c>
      <c r="D6149">
        <v>1</v>
      </c>
      <c r="E6149" s="5">
        <f>Table4[[#This Row],[qty]]*(VLOOKUP(Table4[[#This Row],[item_sold]],Table1[],5,FALSE))</f>
        <v>15</v>
      </c>
      <c r="F6149" s="5">
        <f>(VLOOKUP(Table4[[#This Row],[item_sold]],Table1[],4,FALSE))*Table4[[#This Row],[qty]]</f>
        <v>8.5</v>
      </c>
      <c r="G6149">
        <f t="shared" si="1032"/>
        <v>6.5</v>
      </c>
      <c r="H6149" t="s">
        <v>361</v>
      </c>
    </row>
    <row r="6150" spans="1:12" x14ac:dyDescent="0.25">
      <c r="A6150" s="1">
        <f t="shared" si="1038"/>
        <v>45584</v>
      </c>
      <c r="B6150" s="31">
        <f>TIME(18,39,0)</f>
        <v>0.77708333333333324</v>
      </c>
      <c r="C6150" t="str">
        <f>'Inventory as of 12th Aug 2024'!A107</f>
        <v>Match Box</v>
      </c>
      <c r="D6150">
        <v>1</v>
      </c>
      <c r="E6150" s="5">
        <f>Table4[[#This Row],[qty]]*(VLOOKUP(Table4[[#This Row],[item_sold]],Table1[],5,FALSE))</f>
        <v>5</v>
      </c>
      <c r="F6150" s="5">
        <f>(VLOOKUP(Table4[[#This Row],[item_sold]],Table1[],4,FALSE))*Table4[[#This Row],[qty]]</f>
        <v>2.3611111111111112</v>
      </c>
      <c r="G6150">
        <f t="shared" si="1032"/>
        <v>2.6388888888888888</v>
      </c>
      <c r="H6150" t="s">
        <v>361</v>
      </c>
    </row>
    <row r="6151" spans="1:12" x14ac:dyDescent="0.25">
      <c r="A6151" s="1">
        <f t="shared" si="1038"/>
        <v>45584</v>
      </c>
      <c r="B6151" s="31">
        <f>TIME(19,11,0)</f>
        <v>0.7993055555555556</v>
      </c>
      <c r="C6151" t="str">
        <f>'Inventory as of 12th Aug 2024'!A8</f>
        <v>eggs</v>
      </c>
      <c r="D6151">
        <v>2</v>
      </c>
      <c r="E6151" s="5">
        <f>Table4[[#This Row],[qty]]*(VLOOKUP(Table4[[#This Row],[item_sold]],Table1[],5,FALSE))</f>
        <v>40</v>
      </c>
      <c r="F6151" s="5">
        <f>(VLOOKUP(Table4[[#This Row],[item_sold]],Table1[],4,FALSE))*Table4[[#This Row],[qty]]</f>
        <v>28.666666666666668</v>
      </c>
      <c r="G6151">
        <f t="shared" si="1032"/>
        <v>11.333333333333332</v>
      </c>
      <c r="H6151" t="s">
        <v>361</v>
      </c>
    </row>
    <row r="6152" spans="1:12" x14ac:dyDescent="0.25">
      <c r="A6152" s="1">
        <f t="shared" si="1038"/>
        <v>45584</v>
      </c>
      <c r="B6152" s="31">
        <f t="shared" ref="B6152:B6153" si="1045">TIME(19,11,0)</f>
        <v>0.7993055555555556</v>
      </c>
      <c r="C6152" t="str">
        <f>'Inventory as of 12th Aug 2024'!A91</f>
        <v>Tomatoes</v>
      </c>
      <c r="D6152">
        <v>2</v>
      </c>
      <c r="E6152" s="5">
        <f>Table4[[#This Row],[qty]]*(VLOOKUP(Table4[[#This Row],[item_sold]],Table1[],5,FALSE))</f>
        <v>20</v>
      </c>
      <c r="F6152" s="5">
        <f>(VLOOKUP(Table4[[#This Row],[item_sold]],Table1[],4,FALSE))*Table4[[#This Row],[qty]]</f>
        <v>10</v>
      </c>
      <c r="G6152">
        <f t="shared" si="1032"/>
        <v>10</v>
      </c>
      <c r="H6152" t="s">
        <v>361</v>
      </c>
    </row>
    <row r="6153" spans="1:12" x14ac:dyDescent="0.25">
      <c r="A6153" s="1">
        <f t="shared" si="1038"/>
        <v>45584</v>
      </c>
      <c r="B6153" s="31">
        <f t="shared" si="1045"/>
        <v>0.7993055555555556</v>
      </c>
      <c r="C6153" t="str">
        <f>'Inventory as of 12th Aug 2024'!A90</f>
        <v>Onion</v>
      </c>
      <c r="D6153">
        <v>1</v>
      </c>
      <c r="E6153" s="5">
        <f>Table4[[#This Row],[qty]]*(VLOOKUP(Table4[[#This Row],[item_sold]],Table1[],5,FALSE))</f>
        <v>10</v>
      </c>
      <c r="F6153" s="5">
        <f>(VLOOKUP(Table4[[#This Row],[item_sold]],Table1[],4,FALSE))*Table4[[#This Row],[qty]]</f>
        <v>8</v>
      </c>
      <c r="G6153">
        <f t="shared" si="1032"/>
        <v>2</v>
      </c>
      <c r="H6153" t="s">
        <v>361</v>
      </c>
    </row>
    <row r="6154" spans="1:12" x14ac:dyDescent="0.25">
      <c r="A6154" s="1">
        <f t="shared" si="1038"/>
        <v>45584</v>
      </c>
      <c r="B6154" s="31">
        <f>TIME(19,40,0)</f>
        <v>0.81944444444444453</v>
      </c>
      <c r="C6154" t="str">
        <f>'Inventory as of 12th Aug 2024'!A132</f>
        <v>Gellette</v>
      </c>
      <c r="D6154">
        <v>2</v>
      </c>
      <c r="E6154" s="5">
        <f>Table4[[#This Row],[qty]]*(VLOOKUP(Table4[[#This Row],[item_sold]],Table1[],5,FALSE))</f>
        <v>60</v>
      </c>
      <c r="F6154" s="5">
        <f>(VLOOKUP(Table4[[#This Row],[item_sold]],Table1[],4,FALSE))*Table4[[#This Row],[qty]]</f>
        <v>46.666666666666664</v>
      </c>
      <c r="G6154">
        <f t="shared" si="1032"/>
        <v>13.333333333333336</v>
      </c>
      <c r="H6154" t="s">
        <v>247</v>
      </c>
    </row>
    <row r="6155" spans="1:12" x14ac:dyDescent="0.25">
      <c r="A6155" s="1">
        <f t="shared" si="1038"/>
        <v>45584</v>
      </c>
      <c r="B6155" s="31">
        <f>TIME(19,40,0)</f>
        <v>0.81944444444444453</v>
      </c>
      <c r="C6155" t="str">
        <f>'Inventory as of 12th Aug 2024'!A16</f>
        <v>Mt kenya milk 500ml</v>
      </c>
      <c r="D6155">
        <v>1</v>
      </c>
      <c r="E6155" s="5">
        <f>Table4[[#This Row],[qty]]*(VLOOKUP(Table4[[#This Row],[item_sold]],Table1[],5,FALSE))</f>
        <v>65</v>
      </c>
      <c r="F6155" s="5">
        <f>(VLOOKUP(Table4[[#This Row],[item_sold]],Table1[],4,FALSE))*Table4[[#This Row],[qty]]</f>
        <v>48.333333333333336</v>
      </c>
      <c r="G6155">
        <f t="shared" si="1032"/>
        <v>16.666666666666664</v>
      </c>
      <c r="H6155" t="s">
        <v>247</v>
      </c>
    </row>
    <row r="6156" spans="1:12" x14ac:dyDescent="0.25">
      <c r="A6156" s="1">
        <f t="shared" si="1038"/>
        <v>45584</v>
      </c>
      <c r="B6156" s="31">
        <f>TIME(20,0,0)</f>
        <v>0.83333333333333337</v>
      </c>
      <c r="C6156" t="str">
        <f>'Inventory as of 12th Aug 2024'!A92</f>
        <v>Banana</v>
      </c>
      <c r="D6156">
        <v>4</v>
      </c>
      <c r="E6156" s="5">
        <f>Table4[[#This Row],[qty]]*(VLOOKUP(Table4[[#This Row],[item_sold]],Table1[],5,FALSE))</f>
        <v>40</v>
      </c>
      <c r="F6156" s="5">
        <f>(VLOOKUP(Table4[[#This Row],[item_sold]],Table1[],4,FALSE))*Table4[[#This Row],[qty]]</f>
        <v>33.333333333333336</v>
      </c>
      <c r="G6156">
        <f t="shared" si="1032"/>
        <v>6.6666666666666643</v>
      </c>
      <c r="H6156" t="s">
        <v>247</v>
      </c>
    </row>
    <row r="6157" spans="1:12" x14ac:dyDescent="0.25">
      <c r="A6157" s="1">
        <f t="shared" si="1038"/>
        <v>45584</v>
      </c>
      <c r="B6157" s="31">
        <f t="shared" ref="B6157" si="1046">TIME(20,0,0)</f>
        <v>0.83333333333333337</v>
      </c>
      <c r="C6157" t="str">
        <f>'Inventory as of 12th Aug 2024'!A9</f>
        <v>Kinangop Fresh Milk 500ml</v>
      </c>
      <c r="D6157">
        <v>1</v>
      </c>
      <c r="E6157" s="5">
        <f>Table4[[#This Row],[qty]]*(VLOOKUP(Table4[[#This Row],[item_sold]],Table1[],5,FALSE))</f>
        <v>60</v>
      </c>
      <c r="F6157" s="5">
        <f>(VLOOKUP(Table4[[#This Row],[item_sold]],Table1[],4,FALSE))*Table4[[#This Row],[qty]]</f>
        <v>55</v>
      </c>
      <c r="G6157">
        <f t="shared" si="1032"/>
        <v>5</v>
      </c>
      <c r="H6157" t="s">
        <v>247</v>
      </c>
    </row>
    <row r="6158" spans="1:12" x14ac:dyDescent="0.25">
      <c r="A6158" s="1">
        <f t="shared" si="1038"/>
        <v>45584</v>
      </c>
      <c r="B6158" s="31">
        <f>TIME(20,10,0)</f>
        <v>0.84027777777777779</v>
      </c>
      <c r="C6158" t="str">
        <f>'Inventory as of 12th Aug 2024'!A206</f>
        <v>soda 500ml plastic</v>
      </c>
      <c r="D6158">
        <v>1</v>
      </c>
      <c r="E6158" s="5">
        <f>Table4[[#This Row],[qty]]*(VLOOKUP(Table4[[#This Row],[item_sold]],Table1[],5,FALSE))</f>
        <v>70</v>
      </c>
      <c r="F6158" s="5">
        <f>(VLOOKUP(Table4[[#This Row],[item_sold]],Table1[],4,FALSE))*Table4[[#This Row],[qty]]</f>
        <v>60.416666666666664</v>
      </c>
      <c r="G6158">
        <f t="shared" si="1032"/>
        <v>9.5833333333333357</v>
      </c>
      <c r="H6158" t="s">
        <v>247</v>
      </c>
    </row>
    <row r="6159" spans="1:12" x14ac:dyDescent="0.25">
      <c r="A6159" s="1">
        <f>DATE(2024,10,20)</f>
        <v>45585</v>
      </c>
      <c r="B6159" s="31">
        <f>TIME(7,37,0)</f>
        <v>0.31736111111111115</v>
      </c>
      <c r="C6159" t="str">
        <f>'Inventory as of 12th Aug 2024'!A215</f>
        <v>Blueband 100g</v>
      </c>
      <c r="D6159">
        <v>1</v>
      </c>
      <c r="E6159" s="5">
        <f>Table4[[#This Row],[qty]]*(VLOOKUP(Table4[[#This Row],[item_sold]],Table1[],5,FALSE))</f>
        <v>70</v>
      </c>
      <c r="F6159" s="5">
        <f>(VLOOKUP(Table4[[#This Row],[item_sold]],Table1[],4,FALSE))*Table4[[#This Row],[qty]]</f>
        <v>58.333333333333336</v>
      </c>
      <c r="G6159">
        <f t="shared" si="1032"/>
        <v>11.666666666666664</v>
      </c>
      <c r="H6159" t="s">
        <v>247</v>
      </c>
    </row>
    <row r="6160" spans="1:12" x14ac:dyDescent="0.25">
      <c r="A6160" s="1">
        <f t="shared" ref="A6160:A6223" si="1047">DATE(2024,10,20)</f>
        <v>45585</v>
      </c>
      <c r="B6160" s="31">
        <f t="shared" ref="B6160" si="1048">TIME(7,37,0)</f>
        <v>0.31736111111111115</v>
      </c>
      <c r="C6160" t="str">
        <f>'Inventory as of 12th Aug 2024'!A58</f>
        <v>Safari</v>
      </c>
      <c r="D6160">
        <v>1</v>
      </c>
      <c r="E6160" s="5">
        <f>Table4[[#This Row],[qty]]*(VLOOKUP(Table4[[#This Row],[item_sold]],Table1[],5,FALSE))</f>
        <v>15</v>
      </c>
      <c r="F6160" s="5">
        <f>(VLOOKUP(Table4[[#This Row],[item_sold]],Table1[],4,FALSE))*Table4[[#This Row],[qty]]</f>
        <v>8.5</v>
      </c>
      <c r="G6160">
        <f t="shared" si="1032"/>
        <v>6.5</v>
      </c>
      <c r="H6160" t="s">
        <v>430</v>
      </c>
      <c r="I6160" t="s">
        <v>447</v>
      </c>
    </row>
    <row r="6161" spans="1:12" x14ac:dyDescent="0.25">
      <c r="A6161" s="1">
        <f t="shared" si="1047"/>
        <v>45585</v>
      </c>
      <c r="B6161" s="31">
        <f>TIME(7,55,0)</f>
        <v>0.3298611111111111</v>
      </c>
      <c r="C6161" t="str">
        <f>'Inventory as of 12th Aug 2024'!A33</f>
        <v>BB Bread 400g</v>
      </c>
      <c r="D6161">
        <v>1</v>
      </c>
      <c r="E6161" s="5">
        <f>Table4[[#This Row],[qty]]*(VLOOKUP(Table4[[#This Row],[item_sold]],Table1[],5,FALSE))</f>
        <v>65</v>
      </c>
      <c r="F6161" s="5">
        <f>(VLOOKUP(Table4[[#This Row],[item_sold]],Table1[],4,FALSE))*Table4[[#This Row],[qty]]</f>
        <v>60</v>
      </c>
      <c r="G6161">
        <f t="shared" si="1032"/>
        <v>5</v>
      </c>
      <c r="H6161" t="s">
        <v>247</v>
      </c>
    </row>
    <row r="6162" spans="1:12" x14ac:dyDescent="0.25">
      <c r="A6162" s="1">
        <f t="shared" si="1047"/>
        <v>45585</v>
      </c>
      <c r="B6162" s="31">
        <f t="shared" ref="B6162" si="1049">TIME(7,55,0)</f>
        <v>0.3298611111111111</v>
      </c>
      <c r="C6162" t="str">
        <f>'Inventory as of 12th Aug 2024'!A92</f>
        <v>Banana</v>
      </c>
      <c r="D6162">
        <v>4</v>
      </c>
      <c r="E6162" s="5">
        <f>Table4[[#This Row],[qty]]*(VLOOKUP(Table4[[#This Row],[item_sold]],Table1[],5,FALSE))</f>
        <v>40</v>
      </c>
      <c r="F6162" s="5">
        <f>(VLOOKUP(Table4[[#This Row],[item_sold]],Table1[],4,FALSE))*Table4[[#This Row],[qty]]</f>
        <v>33.333333333333336</v>
      </c>
      <c r="G6162">
        <f t="shared" si="1032"/>
        <v>6.6666666666666643</v>
      </c>
      <c r="H6162" t="s">
        <v>430</v>
      </c>
      <c r="I6162" t="s">
        <v>456</v>
      </c>
    </row>
    <row r="6163" spans="1:12" x14ac:dyDescent="0.25">
      <c r="A6163" s="1">
        <f t="shared" si="1047"/>
        <v>45585</v>
      </c>
      <c r="B6163" s="31">
        <f>TIME(8,0,0)</f>
        <v>0.33333333333333331</v>
      </c>
      <c r="C6163" t="str">
        <f>'Inventory as of 12th Aug 2024'!A33</f>
        <v>BB Bread 400g</v>
      </c>
      <c r="D6163">
        <v>1</v>
      </c>
      <c r="E6163" s="5">
        <f>Table4[[#This Row],[qty]]*(VLOOKUP(Table4[[#This Row],[item_sold]],Table1[],5,FALSE))</f>
        <v>65</v>
      </c>
      <c r="F6163" s="5">
        <f>(VLOOKUP(Table4[[#This Row],[item_sold]],Table1[],4,FALSE))*Table4[[#This Row],[qty]]</f>
        <v>60</v>
      </c>
      <c r="G6163">
        <f t="shared" si="1032"/>
        <v>5</v>
      </c>
      <c r="H6163" t="s">
        <v>361</v>
      </c>
      <c r="J6163" t="s">
        <v>394</v>
      </c>
      <c r="K6163">
        <v>45</v>
      </c>
      <c r="L6163" t="s">
        <v>361</v>
      </c>
    </row>
    <row r="6164" spans="1:12" x14ac:dyDescent="0.25">
      <c r="A6164" s="1">
        <f t="shared" si="1047"/>
        <v>45585</v>
      </c>
      <c r="B6164" s="31">
        <f t="shared" ref="B6164:B6167" si="1050">TIME(8,0,0)</f>
        <v>0.33333333333333331</v>
      </c>
      <c r="C6164" t="str">
        <f>'Inventory as of 12th Aug 2024'!A83</f>
        <v>omo 75g</v>
      </c>
      <c r="D6164">
        <v>1</v>
      </c>
      <c r="E6164" s="5">
        <f>Table4[[#This Row],[qty]]*(VLOOKUP(Table4[[#This Row],[item_sold]],Table1[],5,FALSE))</f>
        <v>35</v>
      </c>
      <c r="F6164" s="5">
        <f>(VLOOKUP(Table4[[#This Row],[item_sold]],Table1[],4,FALSE))*Table4[[#This Row],[qty]]</f>
        <v>27.5</v>
      </c>
      <c r="G6164">
        <f t="shared" ref="G6164:G6227" si="1051">E6164-F6164</f>
        <v>7.5</v>
      </c>
      <c r="H6164" t="s">
        <v>361</v>
      </c>
    </row>
    <row r="6165" spans="1:12" x14ac:dyDescent="0.25">
      <c r="A6165" s="1">
        <f t="shared" si="1047"/>
        <v>45585</v>
      </c>
      <c r="B6165" s="31">
        <f t="shared" si="1050"/>
        <v>0.33333333333333331</v>
      </c>
      <c r="C6165" t="str">
        <f>'Inventory as of 12th Aug 2024'!A84</f>
        <v>omo 20g</v>
      </c>
      <c r="D6165">
        <v>1</v>
      </c>
      <c r="E6165" s="5">
        <f>Table4[[#This Row],[qty]]*(VLOOKUP(Table4[[#This Row],[item_sold]],Table1[],5,FALSE))</f>
        <v>15</v>
      </c>
      <c r="F6165" s="5">
        <f>(VLOOKUP(Table4[[#This Row],[item_sold]],Table1[],4,FALSE))*Table4[[#This Row],[qty]]</f>
        <v>9.1666666666666661</v>
      </c>
      <c r="G6165">
        <f t="shared" si="1051"/>
        <v>5.8333333333333339</v>
      </c>
      <c r="H6165" t="s">
        <v>361</v>
      </c>
    </row>
    <row r="6166" spans="1:12" x14ac:dyDescent="0.25">
      <c r="A6166" s="1">
        <f t="shared" si="1047"/>
        <v>45585</v>
      </c>
      <c r="B6166" s="31">
        <f t="shared" si="1050"/>
        <v>0.33333333333333331</v>
      </c>
      <c r="C6166" t="str">
        <f>'Inventory as of 12th Aug 2024'!A79</f>
        <v xml:space="preserve">Whitewash </v>
      </c>
      <c r="D6166">
        <v>1</v>
      </c>
      <c r="E6166" s="5">
        <f>Table4[[#This Row],[qty]]*(VLOOKUP(Table4[[#This Row],[item_sold]],Table1[],5,FALSE))</f>
        <v>50</v>
      </c>
      <c r="F6166" s="5">
        <f>(VLOOKUP(Table4[[#This Row],[item_sold]],Table1[],4,FALSE))*Table4[[#This Row],[qty]]</f>
        <v>33.75</v>
      </c>
      <c r="G6166">
        <f t="shared" si="1051"/>
        <v>16.25</v>
      </c>
      <c r="H6166" t="s">
        <v>361</v>
      </c>
    </row>
    <row r="6167" spans="1:12" x14ac:dyDescent="0.25">
      <c r="A6167" s="1">
        <f t="shared" si="1047"/>
        <v>45585</v>
      </c>
      <c r="B6167" s="31">
        <f t="shared" si="1050"/>
        <v>0.33333333333333331</v>
      </c>
      <c r="C6167" t="str">
        <f>'Inventory as of 12th Aug 2024'!A70</f>
        <v>Sugar 1/2 kg</v>
      </c>
      <c r="D6167">
        <v>1</v>
      </c>
      <c r="E6167" s="5">
        <f>Table4[[#This Row],[qty]]*(VLOOKUP(Table4[[#This Row],[item_sold]],Table1[],5,FALSE))</f>
        <v>90</v>
      </c>
      <c r="F6167" s="5">
        <f>(VLOOKUP(Table4[[#This Row],[item_sold]],Table1[],4,FALSE))*Table4[[#This Row],[qty]]</f>
        <v>60</v>
      </c>
      <c r="G6167">
        <f t="shared" si="1051"/>
        <v>30</v>
      </c>
      <c r="H6167" t="s">
        <v>361</v>
      </c>
    </row>
    <row r="6168" spans="1:12" x14ac:dyDescent="0.25">
      <c r="A6168" s="1">
        <f t="shared" si="1047"/>
        <v>45585</v>
      </c>
      <c r="B6168" s="31">
        <f>TIME(9,30,0)</f>
        <v>0.39583333333333331</v>
      </c>
      <c r="C6168" t="str">
        <f>'Inventory as of 12th Aug 2024'!A199</f>
        <v>Kdf</v>
      </c>
      <c r="D6168">
        <v>2</v>
      </c>
      <c r="E6168" s="5">
        <f>Table4[[#This Row],[qty]]*(VLOOKUP(Table4[[#This Row],[item_sold]],Table1[],5,FALSE))</f>
        <v>20</v>
      </c>
      <c r="F6168" s="5">
        <f>(VLOOKUP(Table4[[#This Row],[item_sold]],Table1[],4,FALSE))*Table4[[#This Row],[qty]]</f>
        <v>16.666666666666668</v>
      </c>
      <c r="G6168">
        <f t="shared" si="1051"/>
        <v>3.3333333333333321</v>
      </c>
      <c r="H6168" t="s">
        <v>247</v>
      </c>
    </row>
    <row r="6169" spans="1:12" x14ac:dyDescent="0.25">
      <c r="A6169" s="1">
        <f t="shared" si="1047"/>
        <v>45585</v>
      </c>
      <c r="B6169" s="31">
        <f>TIME(9,49,0)</f>
        <v>0.40902777777777777</v>
      </c>
      <c r="C6169" t="str">
        <f>'Inventory as of 12th Aug 2024'!A33</f>
        <v>BB Bread 400g</v>
      </c>
      <c r="D6169">
        <v>1</v>
      </c>
      <c r="E6169" s="5">
        <f>Table4[[#This Row],[qty]]*(VLOOKUP(Table4[[#This Row],[item_sold]],Table1[],5,FALSE))</f>
        <v>65</v>
      </c>
      <c r="F6169" s="5">
        <f>(VLOOKUP(Table4[[#This Row],[item_sold]],Table1[],4,FALSE))*Table4[[#This Row],[qty]]</f>
        <v>60</v>
      </c>
      <c r="G6169">
        <f t="shared" si="1051"/>
        <v>5</v>
      </c>
      <c r="H6169" t="s">
        <v>247</v>
      </c>
    </row>
    <row r="6170" spans="1:12" x14ac:dyDescent="0.25">
      <c r="A6170" s="1">
        <f t="shared" si="1047"/>
        <v>45585</v>
      </c>
      <c r="B6170" s="31">
        <f>TIME(10,28,0)</f>
        <v>0.43611111111111112</v>
      </c>
      <c r="C6170" t="str">
        <f>'Inventory as of 12th Aug 2024'!A9</f>
        <v>Kinangop Fresh Milk 500ml</v>
      </c>
      <c r="D6170">
        <v>2</v>
      </c>
      <c r="E6170" s="5">
        <f>Table4[[#This Row],[qty]]*(VLOOKUP(Table4[[#This Row],[item_sold]],Table1[],5,FALSE))</f>
        <v>120</v>
      </c>
      <c r="F6170" s="5">
        <f>(VLOOKUP(Table4[[#This Row],[item_sold]],Table1[],4,FALSE))*Table4[[#This Row],[qty]]</f>
        <v>110</v>
      </c>
      <c r="G6170">
        <f t="shared" si="1051"/>
        <v>10</v>
      </c>
      <c r="H6170" t="s">
        <v>430</v>
      </c>
      <c r="I6170" t="s">
        <v>385</v>
      </c>
    </row>
    <row r="6171" spans="1:12" x14ac:dyDescent="0.25">
      <c r="A6171" s="1">
        <f t="shared" si="1047"/>
        <v>45585</v>
      </c>
      <c r="B6171" s="31">
        <f>TIME(11,9,0)</f>
        <v>0.46458333333333335</v>
      </c>
      <c r="C6171" t="str">
        <f>'Inventory as of 12th Aug 2024'!A199</f>
        <v>Kdf</v>
      </c>
      <c r="D6171">
        <v>5</v>
      </c>
      <c r="E6171" s="5">
        <f>Table4[[#This Row],[qty]]*(VLOOKUP(Table4[[#This Row],[item_sold]],Table1[],5,FALSE))</f>
        <v>50</v>
      </c>
      <c r="F6171" s="5">
        <f>(VLOOKUP(Table4[[#This Row],[item_sold]],Table1[],4,FALSE))*Table4[[#This Row],[qty]]</f>
        <v>41.666666666666671</v>
      </c>
      <c r="G6171">
        <f t="shared" si="1051"/>
        <v>8.3333333333333286</v>
      </c>
      <c r="H6171" t="s">
        <v>361</v>
      </c>
    </row>
    <row r="6172" spans="1:12" x14ac:dyDescent="0.25">
      <c r="A6172" s="1">
        <f t="shared" si="1047"/>
        <v>45585</v>
      </c>
      <c r="B6172" s="31">
        <f t="shared" ref="B6172" si="1052">TIME(11,9,0)</f>
        <v>0.46458333333333335</v>
      </c>
      <c r="C6172" t="str">
        <f>'Inventory as of 12th Aug 2024'!A27</f>
        <v>Nescafe 1.5g</v>
      </c>
      <c r="D6172">
        <v>1</v>
      </c>
      <c r="E6172" s="5">
        <f>Table4[[#This Row],[qty]]*(VLOOKUP(Table4[[#This Row],[item_sold]],Table1[],5,FALSE))</f>
        <v>15</v>
      </c>
      <c r="F6172" s="5">
        <f>(VLOOKUP(Table4[[#This Row],[item_sold]],Table1[],4,FALSE))*Table4[[#This Row],[qty]]</f>
        <v>9.1666666666666661</v>
      </c>
      <c r="G6172">
        <f t="shared" si="1051"/>
        <v>5.8333333333333339</v>
      </c>
      <c r="H6172" t="s">
        <v>361</v>
      </c>
    </row>
    <row r="6173" spans="1:12" x14ac:dyDescent="0.25">
      <c r="A6173" s="1">
        <f t="shared" si="1047"/>
        <v>45585</v>
      </c>
      <c r="B6173" s="31">
        <f>TIME(11,34,0)</f>
        <v>0.48194444444444445</v>
      </c>
      <c r="C6173" t="str">
        <f>'Inventory as of 12th Aug 2024'!A50</f>
        <v>Pishori rice</v>
      </c>
      <c r="D6173">
        <v>1</v>
      </c>
      <c r="E6173" s="5">
        <f>Table4[[#This Row],[qty]]*(VLOOKUP(Table4[[#This Row],[item_sold]],Table1[],5,FALSE))</f>
        <v>220</v>
      </c>
      <c r="F6173" s="5">
        <f>(VLOOKUP(Table4[[#This Row],[item_sold]],Table1[],4,FALSE))*Table4[[#This Row],[qty]]</f>
        <v>180</v>
      </c>
      <c r="G6173">
        <f t="shared" si="1051"/>
        <v>40</v>
      </c>
      <c r="H6173" t="s">
        <v>361</v>
      </c>
    </row>
    <row r="6174" spans="1:12" x14ac:dyDescent="0.25">
      <c r="A6174" s="1">
        <f t="shared" si="1047"/>
        <v>45585</v>
      </c>
      <c r="B6174" s="31">
        <f t="shared" ref="B6174:B6175" si="1053">TIME(11,34,0)</f>
        <v>0.48194444444444445</v>
      </c>
      <c r="C6174" t="str">
        <f>'Inventory as of 12th Aug 2024'!A91</f>
        <v>Tomatoes</v>
      </c>
      <c r="D6174">
        <v>2</v>
      </c>
      <c r="E6174" s="5">
        <f>Table4[[#This Row],[qty]]*(VLOOKUP(Table4[[#This Row],[item_sold]],Table1[],5,FALSE))</f>
        <v>20</v>
      </c>
      <c r="F6174" s="5">
        <f>(VLOOKUP(Table4[[#This Row],[item_sold]],Table1[],4,FALSE))*Table4[[#This Row],[qty]]</f>
        <v>10</v>
      </c>
      <c r="G6174">
        <f t="shared" si="1051"/>
        <v>10</v>
      </c>
      <c r="H6174" t="s">
        <v>247</v>
      </c>
    </row>
    <row r="6175" spans="1:12" x14ac:dyDescent="0.25">
      <c r="A6175" s="1">
        <f t="shared" si="1047"/>
        <v>45585</v>
      </c>
      <c r="B6175" s="31">
        <f t="shared" si="1053"/>
        <v>0.48194444444444445</v>
      </c>
      <c r="C6175" t="str">
        <f>'Inventory as of 12th Aug 2024'!A8</f>
        <v>eggs</v>
      </c>
      <c r="D6175">
        <v>6</v>
      </c>
      <c r="E6175" s="5">
        <f>Table4[[#This Row],[qty]]*(VLOOKUP(Table4[[#This Row],[item_sold]],Table1[],5,FALSE))</f>
        <v>120</v>
      </c>
      <c r="F6175" s="5">
        <f>(VLOOKUP(Table4[[#This Row],[item_sold]],Table1[],4,FALSE))*Table4[[#This Row],[qty]]</f>
        <v>86</v>
      </c>
      <c r="G6175">
        <f t="shared" si="1051"/>
        <v>34</v>
      </c>
      <c r="H6175" s="25" t="s">
        <v>247</v>
      </c>
    </row>
    <row r="6176" spans="1:12" x14ac:dyDescent="0.25">
      <c r="A6176" s="1">
        <f t="shared" si="1047"/>
        <v>45585</v>
      </c>
      <c r="B6176" s="31">
        <f>TIME(12,31,0)</f>
        <v>0.52152777777777781</v>
      </c>
      <c r="C6176" t="str">
        <f>'Inventory as of 12th Aug 2024'!A177</f>
        <v>Ringoz Barbeque</v>
      </c>
      <c r="D6176">
        <v>1</v>
      </c>
      <c r="E6176" s="5">
        <f>Table4[[#This Row],[qty]]*(VLOOKUP(Table4[[#This Row],[item_sold]],Table1[],5,FALSE))</f>
        <v>15</v>
      </c>
      <c r="F6176" s="5">
        <f>(VLOOKUP(Table4[[#This Row],[item_sold]],Table1[],4,FALSE))*Table4[[#This Row],[qty]]</f>
        <v>8.6</v>
      </c>
      <c r="G6176">
        <f t="shared" si="1051"/>
        <v>6.4</v>
      </c>
      <c r="H6176" t="s">
        <v>361</v>
      </c>
    </row>
    <row r="6177" spans="1:12" x14ac:dyDescent="0.25">
      <c r="A6177" s="1">
        <f t="shared" si="1047"/>
        <v>45585</v>
      </c>
      <c r="B6177" s="31">
        <f t="shared" ref="B6177:B6178" si="1054">TIME(12,31,0)</f>
        <v>0.52152777777777781</v>
      </c>
      <c r="C6177" t="str">
        <f>'Inventory as of 12th Aug 2024'!A270</f>
        <v>Milk Bisquit</v>
      </c>
      <c r="D6177">
        <v>1</v>
      </c>
      <c r="E6177" s="5">
        <f>Table4[[#This Row],[qty]]*(VLOOKUP(Table4[[#This Row],[item_sold]],Table1[],5,FALSE))</f>
        <v>5</v>
      </c>
      <c r="F6177" s="5">
        <f>(VLOOKUP(Table4[[#This Row],[item_sold]],Table1[],4,FALSE))*Table4[[#This Row],[qty]]</f>
        <v>4.166666666666667</v>
      </c>
      <c r="G6177">
        <f t="shared" si="1051"/>
        <v>0.83333333333333304</v>
      </c>
      <c r="H6177" t="s">
        <v>361</v>
      </c>
    </row>
    <row r="6178" spans="1:12" x14ac:dyDescent="0.25">
      <c r="A6178" s="1">
        <f t="shared" si="1047"/>
        <v>45585</v>
      </c>
      <c r="B6178" s="31">
        <f t="shared" si="1054"/>
        <v>0.52152777777777781</v>
      </c>
      <c r="C6178" t="str">
        <f>'Inventory as of 12th Aug 2024'!A42</f>
        <v>Indomie chicken</v>
      </c>
      <c r="D6178">
        <v>4</v>
      </c>
      <c r="E6178" s="5">
        <f>Table4[[#This Row],[qty]]*(VLOOKUP(Table4[[#This Row],[item_sold]],Table1[],5,FALSE))</f>
        <v>200</v>
      </c>
      <c r="F6178" s="5">
        <f>(VLOOKUP(Table4[[#This Row],[item_sold]],Table1[],4,FALSE))*Table4[[#This Row],[qty]]</f>
        <v>150</v>
      </c>
      <c r="G6178">
        <f t="shared" si="1051"/>
        <v>50</v>
      </c>
      <c r="H6178" t="s">
        <v>361</v>
      </c>
    </row>
    <row r="6179" spans="1:12" x14ac:dyDescent="0.25">
      <c r="A6179" s="1">
        <f t="shared" si="1047"/>
        <v>45585</v>
      </c>
      <c r="B6179" s="31">
        <f>TIME(8,37,0)</f>
        <v>0.35902777777777778</v>
      </c>
      <c r="C6179" t="str">
        <f>'Inventory as of 12th Aug 2024'!A218</f>
        <v>Battery AAA</v>
      </c>
      <c r="D6179">
        <v>3</v>
      </c>
      <c r="E6179" s="5">
        <f>Table4[[#This Row],[qty]]*(VLOOKUP(Table4[[#This Row],[item_sold]],Table1[],5,FALSE))</f>
        <v>45</v>
      </c>
      <c r="F6179" s="5">
        <f>(VLOOKUP(Table4[[#This Row],[item_sold]],Table1[],4,FALSE))*Table4[[#This Row],[qty]]</f>
        <v>30</v>
      </c>
      <c r="G6179">
        <f t="shared" si="1051"/>
        <v>15</v>
      </c>
      <c r="H6179" t="s">
        <v>430</v>
      </c>
      <c r="I6179" t="s">
        <v>427</v>
      </c>
    </row>
    <row r="6180" spans="1:12" x14ac:dyDescent="0.25">
      <c r="A6180" s="1">
        <f t="shared" si="1047"/>
        <v>45585</v>
      </c>
      <c r="B6180" s="31">
        <f>TIME(12,31,0)</f>
        <v>0.52152777777777781</v>
      </c>
      <c r="C6180" t="str">
        <f>'Inventory as of 12th Aug 2024'!A8</f>
        <v>eggs</v>
      </c>
      <c r="D6180">
        <v>4</v>
      </c>
      <c r="E6180" s="5">
        <f>Table4[[#This Row],[qty]]*(VLOOKUP(Table4[[#This Row],[item_sold]],Table1[],5,FALSE))</f>
        <v>80</v>
      </c>
      <c r="F6180" s="5">
        <f>(VLOOKUP(Table4[[#This Row],[item_sold]],Table1[],4,FALSE))*Table4[[#This Row],[qty]]</f>
        <v>57.333333333333336</v>
      </c>
      <c r="G6180">
        <f t="shared" si="1051"/>
        <v>22.666666666666664</v>
      </c>
      <c r="H6180" t="s">
        <v>361</v>
      </c>
    </row>
    <row r="6181" spans="1:12" x14ac:dyDescent="0.25">
      <c r="A6181" s="1">
        <f t="shared" si="1047"/>
        <v>45585</v>
      </c>
      <c r="B6181" s="31">
        <f>TIME(13,16,0)</f>
        <v>0.55277777777777781</v>
      </c>
      <c r="C6181" t="str">
        <f>'Inventory as of 12th Aug 2024'!A212</f>
        <v>soda 300ml glass</v>
      </c>
      <c r="D6181">
        <v>1</v>
      </c>
      <c r="E6181" s="5">
        <f>Table4[[#This Row],[qty]]*(VLOOKUP(Table4[[#This Row],[item_sold]],Table1[],5,FALSE))</f>
        <v>40</v>
      </c>
      <c r="F6181" s="5">
        <f>(VLOOKUP(Table4[[#This Row],[item_sold]],Table1[],4,FALSE))*Table4[[#This Row],[qty]]</f>
        <v>32.5</v>
      </c>
      <c r="G6181">
        <f t="shared" si="1051"/>
        <v>7.5</v>
      </c>
      <c r="H6181" t="s">
        <v>361</v>
      </c>
    </row>
    <row r="6182" spans="1:12" x14ac:dyDescent="0.25">
      <c r="A6182" s="1">
        <f t="shared" si="1047"/>
        <v>45585</v>
      </c>
      <c r="B6182" s="31">
        <f t="shared" ref="B6182:B6185" si="1055">TIME(13,16,0)</f>
        <v>0.55277777777777781</v>
      </c>
      <c r="C6182" t="str">
        <f>'Inventory as of 12th Aug 2024'!A199</f>
        <v>Kdf</v>
      </c>
      <c r="D6182">
        <v>2</v>
      </c>
      <c r="E6182" s="5">
        <f>Table4[[#This Row],[qty]]*(VLOOKUP(Table4[[#This Row],[item_sold]],Table1[],5,FALSE))</f>
        <v>20</v>
      </c>
      <c r="F6182" s="5">
        <f>(VLOOKUP(Table4[[#This Row],[item_sold]],Table1[],4,FALSE))*Table4[[#This Row],[qty]]</f>
        <v>16.666666666666668</v>
      </c>
      <c r="G6182">
        <f t="shared" si="1051"/>
        <v>3.3333333333333321</v>
      </c>
      <c r="H6182" t="s">
        <v>361</v>
      </c>
    </row>
    <row r="6183" spans="1:12" x14ac:dyDescent="0.25">
      <c r="A6183" s="1">
        <f t="shared" si="1047"/>
        <v>45585</v>
      </c>
      <c r="B6183" s="31">
        <f t="shared" si="1055"/>
        <v>0.55277777777777781</v>
      </c>
      <c r="C6183" t="str">
        <f>'Inventory as of 12th Aug 2024'!A212</f>
        <v>soda 300ml glass</v>
      </c>
      <c r="D6183">
        <v>1</v>
      </c>
      <c r="E6183" s="5">
        <f>Table4[[#This Row],[qty]]*(VLOOKUP(Table4[[#This Row],[item_sold]],Table1[],5,FALSE))</f>
        <v>40</v>
      </c>
      <c r="F6183" s="5">
        <f>(VLOOKUP(Table4[[#This Row],[item_sold]],Table1[],4,FALSE))*Table4[[#This Row],[qty]]</f>
        <v>32.5</v>
      </c>
      <c r="G6183">
        <f t="shared" si="1051"/>
        <v>7.5</v>
      </c>
      <c r="H6183" t="s">
        <v>247</v>
      </c>
    </row>
    <row r="6184" spans="1:12" x14ac:dyDescent="0.25">
      <c r="A6184" s="1">
        <f t="shared" si="1047"/>
        <v>45585</v>
      </c>
      <c r="B6184" s="31">
        <f t="shared" si="1055"/>
        <v>0.55277777777777781</v>
      </c>
      <c r="C6184" t="str">
        <f>'Inventory as of 12th Aug 2024'!A199</f>
        <v>Kdf</v>
      </c>
      <c r="D6184">
        <v>3</v>
      </c>
      <c r="E6184" s="5">
        <f>Table4[[#This Row],[qty]]*(VLOOKUP(Table4[[#This Row],[item_sold]],Table1[],5,FALSE))</f>
        <v>30</v>
      </c>
      <c r="F6184" s="5">
        <f>(VLOOKUP(Table4[[#This Row],[item_sold]],Table1[],4,FALSE))*Table4[[#This Row],[qty]]</f>
        <v>25</v>
      </c>
      <c r="G6184">
        <f t="shared" si="1051"/>
        <v>5</v>
      </c>
      <c r="H6184" t="s">
        <v>247</v>
      </c>
    </row>
    <row r="6185" spans="1:12" x14ac:dyDescent="0.25">
      <c r="A6185" s="1">
        <f t="shared" si="1047"/>
        <v>45585</v>
      </c>
      <c r="B6185" s="31">
        <f t="shared" si="1055"/>
        <v>0.55277777777777781</v>
      </c>
      <c r="C6185" t="str">
        <f>'Inventory as of 12th Aug 2024'!A205</f>
        <v xml:space="preserve"> soda 1.25lts</v>
      </c>
      <c r="D6185">
        <v>1</v>
      </c>
      <c r="E6185" s="5">
        <f>Table4[[#This Row],[qty]]*(VLOOKUP(Table4[[#This Row],[item_sold]],Table1[],5,FALSE))</f>
        <v>130</v>
      </c>
      <c r="F6185" s="5">
        <f>(VLOOKUP(Table4[[#This Row],[item_sold]],Table1[],4,FALSE))*Table4[[#This Row],[qty]]</f>
        <v>112.5</v>
      </c>
      <c r="G6185">
        <f t="shared" si="1051"/>
        <v>17.5</v>
      </c>
      <c r="H6185" t="s">
        <v>430</v>
      </c>
      <c r="I6185" t="s">
        <v>456</v>
      </c>
    </row>
    <row r="6186" spans="1:12" x14ac:dyDescent="0.25">
      <c r="A6186" s="1">
        <f t="shared" si="1047"/>
        <v>45585</v>
      </c>
      <c r="B6186" s="31">
        <f>TIME(13,22,0)</f>
        <v>0.55694444444444446</v>
      </c>
      <c r="C6186" t="str">
        <f>'Inventory as of 12th Aug 2024'!A120</f>
        <v>Maramoja</v>
      </c>
      <c r="D6186">
        <v>1</v>
      </c>
      <c r="E6186" s="5">
        <f>Table4[[#This Row],[qty]]*(VLOOKUP(Table4[[#This Row],[item_sold]],Table1[],5,FALSE))</f>
        <v>10</v>
      </c>
      <c r="F6186" s="5">
        <f>(VLOOKUP(Table4[[#This Row],[item_sold]],Table1[],4,FALSE))*Table4[[#This Row],[qty]]</f>
        <v>7</v>
      </c>
      <c r="G6186">
        <f t="shared" si="1051"/>
        <v>3</v>
      </c>
      <c r="H6186" t="s">
        <v>361</v>
      </c>
    </row>
    <row r="6187" spans="1:12" x14ac:dyDescent="0.25">
      <c r="A6187" s="1">
        <f t="shared" si="1047"/>
        <v>45585</v>
      </c>
      <c r="B6187" s="31">
        <f>TIME(13,32,0)</f>
        <v>0.56388888888888888</v>
      </c>
      <c r="C6187" t="str">
        <f>'Inventory as of 12th Aug 2024'!A10</f>
        <v>Mt Kenya milk 200ml</v>
      </c>
      <c r="D6187">
        <v>1</v>
      </c>
      <c r="E6187" s="5">
        <f>Table4[[#This Row],[qty]]*(VLOOKUP(Table4[[#This Row],[item_sold]],Table1[],5,FALSE))</f>
        <v>35</v>
      </c>
      <c r="F6187" s="5">
        <f>(VLOOKUP(Table4[[#This Row],[item_sold]],Table1[],4,FALSE))*Table4[[#This Row],[qty]]</f>
        <v>24.285714285714285</v>
      </c>
      <c r="G6187">
        <f t="shared" si="1051"/>
        <v>10.714285714285715</v>
      </c>
      <c r="H6187" t="s">
        <v>402</v>
      </c>
    </row>
    <row r="6188" spans="1:12" x14ac:dyDescent="0.25">
      <c r="A6188" s="1">
        <f t="shared" si="1047"/>
        <v>45585</v>
      </c>
      <c r="B6188" s="31">
        <f>TIME(13,32,0)</f>
        <v>0.56388888888888888</v>
      </c>
      <c r="C6188" t="str">
        <f>'Inventory as of 12th Aug 2024'!A199</f>
        <v>Kdf</v>
      </c>
      <c r="D6188">
        <v>2</v>
      </c>
      <c r="E6188" s="5">
        <f>Table4[[#This Row],[qty]]*(VLOOKUP(Table4[[#This Row],[item_sold]],Table1[],5,FALSE))</f>
        <v>20</v>
      </c>
      <c r="F6188" s="5">
        <f>(VLOOKUP(Table4[[#This Row],[item_sold]],Table1[],4,FALSE))*Table4[[#This Row],[qty]]</f>
        <v>16.666666666666668</v>
      </c>
      <c r="G6188">
        <f t="shared" si="1051"/>
        <v>3.3333333333333321</v>
      </c>
      <c r="H6188" t="s">
        <v>402</v>
      </c>
    </row>
    <row r="6189" spans="1:12" x14ac:dyDescent="0.25">
      <c r="A6189" s="1">
        <f t="shared" si="1047"/>
        <v>45585</v>
      </c>
      <c r="B6189" s="31">
        <f>TIME(13,47,0)</f>
        <v>0.57430555555555551</v>
      </c>
      <c r="C6189" t="str">
        <f>'Inventory as of 12th Aug 2024'!A8</f>
        <v>eggs</v>
      </c>
      <c r="D6189">
        <v>2</v>
      </c>
      <c r="E6189" s="5">
        <f>Table4[[#This Row],[qty]]*(VLOOKUP(Table4[[#This Row],[item_sold]],Table1[],5,FALSE))</f>
        <v>40</v>
      </c>
      <c r="F6189" s="5">
        <f>(VLOOKUP(Table4[[#This Row],[item_sold]],Table1[],4,FALSE))*Table4[[#This Row],[qty]]</f>
        <v>28.666666666666668</v>
      </c>
      <c r="G6189">
        <f t="shared" si="1051"/>
        <v>11.333333333333332</v>
      </c>
      <c r="H6189" t="s">
        <v>361</v>
      </c>
    </row>
    <row r="6190" spans="1:12" x14ac:dyDescent="0.25">
      <c r="A6190" s="1">
        <f t="shared" si="1047"/>
        <v>45585</v>
      </c>
      <c r="B6190" s="31">
        <f t="shared" ref="B6190:B6195" si="1056">TIME(13,47,0)</f>
        <v>0.57430555555555551</v>
      </c>
      <c r="C6190" t="str">
        <f>'Inventory as of 12th Aug 2024'!A47</f>
        <v>Pembe 2kg</v>
      </c>
      <c r="D6190">
        <v>1</v>
      </c>
      <c r="E6190" s="5">
        <f>Table4[[#This Row],[qty]]*(VLOOKUP(Table4[[#This Row],[item_sold]],Table1[],5,FALSE))</f>
        <v>160</v>
      </c>
      <c r="F6190" s="5">
        <f>(VLOOKUP(Table4[[#This Row],[item_sold]],Table1[],4,FALSE))*Table4[[#This Row],[qty]]</f>
        <v>123.33333333333333</v>
      </c>
      <c r="G6190">
        <f t="shared" si="1051"/>
        <v>36.666666666666671</v>
      </c>
      <c r="H6190" t="s">
        <v>361</v>
      </c>
    </row>
    <row r="6191" spans="1:12" x14ac:dyDescent="0.25">
      <c r="A6191" s="1">
        <f t="shared" si="1047"/>
        <v>45585</v>
      </c>
      <c r="B6191" s="31">
        <f t="shared" si="1056"/>
        <v>0.57430555555555551</v>
      </c>
      <c r="C6191" t="str">
        <f>'Inventory as of 12th Aug 2024'!A58</f>
        <v>Safari</v>
      </c>
      <c r="D6191">
        <v>1</v>
      </c>
      <c r="E6191" s="5">
        <f>Table4[[#This Row],[qty]]*(VLOOKUP(Table4[[#This Row],[item_sold]],Table1[],5,FALSE))</f>
        <v>15</v>
      </c>
      <c r="F6191" s="5">
        <f>(VLOOKUP(Table4[[#This Row],[item_sold]],Table1[],4,FALSE))*Table4[[#This Row],[qty]]</f>
        <v>8.5</v>
      </c>
      <c r="G6191">
        <f t="shared" si="1051"/>
        <v>6.5</v>
      </c>
      <c r="H6191" t="s">
        <v>247</v>
      </c>
      <c r="J6191" t="s">
        <v>447</v>
      </c>
      <c r="K6191">
        <v>15</v>
      </c>
      <c r="L6191" t="s">
        <v>247</v>
      </c>
    </row>
    <row r="6192" spans="1:12" x14ac:dyDescent="0.25">
      <c r="A6192" s="1">
        <f t="shared" si="1047"/>
        <v>45585</v>
      </c>
      <c r="B6192" s="31">
        <f t="shared" si="1056"/>
        <v>0.57430555555555551</v>
      </c>
      <c r="C6192" t="str">
        <f>'Inventory as of 12th Aug 2024'!A234</f>
        <v>Bigdaddy</v>
      </c>
      <c r="D6192">
        <v>1</v>
      </c>
      <c r="E6192" s="5">
        <f>Table4[[#This Row],[qty]]*(VLOOKUP(Table4[[#This Row],[item_sold]],Table1[],5,FALSE))</f>
        <v>10</v>
      </c>
      <c r="F6192" s="5">
        <f>(VLOOKUP(Table4[[#This Row],[item_sold]],Table1[],4,FALSE))*Table4[[#This Row],[qty]]</f>
        <v>6</v>
      </c>
      <c r="G6192">
        <f t="shared" si="1051"/>
        <v>4</v>
      </c>
      <c r="H6192" t="s">
        <v>247</v>
      </c>
    </row>
    <row r="6193" spans="1:9" x14ac:dyDescent="0.25">
      <c r="A6193" s="1">
        <f t="shared" si="1047"/>
        <v>45585</v>
      </c>
      <c r="B6193" s="31">
        <f t="shared" si="1056"/>
        <v>0.57430555555555551</v>
      </c>
      <c r="C6193" t="str">
        <f>'Inventory as of 12th Aug 2024'!A233</f>
        <v>Lollipop</v>
      </c>
      <c r="D6193">
        <v>2</v>
      </c>
      <c r="E6193" s="5">
        <f>Table4[[#This Row],[qty]]*(VLOOKUP(Table4[[#This Row],[item_sold]],Table1[],5,FALSE))</f>
        <v>10</v>
      </c>
      <c r="F6193" s="5">
        <f>(VLOOKUP(Table4[[#This Row],[item_sold]],Table1[],4,FALSE))*Table4[[#This Row],[qty]]</f>
        <v>4.8</v>
      </c>
      <c r="G6193">
        <f t="shared" si="1051"/>
        <v>5.2</v>
      </c>
      <c r="H6193" t="s">
        <v>247</v>
      </c>
    </row>
    <row r="6194" spans="1:9" x14ac:dyDescent="0.25">
      <c r="A6194" s="1">
        <f t="shared" si="1047"/>
        <v>45585</v>
      </c>
      <c r="B6194" s="31">
        <f t="shared" si="1056"/>
        <v>0.57430555555555551</v>
      </c>
      <c r="C6194" t="str">
        <f>'Inventory as of 12th Aug 2024'!A270</f>
        <v>Milk Bisquit</v>
      </c>
      <c r="D6194">
        <v>4</v>
      </c>
      <c r="E6194" s="5">
        <f>Table4[[#This Row],[qty]]*(VLOOKUP(Table4[[#This Row],[item_sold]],Table1[],5,FALSE))</f>
        <v>20</v>
      </c>
      <c r="F6194" s="5">
        <f>(VLOOKUP(Table4[[#This Row],[item_sold]],Table1[],4,FALSE))*Table4[[#This Row],[qty]]</f>
        <v>16.666666666666668</v>
      </c>
      <c r="G6194">
        <f t="shared" si="1051"/>
        <v>3.3333333333333321</v>
      </c>
      <c r="H6194" t="s">
        <v>247</v>
      </c>
    </row>
    <row r="6195" spans="1:9" x14ac:dyDescent="0.25">
      <c r="A6195" s="1">
        <f t="shared" si="1047"/>
        <v>45585</v>
      </c>
      <c r="B6195" s="31">
        <f t="shared" si="1056"/>
        <v>0.57430555555555551</v>
      </c>
      <c r="C6195" t="str">
        <f>'Inventory as of 12th Aug 2024'!A238</f>
        <v>Tropical</v>
      </c>
      <c r="D6195">
        <v>4</v>
      </c>
      <c r="E6195" s="5">
        <f>Table4[[#This Row],[qty]]*(VLOOKUP(Table4[[#This Row],[item_sold]],Table1[],5,FALSE))</f>
        <v>20</v>
      </c>
      <c r="F6195" s="5">
        <f>(VLOOKUP(Table4[[#This Row],[item_sold]],Table1[],4,FALSE))*Table4[[#This Row],[qty]]</f>
        <v>6</v>
      </c>
      <c r="G6195">
        <f t="shared" si="1051"/>
        <v>14</v>
      </c>
      <c r="H6195" t="s">
        <v>247</v>
      </c>
    </row>
    <row r="6196" spans="1:9" x14ac:dyDescent="0.25">
      <c r="A6196" s="1">
        <f t="shared" si="1047"/>
        <v>45585</v>
      </c>
      <c r="B6196" s="31">
        <f>TIME(14,39,0)</f>
        <v>0.61041666666666672</v>
      </c>
      <c r="C6196" t="str">
        <f>'Inventory as of 12th Aug 2024'!A31</f>
        <v>Drinking Chocolate 20g</v>
      </c>
      <c r="D6196">
        <v>3</v>
      </c>
      <c r="E6196" s="5">
        <f>Table4[[#This Row],[qty]]*(VLOOKUP(Table4[[#This Row],[item_sold]],Table1[],5,FALSE))</f>
        <v>60</v>
      </c>
      <c r="F6196" s="5">
        <f>(VLOOKUP(Table4[[#This Row],[item_sold]],Table1[],4,FALSE))*Table4[[#This Row],[qty]]</f>
        <v>31.25</v>
      </c>
      <c r="G6196">
        <f t="shared" si="1051"/>
        <v>28.75</v>
      </c>
      <c r="H6196" t="s">
        <v>247</v>
      </c>
    </row>
    <row r="6197" spans="1:9" x14ac:dyDescent="0.25">
      <c r="A6197" s="1">
        <f t="shared" si="1047"/>
        <v>45585</v>
      </c>
      <c r="B6197" s="31">
        <f t="shared" ref="B6197" si="1057">TIME(14,39,0)</f>
        <v>0.61041666666666672</v>
      </c>
      <c r="C6197" t="str">
        <f>'Inventory as of 12th Aug 2024'!A68</f>
        <v>Royco cubes</v>
      </c>
      <c r="D6197">
        <v>2</v>
      </c>
      <c r="E6197" s="5">
        <f>Table4[[#This Row],[qty]]*(VLOOKUP(Table4[[#This Row],[item_sold]],Table1[],5,FALSE))</f>
        <v>10</v>
      </c>
      <c r="F6197" s="5">
        <f>(VLOOKUP(Table4[[#This Row],[item_sold]],Table1[],4,FALSE))*Table4[[#This Row],[qty]]</f>
        <v>6</v>
      </c>
      <c r="G6197">
        <f t="shared" si="1051"/>
        <v>4</v>
      </c>
      <c r="H6197" t="s">
        <v>247</v>
      </c>
    </row>
    <row r="6198" spans="1:9" x14ac:dyDescent="0.25">
      <c r="A6198" s="1">
        <f t="shared" si="1047"/>
        <v>45585</v>
      </c>
      <c r="B6198" s="31">
        <f>TIME(15,40,0)</f>
        <v>0.65277777777777779</v>
      </c>
      <c r="C6198" t="str">
        <f>'Inventory as of 12th Aug 2024'!A137</f>
        <v>Rosy serviettes</v>
      </c>
      <c r="D6198">
        <v>1</v>
      </c>
      <c r="E6198" s="5">
        <f>Table4[[#This Row],[qty]]*(VLOOKUP(Table4[[#This Row],[item_sold]],Table1[],5,FALSE))</f>
        <v>100</v>
      </c>
      <c r="F6198" s="5">
        <f>(VLOOKUP(Table4[[#This Row],[item_sold]],Table1[],4,FALSE))*Table4[[#This Row],[qty]]</f>
        <v>79</v>
      </c>
      <c r="G6198">
        <f t="shared" si="1051"/>
        <v>21</v>
      </c>
      <c r="H6198" t="s">
        <v>430</v>
      </c>
      <c r="I6198" t="s">
        <v>385</v>
      </c>
    </row>
    <row r="6199" spans="1:9" x14ac:dyDescent="0.25">
      <c r="A6199" s="1">
        <f t="shared" si="1047"/>
        <v>45585</v>
      </c>
      <c r="B6199" s="31">
        <f>TIME(16,0,0)</f>
        <v>0.66666666666666663</v>
      </c>
      <c r="C6199" t="str">
        <f>'Inventory as of 12th Aug 2024'!A242</f>
        <v>Icepop</v>
      </c>
      <c r="D6199">
        <v>1</v>
      </c>
      <c r="E6199" s="5">
        <f>Table4[[#This Row],[qty]]*(VLOOKUP(Table4[[#This Row],[item_sold]],Table1[],5,FALSE))</f>
        <v>15</v>
      </c>
      <c r="F6199" s="5">
        <f>(VLOOKUP(Table4[[#This Row],[item_sold]],Table1[],4,FALSE))*Table4[[#This Row],[qty]]</f>
        <v>7.5</v>
      </c>
      <c r="G6199">
        <f t="shared" si="1051"/>
        <v>7.5</v>
      </c>
      <c r="H6199" t="s">
        <v>247</v>
      </c>
    </row>
    <row r="6200" spans="1:9" x14ac:dyDescent="0.25">
      <c r="A6200" s="1">
        <f t="shared" si="1047"/>
        <v>45585</v>
      </c>
      <c r="B6200" s="31">
        <f>TIME(16,5,0)</f>
        <v>0.67013888888888884</v>
      </c>
      <c r="C6200" t="str">
        <f>'Inventory as of 12th Aug 2024'!A240</f>
        <v>Bigboss</v>
      </c>
      <c r="D6200">
        <v>4</v>
      </c>
      <c r="E6200" s="5">
        <f>Table4[[#This Row],[qty]]*(VLOOKUP(Table4[[#This Row],[item_sold]],Table1[],5,FALSE))</f>
        <v>20</v>
      </c>
      <c r="F6200" s="5">
        <f>(VLOOKUP(Table4[[#This Row],[item_sold]],Table1[],4,FALSE))*Table4[[#This Row],[qty]]</f>
        <v>14</v>
      </c>
      <c r="G6200">
        <f t="shared" si="1051"/>
        <v>6</v>
      </c>
      <c r="H6200" t="s">
        <v>247</v>
      </c>
    </row>
    <row r="6201" spans="1:9" x14ac:dyDescent="0.25">
      <c r="A6201" s="1">
        <f t="shared" si="1047"/>
        <v>45585</v>
      </c>
      <c r="B6201" s="31">
        <f t="shared" ref="B6201" si="1058">TIME(16,5,0)</f>
        <v>0.67013888888888884</v>
      </c>
      <c r="C6201" t="str">
        <f>'Inventory as of 12th Aug 2024'!A138</f>
        <v>Softcare pads</v>
      </c>
      <c r="D6201">
        <v>1</v>
      </c>
      <c r="E6201" s="5">
        <f>Table4[[#This Row],[qty]]*(VLOOKUP(Table4[[#This Row],[item_sold]],Table1[],5,FALSE))</f>
        <v>85</v>
      </c>
      <c r="F6201" s="5">
        <f>(VLOOKUP(Table4[[#This Row],[item_sold]],Table1[],4,FALSE))*Table4[[#This Row],[qty]]</f>
        <v>66</v>
      </c>
      <c r="G6201">
        <f t="shared" si="1051"/>
        <v>19</v>
      </c>
      <c r="H6201" t="s">
        <v>361</v>
      </c>
    </row>
    <row r="6202" spans="1:9" x14ac:dyDescent="0.25">
      <c r="A6202" s="1">
        <f t="shared" si="1047"/>
        <v>45585</v>
      </c>
      <c r="B6202" s="31">
        <f>TIME(16,7,0)</f>
        <v>0.67152777777777783</v>
      </c>
      <c r="C6202" t="str">
        <f>'Inventory as of 12th Aug 2024'!A204</f>
        <v>soda 2lts</v>
      </c>
      <c r="D6202">
        <v>2</v>
      </c>
      <c r="E6202" s="5">
        <f>Table4[[#This Row],[qty]]*(VLOOKUP(Table4[[#This Row],[item_sold]],Table1[],5,FALSE))</f>
        <v>400</v>
      </c>
      <c r="F6202" s="5">
        <f>(VLOOKUP(Table4[[#This Row],[item_sold]],Table1[],4,FALSE))*Table4[[#This Row],[qty]]</f>
        <v>353.33333333333331</v>
      </c>
      <c r="G6202">
        <f t="shared" si="1051"/>
        <v>46.666666666666686</v>
      </c>
      <c r="H6202" t="s">
        <v>430</v>
      </c>
      <c r="I6202" t="s">
        <v>455</v>
      </c>
    </row>
    <row r="6203" spans="1:9" x14ac:dyDescent="0.25">
      <c r="A6203" s="1">
        <f t="shared" si="1047"/>
        <v>45585</v>
      </c>
      <c r="B6203" s="31">
        <f>TIME(16,13,0)</f>
        <v>0.67569444444444438</v>
      </c>
      <c r="C6203" t="str">
        <f>'Inventory as of 12th Aug 2024'!A212</f>
        <v>soda 300ml glass</v>
      </c>
      <c r="D6203">
        <v>1</v>
      </c>
      <c r="E6203" s="5">
        <f>Table4[[#This Row],[qty]]*(VLOOKUP(Table4[[#This Row],[item_sold]],Table1[],5,FALSE))</f>
        <v>40</v>
      </c>
      <c r="F6203" s="5">
        <f>(VLOOKUP(Table4[[#This Row],[item_sold]],Table1[],4,FALSE))*Table4[[#This Row],[qty]]</f>
        <v>32.5</v>
      </c>
      <c r="G6203">
        <f t="shared" si="1051"/>
        <v>7.5</v>
      </c>
      <c r="H6203" t="s">
        <v>361</v>
      </c>
    </row>
    <row r="6204" spans="1:9" x14ac:dyDescent="0.25">
      <c r="A6204" s="1">
        <f t="shared" si="1047"/>
        <v>45585</v>
      </c>
      <c r="B6204" s="31">
        <f t="shared" ref="B6204" si="1059">TIME(16,13,0)</f>
        <v>0.67569444444444438</v>
      </c>
      <c r="C6204" t="str">
        <f>'Inventory as of 12th Aug 2024'!A199</f>
        <v>Kdf</v>
      </c>
      <c r="D6204">
        <v>2</v>
      </c>
      <c r="E6204" s="5">
        <f>Table4[[#This Row],[qty]]*(VLOOKUP(Table4[[#This Row],[item_sold]],Table1[],5,FALSE))</f>
        <v>20</v>
      </c>
      <c r="F6204" s="5">
        <f>(VLOOKUP(Table4[[#This Row],[item_sold]],Table1[],4,FALSE))*Table4[[#This Row],[qty]]</f>
        <v>16.666666666666668</v>
      </c>
      <c r="G6204">
        <f t="shared" si="1051"/>
        <v>3.3333333333333321</v>
      </c>
      <c r="H6204" t="s">
        <v>361</v>
      </c>
    </row>
    <row r="6205" spans="1:9" x14ac:dyDescent="0.25">
      <c r="A6205" s="1">
        <f t="shared" si="1047"/>
        <v>45585</v>
      </c>
      <c r="B6205" s="31">
        <f>TIME(16,28,0)</f>
        <v>0.68611111111111101</v>
      </c>
      <c r="C6205" t="str">
        <f>'Inventory as of 12th Aug 2024'!A236</f>
        <v>Gomba</v>
      </c>
      <c r="D6205">
        <v>2</v>
      </c>
      <c r="E6205" s="5">
        <f>Table4[[#This Row],[qty]]*(VLOOKUP(Table4[[#This Row],[item_sold]],Table1[],5,FALSE))</f>
        <v>5</v>
      </c>
      <c r="F6205" s="5">
        <f>(VLOOKUP(Table4[[#This Row],[item_sold]],Table1[],4,FALSE))*Table4[[#This Row],[qty]]</f>
        <v>3.6</v>
      </c>
      <c r="G6205">
        <f t="shared" si="1051"/>
        <v>1.4</v>
      </c>
      <c r="H6205" t="s">
        <v>247</v>
      </c>
    </row>
    <row r="6206" spans="1:9" x14ac:dyDescent="0.25">
      <c r="A6206" s="1">
        <f t="shared" si="1047"/>
        <v>45585</v>
      </c>
      <c r="B6206" s="31">
        <f t="shared" ref="B6206:B6207" si="1060">TIME(16,28,0)</f>
        <v>0.68611111111111101</v>
      </c>
      <c r="C6206" t="str">
        <f>'Inventory as of 12th Aug 2024'!A234</f>
        <v>Bigdaddy</v>
      </c>
      <c r="D6206">
        <v>1</v>
      </c>
      <c r="E6206" s="5">
        <f>Table4[[#This Row],[qty]]*(VLOOKUP(Table4[[#This Row],[item_sold]],Table1[],5,FALSE))</f>
        <v>10</v>
      </c>
      <c r="F6206" s="5">
        <f>(VLOOKUP(Table4[[#This Row],[item_sold]],Table1[],4,FALSE))*Table4[[#This Row],[qty]]</f>
        <v>6</v>
      </c>
      <c r="G6206">
        <f t="shared" si="1051"/>
        <v>4</v>
      </c>
      <c r="H6206" t="s">
        <v>247</v>
      </c>
    </row>
    <row r="6207" spans="1:9" x14ac:dyDescent="0.25">
      <c r="A6207" s="1">
        <f t="shared" si="1047"/>
        <v>45585</v>
      </c>
      <c r="B6207" s="31">
        <f t="shared" si="1060"/>
        <v>0.68611111111111101</v>
      </c>
      <c r="C6207" t="str">
        <f>'Inventory as of 12th Aug 2024'!A242</f>
        <v>Icepop</v>
      </c>
      <c r="D6207">
        <v>1</v>
      </c>
      <c r="E6207" s="5">
        <f>Table4[[#This Row],[qty]]*(VLOOKUP(Table4[[#This Row],[item_sold]],Table1[],5,FALSE))</f>
        <v>15</v>
      </c>
      <c r="F6207" s="5">
        <f>(VLOOKUP(Table4[[#This Row],[item_sold]],Table1[],4,FALSE))*Table4[[#This Row],[qty]]</f>
        <v>7.5</v>
      </c>
      <c r="G6207">
        <f t="shared" si="1051"/>
        <v>7.5</v>
      </c>
      <c r="H6207" t="s">
        <v>247</v>
      </c>
    </row>
    <row r="6208" spans="1:9" x14ac:dyDescent="0.25">
      <c r="A6208" s="1">
        <f t="shared" si="1047"/>
        <v>45585</v>
      </c>
      <c r="B6208" s="31">
        <f>TIME(17,7,0)</f>
        <v>0.71319444444444446</v>
      </c>
      <c r="C6208" t="str">
        <f>'Inventory as of 12th Aug 2024'!A243</f>
        <v>Ballon</v>
      </c>
      <c r="D6208">
        <v>2</v>
      </c>
      <c r="E6208" s="5">
        <f>Table4[[#This Row],[qty]]*(VLOOKUP(Table4[[#This Row],[item_sold]],Table1[],5,FALSE))</f>
        <v>20</v>
      </c>
      <c r="F6208" s="5">
        <f>(VLOOKUP(Table4[[#This Row],[item_sold]],Table1[],4,FALSE))*Table4[[#This Row],[qty]]</f>
        <v>15</v>
      </c>
      <c r="G6208">
        <f t="shared" si="1051"/>
        <v>5</v>
      </c>
      <c r="H6208" t="s">
        <v>247</v>
      </c>
    </row>
    <row r="6209" spans="1:9" x14ac:dyDescent="0.25">
      <c r="A6209" s="1">
        <f t="shared" si="1047"/>
        <v>45585</v>
      </c>
      <c r="B6209" s="31">
        <f t="shared" ref="B6209" si="1061">TIME(17,7,0)</f>
        <v>0.71319444444444446</v>
      </c>
      <c r="C6209" t="str">
        <f>'Inventory as of 12th Aug 2024'!A179</f>
        <v>Bitez</v>
      </c>
      <c r="D6209">
        <v>2</v>
      </c>
      <c r="E6209" s="5">
        <f>Table4[[#This Row],[qty]]*(VLOOKUP(Table4[[#This Row],[item_sold]],Table1[],5,FALSE))</f>
        <v>30</v>
      </c>
      <c r="F6209" s="5">
        <f>(VLOOKUP(Table4[[#This Row],[item_sold]],Table1[],4,FALSE))*Table4[[#This Row],[qty]]</f>
        <v>17.600000000000001</v>
      </c>
      <c r="G6209">
        <f t="shared" si="1051"/>
        <v>12.399999999999999</v>
      </c>
      <c r="H6209" t="s">
        <v>247</v>
      </c>
    </row>
    <row r="6210" spans="1:9" x14ac:dyDescent="0.25">
      <c r="A6210" s="1">
        <f t="shared" si="1047"/>
        <v>45585</v>
      </c>
      <c r="B6210" s="31">
        <f>TIME(17,8,0)</f>
        <v>0.71388888888888891</v>
      </c>
      <c r="C6210" t="str">
        <f>'Inventory as of 12th Aug 2024'!A16</f>
        <v>Mt kenya milk 500ml</v>
      </c>
      <c r="D6210">
        <v>1</v>
      </c>
      <c r="E6210" s="5">
        <f>Table4[[#This Row],[qty]]*(VLOOKUP(Table4[[#This Row],[item_sold]],Table1[],5,FALSE))</f>
        <v>65</v>
      </c>
      <c r="F6210" s="5">
        <f>(VLOOKUP(Table4[[#This Row],[item_sold]],Table1[],4,FALSE))*Table4[[#This Row],[qty]]</f>
        <v>48.333333333333336</v>
      </c>
      <c r="G6210">
        <f t="shared" si="1051"/>
        <v>16.666666666666664</v>
      </c>
      <c r="H6210" t="s">
        <v>247</v>
      </c>
    </row>
    <row r="6211" spans="1:9" x14ac:dyDescent="0.25">
      <c r="A6211" s="1">
        <f t="shared" si="1047"/>
        <v>45585</v>
      </c>
      <c r="B6211" s="31">
        <f>TIME(18,19,0)</f>
        <v>0.7631944444444444</v>
      </c>
      <c r="C6211" t="str">
        <f>'Inventory as of 12th Aug 2024'!A91</f>
        <v>Tomatoes</v>
      </c>
      <c r="D6211">
        <v>2</v>
      </c>
      <c r="E6211" s="5">
        <f>Table4[[#This Row],[qty]]*(VLOOKUP(Table4[[#This Row],[item_sold]],Table1[],5,FALSE))</f>
        <v>20</v>
      </c>
      <c r="F6211" s="5">
        <f>(VLOOKUP(Table4[[#This Row],[item_sold]],Table1[],4,FALSE))*Table4[[#This Row],[qty]]</f>
        <v>10</v>
      </c>
      <c r="G6211">
        <f t="shared" si="1051"/>
        <v>10</v>
      </c>
      <c r="H6211" t="s">
        <v>361</v>
      </c>
    </row>
    <row r="6212" spans="1:9" x14ac:dyDescent="0.25">
      <c r="A6212" s="1">
        <f t="shared" si="1047"/>
        <v>45585</v>
      </c>
      <c r="B6212" s="31">
        <f>TIME(18,20,0)</f>
        <v>0.76388888888888884</v>
      </c>
      <c r="C6212" t="str">
        <f>'Inventory as of 12th Aug 2024'!A29</f>
        <v>Fahari Tea 50g</v>
      </c>
      <c r="D6212">
        <v>1</v>
      </c>
      <c r="E6212" s="5">
        <f>Table4[[#This Row],[qty]]*(VLOOKUP(Table4[[#This Row],[item_sold]],Table1[],5,FALSE))</f>
        <v>30</v>
      </c>
      <c r="F6212" s="5">
        <f>(VLOOKUP(Table4[[#This Row],[item_sold]],Table1[],4,FALSE))*Table4[[#This Row],[qty]]</f>
        <v>17.5</v>
      </c>
      <c r="G6212">
        <f t="shared" si="1051"/>
        <v>12.5</v>
      </c>
      <c r="H6212" t="s">
        <v>361</v>
      </c>
    </row>
    <row r="6213" spans="1:9" x14ac:dyDescent="0.25">
      <c r="A6213" s="1">
        <f t="shared" si="1047"/>
        <v>45585</v>
      </c>
      <c r="B6213" s="31">
        <f t="shared" ref="B6213" si="1062">TIME(18,20,0)</f>
        <v>0.76388888888888884</v>
      </c>
      <c r="C6213" t="str">
        <f>'Inventory as of 12th Aug 2024'!A248</f>
        <v>Soko Maize meal</v>
      </c>
      <c r="D6213">
        <v>1</v>
      </c>
      <c r="E6213" s="5">
        <f>Table4[[#This Row],[qty]]*(VLOOKUP(Table4[[#This Row],[item_sold]],Table1[],5,FALSE))</f>
        <v>160</v>
      </c>
      <c r="F6213" s="5">
        <f>(VLOOKUP(Table4[[#This Row],[item_sold]],Table1[],4,FALSE))*Table4[[#This Row],[qty]]</f>
        <v>125</v>
      </c>
      <c r="G6213">
        <f t="shared" si="1051"/>
        <v>35</v>
      </c>
      <c r="H6213" t="s">
        <v>361</v>
      </c>
    </row>
    <row r="6214" spans="1:9" x14ac:dyDescent="0.25">
      <c r="A6214" s="1">
        <f t="shared" si="1047"/>
        <v>45585</v>
      </c>
      <c r="B6214" s="31">
        <f>TIME(18,26,0)</f>
        <v>0.7680555555555556</v>
      </c>
      <c r="C6214" t="str">
        <f>'Inventory as of 12th Aug 2024'!A68</f>
        <v>Royco cubes</v>
      </c>
      <c r="D6214">
        <v>4</v>
      </c>
      <c r="E6214" s="5">
        <f>Table4[[#This Row],[qty]]*(VLOOKUP(Table4[[#This Row],[item_sold]],Table1[],5,FALSE))</f>
        <v>20</v>
      </c>
      <c r="F6214" s="5">
        <f>(VLOOKUP(Table4[[#This Row],[item_sold]],Table1[],4,FALSE))*Table4[[#This Row],[qty]]</f>
        <v>12</v>
      </c>
      <c r="G6214">
        <f t="shared" si="1051"/>
        <v>8</v>
      </c>
      <c r="H6214" t="s">
        <v>361</v>
      </c>
    </row>
    <row r="6215" spans="1:9" x14ac:dyDescent="0.25">
      <c r="A6215" s="1">
        <f t="shared" si="1047"/>
        <v>45585</v>
      </c>
      <c r="B6215" s="31">
        <f>TIME(18,36,0)</f>
        <v>0.77500000000000002</v>
      </c>
      <c r="C6215" t="str">
        <f>'Inventory as of 12th Aug 2024'!A192</f>
        <v>Lemon Bisquit</v>
      </c>
      <c r="D6215">
        <v>2</v>
      </c>
      <c r="E6215" s="5">
        <f>Table4[[#This Row],[qty]]*(VLOOKUP(Table4[[#This Row],[item_sold]],Table1[],5,FALSE))</f>
        <v>10</v>
      </c>
      <c r="F6215" s="5">
        <f>(VLOOKUP(Table4[[#This Row],[item_sold]],Table1[],4,FALSE))*Table4[[#This Row],[qty]]</f>
        <v>8.6666666666666661</v>
      </c>
      <c r="G6215">
        <f t="shared" si="1051"/>
        <v>1.3333333333333339</v>
      </c>
      <c r="H6215" t="s">
        <v>247</v>
      </c>
    </row>
    <row r="6216" spans="1:9" x14ac:dyDescent="0.25">
      <c r="A6216" s="1">
        <f t="shared" si="1047"/>
        <v>45585</v>
      </c>
      <c r="B6216" s="31">
        <f>TIME(18,47,0)</f>
        <v>0.78263888888888899</v>
      </c>
      <c r="C6216" t="str">
        <f>'Inventory as of 12th Aug 2024'!A17</f>
        <v>Brookside milk 500ml</v>
      </c>
      <c r="D6216">
        <v>2</v>
      </c>
      <c r="E6216" s="5">
        <f>Table4[[#This Row],[qty]]*(VLOOKUP(Table4[[#This Row],[item_sold]],Table1[],5,FALSE))</f>
        <v>140</v>
      </c>
      <c r="F6216" s="5">
        <f>(VLOOKUP(Table4[[#This Row],[item_sold]],Table1[],4,FALSE))*Table4[[#This Row],[qty]]</f>
        <v>118</v>
      </c>
      <c r="G6216">
        <f t="shared" si="1051"/>
        <v>22</v>
      </c>
      <c r="H6216" t="s">
        <v>430</v>
      </c>
      <c r="I6216" t="s">
        <v>456</v>
      </c>
    </row>
    <row r="6217" spans="1:9" x14ac:dyDescent="0.25">
      <c r="A6217" s="1">
        <f t="shared" si="1047"/>
        <v>45585</v>
      </c>
      <c r="B6217" s="31">
        <f>TIME(18,50,0)</f>
        <v>0.78472222222222221</v>
      </c>
      <c r="C6217" t="str">
        <f>'Inventory as of 12th Aug 2024'!A58</f>
        <v>Safari</v>
      </c>
      <c r="D6217">
        <v>1</v>
      </c>
      <c r="E6217" s="5">
        <f>Table4[[#This Row],[qty]]*(VLOOKUP(Table4[[#This Row],[item_sold]],Table1[],5,FALSE))</f>
        <v>15</v>
      </c>
      <c r="F6217" s="5">
        <f>(VLOOKUP(Table4[[#This Row],[item_sold]],Table1[],4,FALSE))*Table4[[#This Row],[qty]]</f>
        <v>8.5</v>
      </c>
      <c r="G6217">
        <f t="shared" si="1051"/>
        <v>6.5</v>
      </c>
      <c r="H6217" t="s">
        <v>430</v>
      </c>
      <c r="I6217" t="s">
        <v>447</v>
      </c>
    </row>
    <row r="6218" spans="1:9" x14ac:dyDescent="0.25">
      <c r="A6218" s="1">
        <f t="shared" si="1047"/>
        <v>45585</v>
      </c>
      <c r="B6218" s="31">
        <f>TIME(18,51,0)</f>
        <v>0.78541666666666676</v>
      </c>
      <c r="C6218" t="str">
        <f>'Inventory as of 12th Aug 2024'!A17</f>
        <v>Brookside milk 500ml</v>
      </c>
      <c r="D6218">
        <v>2</v>
      </c>
      <c r="E6218" s="5">
        <f>Table4[[#This Row],[qty]]*(VLOOKUP(Table4[[#This Row],[item_sold]],Table1[],5,FALSE))</f>
        <v>140</v>
      </c>
      <c r="F6218" s="5">
        <f>(VLOOKUP(Table4[[#This Row],[item_sold]],Table1[],4,FALSE))*Table4[[#This Row],[qty]]</f>
        <v>118</v>
      </c>
      <c r="G6218">
        <f t="shared" si="1051"/>
        <v>22</v>
      </c>
      <c r="H6218" t="s">
        <v>430</v>
      </c>
      <c r="I6218" t="s">
        <v>392</v>
      </c>
    </row>
    <row r="6219" spans="1:9" x14ac:dyDescent="0.25">
      <c r="A6219" s="1">
        <f t="shared" si="1047"/>
        <v>45585</v>
      </c>
      <c r="B6219" s="31">
        <f>TIME(18,58,0)</f>
        <v>0.79027777777777775</v>
      </c>
      <c r="C6219" t="str">
        <f>'Inventory as of 12th Aug 2024'!A33</f>
        <v>BB Bread 400g</v>
      </c>
      <c r="D6219">
        <v>1</v>
      </c>
      <c r="E6219" s="5">
        <f>Table4[[#This Row],[qty]]*(VLOOKUP(Table4[[#This Row],[item_sold]],Table1[],5,FALSE))</f>
        <v>65</v>
      </c>
      <c r="F6219" s="5">
        <f>(VLOOKUP(Table4[[#This Row],[item_sold]],Table1[],4,FALSE))*Table4[[#This Row],[qty]]</f>
        <v>60</v>
      </c>
      <c r="G6219">
        <f t="shared" si="1051"/>
        <v>5</v>
      </c>
      <c r="H6219" t="s">
        <v>361</v>
      </c>
    </row>
    <row r="6220" spans="1:9" x14ac:dyDescent="0.25">
      <c r="A6220" s="1">
        <f t="shared" si="1047"/>
        <v>45585</v>
      </c>
      <c r="B6220" s="31">
        <f t="shared" ref="B6220:B6221" si="1063">TIME(18,58,0)</f>
        <v>0.79027777777777775</v>
      </c>
      <c r="C6220" t="str">
        <f>'Inventory as of 12th Aug 2024'!A68</f>
        <v>Royco cubes</v>
      </c>
      <c r="D6220">
        <v>2</v>
      </c>
      <c r="E6220" s="5">
        <f>Table4[[#This Row],[qty]]*(VLOOKUP(Table4[[#This Row],[item_sold]],Table1[],5,FALSE))</f>
        <v>10</v>
      </c>
      <c r="F6220" s="5">
        <f>(VLOOKUP(Table4[[#This Row],[item_sold]],Table1[],4,FALSE))*Table4[[#This Row],[qty]]</f>
        <v>6</v>
      </c>
      <c r="G6220">
        <f t="shared" si="1051"/>
        <v>4</v>
      </c>
      <c r="H6220" t="s">
        <v>361</v>
      </c>
    </row>
    <row r="6221" spans="1:9" x14ac:dyDescent="0.25">
      <c r="A6221" s="1">
        <f t="shared" si="1047"/>
        <v>45585</v>
      </c>
      <c r="B6221" s="31">
        <f t="shared" si="1063"/>
        <v>0.79027777777777775</v>
      </c>
      <c r="C6221" t="str">
        <f>'Inventory as of 12th Aug 2024'!A17</f>
        <v>Brookside milk 500ml</v>
      </c>
      <c r="D6221">
        <v>1</v>
      </c>
      <c r="E6221" s="5">
        <f>Table4[[#This Row],[qty]]*(VLOOKUP(Table4[[#This Row],[item_sold]],Table1[],5,FALSE))</f>
        <v>70</v>
      </c>
      <c r="F6221" s="5">
        <f>(VLOOKUP(Table4[[#This Row],[item_sold]],Table1[],4,FALSE))*Table4[[#This Row],[qty]]</f>
        <v>59</v>
      </c>
      <c r="G6221">
        <f t="shared" si="1051"/>
        <v>11</v>
      </c>
      <c r="H6221" t="s">
        <v>361</v>
      </c>
    </row>
    <row r="6222" spans="1:9" x14ac:dyDescent="0.25">
      <c r="A6222" s="1">
        <f t="shared" si="1047"/>
        <v>45585</v>
      </c>
      <c r="B6222" s="31">
        <f>TIME(19,6,0)</f>
        <v>0.79583333333333339</v>
      </c>
      <c r="C6222" t="str">
        <f>'Inventory as of 12th Aug 2024'!A206</f>
        <v>soda 500ml plastic</v>
      </c>
      <c r="D6222">
        <v>1</v>
      </c>
      <c r="E6222" s="5">
        <f>Table4[[#This Row],[qty]]*(VLOOKUP(Table4[[#This Row],[item_sold]],Table1[],5,FALSE))</f>
        <v>70</v>
      </c>
      <c r="F6222" s="5">
        <f>(VLOOKUP(Table4[[#This Row],[item_sold]],Table1[],4,FALSE))*Table4[[#This Row],[qty]]</f>
        <v>60.416666666666664</v>
      </c>
      <c r="G6222">
        <f t="shared" si="1051"/>
        <v>9.5833333333333357</v>
      </c>
      <c r="H6222" t="s">
        <v>361</v>
      </c>
    </row>
    <row r="6223" spans="1:9" x14ac:dyDescent="0.25">
      <c r="A6223" s="1">
        <f t="shared" si="1047"/>
        <v>45585</v>
      </c>
      <c r="B6223" s="31">
        <f>TIME(19,10,0)</f>
        <v>0.79861111111111116</v>
      </c>
      <c r="C6223" t="str">
        <f>'Inventory as of 12th Aug 2024'!A74</f>
        <v>Freshfry</v>
      </c>
      <c r="D6223">
        <v>1</v>
      </c>
      <c r="E6223" s="5">
        <f>Table4[[#This Row],[qty]]*(VLOOKUP(Table4[[#This Row],[item_sold]],Table1[],5,FALSE))</f>
        <v>350</v>
      </c>
      <c r="F6223" s="5">
        <f>(VLOOKUP(Table4[[#This Row],[item_sold]],Table1[],4,FALSE))*Table4[[#This Row],[qty]]</f>
        <v>290</v>
      </c>
      <c r="G6223">
        <f t="shared" si="1051"/>
        <v>60</v>
      </c>
      <c r="H6223" t="s">
        <v>361</v>
      </c>
    </row>
    <row r="6224" spans="1:9" x14ac:dyDescent="0.25">
      <c r="A6224" s="1">
        <f t="shared" ref="A6224:A6225" si="1064">DATE(2024,10,20)</f>
        <v>45585</v>
      </c>
      <c r="B6224" s="31">
        <f>TIME(19,26,0)</f>
        <v>0.80972222222222223</v>
      </c>
      <c r="C6224" t="str">
        <f>'Inventory as of 12th Aug 2024'!A135</f>
        <v>Bella Tissue</v>
      </c>
      <c r="D6224">
        <v>3</v>
      </c>
      <c r="E6224" s="5">
        <f>Table4[[#This Row],[qty]]*(VLOOKUP(Table4[[#This Row],[item_sold]],Table1[],5,FALSE))</f>
        <v>150</v>
      </c>
      <c r="F6224" s="5">
        <f>(VLOOKUP(Table4[[#This Row],[item_sold]],Table1[],4,FALSE))*Table4[[#This Row],[qty]]</f>
        <v>105</v>
      </c>
      <c r="G6224">
        <f t="shared" si="1051"/>
        <v>45</v>
      </c>
      <c r="H6224" t="s">
        <v>430</v>
      </c>
      <c r="I6224" t="s">
        <v>456</v>
      </c>
    </row>
    <row r="6225" spans="1:9" x14ac:dyDescent="0.25">
      <c r="A6225" s="1">
        <f t="shared" si="1064"/>
        <v>45585</v>
      </c>
      <c r="B6225" s="31">
        <f>TIME(19,40,0)</f>
        <v>0.81944444444444453</v>
      </c>
      <c r="C6225" t="str">
        <f>'Inventory as of 12th Aug 2024'!A199</f>
        <v>Kdf</v>
      </c>
      <c r="D6225">
        <v>1</v>
      </c>
      <c r="E6225" s="5">
        <f>Table4[[#This Row],[qty]]*(VLOOKUP(Table4[[#This Row],[item_sold]],Table1[],5,FALSE))</f>
        <v>10</v>
      </c>
      <c r="F6225" s="5">
        <f>(VLOOKUP(Table4[[#This Row],[item_sold]],Table1[],4,FALSE))*Table4[[#This Row],[qty]]</f>
        <v>8.3333333333333339</v>
      </c>
      <c r="G6225">
        <f t="shared" si="1051"/>
        <v>1.6666666666666661</v>
      </c>
      <c r="H6225" t="s">
        <v>361</v>
      </c>
    </row>
    <row r="6226" spans="1:9" x14ac:dyDescent="0.25">
      <c r="A6226" s="1">
        <f>DATE(2024,10,21)</f>
        <v>45586</v>
      </c>
      <c r="B6226" s="31">
        <f>TIME(7,21,0)</f>
        <v>0.30624999999999997</v>
      </c>
      <c r="C6226" t="str">
        <f>'Inventory as of 12th Aug 2024'!A17</f>
        <v>Brookside milk 500ml</v>
      </c>
      <c r="D6226">
        <v>5</v>
      </c>
      <c r="E6226" s="5">
        <f>Table4[[#This Row],[qty]]*(VLOOKUP(Table4[[#This Row],[item_sold]],Table1[],5,FALSE))</f>
        <v>350</v>
      </c>
      <c r="F6226" s="5">
        <f>(VLOOKUP(Table4[[#This Row],[item_sold]],Table1[],4,FALSE))*Table4[[#This Row],[qty]]</f>
        <v>295</v>
      </c>
      <c r="G6226">
        <f t="shared" si="1051"/>
        <v>55</v>
      </c>
      <c r="H6226" t="s">
        <v>430</v>
      </c>
      <c r="I6226" t="s">
        <v>408</v>
      </c>
    </row>
    <row r="6227" spans="1:9" x14ac:dyDescent="0.25">
      <c r="A6227" s="1">
        <f t="shared" ref="A6227:A6278" si="1065">DATE(2024,10,21)</f>
        <v>45586</v>
      </c>
      <c r="B6227" s="31">
        <f>TIME(7,22,0)</f>
        <v>0.30694444444444441</v>
      </c>
      <c r="C6227" t="str">
        <f>'Inventory as of 12th Aug 2024'!A58</f>
        <v>Safari</v>
      </c>
      <c r="D6227">
        <v>1</v>
      </c>
      <c r="E6227" s="5">
        <f>Table4[[#This Row],[qty]]*(VLOOKUP(Table4[[#This Row],[item_sold]],Table1[],5,FALSE))</f>
        <v>15</v>
      </c>
      <c r="F6227" s="5">
        <f>(VLOOKUP(Table4[[#This Row],[item_sold]],Table1[],4,FALSE))*Table4[[#This Row],[qty]]</f>
        <v>8.5</v>
      </c>
      <c r="G6227">
        <f t="shared" si="1051"/>
        <v>6.5</v>
      </c>
      <c r="H6227" t="s">
        <v>361</v>
      </c>
    </row>
    <row r="6228" spans="1:9" x14ac:dyDescent="0.25">
      <c r="A6228" s="1">
        <f t="shared" si="1065"/>
        <v>45586</v>
      </c>
      <c r="B6228" s="31">
        <f>TIME(7,44,0)</f>
        <v>0.32222222222222224</v>
      </c>
      <c r="C6228" t="str">
        <f>'Inventory as of 12th Aug 2024'!A199</f>
        <v>Kdf</v>
      </c>
      <c r="D6228">
        <v>3</v>
      </c>
      <c r="E6228" s="5">
        <f>Table4[[#This Row],[qty]]*(VLOOKUP(Table4[[#This Row],[item_sold]],Table1[],5,FALSE))</f>
        <v>30</v>
      </c>
      <c r="F6228" s="5">
        <f>(VLOOKUP(Table4[[#This Row],[item_sold]],Table1[],4,FALSE))*Table4[[#This Row],[qty]]</f>
        <v>25</v>
      </c>
      <c r="G6228">
        <f t="shared" ref="G6228:G6291" si="1066">E6228-F6228</f>
        <v>5</v>
      </c>
      <c r="H6228" t="s">
        <v>247</v>
      </c>
    </row>
    <row r="6229" spans="1:9" x14ac:dyDescent="0.25">
      <c r="A6229" s="1">
        <f t="shared" si="1065"/>
        <v>45586</v>
      </c>
      <c r="B6229" s="31">
        <f>TIME(7,46,0)</f>
        <v>0.32361111111111113</v>
      </c>
      <c r="C6229" t="str">
        <f>'Inventory as of 12th Aug 2024'!A28</f>
        <v>Fahari Tea 15g</v>
      </c>
      <c r="D6229">
        <v>1</v>
      </c>
      <c r="E6229" s="5">
        <f>Table4[[#This Row],[qty]]*(VLOOKUP(Table4[[#This Row],[item_sold]],Table1[],5,FALSE))</f>
        <v>15</v>
      </c>
      <c r="F6229" s="5">
        <f>(VLOOKUP(Table4[[#This Row],[item_sold]],Table1[],4,FALSE))*Table4[[#This Row],[qty]]</f>
        <v>9.1666666666666661</v>
      </c>
      <c r="G6229">
        <f t="shared" si="1066"/>
        <v>5.8333333333333339</v>
      </c>
      <c r="H6229" t="s">
        <v>361</v>
      </c>
    </row>
    <row r="6230" spans="1:9" x14ac:dyDescent="0.25">
      <c r="A6230" s="1">
        <f t="shared" si="1065"/>
        <v>45586</v>
      </c>
      <c r="B6230" s="31">
        <f>TIME(8,32,0)</f>
        <v>0.35555555555555557</v>
      </c>
      <c r="C6230" t="str">
        <f>'Inventory as of 12th Aug 2024'!A33</f>
        <v>BB Bread 400g</v>
      </c>
      <c r="D6230">
        <v>1</v>
      </c>
      <c r="E6230" s="5">
        <f>Table4[[#This Row],[qty]]*(VLOOKUP(Table4[[#This Row],[item_sold]],Table1[],5,FALSE))</f>
        <v>65</v>
      </c>
      <c r="F6230" s="5">
        <f>(VLOOKUP(Table4[[#This Row],[item_sold]],Table1[],4,FALSE))*Table4[[#This Row],[qty]]</f>
        <v>60</v>
      </c>
      <c r="G6230">
        <f t="shared" si="1066"/>
        <v>5</v>
      </c>
      <c r="H6230" t="s">
        <v>361</v>
      </c>
    </row>
    <row r="6231" spans="1:9" x14ac:dyDescent="0.25">
      <c r="A6231" s="1">
        <f t="shared" si="1065"/>
        <v>45586</v>
      </c>
      <c r="B6231" s="31">
        <f>TIME(8,48,0)</f>
        <v>0.3666666666666667</v>
      </c>
      <c r="C6231" t="str">
        <f>'Inventory as of 12th Aug 2024'!A149</f>
        <v>Arimis small</v>
      </c>
      <c r="D6231">
        <v>1</v>
      </c>
      <c r="E6231" s="5">
        <f>Table4[[#This Row],[qty]]*(VLOOKUP(Table4[[#This Row],[item_sold]],Table1[],5,FALSE))</f>
        <v>35</v>
      </c>
      <c r="F6231" s="5">
        <f>(VLOOKUP(Table4[[#This Row],[item_sold]],Table1[],4,FALSE))*Table4[[#This Row],[qty]]</f>
        <v>23.333333333333332</v>
      </c>
      <c r="G6231">
        <f t="shared" si="1066"/>
        <v>11.666666666666668</v>
      </c>
      <c r="H6231" t="s">
        <v>247</v>
      </c>
    </row>
    <row r="6232" spans="1:9" x14ac:dyDescent="0.25">
      <c r="A6232" s="1">
        <f t="shared" si="1065"/>
        <v>45586</v>
      </c>
      <c r="B6232" s="31">
        <f t="shared" ref="B6232" si="1067">TIME(8,48,0)</f>
        <v>0.3666666666666667</v>
      </c>
      <c r="C6232" t="str">
        <f>'Inventory as of 12th Aug 2024'!A199</f>
        <v>Kdf</v>
      </c>
      <c r="D6232">
        <v>2</v>
      </c>
      <c r="E6232" s="5">
        <f>Table4[[#This Row],[qty]]*(VLOOKUP(Table4[[#This Row],[item_sold]],Table1[],5,FALSE))</f>
        <v>20</v>
      </c>
      <c r="F6232" s="5">
        <f>(VLOOKUP(Table4[[#This Row],[item_sold]],Table1[],4,FALSE))*Table4[[#This Row],[qty]]</f>
        <v>16.666666666666668</v>
      </c>
      <c r="G6232">
        <f t="shared" si="1066"/>
        <v>3.3333333333333321</v>
      </c>
      <c r="H6232" t="s">
        <v>361</v>
      </c>
    </row>
    <row r="6233" spans="1:9" x14ac:dyDescent="0.25">
      <c r="A6233" s="1">
        <f t="shared" si="1065"/>
        <v>45586</v>
      </c>
      <c r="B6233" s="31">
        <f>TIME(8,34,0)</f>
        <v>0.35694444444444445</v>
      </c>
      <c r="C6233" t="str">
        <f>'Inventory as of 12th Aug 2024'!A199</f>
        <v>Kdf</v>
      </c>
      <c r="D6233">
        <v>6</v>
      </c>
      <c r="E6233" s="5">
        <f>Table4[[#This Row],[qty]]*(VLOOKUP(Table4[[#This Row],[item_sold]],Table1[],5,FALSE))</f>
        <v>60</v>
      </c>
      <c r="F6233" s="5">
        <f>(VLOOKUP(Table4[[#This Row],[item_sold]],Table1[],4,FALSE))*Table4[[#This Row],[qty]]</f>
        <v>50</v>
      </c>
      <c r="G6233">
        <f t="shared" si="1066"/>
        <v>10</v>
      </c>
      <c r="H6233" t="s">
        <v>361</v>
      </c>
    </row>
    <row r="6234" spans="1:9" x14ac:dyDescent="0.25">
      <c r="A6234" s="1">
        <f t="shared" si="1065"/>
        <v>45586</v>
      </c>
      <c r="B6234" s="31">
        <f t="shared" ref="B6234" si="1068">TIME(8,34,0)</f>
        <v>0.35694444444444445</v>
      </c>
      <c r="C6234" t="str">
        <f>'Inventory as of 12th Aug 2024'!A16</f>
        <v>Mt kenya milk 500ml</v>
      </c>
      <c r="D6234">
        <v>2</v>
      </c>
      <c r="E6234" s="5">
        <f>Table4[[#This Row],[qty]]*(VLOOKUP(Table4[[#This Row],[item_sold]],Table1[],5,FALSE))</f>
        <v>130</v>
      </c>
      <c r="F6234" s="5">
        <f>(VLOOKUP(Table4[[#This Row],[item_sold]],Table1[],4,FALSE))*Table4[[#This Row],[qty]]</f>
        <v>96.666666666666671</v>
      </c>
      <c r="G6234">
        <f t="shared" si="1066"/>
        <v>33.333333333333329</v>
      </c>
      <c r="H6234" t="s">
        <v>430</v>
      </c>
      <c r="I6234" t="s">
        <v>455</v>
      </c>
    </row>
    <row r="6235" spans="1:9" x14ac:dyDescent="0.25">
      <c r="A6235" s="1">
        <f t="shared" si="1065"/>
        <v>45586</v>
      </c>
      <c r="B6235" s="31">
        <f>TIME(9,34,0)</f>
        <v>0.39861111111111108</v>
      </c>
      <c r="C6235" t="str">
        <f>'Inventory as of 12th Aug 2024'!A58</f>
        <v>Safari</v>
      </c>
      <c r="D6235">
        <v>1</v>
      </c>
      <c r="E6235" s="5">
        <f>Table4[[#This Row],[qty]]*(VLOOKUP(Table4[[#This Row],[item_sold]],Table1[],5,FALSE))</f>
        <v>15</v>
      </c>
      <c r="F6235" s="5">
        <f>(VLOOKUP(Table4[[#This Row],[item_sold]],Table1[],4,FALSE))*Table4[[#This Row],[qty]]</f>
        <v>8.5</v>
      </c>
      <c r="G6235">
        <f t="shared" si="1066"/>
        <v>6.5</v>
      </c>
      <c r="H6235" t="s">
        <v>402</v>
      </c>
    </row>
    <row r="6236" spans="1:9" x14ac:dyDescent="0.25">
      <c r="A6236" s="1">
        <f t="shared" si="1065"/>
        <v>45586</v>
      </c>
      <c r="B6236" s="31">
        <f>TIME(10,21,0)</f>
        <v>0.43124999999999997</v>
      </c>
      <c r="C6236" t="str">
        <f>'Inventory as of 12th Aug 2024'!A37</f>
        <v>Festive Bread 400g</v>
      </c>
      <c r="D6236">
        <v>2</v>
      </c>
      <c r="E6236" s="5">
        <f>Table4[[#This Row],[qty]]*(VLOOKUP(Table4[[#This Row],[item_sold]],Table1[],5,FALSE))</f>
        <v>130</v>
      </c>
      <c r="F6236" s="5">
        <f>(VLOOKUP(Table4[[#This Row],[item_sold]],Table1[],4,FALSE))*Table4[[#This Row],[qty]]</f>
        <v>120</v>
      </c>
      <c r="G6236">
        <f t="shared" si="1066"/>
        <v>10</v>
      </c>
      <c r="H6236" t="s">
        <v>361</v>
      </c>
    </row>
    <row r="6237" spans="1:9" x14ac:dyDescent="0.25">
      <c r="A6237" s="1">
        <f t="shared" si="1065"/>
        <v>45586</v>
      </c>
      <c r="B6237" s="31">
        <f t="shared" ref="B6237" si="1069">TIME(10,21,0)</f>
        <v>0.43124999999999997</v>
      </c>
      <c r="C6237" t="str">
        <f>'Inventory as of 12th Aug 2024'!A267</f>
        <v>Ting Ting</v>
      </c>
      <c r="D6237">
        <v>1</v>
      </c>
      <c r="E6237" s="5">
        <f>Table4[[#This Row],[qty]]*(VLOOKUP(Table4[[#This Row],[item_sold]],Table1[],5,FALSE))</f>
        <v>5</v>
      </c>
      <c r="F6237" s="5">
        <f>(VLOOKUP(Table4[[#This Row],[item_sold]],Table1[],4,FALSE))*Table4[[#This Row],[qty]]</f>
        <v>4.0599999999999996</v>
      </c>
      <c r="G6237">
        <f t="shared" si="1066"/>
        <v>0.94000000000000039</v>
      </c>
      <c r="H6237" t="s">
        <v>402</v>
      </c>
    </row>
    <row r="6238" spans="1:9" x14ac:dyDescent="0.25">
      <c r="A6238" s="1">
        <f t="shared" si="1065"/>
        <v>45586</v>
      </c>
      <c r="B6238" s="31">
        <f>TIME(10,31,0)</f>
        <v>0.4381944444444445</v>
      </c>
      <c r="C6238" t="str">
        <f>'Inventory as of 12th Aug 2024'!A45</f>
        <v>Ajab 1kg</v>
      </c>
      <c r="D6238">
        <v>1</v>
      </c>
      <c r="E6238" s="5">
        <f>Table4[[#This Row],[qty]]*(VLOOKUP(Table4[[#This Row],[item_sold]],Table1[],5,FALSE))</f>
        <v>120</v>
      </c>
      <c r="F6238" s="5">
        <f>(VLOOKUP(Table4[[#This Row],[item_sold]],Table1[],4,FALSE))*Table4[[#This Row],[qty]]</f>
        <v>87.5</v>
      </c>
      <c r="G6238">
        <f t="shared" si="1066"/>
        <v>32.5</v>
      </c>
      <c r="H6238" t="s">
        <v>402</v>
      </c>
    </row>
    <row r="6239" spans="1:9" x14ac:dyDescent="0.25">
      <c r="A6239" s="1">
        <f t="shared" si="1065"/>
        <v>45586</v>
      </c>
      <c r="B6239" s="31">
        <f>TIME(10,58,0)</f>
        <v>0.45694444444444443</v>
      </c>
      <c r="C6239" t="str">
        <f>'Inventory as of 12th Aug 2024'!A199</f>
        <v>Kdf</v>
      </c>
      <c r="D6239">
        <v>2</v>
      </c>
      <c r="E6239" s="5">
        <f>Table4[[#This Row],[qty]]*(VLOOKUP(Table4[[#This Row],[item_sold]],Table1[],5,FALSE))</f>
        <v>20</v>
      </c>
      <c r="F6239" s="5">
        <f>(VLOOKUP(Table4[[#This Row],[item_sold]],Table1[],4,FALSE))*Table4[[#This Row],[qty]]</f>
        <v>16.666666666666668</v>
      </c>
      <c r="G6239">
        <f t="shared" si="1066"/>
        <v>3.3333333333333321</v>
      </c>
      <c r="H6239" t="s">
        <v>247</v>
      </c>
    </row>
    <row r="6240" spans="1:9" x14ac:dyDescent="0.25">
      <c r="A6240" s="1">
        <f t="shared" si="1065"/>
        <v>45586</v>
      </c>
      <c r="B6240" s="31">
        <f>TIME(11,3,0)</f>
        <v>0.4604166666666667</v>
      </c>
      <c r="C6240" t="str">
        <f>'Inventory as of 12th Aug 2024'!A243</f>
        <v>Ballon</v>
      </c>
      <c r="D6240">
        <v>1</v>
      </c>
      <c r="E6240" s="5">
        <f>Table4[[#This Row],[qty]]*(VLOOKUP(Table4[[#This Row],[item_sold]],Table1[],5,FALSE))</f>
        <v>10</v>
      </c>
      <c r="F6240" s="5">
        <f>(VLOOKUP(Table4[[#This Row],[item_sold]],Table1[],4,FALSE))*Table4[[#This Row],[qty]]</f>
        <v>7.5</v>
      </c>
      <c r="G6240">
        <f t="shared" si="1066"/>
        <v>2.5</v>
      </c>
      <c r="H6240" t="s">
        <v>361</v>
      </c>
    </row>
    <row r="6241" spans="1:12" x14ac:dyDescent="0.25">
      <c r="A6241" s="1">
        <f t="shared" si="1065"/>
        <v>45586</v>
      </c>
      <c r="B6241" s="31">
        <f t="shared" ref="B6241" si="1070">TIME(11,3,0)</f>
        <v>0.4604166666666667</v>
      </c>
      <c r="C6241" t="str">
        <f>'Inventory as of 12th Aug 2024'!A270</f>
        <v>Milk Bisquit</v>
      </c>
      <c r="D6241">
        <v>2</v>
      </c>
      <c r="E6241" s="5">
        <f>Table4[[#This Row],[qty]]*(VLOOKUP(Table4[[#This Row],[item_sold]],Table1[],5,FALSE))</f>
        <v>10</v>
      </c>
      <c r="F6241" s="5">
        <f>(VLOOKUP(Table4[[#This Row],[item_sold]],Table1[],4,FALSE))*Table4[[#This Row],[qty]]</f>
        <v>8.3333333333333339</v>
      </c>
      <c r="G6241">
        <f t="shared" si="1066"/>
        <v>1.6666666666666661</v>
      </c>
      <c r="H6241" t="s">
        <v>361</v>
      </c>
      <c r="J6241" t="s">
        <v>395</v>
      </c>
      <c r="K6241">
        <v>160</v>
      </c>
      <c r="L6241" t="s">
        <v>361</v>
      </c>
    </row>
    <row r="6242" spans="1:12" x14ac:dyDescent="0.25">
      <c r="A6242" s="1">
        <f t="shared" si="1065"/>
        <v>45586</v>
      </c>
      <c r="B6242" s="31">
        <f>TIME(11,25,0)</f>
        <v>0.47569444444444442</v>
      </c>
      <c r="C6242" t="str">
        <f>'Inventory as of 12th Aug 2024'!A37</f>
        <v>Festive Bread 400g</v>
      </c>
      <c r="D6242">
        <v>1</v>
      </c>
      <c r="E6242" s="5">
        <f>Table4[[#This Row],[qty]]*(VLOOKUP(Table4[[#This Row],[item_sold]],Table1[],5,FALSE))</f>
        <v>65</v>
      </c>
      <c r="F6242" s="5">
        <f>(VLOOKUP(Table4[[#This Row],[item_sold]],Table1[],4,FALSE))*Table4[[#This Row],[qty]]</f>
        <v>60</v>
      </c>
      <c r="G6242">
        <f t="shared" si="1066"/>
        <v>5</v>
      </c>
      <c r="H6242" t="s">
        <v>430</v>
      </c>
      <c r="I6242" t="s">
        <v>390</v>
      </c>
    </row>
    <row r="6243" spans="1:12" x14ac:dyDescent="0.25">
      <c r="A6243" s="1">
        <f t="shared" si="1065"/>
        <v>45586</v>
      </c>
      <c r="B6243" s="31">
        <f>TIME(11,25,0)</f>
        <v>0.47569444444444442</v>
      </c>
      <c r="C6243" t="str">
        <f>'Inventory as of 12th Aug 2024'!A199</f>
        <v>Kdf</v>
      </c>
      <c r="D6243">
        <v>3</v>
      </c>
      <c r="E6243" s="5">
        <f>Table4[[#This Row],[qty]]*(VLOOKUP(Table4[[#This Row],[item_sold]],Table1[],5,FALSE))</f>
        <v>30</v>
      </c>
      <c r="F6243" s="5">
        <f>(VLOOKUP(Table4[[#This Row],[item_sold]],Table1[],4,FALSE))*Table4[[#This Row],[qty]]</f>
        <v>25</v>
      </c>
      <c r="G6243">
        <f t="shared" si="1066"/>
        <v>5</v>
      </c>
      <c r="H6243" t="s">
        <v>430</v>
      </c>
      <c r="I6243" t="s">
        <v>390</v>
      </c>
    </row>
    <row r="6244" spans="1:12" x14ac:dyDescent="0.25">
      <c r="A6244" s="1">
        <f t="shared" si="1065"/>
        <v>45586</v>
      </c>
      <c r="B6244" s="31">
        <f>TIME(11,54,0)</f>
        <v>0.49583333333333335</v>
      </c>
      <c r="C6244" t="str">
        <f>'Inventory as of 12th Aug 2024'!A256</f>
        <v>Family bisquit</v>
      </c>
      <c r="D6244">
        <v>1</v>
      </c>
      <c r="E6244" s="5">
        <f>Table4[[#This Row],[qty]]*(VLOOKUP(Table4[[#This Row],[item_sold]],Table1[],5,FALSE))</f>
        <v>35</v>
      </c>
      <c r="F6244" s="5">
        <f>(VLOOKUP(Table4[[#This Row],[item_sold]],Table1[],4,FALSE))*Table4[[#This Row],[qty]]</f>
        <v>23.333333333333332</v>
      </c>
      <c r="G6244">
        <f t="shared" si="1066"/>
        <v>11.666666666666668</v>
      </c>
      <c r="H6244" t="s">
        <v>247</v>
      </c>
    </row>
    <row r="6245" spans="1:12" x14ac:dyDescent="0.25">
      <c r="A6245" s="1">
        <f t="shared" si="1065"/>
        <v>45586</v>
      </c>
      <c r="B6245" s="31">
        <f>TIME(11,54,0)</f>
        <v>0.49583333333333335</v>
      </c>
      <c r="C6245" t="str">
        <f>'Inventory as of 12th Aug 2024'!A207</f>
        <v>soda 350ml plastic</v>
      </c>
      <c r="D6245">
        <v>1</v>
      </c>
      <c r="E6245" s="5">
        <f>Table4[[#This Row],[qty]]*(VLOOKUP(Table4[[#This Row],[item_sold]],Table1[],5,FALSE))</f>
        <v>50</v>
      </c>
      <c r="F6245" s="5">
        <f>(VLOOKUP(Table4[[#This Row],[item_sold]],Table1[],4,FALSE))*Table4[[#This Row],[qty]]</f>
        <v>41.666666666666664</v>
      </c>
      <c r="G6245">
        <f t="shared" si="1066"/>
        <v>8.3333333333333357</v>
      </c>
      <c r="H6245" t="s">
        <v>247</v>
      </c>
    </row>
    <row r="6246" spans="1:12" x14ac:dyDescent="0.25">
      <c r="A6246" s="1">
        <f t="shared" si="1065"/>
        <v>45586</v>
      </c>
      <c r="B6246" s="31">
        <f>TIME(12,13,0)</f>
        <v>0.50902777777777775</v>
      </c>
      <c r="C6246" t="str">
        <f>'Inventory as of 12th Aug 2024'!A8</f>
        <v>eggs</v>
      </c>
      <c r="D6246">
        <v>15</v>
      </c>
      <c r="E6246" s="5">
        <f>Table4[[#This Row],[qty]]*(VLOOKUP(Table4[[#This Row],[item_sold]],Table1[],5,FALSE))</f>
        <v>300</v>
      </c>
      <c r="F6246" s="5">
        <f>(VLOOKUP(Table4[[#This Row],[item_sold]],Table1[],4,FALSE))*Table4[[#This Row],[qty]]</f>
        <v>215</v>
      </c>
      <c r="G6246">
        <f t="shared" si="1066"/>
        <v>85</v>
      </c>
      <c r="H6246" t="s">
        <v>361</v>
      </c>
    </row>
    <row r="6247" spans="1:12" x14ac:dyDescent="0.25">
      <c r="A6247" s="1">
        <f t="shared" si="1065"/>
        <v>45586</v>
      </c>
      <c r="B6247" s="31">
        <f t="shared" ref="B6247" si="1071">TIME(12,13,0)</f>
        <v>0.50902777777777775</v>
      </c>
      <c r="C6247" t="str">
        <f>'Inventory as of 12th Aug 2024'!A192</f>
        <v>Lemon Bisquit</v>
      </c>
      <c r="D6247">
        <v>8</v>
      </c>
      <c r="E6247" s="5">
        <f>Table4[[#This Row],[qty]]*(VLOOKUP(Table4[[#This Row],[item_sold]],Table1[],5,FALSE))</f>
        <v>40</v>
      </c>
      <c r="F6247" s="5">
        <f>(VLOOKUP(Table4[[#This Row],[item_sold]],Table1[],4,FALSE))*Table4[[#This Row],[qty]]</f>
        <v>34.666666666666664</v>
      </c>
      <c r="G6247">
        <f t="shared" si="1066"/>
        <v>5.3333333333333357</v>
      </c>
      <c r="H6247" t="s">
        <v>361</v>
      </c>
    </row>
    <row r="6248" spans="1:12" x14ac:dyDescent="0.25">
      <c r="A6248" s="1">
        <f t="shared" si="1065"/>
        <v>45586</v>
      </c>
      <c r="B6248" s="31">
        <f>TIME(12,29,0)</f>
        <v>0.52013888888888882</v>
      </c>
      <c r="C6248" t="str">
        <f>'Inventory as of 12th Aug 2024'!A3</f>
        <v>Safaricom 10 Credit</v>
      </c>
      <c r="D6248">
        <v>1</v>
      </c>
      <c r="E6248" s="5">
        <f>Table4[[#This Row],[qty]]*(VLOOKUP(Table4[[#This Row],[item_sold]],Table1[],5,FALSE))</f>
        <v>10</v>
      </c>
      <c r="F6248" s="5">
        <f>(VLOOKUP(Table4[[#This Row],[item_sold]],Table1[],4,FALSE))*Table4[[#This Row],[qty]]</f>
        <v>9</v>
      </c>
      <c r="G6248">
        <f t="shared" si="1066"/>
        <v>1</v>
      </c>
      <c r="H6248" t="s">
        <v>361</v>
      </c>
    </row>
    <row r="6249" spans="1:12" x14ac:dyDescent="0.25">
      <c r="A6249" s="1">
        <f t="shared" si="1065"/>
        <v>45586</v>
      </c>
      <c r="B6249" s="31">
        <f>TIME(13,7,0)</f>
        <v>0.54652777777777783</v>
      </c>
      <c r="C6249" t="str">
        <f>'Inventory as of 12th Aug 2024'!A92</f>
        <v>Banana</v>
      </c>
      <c r="D6249">
        <v>2</v>
      </c>
      <c r="E6249" s="5">
        <f>Table4[[#This Row],[qty]]*(VLOOKUP(Table4[[#This Row],[item_sold]],Table1[],5,FALSE))</f>
        <v>20</v>
      </c>
      <c r="F6249" s="5">
        <f>(VLOOKUP(Table4[[#This Row],[item_sold]],Table1[],4,FALSE))*Table4[[#This Row],[qty]]</f>
        <v>16.666666666666668</v>
      </c>
      <c r="G6249">
        <f t="shared" si="1066"/>
        <v>3.3333333333333321</v>
      </c>
      <c r="H6249" t="s">
        <v>247</v>
      </c>
    </row>
    <row r="6250" spans="1:12" x14ac:dyDescent="0.25">
      <c r="A6250" s="1">
        <f t="shared" si="1065"/>
        <v>45586</v>
      </c>
      <c r="B6250" s="31">
        <f t="shared" ref="B6250:B6251" si="1072">TIME(13,7,0)</f>
        <v>0.54652777777777783</v>
      </c>
      <c r="C6250" t="str">
        <f>'Inventory as of 12th Aug 2024'!A91</f>
        <v>Tomatoes</v>
      </c>
      <c r="D6250">
        <v>1</v>
      </c>
      <c r="E6250" s="5">
        <f>Table4[[#This Row],[qty]]*(VLOOKUP(Table4[[#This Row],[item_sold]],Table1[],5,FALSE))</f>
        <v>10</v>
      </c>
      <c r="F6250" s="5">
        <f>(VLOOKUP(Table4[[#This Row],[item_sold]],Table1[],4,FALSE))*Table4[[#This Row],[qty]]</f>
        <v>5</v>
      </c>
      <c r="G6250">
        <f t="shared" si="1066"/>
        <v>5</v>
      </c>
      <c r="H6250" t="s">
        <v>247</v>
      </c>
      <c r="J6250" t="s">
        <v>615</v>
      </c>
      <c r="K6250">
        <v>10</v>
      </c>
      <c r="L6250" t="s">
        <v>247</v>
      </c>
    </row>
    <row r="6251" spans="1:12" x14ac:dyDescent="0.25">
      <c r="A6251" s="1">
        <f t="shared" si="1065"/>
        <v>45586</v>
      </c>
      <c r="B6251" s="31">
        <f t="shared" si="1072"/>
        <v>0.54652777777777783</v>
      </c>
      <c r="C6251" t="str">
        <f>'Inventory as of 12th Aug 2024'!A46</f>
        <v>Tukuza 1kg</v>
      </c>
      <c r="D6251">
        <v>1</v>
      </c>
      <c r="E6251" s="5">
        <f>Table4[[#This Row],[qty]]*(VLOOKUP(Table4[[#This Row],[item_sold]],Table1[],5,FALSE))</f>
        <v>90</v>
      </c>
      <c r="F6251" s="5">
        <f>(VLOOKUP(Table4[[#This Row],[item_sold]],Table1[],4,FALSE))*Table4[[#This Row],[qty]]</f>
        <v>61.25</v>
      </c>
      <c r="G6251">
        <f t="shared" si="1066"/>
        <v>28.75</v>
      </c>
      <c r="H6251" t="s">
        <v>247</v>
      </c>
    </row>
    <row r="6252" spans="1:12" x14ac:dyDescent="0.25">
      <c r="A6252" s="1">
        <f t="shared" si="1065"/>
        <v>45586</v>
      </c>
      <c r="B6252" s="31">
        <f>TIME(13,21,0)</f>
        <v>0.55625000000000002</v>
      </c>
      <c r="C6252" t="str">
        <f>'Inventory as of 12th Aug 2024'!A212</f>
        <v>soda 300ml glass</v>
      </c>
      <c r="D6252">
        <v>1</v>
      </c>
      <c r="E6252" s="5">
        <f>Table4[[#This Row],[qty]]*(VLOOKUP(Table4[[#This Row],[item_sold]],Table1[],5,FALSE))</f>
        <v>40</v>
      </c>
      <c r="F6252" s="5">
        <f>(VLOOKUP(Table4[[#This Row],[item_sold]],Table1[],4,FALSE))*Table4[[#This Row],[qty]]</f>
        <v>32.5</v>
      </c>
      <c r="G6252">
        <f t="shared" si="1066"/>
        <v>7.5</v>
      </c>
      <c r="H6252" t="s">
        <v>361</v>
      </c>
    </row>
    <row r="6253" spans="1:12" x14ac:dyDescent="0.25">
      <c r="A6253" s="1">
        <f t="shared" si="1065"/>
        <v>45586</v>
      </c>
      <c r="B6253" s="31">
        <f t="shared" ref="B6253" si="1073">TIME(13,21,0)</f>
        <v>0.55625000000000002</v>
      </c>
      <c r="C6253" t="str">
        <f>'Inventory as of 12th Aug 2024'!A199</f>
        <v>Kdf</v>
      </c>
      <c r="D6253">
        <v>1</v>
      </c>
      <c r="E6253" s="5">
        <f>Table4[[#This Row],[qty]]*(VLOOKUP(Table4[[#This Row],[item_sold]],Table1[],5,FALSE))</f>
        <v>10</v>
      </c>
      <c r="F6253" s="5">
        <f>(VLOOKUP(Table4[[#This Row],[item_sold]],Table1[],4,FALSE))*Table4[[#This Row],[qty]]</f>
        <v>8.3333333333333339</v>
      </c>
      <c r="G6253">
        <f t="shared" si="1066"/>
        <v>1.6666666666666661</v>
      </c>
      <c r="H6253" t="s">
        <v>361</v>
      </c>
      <c r="J6253" t="s">
        <v>392</v>
      </c>
      <c r="K6253">
        <v>140</v>
      </c>
      <c r="L6253" t="s">
        <v>361</v>
      </c>
    </row>
    <row r="6254" spans="1:12" x14ac:dyDescent="0.25">
      <c r="A6254" s="1">
        <f t="shared" si="1065"/>
        <v>45586</v>
      </c>
      <c r="B6254" s="31">
        <f>TIME(14,8,0)</f>
        <v>0.58888888888888891</v>
      </c>
      <c r="C6254" t="str">
        <f>'Inventory as of 12th Aug 2024'!A91</f>
        <v>Tomatoes</v>
      </c>
      <c r="D6254">
        <v>10</v>
      </c>
      <c r="E6254" s="5">
        <f>Table4[[#This Row],[qty]]*(VLOOKUP(Table4[[#This Row],[item_sold]],Table1[],5,FALSE))</f>
        <v>100</v>
      </c>
      <c r="F6254" s="5">
        <f>(VLOOKUP(Table4[[#This Row],[item_sold]],Table1[],4,FALSE))*Table4[[#This Row],[qty]]</f>
        <v>50</v>
      </c>
      <c r="G6254">
        <f t="shared" si="1066"/>
        <v>50</v>
      </c>
      <c r="H6254" t="s">
        <v>361</v>
      </c>
    </row>
    <row r="6255" spans="1:12" x14ac:dyDescent="0.25">
      <c r="A6255" s="1">
        <f t="shared" si="1065"/>
        <v>45586</v>
      </c>
      <c r="B6255" s="31">
        <f>TIME(14,44,0)</f>
        <v>0.61388888888888882</v>
      </c>
      <c r="C6255" t="str">
        <f>'Inventory as of 12th Aug 2024'!A266</f>
        <v>Zenta Bar Soap</v>
      </c>
      <c r="D6255">
        <v>0.2</v>
      </c>
      <c r="E6255" s="5">
        <f>Table4[[#This Row],[qty]]*(VLOOKUP(Table4[[#This Row],[item_sold]],Table1[],5,FALSE))</f>
        <v>50</v>
      </c>
      <c r="F6255" s="5">
        <f>(VLOOKUP(Table4[[#This Row],[item_sold]],Table1[],4,FALSE))*Table4[[#This Row],[qty]]</f>
        <v>32</v>
      </c>
      <c r="G6255">
        <f t="shared" si="1066"/>
        <v>18</v>
      </c>
      <c r="H6255" t="s">
        <v>247</v>
      </c>
    </row>
    <row r="6256" spans="1:12" x14ac:dyDescent="0.25">
      <c r="A6256" s="1">
        <f t="shared" si="1065"/>
        <v>45586</v>
      </c>
      <c r="B6256" s="31">
        <f t="shared" ref="B6256" si="1074">TIME(14,44,0)</f>
        <v>0.61388888888888882</v>
      </c>
      <c r="C6256" t="str">
        <f>'Inventory as of 12th Aug 2024'!A244</f>
        <v>5ltrs water</v>
      </c>
      <c r="D6256">
        <v>1</v>
      </c>
      <c r="E6256" s="5">
        <f>Table4[[#This Row],[qty]]*(VLOOKUP(Table4[[#This Row],[item_sold]],Table1[],5,FALSE))</f>
        <v>120</v>
      </c>
      <c r="F6256" s="5">
        <f>(VLOOKUP(Table4[[#This Row],[item_sold]],Table1[],4,FALSE))*Table4[[#This Row],[qty]]</f>
        <v>75</v>
      </c>
      <c r="G6256">
        <f t="shared" si="1066"/>
        <v>45</v>
      </c>
      <c r="H6256" t="s">
        <v>430</v>
      </c>
      <c r="I6256" t="s">
        <v>456</v>
      </c>
    </row>
    <row r="6257" spans="1:12" x14ac:dyDescent="0.25">
      <c r="A6257" s="1">
        <f t="shared" si="1065"/>
        <v>45586</v>
      </c>
      <c r="B6257" s="31">
        <f>TIME(15,8,0)</f>
        <v>0.63055555555555554</v>
      </c>
      <c r="C6257" t="str">
        <f>'Inventory as of 12th Aug 2024'!A76</f>
        <v>Rina 1ltr</v>
      </c>
      <c r="D6257">
        <v>1</v>
      </c>
      <c r="E6257" s="5">
        <f>Table4[[#This Row],[qty]]*(VLOOKUP(Table4[[#This Row],[item_sold]],Table1[],5,FALSE))</f>
        <v>350</v>
      </c>
      <c r="F6257" s="5">
        <f>(VLOOKUP(Table4[[#This Row],[item_sold]],Table1[],4,FALSE))*Table4[[#This Row],[qty]]</f>
        <v>290</v>
      </c>
      <c r="G6257">
        <f t="shared" si="1066"/>
        <v>60</v>
      </c>
      <c r="H6257" t="s">
        <v>361</v>
      </c>
    </row>
    <row r="6258" spans="1:12" x14ac:dyDescent="0.25">
      <c r="A6258" s="1">
        <f t="shared" si="1065"/>
        <v>45586</v>
      </c>
      <c r="B6258" s="31">
        <f>TIME(15,36,0)</f>
        <v>0.65</v>
      </c>
      <c r="C6258" t="str">
        <f>'Inventory as of 12th Aug 2024'!A37</f>
        <v>Festive Bread 400g</v>
      </c>
      <c r="D6258">
        <v>1</v>
      </c>
      <c r="E6258" s="5">
        <f>Table4[[#This Row],[qty]]*(VLOOKUP(Table4[[#This Row],[item_sold]],Table1[],5,FALSE))</f>
        <v>65</v>
      </c>
      <c r="F6258" s="5">
        <f>(VLOOKUP(Table4[[#This Row],[item_sold]],Table1[],4,FALSE))*Table4[[#This Row],[qty]]</f>
        <v>60</v>
      </c>
      <c r="G6258">
        <f t="shared" si="1066"/>
        <v>5</v>
      </c>
      <c r="H6258" t="s">
        <v>361</v>
      </c>
    </row>
    <row r="6259" spans="1:12" x14ac:dyDescent="0.25">
      <c r="A6259" s="1">
        <f t="shared" si="1065"/>
        <v>45586</v>
      </c>
      <c r="B6259" s="31">
        <f t="shared" ref="B6259" si="1075">TIME(15,36,0)</f>
        <v>0.65</v>
      </c>
      <c r="C6259" t="str">
        <f>'Inventory as of 12th Aug 2024'!A16</f>
        <v>Mt kenya milk 500ml</v>
      </c>
      <c r="D6259">
        <v>1</v>
      </c>
      <c r="E6259" s="5">
        <f>Table4[[#This Row],[qty]]*(VLOOKUP(Table4[[#This Row],[item_sold]],Table1[],5,FALSE))</f>
        <v>65</v>
      </c>
      <c r="F6259" s="5">
        <f>(VLOOKUP(Table4[[#This Row],[item_sold]],Table1[],4,FALSE))*Table4[[#This Row],[qty]]</f>
        <v>48.333333333333336</v>
      </c>
      <c r="G6259">
        <f t="shared" si="1066"/>
        <v>16.666666666666664</v>
      </c>
      <c r="H6259" t="s">
        <v>361</v>
      </c>
    </row>
    <row r="6260" spans="1:12" x14ac:dyDescent="0.25">
      <c r="A6260" s="1">
        <f t="shared" si="1065"/>
        <v>45586</v>
      </c>
      <c r="B6260" s="31">
        <f>TIME(15,53,0)</f>
        <v>0.66180555555555554</v>
      </c>
      <c r="C6260" t="str">
        <f>'Inventory as of 12th Aug 2024'!A90</f>
        <v>Onion</v>
      </c>
      <c r="D6260">
        <v>4</v>
      </c>
      <c r="E6260" s="5">
        <f>Table4[[#This Row],[qty]]*(VLOOKUP(Table4[[#This Row],[item_sold]],Table1[],5,FALSE))</f>
        <v>40</v>
      </c>
      <c r="F6260" s="5">
        <f>(VLOOKUP(Table4[[#This Row],[item_sold]],Table1[],4,FALSE))*Table4[[#This Row],[qty]]</f>
        <v>32</v>
      </c>
      <c r="G6260">
        <f t="shared" si="1066"/>
        <v>8</v>
      </c>
      <c r="H6260" t="s">
        <v>430</v>
      </c>
      <c r="I6260" t="s">
        <v>617</v>
      </c>
      <c r="J6260" t="s">
        <v>617</v>
      </c>
      <c r="K6260">
        <v>25</v>
      </c>
      <c r="L6260" t="s">
        <v>247</v>
      </c>
    </row>
    <row r="6261" spans="1:12" x14ac:dyDescent="0.25">
      <c r="A6261" s="1">
        <f t="shared" si="1065"/>
        <v>45586</v>
      </c>
      <c r="B6261" s="31">
        <f>TIME(16,4,0)</f>
        <v>0.6694444444444444</v>
      </c>
      <c r="C6261" t="str">
        <f>'Inventory as of 12th Aug 2024'!A8</f>
        <v>eggs</v>
      </c>
      <c r="D6261">
        <v>10</v>
      </c>
      <c r="E6261" s="5">
        <f>Table4[[#This Row],[qty]]*(VLOOKUP(Table4[[#This Row],[item_sold]],Table1[],5,FALSE))</f>
        <v>200</v>
      </c>
      <c r="F6261" s="5">
        <f>(VLOOKUP(Table4[[#This Row],[item_sold]],Table1[],4,FALSE))*Table4[[#This Row],[qty]]</f>
        <v>143.33333333333334</v>
      </c>
      <c r="G6261">
        <f t="shared" si="1066"/>
        <v>56.666666666666657</v>
      </c>
      <c r="H6261" t="s">
        <v>361</v>
      </c>
    </row>
    <row r="6262" spans="1:12" x14ac:dyDescent="0.25">
      <c r="A6262" s="1">
        <f t="shared" si="1065"/>
        <v>45586</v>
      </c>
      <c r="B6262" s="31">
        <f>TIME(16,4,0)</f>
        <v>0.6694444444444444</v>
      </c>
      <c r="C6262" t="str">
        <f>'Inventory as of 12th Aug 2024'!A16</f>
        <v>Mt kenya milk 500ml</v>
      </c>
      <c r="D6262">
        <v>4</v>
      </c>
      <c r="E6262" s="5">
        <f>Table4[[#This Row],[qty]]*(VLOOKUP(Table4[[#This Row],[item_sold]],Table1[],5,FALSE))</f>
        <v>260</v>
      </c>
      <c r="F6262" s="5">
        <f>(VLOOKUP(Table4[[#This Row],[item_sold]],Table1[],4,FALSE))*Table4[[#This Row],[qty]]</f>
        <v>193.33333333333334</v>
      </c>
      <c r="G6262">
        <f t="shared" si="1066"/>
        <v>66.666666666666657</v>
      </c>
      <c r="H6262" t="s">
        <v>361</v>
      </c>
    </row>
    <row r="6263" spans="1:12" x14ac:dyDescent="0.25">
      <c r="A6263" s="1">
        <f t="shared" si="1065"/>
        <v>45586</v>
      </c>
      <c r="B6263" s="31">
        <f>TIME(16,26,0)</f>
        <v>0.68472222222222223</v>
      </c>
      <c r="C6263" t="str">
        <f>'Inventory as of 12th Aug 2024'!A41</f>
        <v>Indomie beef</v>
      </c>
      <c r="D6263">
        <v>2</v>
      </c>
      <c r="E6263" s="5">
        <f>Table4[[#This Row],[qty]]*(VLOOKUP(Table4[[#This Row],[item_sold]],Table1[],5,FALSE))</f>
        <v>100</v>
      </c>
      <c r="F6263" s="5">
        <f>(VLOOKUP(Table4[[#This Row],[item_sold]],Table1[],4,FALSE))*Table4[[#This Row],[qty]]</f>
        <v>76</v>
      </c>
      <c r="G6263">
        <f t="shared" si="1066"/>
        <v>24</v>
      </c>
      <c r="H6263" t="s">
        <v>361</v>
      </c>
    </row>
    <row r="6264" spans="1:12" x14ac:dyDescent="0.25">
      <c r="A6264" s="1">
        <f t="shared" si="1065"/>
        <v>45586</v>
      </c>
      <c r="B6264" s="31">
        <f t="shared" ref="B6264" si="1076">TIME(16,26,0)</f>
        <v>0.68472222222222223</v>
      </c>
      <c r="C6264" t="str">
        <f>'Inventory as of 12th Aug 2024'!A8</f>
        <v>eggs</v>
      </c>
      <c r="D6264">
        <v>2</v>
      </c>
      <c r="E6264" s="5">
        <f>Table4[[#This Row],[qty]]*(VLOOKUP(Table4[[#This Row],[item_sold]],Table1[],5,FALSE))</f>
        <v>40</v>
      </c>
      <c r="F6264" s="5">
        <f>(VLOOKUP(Table4[[#This Row],[item_sold]],Table1[],4,FALSE))*Table4[[#This Row],[qty]]</f>
        <v>28.666666666666668</v>
      </c>
      <c r="G6264">
        <f t="shared" si="1066"/>
        <v>11.333333333333332</v>
      </c>
      <c r="H6264" t="s">
        <v>361</v>
      </c>
    </row>
    <row r="6265" spans="1:12" x14ac:dyDescent="0.25">
      <c r="A6265" s="1">
        <f t="shared" si="1065"/>
        <v>45586</v>
      </c>
      <c r="B6265" s="31">
        <f>TIME(17,28,0)</f>
        <v>0.72777777777777775</v>
      </c>
      <c r="C6265" t="str">
        <f>'Inventory as of 12th Aug 2024'!A33</f>
        <v>BB Bread 400g</v>
      </c>
      <c r="D6265">
        <v>1</v>
      </c>
      <c r="E6265" s="5">
        <f>Table4[[#This Row],[qty]]*(VLOOKUP(Table4[[#This Row],[item_sold]],Table1[],5,FALSE))</f>
        <v>65</v>
      </c>
      <c r="F6265" s="5">
        <f>(VLOOKUP(Table4[[#This Row],[item_sold]],Table1[],4,FALSE))*Table4[[#This Row],[qty]]</f>
        <v>60</v>
      </c>
      <c r="G6265">
        <f t="shared" si="1066"/>
        <v>5</v>
      </c>
      <c r="H6265" s="41"/>
    </row>
    <row r="6266" spans="1:12" x14ac:dyDescent="0.25">
      <c r="A6266" s="1">
        <f t="shared" si="1065"/>
        <v>45586</v>
      </c>
      <c r="B6266" s="31">
        <f>TIME(17,35,0)</f>
        <v>0.73263888888888884</v>
      </c>
      <c r="C6266" t="str">
        <f>'Inventory as of 12th Aug 2024'!A58</f>
        <v>Safari</v>
      </c>
      <c r="D6266">
        <v>6</v>
      </c>
      <c r="E6266" s="5">
        <f>Table4[[#This Row],[qty]]*(VLOOKUP(Table4[[#This Row],[item_sold]],Table1[],5,FALSE))</f>
        <v>90</v>
      </c>
      <c r="F6266" s="5">
        <f>(VLOOKUP(Table4[[#This Row],[item_sold]],Table1[],4,FALSE))*Table4[[#This Row],[qty]]</f>
        <v>51</v>
      </c>
      <c r="G6266">
        <f t="shared" si="1066"/>
        <v>39</v>
      </c>
      <c r="H6266" t="s">
        <v>361</v>
      </c>
    </row>
    <row r="6267" spans="1:12" x14ac:dyDescent="0.25">
      <c r="A6267" s="1">
        <f t="shared" si="1065"/>
        <v>45586</v>
      </c>
      <c r="B6267" s="31">
        <f t="shared" ref="B6267:B6270" si="1077">TIME(17,35,0)</f>
        <v>0.73263888888888884</v>
      </c>
      <c r="C6267" t="str">
        <f>'Inventory as of 12th Aug 2024'!A234</f>
        <v>Bigdaddy</v>
      </c>
      <c r="D6267">
        <v>2</v>
      </c>
      <c r="E6267" s="5">
        <f>Table4[[#This Row],[qty]]*(VLOOKUP(Table4[[#This Row],[item_sold]],Table1[],5,FALSE))</f>
        <v>20</v>
      </c>
      <c r="F6267" s="5">
        <f>(VLOOKUP(Table4[[#This Row],[item_sold]],Table1[],4,FALSE))*Table4[[#This Row],[qty]]</f>
        <v>12</v>
      </c>
      <c r="G6267">
        <f t="shared" si="1066"/>
        <v>8</v>
      </c>
      <c r="H6267" t="s">
        <v>361</v>
      </c>
    </row>
    <row r="6268" spans="1:12" x14ac:dyDescent="0.25">
      <c r="A6268" s="1">
        <f t="shared" si="1065"/>
        <v>45586</v>
      </c>
      <c r="B6268" s="31">
        <f t="shared" si="1077"/>
        <v>0.73263888888888884</v>
      </c>
      <c r="C6268" t="str">
        <f>'Inventory as of 12th Aug 2024'!A179</f>
        <v>Bitez</v>
      </c>
      <c r="D6268">
        <v>2</v>
      </c>
      <c r="E6268" s="5">
        <f>Table4[[#This Row],[qty]]*(VLOOKUP(Table4[[#This Row],[item_sold]],Table1[],5,FALSE))</f>
        <v>30</v>
      </c>
      <c r="F6268" s="5">
        <f>(VLOOKUP(Table4[[#This Row],[item_sold]],Table1[],4,FALSE))*Table4[[#This Row],[qty]]</f>
        <v>17.600000000000001</v>
      </c>
      <c r="G6268">
        <f t="shared" si="1066"/>
        <v>12.399999999999999</v>
      </c>
      <c r="H6268" t="s">
        <v>361</v>
      </c>
    </row>
    <row r="6269" spans="1:12" x14ac:dyDescent="0.25">
      <c r="A6269" s="1">
        <f t="shared" si="1065"/>
        <v>45586</v>
      </c>
      <c r="B6269" s="31">
        <f t="shared" si="1077"/>
        <v>0.73263888888888884</v>
      </c>
      <c r="C6269" t="str">
        <f>'Inventory as of 12th Aug 2024'!A270</f>
        <v>Milk Bisquit</v>
      </c>
      <c r="D6269">
        <v>2</v>
      </c>
      <c r="E6269" s="5">
        <f>Table4[[#This Row],[qty]]*(VLOOKUP(Table4[[#This Row],[item_sold]],Table1[],5,FALSE))</f>
        <v>10</v>
      </c>
      <c r="F6269" s="5">
        <f>(VLOOKUP(Table4[[#This Row],[item_sold]],Table1[],4,FALSE))*Table4[[#This Row],[qty]]</f>
        <v>8.3333333333333339</v>
      </c>
      <c r="G6269">
        <f t="shared" si="1066"/>
        <v>1.6666666666666661</v>
      </c>
      <c r="H6269" t="s">
        <v>361</v>
      </c>
    </row>
    <row r="6270" spans="1:12" x14ac:dyDescent="0.25">
      <c r="A6270" s="1">
        <f t="shared" si="1065"/>
        <v>45586</v>
      </c>
      <c r="B6270" s="31">
        <f t="shared" si="1077"/>
        <v>0.73263888888888884</v>
      </c>
      <c r="C6270" t="str">
        <f>'Inventory as of 12th Aug 2024'!A172</f>
        <v>Carrier bag small</v>
      </c>
      <c r="D6270">
        <v>1</v>
      </c>
      <c r="E6270" s="5">
        <f>Table4[[#This Row],[qty]]*(VLOOKUP(Table4[[#This Row],[item_sold]],Table1[],5,FALSE))</f>
        <v>10</v>
      </c>
      <c r="F6270" s="5">
        <f>(VLOOKUP(Table4[[#This Row],[item_sold]],Table1[],4,FALSE))*Table4[[#This Row],[qty]]</f>
        <v>3</v>
      </c>
      <c r="G6270">
        <f t="shared" si="1066"/>
        <v>7</v>
      </c>
      <c r="H6270" t="s">
        <v>361</v>
      </c>
    </row>
    <row r="6271" spans="1:12" x14ac:dyDescent="0.25">
      <c r="A6271" s="1">
        <f t="shared" si="1065"/>
        <v>45586</v>
      </c>
      <c r="B6271" s="31">
        <f>TIME(18,41,0)</f>
        <v>0.77847222222222223</v>
      </c>
      <c r="C6271" t="str">
        <f>'Inventory as of 12th Aug 2024'!A92</f>
        <v>Banana</v>
      </c>
      <c r="D6271">
        <v>3</v>
      </c>
      <c r="E6271" s="5">
        <f>Table4[[#This Row],[qty]]*(VLOOKUP(Table4[[#This Row],[item_sold]],Table1[],5,FALSE))</f>
        <v>30</v>
      </c>
      <c r="F6271" s="5">
        <f>(VLOOKUP(Table4[[#This Row],[item_sold]],Table1[],4,FALSE))*Table4[[#This Row],[qty]]</f>
        <v>25</v>
      </c>
      <c r="G6271">
        <f t="shared" si="1066"/>
        <v>5</v>
      </c>
      <c r="H6271" t="s">
        <v>247</v>
      </c>
    </row>
    <row r="6272" spans="1:12" x14ac:dyDescent="0.25">
      <c r="A6272" s="1">
        <f t="shared" si="1065"/>
        <v>45586</v>
      </c>
      <c r="B6272" s="31">
        <f>TIME(18,49,0)</f>
        <v>0.78402777777777777</v>
      </c>
      <c r="C6272" t="str">
        <f>'Inventory as of 12th Aug 2024'!A16</f>
        <v>Mt kenya milk 500ml</v>
      </c>
      <c r="D6272">
        <v>2</v>
      </c>
      <c r="E6272" s="5">
        <f>Table4[[#This Row],[qty]]*(VLOOKUP(Table4[[#This Row],[item_sold]],Table1[],5,FALSE))</f>
        <v>130</v>
      </c>
      <c r="F6272" s="5">
        <f>(VLOOKUP(Table4[[#This Row],[item_sold]],Table1[],4,FALSE))*Table4[[#This Row],[qty]]</f>
        <v>96.666666666666671</v>
      </c>
      <c r="G6272">
        <f t="shared" si="1066"/>
        <v>33.333333333333329</v>
      </c>
      <c r="H6272" t="s">
        <v>247</v>
      </c>
    </row>
    <row r="6273" spans="1:12" x14ac:dyDescent="0.25">
      <c r="A6273" s="1">
        <f t="shared" si="1065"/>
        <v>45586</v>
      </c>
      <c r="B6273" s="31">
        <f>TIME(18,56,0)</f>
        <v>0.78888888888888886</v>
      </c>
      <c r="C6273" t="str">
        <f>'Inventory as of 12th Aug 2024'!A248</f>
        <v>Soko Maize meal</v>
      </c>
      <c r="D6273">
        <v>1</v>
      </c>
      <c r="E6273" s="5">
        <f>Table4[[#This Row],[qty]]*(VLOOKUP(Table4[[#This Row],[item_sold]],Table1[],5,FALSE))</f>
        <v>160</v>
      </c>
      <c r="F6273" s="5">
        <f>(VLOOKUP(Table4[[#This Row],[item_sold]],Table1[],4,FALSE))*Table4[[#This Row],[qty]]</f>
        <v>125</v>
      </c>
      <c r="G6273">
        <f t="shared" si="1066"/>
        <v>35</v>
      </c>
      <c r="H6273" t="s">
        <v>361</v>
      </c>
    </row>
    <row r="6274" spans="1:12" x14ac:dyDescent="0.25">
      <c r="A6274" s="1">
        <f t="shared" si="1065"/>
        <v>45586</v>
      </c>
      <c r="B6274" s="31">
        <f t="shared" ref="B6274:B6275" si="1078">TIME(18,56,0)</f>
        <v>0.78888888888888886</v>
      </c>
      <c r="C6274" t="str">
        <f>'Inventory as of 12th Aug 2024'!A120</f>
        <v>Maramoja</v>
      </c>
      <c r="D6274">
        <v>1</v>
      </c>
      <c r="E6274" s="5">
        <f>Table4[[#This Row],[qty]]*(VLOOKUP(Table4[[#This Row],[item_sold]],Table1[],5,FALSE))</f>
        <v>10</v>
      </c>
      <c r="F6274" s="5">
        <f>(VLOOKUP(Table4[[#This Row],[item_sold]],Table1[],4,FALSE))*Table4[[#This Row],[qty]]</f>
        <v>7</v>
      </c>
      <c r="G6274">
        <f t="shared" si="1066"/>
        <v>3</v>
      </c>
      <c r="H6274" t="s">
        <v>361</v>
      </c>
    </row>
    <row r="6275" spans="1:12" x14ac:dyDescent="0.25">
      <c r="A6275" s="1">
        <f t="shared" si="1065"/>
        <v>45586</v>
      </c>
      <c r="B6275" s="31">
        <f t="shared" si="1078"/>
        <v>0.78888888888888886</v>
      </c>
      <c r="C6275" t="str">
        <f>'Inventory as of 12th Aug 2024'!A138</f>
        <v>Softcare pads</v>
      </c>
      <c r="D6275">
        <v>1</v>
      </c>
      <c r="E6275" s="5">
        <f>Table4[[#This Row],[qty]]*(VLOOKUP(Table4[[#This Row],[item_sold]],Table1[],5,FALSE))</f>
        <v>85</v>
      </c>
      <c r="F6275" s="5">
        <f>(VLOOKUP(Table4[[#This Row],[item_sold]],Table1[],4,FALSE))*Table4[[#This Row],[qty]]</f>
        <v>66</v>
      </c>
      <c r="G6275">
        <f t="shared" si="1066"/>
        <v>19</v>
      </c>
      <c r="H6275" t="s">
        <v>361</v>
      </c>
    </row>
    <row r="6276" spans="1:12" x14ac:dyDescent="0.25">
      <c r="A6276" s="1">
        <f t="shared" si="1065"/>
        <v>45586</v>
      </c>
      <c r="B6276" s="31">
        <f>TIME(19,17,0)</f>
        <v>0.80347222222222225</v>
      </c>
      <c r="C6276" t="str">
        <f>'Inventory as of 12th Aug 2024'!A206</f>
        <v>soda 500ml plastic</v>
      </c>
      <c r="D6276">
        <v>1</v>
      </c>
      <c r="E6276" s="5">
        <f>Table4[[#This Row],[qty]]*(VLOOKUP(Table4[[#This Row],[item_sold]],Table1[],5,FALSE))</f>
        <v>70</v>
      </c>
      <c r="F6276" s="5">
        <f>(VLOOKUP(Table4[[#This Row],[item_sold]],Table1[],4,FALSE))*Table4[[#This Row],[qty]]</f>
        <v>60.416666666666664</v>
      </c>
      <c r="G6276">
        <f t="shared" si="1066"/>
        <v>9.5833333333333357</v>
      </c>
      <c r="H6276" t="s">
        <v>361</v>
      </c>
    </row>
    <row r="6277" spans="1:12" x14ac:dyDescent="0.25">
      <c r="A6277" s="1">
        <f t="shared" si="1065"/>
        <v>45586</v>
      </c>
      <c r="B6277" s="31">
        <f>TIME(19,19,0)</f>
        <v>0.80486111111111114</v>
      </c>
      <c r="C6277" t="str">
        <f>'Inventory as of 12th Aug 2024'!A43</f>
        <v>sossi</v>
      </c>
      <c r="D6277">
        <v>1</v>
      </c>
      <c r="E6277" s="5">
        <f>Table4[[#This Row],[qty]]*(VLOOKUP(Table4[[#This Row],[item_sold]],Table1[],5,FALSE))</f>
        <v>50</v>
      </c>
      <c r="F6277" s="5">
        <f>(VLOOKUP(Table4[[#This Row],[item_sold]],Table1[],4,FALSE))*Table4[[#This Row],[qty]]</f>
        <v>37.5</v>
      </c>
      <c r="G6277">
        <f t="shared" si="1066"/>
        <v>12.5</v>
      </c>
      <c r="H6277" t="s">
        <v>361</v>
      </c>
    </row>
    <row r="6278" spans="1:12" x14ac:dyDescent="0.25">
      <c r="A6278" s="1">
        <f t="shared" si="1065"/>
        <v>45586</v>
      </c>
      <c r="B6278" s="31">
        <f>TIME(21,5,0)</f>
        <v>0.87847222222222221</v>
      </c>
      <c r="C6278" t="str">
        <f>'Inventory as of 12th Aug 2024'!A244</f>
        <v>5ltrs water</v>
      </c>
      <c r="D6278">
        <v>1</v>
      </c>
      <c r="E6278" s="5">
        <f>Table4[[#This Row],[qty]]*(VLOOKUP(Table4[[#This Row],[item_sold]],Table1[],5,FALSE))</f>
        <v>120</v>
      </c>
      <c r="F6278" s="5">
        <f>(VLOOKUP(Table4[[#This Row],[item_sold]],Table1[],4,FALSE))*Table4[[#This Row],[qty]]</f>
        <v>75</v>
      </c>
      <c r="G6278">
        <f t="shared" si="1066"/>
        <v>45</v>
      </c>
      <c r="H6278" t="s">
        <v>361</v>
      </c>
      <c r="J6278" t="s">
        <v>455</v>
      </c>
      <c r="K6278">
        <v>200</v>
      </c>
      <c r="L6278" t="s">
        <v>247</v>
      </c>
    </row>
    <row r="6279" spans="1:12" x14ac:dyDescent="0.25">
      <c r="A6279" s="1">
        <f>DATE(2024,10,22)</f>
        <v>45587</v>
      </c>
      <c r="B6279" s="31">
        <f>TIME(6,26,0)</f>
        <v>0.26805555555555555</v>
      </c>
      <c r="C6279" t="str">
        <f>'Inventory as of 12th Aug 2024'!A33</f>
        <v>BB Bread 400g</v>
      </c>
      <c r="D6279">
        <v>1</v>
      </c>
      <c r="E6279" s="5">
        <f>Table4[[#This Row],[qty]]*(VLOOKUP(Table4[[#This Row],[item_sold]],Table1[],5,FALSE))</f>
        <v>65</v>
      </c>
      <c r="F6279" s="5">
        <f>(VLOOKUP(Table4[[#This Row],[item_sold]],Table1[],4,FALSE))*Table4[[#This Row],[qty]]</f>
        <v>60</v>
      </c>
      <c r="G6279">
        <f t="shared" si="1066"/>
        <v>5</v>
      </c>
      <c r="H6279" t="s">
        <v>247</v>
      </c>
    </row>
    <row r="6280" spans="1:12" x14ac:dyDescent="0.25">
      <c r="A6280" s="1">
        <f t="shared" ref="A6280:A6339" si="1079">DATE(2024,10,22)</f>
        <v>45587</v>
      </c>
      <c r="B6280" s="31">
        <f t="shared" ref="B6280" si="1080">TIME(6,26,0)</f>
        <v>0.26805555555555555</v>
      </c>
      <c r="C6280" t="str">
        <f>'Inventory as of 12th Aug 2024'!A16</f>
        <v>Mt kenya milk 500ml</v>
      </c>
      <c r="D6280">
        <v>1</v>
      </c>
      <c r="E6280" s="5">
        <f>Table4[[#This Row],[qty]]*(VLOOKUP(Table4[[#This Row],[item_sold]],Table1[],5,FALSE))</f>
        <v>65</v>
      </c>
      <c r="F6280" s="5">
        <f>(VLOOKUP(Table4[[#This Row],[item_sold]],Table1[],4,FALSE))*Table4[[#This Row],[qty]]</f>
        <v>48.333333333333336</v>
      </c>
      <c r="G6280">
        <f t="shared" si="1066"/>
        <v>16.666666666666664</v>
      </c>
      <c r="H6280" t="s">
        <v>247</v>
      </c>
    </row>
    <row r="6281" spans="1:12" x14ac:dyDescent="0.25">
      <c r="A6281" s="1">
        <f t="shared" si="1079"/>
        <v>45587</v>
      </c>
      <c r="B6281" s="31">
        <f>TIME(6,29,0)</f>
        <v>0.27013888888888887</v>
      </c>
      <c r="C6281" t="str">
        <f>'Inventory as of 12th Aug 2024'!A5</f>
        <v>Airtel 20 Credit</v>
      </c>
      <c r="D6281">
        <v>2</v>
      </c>
      <c r="E6281" s="5">
        <f>Table4[[#This Row],[qty]]*(VLOOKUP(Table4[[#This Row],[item_sold]],Table1[],5,FALSE))</f>
        <v>40</v>
      </c>
      <c r="F6281" s="5">
        <f>(VLOOKUP(Table4[[#This Row],[item_sold]],Table1[],4,FALSE))*Table4[[#This Row],[qty]]</f>
        <v>36</v>
      </c>
      <c r="G6281">
        <f t="shared" si="1066"/>
        <v>4</v>
      </c>
      <c r="H6281" t="s">
        <v>247</v>
      </c>
    </row>
    <row r="6282" spans="1:12" x14ac:dyDescent="0.25">
      <c r="A6282" s="1">
        <f t="shared" si="1079"/>
        <v>45587</v>
      </c>
      <c r="B6282" s="31">
        <f>TIME(6,40,0)</f>
        <v>0.27777777777777779</v>
      </c>
      <c r="C6282" t="str">
        <f>'Inventory as of 12th Aug 2024'!A28</f>
        <v>Fahari Tea 15g</v>
      </c>
      <c r="D6282">
        <v>1</v>
      </c>
      <c r="E6282" s="5">
        <f>Table4[[#This Row],[qty]]*(VLOOKUP(Table4[[#This Row],[item_sold]],Table1[],5,FALSE))</f>
        <v>15</v>
      </c>
      <c r="F6282" s="5">
        <f>(VLOOKUP(Table4[[#This Row],[item_sold]],Table1[],4,FALSE))*Table4[[#This Row],[qty]]</f>
        <v>9.1666666666666661</v>
      </c>
      <c r="G6282">
        <f t="shared" si="1066"/>
        <v>5.8333333333333339</v>
      </c>
      <c r="H6282" t="s">
        <v>402</v>
      </c>
    </row>
    <row r="6283" spans="1:12" x14ac:dyDescent="0.25">
      <c r="A6283" s="1">
        <f t="shared" si="1079"/>
        <v>45587</v>
      </c>
      <c r="B6283" s="31">
        <f>TIME(7,0,0)</f>
        <v>0.29166666666666669</v>
      </c>
      <c r="C6283" t="str">
        <f>'Inventory as of 12th Aug 2024'!A37</f>
        <v>Festive Bread 400g</v>
      </c>
      <c r="D6283">
        <v>1</v>
      </c>
      <c r="E6283" s="5">
        <f>Table4[[#This Row],[qty]]*(VLOOKUP(Table4[[#This Row],[item_sold]],Table1[],5,FALSE))</f>
        <v>65</v>
      </c>
      <c r="F6283" s="5">
        <f>(VLOOKUP(Table4[[#This Row],[item_sold]],Table1[],4,FALSE))*Table4[[#This Row],[qty]]</f>
        <v>60</v>
      </c>
      <c r="G6283">
        <f t="shared" si="1066"/>
        <v>5</v>
      </c>
      <c r="H6283" t="s">
        <v>402</v>
      </c>
    </row>
    <row r="6284" spans="1:12" x14ac:dyDescent="0.25">
      <c r="A6284" s="1">
        <f t="shared" si="1079"/>
        <v>45587</v>
      </c>
      <c r="B6284" s="31">
        <f>TIME(7,22,0)</f>
        <v>0.30694444444444441</v>
      </c>
      <c r="C6284" t="str">
        <f>'Inventory as of 12th Aug 2024'!A33</f>
        <v>BB Bread 400g</v>
      </c>
      <c r="D6284">
        <v>1</v>
      </c>
      <c r="E6284" s="5">
        <f>Table4[[#This Row],[qty]]*(VLOOKUP(Table4[[#This Row],[item_sold]],Table1[],5,FALSE))</f>
        <v>65</v>
      </c>
      <c r="F6284" s="5">
        <f>(VLOOKUP(Table4[[#This Row],[item_sold]],Table1[],4,FALSE))*Table4[[#This Row],[qty]]</f>
        <v>60</v>
      </c>
      <c r="G6284">
        <f t="shared" si="1066"/>
        <v>5</v>
      </c>
      <c r="H6284" t="s">
        <v>361</v>
      </c>
    </row>
    <row r="6285" spans="1:12" x14ac:dyDescent="0.25">
      <c r="A6285" s="1">
        <f t="shared" si="1079"/>
        <v>45587</v>
      </c>
      <c r="B6285" s="31">
        <f t="shared" ref="B6285:B6288" si="1081">TIME(7,22,0)</f>
        <v>0.30694444444444441</v>
      </c>
      <c r="C6285" t="str">
        <f>'Inventory as of 12th Aug 2024'!A84</f>
        <v>omo 20g</v>
      </c>
      <c r="D6285">
        <v>2</v>
      </c>
      <c r="E6285" s="5">
        <f>Table4[[#This Row],[qty]]*(VLOOKUP(Table4[[#This Row],[item_sold]],Table1[],5,FALSE))</f>
        <v>30</v>
      </c>
      <c r="F6285" s="5">
        <f>(VLOOKUP(Table4[[#This Row],[item_sold]],Table1[],4,FALSE))*Table4[[#This Row],[qty]]</f>
        <v>18.333333333333332</v>
      </c>
      <c r="G6285">
        <f t="shared" si="1066"/>
        <v>11.666666666666668</v>
      </c>
      <c r="H6285" t="s">
        <v>361</v>
      </c>
    </row>
    <row r="6286" spans="1:12" x14ac:dyDescent="0.25">
      <c r="A6286" s="1">
        <f t="shared" si="1079"/>
        <v>45587</v>
      </c>
      <c r="B6286" s="31">
        <f t="shared" si="1081"/>
        <v>0.30694444444444441</v>
      </c>
      <c r="C6286" t="str">
        <f>'Inventory as of 12th Aug 2024'!A120</f>
        <v>Maramoja</v>
      </c>
      <c r="D6286">
        <v>1</v>
      </c>
      <c r="E6286" s="5">
        <f>Table4[[#This Row],[qty]]*(VLOOKUP(Table4[[#This Row],[item_sold]],Table1[],5,FALSE))</f>
        <v>10</v>
      </c>
      <c r="F6286" s="5">
        <f>(VLOOKUP(Table4[[#This Row],[item_sold]],Table1[],4,FALSE))*Table4[[#This Row],[qty]]</f>
        <v>7</v>
      </c>
      <c r="G6286">
        <f t="shared" si="1066"/>
        <v>3</v>
      </c>
      <c r="H6286" t="s">
        <v>361</v>
      </c>
    </row>
    <row r="6287" spans="1:12" x14ac:dyDescent="0.25">
      <c r="A6287" s="1">
        <f t="shared" si="1079"/>
        <v>45587</v>
      </c>
      <c r="B6287" s="31">
        <f t="shared" si="1081"/>
        <v>0.30694444444444441</v>
      </c>
      <c r="C6287" t="str">
        <f>'Inventory as of 12th Aug 2024'!A17</f>
        <v>Brookside milk 500ml</v>
      </c>
      <c r="D6287">
        <v>2</v>
      </c>
      <c r="E6287" s="5">
        <f>Table4[[#This Row],[qty]]*(VLOOKUP(Table4[[#This Row],[item_sold]],Table1[],5,FALSE))</f>
        <v>140</v>
      </c>
      <c r="F6287" s="5">
        <f>(VLOOKUP(Table4[[#This Row],[item_sold]],Table1[],4,FALSE))*Table4[[#This Row],[qty]]</f>
        <v>118</v>
      </c>
      <c r="G6287">
        <f t="shared" si="1066"/>
        <v>22</v>
      </c>
      <c r="H6287" t="s">
        <v>402</v>
      </c>
    </row>
    <row r="6288" spans="1:12" x14ac:dyDescent="0.25">
      <c r="A6288" s="1">
        <f t="shared" si="1079"/>
        <v>45587</v>
      </c>
      <c r="B6288" s="31">
        <f t="shared" si="1081"/>
        <v>0.30694444444444441</v>
      </c>
      <c r="C6288" t="str">
        <f>'Inventory as of 12th Aug 2024'!A8</f>
        <v>eggs</v>
      </c>
      <c r="D6288">
        <v>1</v>
      </c>
      <c r="E6288" s="5">
        <f>Table4[[#This Row],[qty]]*(VLOOKUP(Table4[[#This Row],[item_sold]],Table1[],5,FALSE))</f>
        <v>20</v>
      </c>
      <c r="F6288" s="5">
        <f>(VLOOKUP(Table4[[#This Row],[item_sold]],Table1[],4,FALSE))*Table4[[#This Row],[qty]]</f>
        <v>14.333333333333334</v>
      </c>
      <c r="G6288">
        <f t="shared" si="1066"/>
        <v>5.6666666666666661</v>
      </c>
      <c r="H6288" t="s">
        <v>402</v>
      </c>
    </row>
    <row r="6289" spans="1:12" x14ac:dyDescent="0.25">
      <c r="A6289" s="1">
        <f t="shared" si="1079"/>
        <v>45587</v>
      </c>
      <c r="B6289" s="31">
        <f>TIME(8,21,0)</f>
        <v>0.34791666666666665</v>
      </c>
      <c r="C6289" t="str">
        <f>'Inventory as of 12th Aug 2024'!A238</f>
        <v>Tropical</v>
      </c>
      <c r="D6289">
        <v>1</v>
      </c>
      <c r="E6289" s="5">
        <f>Table4[[#This Row],[qty]]*(VLOOKUP(Table4[[#This Row],[item_sold]],Table1[],5,FALSE))</f>
        <v>5</v>
      </c>
      <c r="F6289" s="5">
        <f>(VLOOKUP(Table4[[#This Row],[item_sold]],Table1[],4,FALSE))*Table4[[#This Row],[qty]]</f>
        <v>1.5</v>
      </c>
      <c r="G6289">
        <f t="shared" si="1066"/>
        <v>3.5</v>
      </c>
      <c r="H6289" t="s">
        <v>247</v>
      </c>
    </row>
    <row r="6290" spans="1:12" x14ac:dyDescent="0.25">
      <c r="A6290" s="1">
        <f t="shared" si="1079"/>
        <v>45587</v>
      </c>
      <c r="B6290" s="31">
        <f>TIME(8,27,0)</f>
        <v>0.3520833333333333</v>
      </c>
      <c r="C6290" t="str">
        <f>'Inventory as of 12th Aug 2024'!A33</f>
        <v>BB Bread 400g</v>
      </c>
      <c r="D6290">
        <v>1</v>
      </c>
      <c r="E6290" s="5">
        <f>Table4[[#This Row],[qty]]*(VLOOKUP(Table4[[#This Row],[item_sold]],Table1[],5,FALSE))</f>
        <v>65</v>
      </c>
      <c r="F6290" s="5">
        <f>(VLOOKUP(Table4[[#This Row],[item_sold]],Table1[],4,FALSE))*Table4[[#This Row],[qty]]</f>
        <v>60</v>
      </c>
      <c r="G6290">
        <f t="shared" si="1066"/>
        <v>5</v>
      </c>
      <c r="H6290" t="s">
        <v>361</v>
      </c>
    </row>
    <row r="6291" spans="1:12" x14ac:dyDescent="0.25">
      <c r="A6291" s="1">
        <f t="shared" si="1079"/>
        <v>45587</v>
      </c>
      <c r="B6291" s="31">
        <f>TIME(8,42,0)</f>
        <v>0.36249999999999999</v>
      </c>
      <c r="C6291" t="str">
        <f>'Inventory as of 12th Aug 2024'!A122</f>
        <v>Sonaplast</v>
      </c>
      <c r="D6291">
        <v>2</v>
      </c>
      <c r="E6291" s="5">
        <f>Table4[[#This Row],[qty]]*(VLOOKUP(Table4[[#This Row],[item_sold]],Table1[],5,FALSE))</f>
        <v>20</v>
      </c>
      <c r="F6291" s="5">
        <f>(VLOOKUP(Table4[[#This Row],[item_sold]],Table1[],4,FALSE))*Table4[[#This Row],[qty]]</f>
        <v>14</v>
      </c>
      <c r="G6291">
        <f t="shared" si="1066"/>
        <v>6</v>
      </c>
      <c r="H6291" t="s">
        <v>361</v>
      </c>
    </row>
    <row r="6292" spans="1:12" x14ac:dyDescent="0.25">
      <c r="A6292" s="1">
        <f t="shared" si="1079"/>
        <v>45587</v>
      </c>
      <c r="B6292" s="31">
        <f>TIME(10,1,0)</f>
        <v>0.41736111111111113</v>
      </c>
      <c r="C6292" t="str">
        <f>'Inventory as of 12th Aug 2024'!A199</f>
        <v>Kdf</v>
      </c>
      <c r="D6292">
        <v>3</v>
      </c>
      <c r="E6292" s="5">
        <f>Table4[[#This Row],[qty]]*(VLOOKUP(Table4[[#This Row],[item_sold]],Table1[],5,FALSE))</f>
        <v>30</v>
      </c>
      <c r="F6292" s="5">
        <f>(VLOOKUP(Table4[[#This Row],[item_sold]],Table1[],4,FALSE))*Table4[[#This Row],[qty]]</f>
        <v>25</v>
      </c>
      <c r="G6292">
        <f t="shared" ref="G6292:G6355" si="1082">E6292-F6292</f>
        <v>5</v>
      </c>
      <c r="H6292" t="s">
        <v>247</v>
      </c>
    </row>
    <row r="6293" spans="1:12" x14ac:dyDescent="0.25">
      <c r="A6293" s="1">
        <f t="shared" si="1079"/>
        <v>45587</v>
      </c>
      <c r="B6293" s="31">
        <f>TIME(10,16,0)</f>
        <v>0.42777777777777781</v>
      </c>
      <c r="C6293" t="str">
        <f>'Inventory as of 12th Aug 2024'!A37</f>
        <v>Festive Bread 400g</v>
      </c>
      <c r="D6293">
        <v>1</v>
      </c>
      <c r="E6293" s="5">
        <f>Table4[[#This Row],[qty]]*(VLOOKUP(Table4[[#This Row],[item_sold]],Table1[],5,FALSE))</f>
        <v>65</v>
      </c>
      <c r="F6293" s="5">
        <f>(VLOOKUP(Table4[[#This Row],[item_sold]],Table1[],4,FALSE))*Table4[[#This Row],[qty]]</f>
        <v>60</v>
      </c>
      <c r="G6293">
        <f t="shared" si="1082"/>
        <v>5</v>
      </c>
      <c r="H6293" t="s">
        <v>430</v>
      </c>
      <c r="I6293" t="s">
        <v>390</v>
      </c>
    </row>
    <row r="6294" spans="1:12" x14ac:dyDescent="0.25">
      <c r="A6294" s="1">
        <f t="shared" si="1079"/>
        <v>45587</v>
      </c>
      <c r="B6294" s="31">
        <f>TIME(10,28,0)</f>
        <v>0.43611111111111112</v>
      </c>
      <c r="C6294" t="str">
        <f>'Inventory as of 12th Aug 2024'!A187</f>
        <v>Njugu</v>
      </c>
      <c r="D6294">
        <v>1</v>
      </c>
      <c r="E6294" s="5">
        <f>Table4[[#This Row],[qty]]*(VLOOKUP(Table4[[#This Row],[item_sold]],Table1[],5,FALSE))</f>
        <v>20</v>
      </c>
      <c r="F6294" s="5">
        <f>(VLOOKUP(Table4[[#This Row],[item_sold]],Table1[],4,FALSE))*Table4[[#This Row],[qty]]</f>
        <v>10.666666666666666</v>
      </c>
      <c r="G6294">
        <f t="shared" si="1082"/>
        <v>9.3333333333333339</v>
      </c>
      <c r="H6294" t="s">
        <v>247</v>
      </c>
    </row>
    <row r="6295" spans="1:12" x14ac:dyDescent="0.25">
      <c r="A6295" s="1">
        <f t="shared" si="1079"/>
        <v>45587</v>
      </c>
      <c r="B6295" s="31">
        <f t="shared" ref="B6295" si="1083">TIME(10,28,0)</f>
        <v>0.43611111111111112</v>
      </c>
      <c r="C6295" t="str">
        <f>'Inventory as of 12th Aug 2024'!A10</f>
        <v>Mt Kenya milk 200ml</v>
      </c>
      <c r="D6295">
        <v>1</v>
      </c>
      <c r="E6295" s="5">
        <f>Table4[[#This Row],[qty]]*(VLOOKUP(Table4[[#This Row],[item_sold]],Table1[],5,FALSE))</f>
        <v>35</v>
      </c>
      <c r="F6295" s="5">
        <f>(VLOOKUP(Table4[[#This Row],[item_sold]],Table1[],4,FALSE))*Table4[[#This Row],[qty]]</f>
        <v>24.285714285714285</v>
      </c>
      <c r="G6295">
        <f t="shared" si="1082"/>
        <v>10.714285714285715</v>
      </c>
      <c r="H6295" t="s">
        <v>247</v>
      </c>
    </row>
    <row r="6296" spans="1:12" x14ac:dyDescent="0.25">
      <c r="A6296" s="1">
        <f t="shared" si="1079"/>
        <v>45587</v>
      </c>
      <c r="B6296" s="31">
        <f>TIME(10,39,0)</f>
        <v>0.44375000000000003</v>
      </c>
      <c r="C6296" t="str">
        <f>'Inventory as of 12th Aug 2024'!A86</f>
        <v>Downy sunrise fresh</v>
      </c>
      <c r="D6296">
        <v>2</v>
      </c>
      <c r="E6296" s="5">
        <f>Table4[[#This Row],[qty]]*(VLOOKUP(Table4[[#This Row],[item_sold]],Table1[],5,FALSE))</f>
        <v>40</v>
      </c>
      <c r="F6296" s="5">
        <f>(VLOOKUP(Table4[[#This Row],[item_sold]],Table1[],4,FALSE))*Table4[[#This Row],[qty]]</f>
        <v>34.666666666666664</v>
      </c>
      <c r="G6296">
        <f t="shared" si="1082"/>
        <v>5.3333333333333357</v>
      </c>
      <c r="H6296" t="s">
        <v>361</v>
      </c>
      <c r="J6296" t="s">
        <v>428</v>
      </c>
      <c r="K6296">
        <v>360</v>
      </c>
      <c r="L6296" t="s">
        <v>361</v>
      </c>
    </row>
    <row r="6297" spans="1:12" x14ac:dyDescent="0.25">
      <c r="A6297" s="1">
        <f t="shared" si="1079"/>
        <v>45587</v>
      </c>
      <c r="B6297" s="31">
        <f>TIME(10,48,0)</f>
        <v>0.45</v>
      </c>
      <c r="C6297" t="str">
        <f>'Inventory as of 12th Aug 2024'!A232</f>
        <v>coo</v>
      </c>
      <c r="D6297">
        <v>4</v>
      </c>
      <c r="E6297" s="5">
        <f>Table4[[#This Row],[qty]]*(VLOOKUP(Table4[[#This Row],[item_sold]],Table1[],5,FALSE))</f>
        <v>10</v>
      </c>
      <c r="F6297" s="5">
        <f>(VLOOKUP(Table4[[#This Row],[item_sold]],Table1[],4,FALSE))*Table4[[#This Row],[qty]]</f>
        <v>4.8</v>
      </c>
      <c r="G6297">
        <f t="shared" si="1082"/>
        <v>5.2</v>
      </c>
      <c r="H6297" t="s">
        <v>361</v>
      </c>
      <c r="J6297" t="s">
        <v>620</v>
      </c>
      <c r="K6297">
        <v>50</v>
      </c>
      <c r="L6297" t="s">
        <v>247</v>
      </c>
    </row>
    <row r="6298" spans="1:12" x14ac:dyDescent="0.25">
      <c r="A6298" s="1">
        <f t="shared" si="1079"/>
        <v>45587</v>
      </c>
      <c r="B6298" s="31">
        <f>TIME(13,8,0)</f>
        <v>0.54722222222222217</v>
      </c>
      <c r="C6298" t="str">
        <f>'Inventory as of 12th Aug 2024'!A58</f>
        <v>Safari</v>
      </c>
      <c r="D6298">
        <v>2</v>
      </c>
      <c r="E6298" s="5">
        <f>Table4[[#This Row],[qty]]*(VLOOKUP(Table4[[#This Row],[item_sold]],Table1[],5,FALSE))</f>
        <v>30</v>
      </c>
      <c r="F6298" s="5">
        <f>(VLOOKUP(Table4[[#This Row],[item_sold]],Table1[],4,FALSE))*Table4[[#This Row],[qty]]</f>
        <v>17</v>
      </c>
      <c r="G6298">
        <f t="shared" si="1082"/>
        <v>13</v>
      </c>
      <c r="H6298" t="s">
        <v>361</v>
      </c>
    </row>
    <row r="6299" spans="1:12" x14ac:dyDescent="0.25">
      <c r="A6299" s="1">
        <f t="shared" si="1079"/>
        <v>45587</v>
      </c>
      <c r="B6299" s="31">
        <f t="shared" ref="B6299" si="1084">TIME(13,8,0)</f>
        <v>0.54722222222222217</v>
      </c>
      <c r="C6299" t="str">
        <f>'Inventory as of 12th Aug 2024'!A8</f>
        <v>eggs</v>
      </c>
      <c r="D6299">
        <v>6</v>
      </c>
      <c r="E6299" s="5">
        <f>Table4[[#This Row],[qty]]*(VLOOKUP(Table4[[#This Row],[item_sold]],Table1[],5,FALSE))</f>
        <v>120</v>
      </c>
      <c r="F6299" s="5">
        <f>(VLOOKUP(Table4[[#This Row],[item_sold]],Table1[],4,FALSE))*Table4[[#This Row],[qty]]</f>
        <v>86</v>
      </c>
      <c r="G6299">
        <f t="shared" si="1082"/>
        <v>34</v>
      </c>
      <c r="H6299" t="s">
        <v>247</v>
      </c>
    </row>
    <row r="6300" spans="1:12" x14ac:dyDescent="0.25">
      <c r="A6300" s="1">
        <f t="shared" si="1079"/>
        <v>45587</v>
      </c>
      <c r="B6300" s="31">
        <f>TIME(14,15,0)</f>
        <v>0.59375</v>
      </c>
      <c r="C6300" t="str">
        <f>'Inventory as of 12th Aug 2024'!A58</f>
        <v>Safari</v>
      </c>
      <c r="D6300">
        <v>2</v>
      </c>
      <c r="E6300" s="5">
        <f>Table4[[#This Row],[qty]]*(VLOOKUP(Table4[[#This Row],[item_sold]],Table1[],5,FALSE))</f>
        <v>30</v>
      </c>
      <c r="F6300" s="5">
        <f>(VLOOKUP(Table4[[#This Row],[item_sold]],Table1[],4,FALSE))*Table4[[#This Row],[qty]]</f>
        <v>17</v>
      </c>
      <c r="G6300">
        <f t="shared" si="1082"/>
        <v>13</v>
      </c>
      <c r="H6300" t="s">
        <v>247</v>
      </c>
    </row>
    <row r="6301" spans="1:12" x14ac:dyDescent="0.25">
      <c r="A6301" s="1">
        <f t="shared" si="1079"/>
        <v>45587</v>
      </c>
      <c r="B6301" s="31">
        <f>TIME(14,18,0)</f>
        <v>0.59583333333333333</v>
      </c>
      <c r="C6301" t="str">
        <f>'Inventory as of 12th Aug 2024'!A107</f>
        <v>Match Box</v>
      </c>
      <c r="D6301">
        <v>1</v>
      </c>
      <c r="E6301" s="5">
        <f>Table4[[#This Row],[qty]]*(VLOOKUP(Table4[[#This Row],[item_sold]],Table1[],5,FALSE))</f>
        <v>5</v>
      </c>
      <c r="F6301" s="5">
        <f>(VLOOKUP(Table4[[#This Row],[item_sold]],Table1[],4,FALSE))*Table4[[#This Row],[qty]]</f>
        <v>2.3611111111111112</v>
      </c>
      <c r="G6301">
        <f t="shared" si="1082"/>
        <v>2.6388888888888888</v>
      </c>
      <c r="H6301" t="s">
        <v>430</v>
      </c>
      <c r="I6301" t="s">
        <v>390</v>
      </c>
    </row>
    <row r="6302" spans="1:12" x14ac:dyDescent="0.25">
      <c r="A6302" s="1">
        <f t="shared" si="1079"/>
        <v>45587</v>
      </c>
      <c r="B6302" s="31">
        <f t="shared" ref="B6302:B6312" si="1085">TIME(14,18,0)</f>
        <v>0.59583333333333333</v>
      </c>
      <c r="C6302" t="str">
        <f>'Inventory as of 12th Aug 2024'!A33</f>
        <v>BB Bread 400g</v>
      </c>
      <c r="D6302">
        <v>1</v>
      </c>
      <c r="E6302" s="5">
        <f>Table4[[#This Row],[qty]]*(VLOOKUP(Table4[[#This Row],[item_sold]],Table1[],5,FALSE))</f>
        <v>65</v>
      </c>
      <c r="F6302" s="5">
        <f>(VLOOKUP(Table4[[#This Row],[item_sold]],Table1[],4,FALSE))*Table4[[#This Row],[qty]]</f>
        <v>60</v>
      </c>
      <c r="G6302">
        <f t="shared" si="1082"/>
        <v>5</v>
      </c>
      <c r="H6302" t="s">
        <v>247</v>
      </c>
    </row>
    <row r="6303" spans="1:12" x14ac:dyDescent="0.25">
      <c r="A6303" s="1">
        <f t="shared" si="1079"/>
        <v>45587</v>
      </c>
      <c r="B6303" s="31">
        <f t="shared" si="1085"/>
        <v>0.59583333333333333</v>
      </c>
      <c r="C6303" t="str">
        <f>'Inventory as of 12th Aug 2024'!A17</f>
        <v>Brookside milk 500ml</v>
      </c>
      <c r="D6303">
        <v>1</v>
      </c>
      <c r="E6303" s="5">
        <f>Table4[[#This Row],[qty]]*(VLOOKUP(Table4[[#This Row],[item_sold]],Table1[],5,FALSE))</f>
        <v>70</v>
      </c>
      <c r="F6303" s="5">
        <f>(VLOOKUP(Table4[[#This Row],[item_sold]],Table1[],4,FALSE))*Table4[[#This Row],[qty]]</f>
        <v>59</v>
      </c>
      <c r="G6303">
        <f t="shared" si="1082"/>
        <v>11</v>
      </c>
      <c r="H6303" t="s">
        <v>247</v>
      </c>
    </row>
    <row r="6304" spans="1:12" x14ac:dyDescent="0.25">
      <c r="A6304" s="1">
        <f t="shared" si="1079"/>
        <v>45587</v>
      </c>
      <c r="B6304" s="31">
        <f t="shared" si="1085"/>
        <v>0.59583333333333333</v>
      </c>
      <c r="C6304" t="str">
        <f>'Inventory as of 12th Aug 2024'!A215</f>
        <v>Blueband 100g</v>
      </c>
      <c r="D6304">
        <v>1</v>
      </c>
      <c r="E6304" s="5">
        <f>Table4[[#This Row],[qty]]*(VLOOKUP(Table4[[#This Row],[item_sold]],Table1[],5,FALSE))</f>
        <v>70</v>
      </c>
      <c r="F6304" s="5">
        <f>(VLOOKUP(Table4[[#This Row],[item_sold]],Table1[],4,FALSE))*Table4[[#This Row],[qty]]</f>
        <v>58.333333333333336</v>
      </c>
      <c r="G6304">
        <f t="shared" si="1082"/>
        <v>11.666666666666664</v>
      </c>
      <c r="H6304" t="s">
        <v>430</v>
      </c>
      <c r="I6304" t="s">
        <v>404</v>
      </c>
    </row>
    <row r="6305" spans="1:9" x14ac:dyDescent="0.25">
      <c r="A6305" s="1">
        <f t="shared" si="1079"/>
        <v>45587</v>
      </c>
      <c r="B6305" s="31">
        <f t="shared" si="1085"/>
        <v>0.59583333333333333</v>
      </c>
      <c r="C6305" t="str">
        <f>'Inventory as of 12th Aug 2024'!A70</f>
        <v>Sugar 1/2 kg</v>
      </c>
      <c r="D6305">
        <v>1</v>
      </c>
      <c r="E6305" s="5">
        <f>Table4[[#This Row],[qty]]*(VLOOKUP(Table4[[#This Row],[item_sold]],Table1[],5,FALSE))</f>
        <v>90</v>
      </c>
      <c r="F6305" s="5">
        <f>(VLOOKUP(Table4[[#This Row],[item_sold]],Table1[],4,FALSE))*Table4[[#This Row],[qty]]</f>
        <v>60</v>
      </c>
      <c r="G6305">
        <f t="shared" si="1082"/>
        <v>30</v>
      </c>
      <c r="H6305" t="s">
        <v>430</v>
      </c>
      <c r="I6305" t="s">
        <v>404</v>
      </c>
    </row>
    <row r="6306" spans="1:9" x14ac:dyDescent="0.25">
      <c r="A6306" s="1">
        <f t="shared" si="1079"/>
        <v>45587</v>
      </c>
      <c r="B6306" s="31">
        <f t="shared" si="1085"/>
        <v>0.59583333333333333</v>
      </c>
      <c r="C6306" t="str">
        <f>'Inventory as of 12th Aug 2024'!A17</f>
        <v>Brookside milk 500ml</v>
      </c>
      <c r="D6306">
        <v>2</v>
      </c>
      <c r="E6306" s="5">
        <f>Table4[[#This Row],[qty]]*(VLOOKUP(Table4[[#This Row],[item_sold]],Table1[],5,FALSE))</f>
        <v>140</v>
      </c>
      <c r="F6306" s="5">
        <f>(VLOOKUP(Table4[[#This Row],[item_sold]],Table1[],4,FALSE))*Table4[[#This Row],[qty]]</f>
        <v>118</v>
      </c>
      <c r="G6306">
        <f t="shared" si="1082"/>
        <v>22</v>
      </c>
      <c r="H6306" t="s">
        <v>430</v>
      </c>
      <c r="I6306" t="s">
        <v>404</v>
      </c>
    </row>
    <row r="6307" spans="1:9" x14ac:dyDescent="0.25">
      <c r="A6307" s="1">
        <f t="shared" si="1079"/>
        <v>45587</v>
      </c>
      <c r="B6307" s="31">
        <f t="shared" si="1085"/>
        <v>0.59583333333333333</v>
      </c>
      <c r="C6307" t="str">
        <f>'Inventory as of 12th Aug 2024'!A42</f>
        <v>Indomie chicken</v>
      </c>
      <c r="D6307">
        <v>2</v>
      </c>
      <c r="E6307" s="5">
        <f>Table4[[#This Row],[qty]]*(VLOOKUP(Table4[[#This Row],[item_sold]],Table1[],5,FALSE))</f>
        <v>100</v>
      </c>
      <c r="F6307" s="5">
        <f>(VLOOKUP(Table4[[#This Row],[item_sold]],Table1[],4,FALSE))*Table4[[#This Row],[qty]]</f>
        <v>75</v>
      </c>
      <c r="G6307">
        <f t="shared" si="1082"/>
        <v>25</v>
      </c>
      <c r="H6307" t="s">
        <v>430</v>
      </c>
      <c r="I6307" t="s">
        <v>404</v>
      </c>
    </row>
    <row r="6308" spans="1:9" x14ac:dyDescent="0.25">
      <c r="A6308" s="1">
        <f t="shared" si="1079"/>
        <v>45587</v>
      </c>
      <c r="B6308" s="31">
        <f t="shared" si="1085"/>
        <v>0.59583333333333333</v>
      </c>
      <c r="C6308" t="str">
        <f>'Inventory as of 12th Aug 2024'!A8</f>
        <v>eggs</v>
      </c>
      <c r="D6308">
        <v>4</v>
      </c>
      <c r="E6308" s="5">
        <f>Table4[[#This Row],[qty]]*(VLOOKUP(Table4[[#This Row],[item_sold]],Table1[],5,FALSE))</f>
        <v>80</v>
      </c>
      <c r="F6308" s="5">
        <f>(VLOOKUP(Table4[[#This Row],[item_sold]],Table1[],4,FALSE))*Table4[[#This Row],[qty]]</f>
        <v>57.333333333333336</v>
      </c>
      <c r="G6308">
        <f t="shared" si="1082"/>
        <v>22.666666666666664</v>
      </c>
      <c r="H6308" t="s">
        <v>430</v>
      </c>
      <c r="I6308" t="s">
        <v>404</v>
      </c>
    </row>
    <row r="6309" spans="1:9" x14ac:dyDescent="0.25">
      <c r="A6309" s="1">
        <f t="shared" si="1079"/>
        <v>45587</v>
      </c>
      <c r="B6309" s="31">
        <f t="shared" si="1085"/>
        <v>0.59583333333333333</v>
      </c>
      <c r="C6309" t="str">
        <f>'Inventory as of 12th Aug 2024'!A46</f>
        <v>Tukuza 1kg</v>
      </c>
      <c r="D6309">
        <v>1</v>
      </c>
      <c r="E6309" s="5">
        <f>Table4[[#This Row],[qty]]*(VLOOKUP(Table4[[#This Row],[item_sold]],Table1[],5,FALSE))</f>
        <v>90</v>
      </c>
      <c r="F6309" s="5">
        <f>(VLOOKUP(Table4[[#This Row],[item_sold]],Table1[],4,FALSE))*Table4[[#This Row],[qty]]</f>
        <v>61.25</v>
      </c>
      <c r="G6309">
        <f t="shared" si="1082"/>
        <v>28.75</v>
      </c>
      <c r="H6309" t="s">
        <v>430</v>
      </c>
      <c r="I6309" t="s">
        <v>404</v>
      </c>
    </row>
    <row r="6310" spans="1:9" x14ac:dyDescent="0.25">
      <c r="A6310" s="1">
        <f t="shared" si="1079"/>
        <v>45587</v>
      </c>
      <c r="B6310" s="31">
        <f t="shared" si="1085"/>
        <v>0.59583333333333333</v>
      </c>
      <c r="C6310" t="str">
        <f>'Inventory as of 12th Aug 2024'!A45</f>
        <v>Ajab 1kg</v>
      </c>
      <c r="D6310">
        <v>1</v>
      </c>
      <c r="E6310" s="5">
        <f>Table4[[#This Row],[qty]]*(VLOOKUP(Table4[[#This Row],[item_sold]],Table1[],5,FALSE))</f>
        <v>120</v>
      </c>
      <c r="F6310" s="5">
        <f>(VLOOKUP(Table4[[#This Row],[item_sold]],Table1[],4,FALSE))*Table4[[#This Row],[qty]]</f>
        <v>87.5</v>
      </c>
      <c r="G6310">
        <f t="shared" si="1082"/>
        <v>32.5</v>
      </c>
      <c r="H6310" t="s">
        <v>430</v>
      </c>
      <c r="I6310" t="s">
        <v>404</v>
      </c>
    </row>
    <row r="6311" spans="1:9" x14ac:dyDescent="0.25">
      <c r="A6311" s="1">
        <f t="shared" si="1079"/>
        <v>45587</v>
      </c>
      <c r="B6311" s="31">
        <f t="shared" si="1085"/>
        <v>0.59583333333333333</v>
      </c>
      <c r="C6311" t="str">
        <f>'Inventory as of 12th Aug 2024'!A88</f>
        <v>Sunlight 400g</v>
      </c>
      <c r="D6311">
        <v>1</v>
      </c>
      <c r="E6311" s="5">
        <f>Table4[[#This Row],[qty]]*(VLOOKUP(Table4[[#This Row],[item_sold]],Table1[],5,FALSE))</f>
        <v>200</v>
      </c>
      <c r="F6311" s="5">
        <f>(VLOOKUP(Table4[[#This Row],[item_sold]],Table1[],4,FALSE))*Table4[[#This Row],[qty]]</f>
        <v>145</v>
      </c>
      <c r="G6311">
        <f t="shared" si="1082"/>
        <v>55</v>
      </c>
      <c r="H6311" t="s">
        <v>430</v>
      </c>
      <c r="I6311" t="s">
        <v>404</v>
      </c>
    </row>
    <row r="6312" spans="1:9" x14ac:dyDescent="0.25">
      <c r="A6312" s="1">
        <f t="shared" si="1079"/>
        <v>45587</v>
      </c>
      <c r="B6312" s="31">
        <f t="shared" si="1085"/>
        <v>0.59583333333333333</v>
      </c>
      <c r="C6312" t="str">
        <f>'Inventory as of 12th Aug 2024'!A134</f>
        <v>Hanaan Tissue</v>
      </c>
      <c r="D6312">
        <v>1</v>
      </c>
      <c r="E6312" s="5">
        <f>Table4[[#This Row],[qty]]*(VLOOKUP(Table4[[#This Row],[item_sold]],Table1[],5,FALSE))</f>
        <v>55</v>
      </c>
      <c r="F6312" s="5">
        <f>(VLOOKUP(Table4[[#This Row],[item_sold]],Table1[],4,FALSE))*Table4[[#This Row],[qty]]</f>
        <v>43</v>
      </c>
      <c r="G6312">
        <f t="shared" si="1082"/>
        <v>12</v>
      </c>
      <c r="H6312" t="s">
        <v>430</v>
      </c>
      <c r="I6312" t="s">
        <v>404</v>
      </c>
    </row>
    <row r="6313" spans="1:9" x14ac:dyDescent="0.25">
      <c r="A6313" s="1">
        <f t="shared" si="1079"/>
        <v>45587</v>
      </c>
      <c r="B6313" s="31">
        <f>TIME(15,25,0)</f>
        <v>0.64236111111111105</v>
      </c>
      <c r="C6313" t="str">
        <f>'Inventory as of 12th Aug 2024'!A75</f>
        <v>Cooking Oil Measured</v>
      </c>
      <c r="D6313">
        <v>0.25</v>
      </c>
      <c r="E6313" s="5">
        <f>Table4[[#This Row],[qty]]*(VLOOKUP(Table4[[#This Row],[item_sold]],Table1[],5,FALSE))</f>
        <v>70</v>
      </c>
      <c r="F6313" s="5">
        <f>(VLOOKUP(Table4[[#This Row],[item_sold]],Table1[],4,FALSE))*Table4[[#This Row],[qty]]</f>
        <v>50</v>
      </c>
      <c r="G6313">
        <f t="shared" si="1082"/>
        <v>20</v>
      </c>
      <c r="H6313" s="25" t="s">
        <v>361</v>
      </c>
    </row>
    <row r="6314" spans="1:9" x14ac:dyDescent="0.25">
      <c r="A6314" s="1">
        <f t="shared" si="1079"/>
        <v>45587</v>
      </c>
      <c r="B6314" s="31">
        <f t="shared" ref="B6314:B6315" si="1086">TIME(15,25,0)</f>
        <v>0.64236111111111105</v>
      </c>
      <c r="C6314" t="str">
        <f>'Inventory as of 12th Aug 2024'!A181</f>
        <v>Tamu Tamu Red</v>
      </c>
      <c r="D6314">
        <v>1</v>
      </c>
      <c r="E6314" s="5">
        <f>Table4[[#This Row],[qty]]*(VLOOKUP(Table4[[#This Row],[item_sold]],Table1[],5,FALSE))</f>
        <v>15</v>
      </c>
      <c r="F6314" s="5">
        <f>(VLOOKUP(Table4[[#This Row],[item_sold]],Table1[],4,FALSE))*Table4[[#This Row],[qty]]</f>
        <v>8.6</v>
      </c>
      <c r="G6314">
        <f t="shared" si="1082"/>
        <v>6.4</v>
      </c>
      <c r="H6314" t="s">
        <v>247</v>
      </c>
    </row>
    <row r="6315" spans="1:9" x14ac:dyDescent="0.25">
      <c r="A6315" s="1">
        <f t="shared" si="1079"/>
        <v>45587</v>
      </c>
      <c r="B6315" s="31">
        <f t="shared" si="1086"/>
        <v>0.64236111111111105</v>
      </c>
      <c r="C6315" t="str">
        <f>'Inventory as of 12th Aug 2024'!A200</f>
        <v>Ngumu</v>
      </c>
      <c r="D6315">
        <v>2</v>
      </c>
      <c r="E6315" s="5">
        <f>Table4[[#This Row],[qty]]*(VLOOKUP(Table4[[#This Row],[item_sold]],Table1[],5,FALSE))</f>
        <v>20</v>
      </c>
      <c r="F6315" s="5">
        <f>(VLOOKUP(Table4[[#This Row],[item_sold]],Table1[],4,FALSE))*Table4[[#This Row],[qty]]</f>
        <v>16.666666666666668</v>
      </c>
      <c r="G6315">
        <f t="shared" si="1082"/>
        <v>3.3333333333333321</v>
      </c>
      <c r="H6315" t="s">
        <v>247</v>
      </c>
    </row>
    <row r="6316" spans="1:9" x14ac:dyDescent="0.25">
      <c r="A6316" s="1">
        <f t="shared" si="1079"/>
        <v>45587</v>
      </c>
      <c r="B6316" s="31">
        <f>TIME(16,10,0)</f>
        <v>0.67361111111111116</v>
      </c>
      <c r="C6316" t="str">
        <f>'Inventory as of 12th Aug 2024'!A9</f>
        <v>Kinangop Fresh Milk 500ml</v>
      </c>
      <c r="D6316">
        <v>1</v>
      </c>
      <c r="E6316" s="5">
        <f>Table4[[#This Row],[qty]]*(VLOOKUP(Table4[[#This Row],[item_sold]],Table1[],5,FALSE))</f>
        <v>60</v>
      </c>
      <c r="F6316" s="5">
        <f>(VLOOKUP(Table4[[#This Row],[item_sold]],Table1[],4,FALSE))*Table4[[#This Row],[qty]]</f>
        <v>55</v>
      </c>
      <c r="G6316">
        <f t="shared" si="1082"/>
        <v>5</v>
      </c>
      <c r="H6316" t="s">
        <v>361</v>
      </c>
    </row>
    <row r="6317" spans="1:9" x14ac:dyDescent="0.25">
      <c r="A6317" s="1">
        <f t="shared" si="1079"/>
        <v>45587</v>
      </c>
      <c r="B6317" s="31">
        <f t="shared" ref="B6317:B6318" si="1087">TIME(16,10,0)</f>
        <v>0.67361111111111116</v>
      </c>
      <c r="C6317" t="str">
        <f>'Inventory as of 12th Aug 2024'!A135</f>
        <v>Bella Tissue</v>
      </c>
      <c r="D6317">
        <v>1</v>
      </c>
      <c r="E6317" s="5">
        <f>Table4[[#This Row],[qty]]*(VLOOKUP(Table4[[#This Row],[item_sold]],Table1[],5,FALSE))</f>
        <v>50</v>
      </c>
      <c r="F6317" s="5">
        <f>(VLOOKUP(Table4[[#This Row],[item_sold]],Table1[],4,FALSE))*Table4[[#This Row],[qty]]</f>
        <v>35</v>
      </c>
      <c r="G6317">
        <f t="shared" si="1082"/>
        <v>15</v>
      </c>
      <c r="H6317" t="s">
        <v>361</v>
      </c>
    </row>
    <row r="6318" spans="1:9" x14ac:dyDescent="0.25">
      <c r="A6318" s="1">
        <f t="shared" si="1079"/>
        <v>45587</v>
      </c>
      <c r="B6318" s="31">
        <f t="shared" si="1087"/>
        <v>0.67361111111111116</v>
      </c>
      <c r="C6318" s="25"/>
      <c r="D6318">
        <v>1</v>
      </c>
      <c r="E6318" s="5" t="e">
        <f>Table4[[#This Row],[qty]]*(VLOOKUP(Table4[[#This Row],[item_sold]],Table1[],5,FALSE))</f>
        <v>#N/A</v>
      </c>
      <c r="F6318" s="5" t="e">
        <f>(VLOOKUP(Table4[[#This Row],[item_sold]],Table1[],4,FALSE))*Table4[[#This Row],[qty]]</f>
        <v>#N/A</v>
      </c>
      <c r="G6318" t="e">
        <f t="shared" si="1082"/>
        <v>#N/A</v>
      </c>
      <c r="H6318" t="s">
        <v>361</v>
      </c>
    </row>
    <row r="6319" spans="1:9" x14ac:dyDescent="0.25">
      <c r="A6319" s="1">
        <f t="shared" si="1079"/>
        <v>45587</v>
      </c>
      <c r="B6319" s="31">
        <f>TIME(17,8,0)</f>
        <v>0.71388888888888891</v>
      </c>
      <c r="C6319" t="str">
        <f>'Inventory as of 12th Aug 2024'!A202</f>
        <v>funtime snacks</v>
      </c>
      <c r="D6319">
        <v>1</v>
      </c>
      <c r="E6319" s="5">
        <f>Table4[[#This Row],[qty]]*(VLOOKUP(Table4[[#This Row],[item_sold]],Table1[],5,FALSE))</f>
        <v>15</v>
      </c>
      <c r="F6319" s="5">
        <f>(VLOOKUP(Table4[[#This Row],[item_sold]],Table1[],4,FALSE))*Table4[[#This Row],[qty]]</f>
        <v>9</v>
      </c>
      <c r="G6319">
        <f t="shared" si="1082"/>
        <v>6</v>
      </c>
      <c r="H6319" t="s">
        <v>247</v>
      </c>
    </row>
    <row r="6320" spans="1:9" x14ac:dyDescent="0.25">
      <c r="A6320" s="1">
        <f t="shared" si="1079"/>
        <v>45587</v>
      </c>
      <c r="B6320" s="31">
        <f>TIME(17,53,0)</f>
        <v>0.74513888888888891</v>
      </c>
      <c r="C6320" t="str">
        <f>'Inventory as of 12th Aug 2024'!A9</f>
        <v>Kinangop Fresh Milk 500ml</v>
      </c>
      <c r="D6320">
        <v>1</v>
      </c>
      <c r="E6320" s="5">
        <f>Table4[[#This Row],[qty]]*(VLOOKUP(Table4[[#This Row],[item_sold]],Table1[],5,FALSE))</f>
        <v>60</v>
      </c>
      <c r="F6320" s="5">
        <f>(VLOOKUP(Table4[[#This Row],[item_sold]],Table1[],4,FALSE))*Table4[[#This Row],[qty]]</f>
        <v>55</v>
      </c>
      <c r="G6320">
        <f t="shared" si="1082"/>
        <v>5</v>
      </c>
      <c r="H6320" t="s">
        <v>430</v>
      </c>
      <c r="I6320" t="s">
        <v>390</v>
      </c>
    </row>
    <row r="6321" spans="1:12" x14ac:dyDescent="0.25">
      <c r="A6321" s="1">
        <f t="shared" si="1079"/>
        <v>45587</v>
      </c>
      <c r="B6321" s="31">
        <f>TIME(18,2,0)</f>
        <v>0.75138888888888899</v>
      </c>
      <c r="C6321" t="str">
        <f>'Inventory as of 12th Aug 2024'!A17</f>
        <v>Brookside milk 500ml</v>
      </c>
      <c r="D6321">
        <v>3</v>
      </c>
      <c r="E6321" s="5">
        <f>Table4[[#This Row],[qty]]*(VLOOKUP(Table4[[#This Row],[item_sold]],Table1[],5,FALSE))</f>
        <v>210</v>
      </c>
      <c r="F6321" s="5">
        <f>(VLOOKUP(Table4[[#This Row],[item_sold]],Table1[],4,FALSE))*Table4[[#This Row],[qty]]</f>
        <v>177</v>
      </c>
      <c r="G6321">
        <f t="shared" si="1082"/>
        <v>33</v>
      </c>
      <c r="H6321" t="s">
        <v>361</v>
      </c>
    </row>
    <row r="6322" spans="1:12" x14ac:dyDescent="0.25">
      <c r="A6322" s="1">
        <f t="shared" si="1079"/>
        <v>45587</v>
      </c>
      <c r="B6322" s="31">
        <f>TIME(18,9,0)</f>
        <v>0.75624999999999998</v>
      </c>
      <c r="C6322" t="str">
        <f>'Inventory as of 12th Aug 2024'!A37</f>
        <v>Festive Bread 400g</v>
      </c>
      <c r="D6322">
        <v>1</v>
      </c>
      <c r="E6322" s="5">
        <f>Table4[[#This Row],[qty]]*(VLOOKUP(Table4[[#This Row],[item_sold]],Table1[],5,FALSE))</f>
        <v>65</v>
      </c>
      <c r="F6322" s="5">
        <f>(VLOOKUP(Table4[[#This Row],[item_sold]],Table1[],4,FALSE))*Table4[[#This Row],[qty]]</f>
        <v>60</v>
      </c>
      <c r="G6322">
        <f t="shared" si="1082"/>
        <v>5</v>
      </c>
      <c r="H6322" t="s">
        <v>361</v>
      </c>
    </row>
    <row r="6323" spans="1:12" x14ac:dyDescent="0.25">
      <c r="A6323" s="1">
        <f t="shared" si="1079"/>
        <v>45587</v>
      </c>
      <c r="B6323" s="31">
        <f>TIME(18,10,0)</f>
        <v>0.75694444444444453</v>
      </c>
      <c r="C6323" t="str">
        <f>'Inventory as of 12th Aug 2024'!A75</f>
        <v>Cooking Oil Measured</v>
      </c>
      <c r="D6323">
        <v>1</v>
      </c>
      <c r="E6323" s="5">
        <f>Table4[[#This Row],[qty]]*(VLOOKUP(Table4[[#This Row],[item_sold]],Table1[],5,FALSE))</f>
        <v>280</v>
      </c>
      <c r="F6323" s="5">
        <f>(VLOOKUP(Table4[[#This Row],[item_sold]],Table1[],4,FALSE))*Table4[[#This Row],[qty]]</f>
        <v>200</v>
      </c>
      <c r="G6323">
        <f t="shared" si="1082"/>
        <v>80</v>
      </c>
      <c r="H6323" t="s">
        <v>361</v>
      </c>
    </row>
    <row r="6324" spans="1:12" x14ac:dyDescent="0.25">
      <c r="A6324" s="1">
        <f t="shared" si="1079"/>
        <v>45587</v>
      </c>
      <c r="B6324" s="31">
        <f>TIME(18,26,0)</f>
        <v>0.7680555555555556</v>
      </c>
      <c r="C6324" t="str">
        <f>'Inventory as of 12th Aug 2024'!A45</f>
        <v>Ajab 1kg</v>
      </c>
      <c r="D6324">
        <v>1</v>
      </c>
      <c r="E6324" s="5">
        <f>Table4[[#This Row],[qty]]*(VLOOKUP(Table4[[#This Row],[item_sold]],Table1[],5,FALSE))</f>
        <v>120</v>
      </c>
      <c r="F6324" s="5">
        <f>(VLOOKUP(Table4[[#This Row],[item_sold]],Table1[],4,FALSE))*Table4[[#This Row],[qty]]</f>
        <v>87.5</v>
      </c>
      <c r="G6324">
        <f t="shared" si="1082"/>
        <v>32.5</v>
      </c>
      <c r="H6324" t="s">
        <v>361</v>
      </c>
    </row>
    <row r="6325" spans="1:12" x14ac:dyDescent="0.25">
      <c r="A6325" s="1">
        <f t="shared" si="1079"/>
        <v>45587</v>
      </c>
      <c r="B6325" s="31">
        <f>TIME(18,33,0)</f>
        <v>0.7729166666666667</v>
      </c>
      <c r="C6325" t="str">
        <f>'Inventory as of 12th Aug 2024'!A3</f>
        <v>Safaricom 10 Credit</v>
      </c>
      <c r="D6325">
        <v>1</v>
      </c>
      <c r="E6325" s="5">
        <f>Table4[[#This Row],[qty]]*(VLOOKUP(Table4[[#This Row],[item_sold]],Table1[],5,FALSE))</f>
        <v>10</v>
      </c>
      <c r="F6325" s="5">
        <f>(VLOOKUP(Table4[[#This Row],[item_sold]],Table1[],4,FALSE))*Table4[[#This Row],[qty]]</f>
        <v>9</v>
      </c>
      <c r="G6325">
        <f t="shared" si="1082"/>
        <v>1</v>
      </c>
      <c r="H6325" t="s">
        <v>361</v>
      </c>
    </row>
    <row r="6326" spans="1:12" x14ac:dyDescent="0.25">
      <c r="A6326" s="1">
        <f t="shared" si="1079"/>
        <v>45587</v>
      </c>
      <c r="B6326" s="31">
        <f>TIME(18,51,0)</f>
        <v>0.78541666666666676</v>
      </c>
      <c r="C6326" t="str">
        <f>'Inventory as of 12th Aug 2024'!A256</f>
        <v>Family bisquit</v>
      </c>
      <c r="D6326">
        <v>1</v>
      </c>
      <c r="E6326" s="5">
        <f>Table4[[#This Row],[qty]]*(VLOOKUP(Table4[[#This Row],[item_sold]],Table1[],5,FALSE))</f>
        <v>35</v>
      </c>
      <c r="F6326" s="5">
        <f>(VLOOKUP(Table4[[#This Row],[item_sold]],Table1[],4,FALSE))*Table4[[#This Row],[qty]]</f>
        <v>23.333333333333332</v>
      </c>
      <c r="G6326">
        <f t="shared" si="1082"/>
        <v>11.666666666666668</v>
      </c>
      <c r="H6326" t="s">
        <v>247</v>
      </c>
    </row>
    <row r="6327" spans="1:12" x14ac:dyDescent="0.25">
      <c r="A6327" s="1">
        <f t="shared" si="1079"/>
        <v>45587</v>
      </c>
      <c r="B6327" s="31">
        <f>TIME(18,56,0)</f>
        <v>0.78888888888888886</v>
      </c>
      <c r="C6327" t="str">
        <f>'Inventory as of 12th Aug 2024'!A91</f>
        <v>Tomatoes</v>
      </c>
      <c r="D6327">
        <v>2</v>
      </c>
      <c r="E6327" s="5">
        <f>Table4[[#This Row],[qty]]*(VLOOKUP(Table4[[#This Row],[item_sold]],Table1[],5,FALSE))</f>
        <v>20</v>
      </c>
      <c r="F6327" s="5">
        <f>(VLOOKUP(Table4[[#This Row],[item_sold]],Table1[],4,FALSE))*Table4[[#This Row],[qty]]</f>
        <v>10</v>
      </c>
      <c r="G6327">
        <f t="shared" si="1082"/>
        <v>10</v>
      </c>
      <c r="H6327" t="s">
        <v>247</v>
      </c>
    </row>
    <row r="6328" spans="1:12" x14ac:dyDescent="0.25">
      <c r="A6328" s="1">
        <f t="shared" si="1079"/>
        <v>45587</v>
      </c>
      <c r="B6328" s="31">
        <f t="shared" ref="B6328:B6329" si="1088">TIME(18,56,0)</f>
        <v>0.78888888888888886</v>
      </c>
      <c r="C6328" t="str">
        <f>'Inventory as of 12th Aug 2024'!A8</f>
        <v>eggs</v>
      </c>
      <c r="D6328">
        <v>2</v>
      </c>
      <c r="E6328" s="5">
        <f>Table4[[#This Row],[qty]]*(VLOOKUP(Table4[[#This Row],[item_sold]],Table1[],5,FALSE))</f>
        <v>40</v>
      </c>
      <c r="F6328" s="5">
        <f>(VLOOKUP(Table4[[#This Row],[item_sold]],Table1[],4,FALSE))*Table4[[#This Row],[qty]]</f>
        <v>28.666666666666668</v>
      </c>
      <c r="G6328">
        <f t="shared" si="1082"/>
        <v>11.333333333333332</v>
      </c>
      <c r="H6328" t="s">
        <v>247</v>
      </c>
    </row>
    <row r="6329" spans="1:12" x14ac:dyDescent="0.25">
      <c r="A6329" s="1">
        <f t="shared" si="1079"/>
        <v>45587</v>
      </c>
      <c r="B6329" s="31">
        <f t="shared" si="1088"/>
        <v>0.78888888888888886</v>
      </c>
      <c r="C6329" t="str">
        <f>'Inventory as of 12th Aug 2024'!A191</f>
        <v>Nuvita Bisquit</v>
      </c>
      <c r="D6329">
        <v>2</v>
      </c>
      <c r="E6329" s="5">
        <f>Table4[[#This Row],[qty]]*(VLOOKUP(Table4[[#This Row],[item_sold]],Table1[],5,FALSE))</f>
        <v>10</v>
      </c>
      <c r="F6329" s="5">
        <f>(VLOOKUP(Table4[[#This Row],[item_sold]],Table1[],4,FALSE))*Table4[[#This Row],[qty]]</f>
        <v>8.3333333333333339</v>
      </c>
      <c r="G6329">
        <f t="shared" si="1082"/>
        <v>1.6666666666666661</v>
      </c>
      <c r="H6329" t="s">
        <v>247</v>
      </c>
    </row>
    <row r="6330" spans="1:12" x14ac:dyDescent="0.25">
      <c r="A6330" s="1">
        <f t="shared" si="1079"/>
        <v>45587</v>
      </c>
      <c r="B6330" s="31">
        <f>TIME(19,6,0)</f>
        <v>0.79583333333333339</v>
      </c>
      <c r="C6330" t="str">
        <f>'Inventory as of 12th Aug 2024'!A91</f>
        <v>Tomatoes</v>
      </c>
      <c r="D6330">
        <v>3</v>
      </c>
      <c r="E6330" s="5">
        <f>Table4[[#This Row],[qty]]*(VLOOKUP(Table4[[#This Row],[item_sold]],Table1[],5,FALSE))</f>
        <v>30</v>
      </c>
      <c r="F6330" s="5">
        <f>(VLOOKUP(Table4[[#This Row],[item_sold]],Table1[],4,FALSE))*Table4[[#This Row],[qty]]</f>
        <v>15</v>
      </c>
      <c r="G6330">
        <f t="shared" si="1082"/>
        <v>15</v>
      </c>
      <c r="H6330" t="s">
        <v>361</v>
      </c>
    </row>
    <row r="6331" spans="1:12" x14ac:dyDescent="0.25">
      <c r="A6331" s="1">
        <f t="shared" si="1079"/>
        <v>45587</v>
      </c>
      <c r="B6331" s="31">
        <f t="shared" ref="B6331" si="1089">TIME(19,6,0)</f>
        <v>0.79583333333333339</v>
      </c>
      <c r="C6331" t="str">
        <f>'Inventory as of 12th Aug 2024'!A37</f>
        <v>Festive Bread 400g</v>
      </c>
      <c r="D6331">
        <v>1</v>
      </c>
      <c r="E6331" s="5">
        <f>Table4[[#This Row],[qty]]*(VLOOKUP(Table4[[#This Row],[item_sold]],Table1[],5,FALSE))</f>
        <v>65</v>
      </c>
      <c r="F6331" s="5">
        <f>(VLOOKUP(Table4[[#This Row],[item_sold]],Table1[],4,FALSE))*Table4[[#This Row],[qty]]</f>
        <v>60</v>
      </c>
      <c r="G6331">
        <f t="shared" si="1082"/>
        <v>5</v>
      </c>
      <c r="H6331" t="s">
        <v>361</v>
      </c>
    </row>
    <row r="6332" spans="1:12" x14ac:dyDescent="0.25">
      <c r="A6332" s="1">
        <f t="shared" si="1079"/>
        <v>45587</v>
      </c>
      <c r="B6332" s="31">
        <f>TIME(19,3,0)</f>
        <v>0.79375000000000007</v>
      </c>
      <c r="C6332" t="str">
        <f>'Inventory as of 12th Aug 2024'!A33</f>
        <v>BB Bread 400g</v>
      </c>
      <c r="D6332">
        <v>2</v>
      </c>
      <c r="E6332" s="5">
        <f>Table4[[#This Row],[qty]]*(VLOOKUP(Table4[[#This Row],[item_sold]],Table1[],5,FALSE))</f>
        <v>130</v>
      </c>
      <c r="F6332" s="5">
        <f>(VLOOKUP(Table4[[#This Row],[item_sold]],Table1[],4,FALSE))*Table4[[#This Row],[qty]]</f>
        <v>120</v>
      </c>
      <c r="G6332">
        <f t="shared" si="1082"/>
        <v>10</v>
      </c>
      <c r="H6332" t="s">
        <v>361</v>
      </c>
    </row>
    <row r="6333" spans="1:12" x14ac:dyDescent="0.25">
      <c r="A6333" s="1">
        <f t="shared" si="1079"/>
        <v>45587</v>
      </c>
      <c r="B6333" s="31">
        <f t="shared" ref="B6333" si="1090">TIME(19,3,0)</f>
        <v>0.79375000000000007</v>
      </c>
      <c r="C6333" t="str">
        <f>'Inventory as of 12th Aug 2024'!A135</f>
        <v>Bella Tissue</v>
      </c>
      <c r="D6333">
        <v>1</v>
      </c>
      <c r="E6333" s="5">
        <f>Table4[[#This Row],[qty]]*(VLOOKUP(Table4[[#This Row],[item_sold]],Table1[],5,FALSE))</f>
        <v>50</v>
      </c>
      <c r="F6333" s="5">
        <f>(VLOOKUP(Table4[[#This Row],[item_sold]],Table1[],4,FALSE))*Table4[[#This Row],[qty]]</f>
        <v>35</v>
      </c>
      <c r="G6333">
        <f t="shared" si="1082"/>
        <v>15</v>
      </c>
      <c r="H6333" t="s">
        <v>361</v>
      </c>
      <c r="J6333" t="s">
        <v>394</v>
      </c>
      <c r="K6333">
        <v>15</v>
      </c>
      <c r="L6333" t="s">
        <v>361</v>
      </c>
    </row>
    <row r="6334" spans="1:12" x14ac:dyDescent="0.25">
      <c r="A6334" s="1">
        <f t="shared" si="1079"/>
        <v>45587</v>
      </c>
      <c r="B6334" s="31">
        <f>TIME(19,54,0)</f>
        <v>0.82916666666666661</v>
      </c>
      <c r="C6334" t="str">
        <f>'Inventory as of 12th Aug 2024'!A200</f>
        <v>Ngumu</v>
      </c>
      <c r="D6334">
        <v>3</v>
      </c>
      <c r="E6334" s="5">
        <f>Table4[[#This Row],[qty]]*(VLOOKUP(Table4[[#This Row],[item_sold]],Table1[],5,FALSE))</f>
        <v>30</v>
      </c>
      <c r="F6334" s="5">
        <f>(VLOOKUP(Table4[[#This Row],[item_sold]],Table1[],4,FALSE))*Table4[[#This Row],[qty]]</f>
        <v>25</v>
      </c>
      <c r="G6334">
        <f t="shared" si="1082"/>
        <v>5</v>
      </c>
      <c r="H6334" t="s">
        <v>402</v>
      </c>
    </row>
    <row r="6335" spans="1:12" x14ac:dyDescent="0.25">
      <c r="A6335" s="1">
        <f t="shared" si="1079"/>
        <v>45587</v>
      </c>
      <c r="B6335" s="31">
        <f>TIME(20,1,0)</f>
        <v>0.8340277777777777</v>
      </c>
      <c r="C6335" t="str">
        <f>'Inventory as of 12th Aug 2024'!A218</f>
        <v>Battery AAA</v>
      </c>
      <c r="D6335">
        <v>2</v>
      </c>
      <c r="E6335" s="5">
        <f>Table4[[#This Row],[qty]]*(VLOOKUP(Table4[[#This Row],[item_sold]],Table1[],5,FALSE))</f>
        <v>30</v>
      </c>
      <c r="F6335" s="5">
        <f>(VLOOKUP(Table4[[#This Row],[item_sold]],Table1[],4,FALSE))*Table4[[#This Row],[qty]]</f>
        <v>20</v>
      </c>
      <c r="G6335">
        <f t="shared" si="1082"/>
        <v>10</v>
      </c>
      <c r="H6335" t="s">
        <v>361</v>
      </c>
    </row>
    <row r="6336" spans="1:12" x14ac:dyDescent="0.25">
      <c r="A6336" s="1">
        <f t="shared" si="1079"/>
        <v>45587</v>
      </c>
      <c r="B6336" s="31">
        <f>TIME(20,2,0)</f>
        <v>0.83472222222222225</v>
      </c>
      <c r="C6336" t="str">
        <f>'Inventory as of 12th Aug 2024'!A92</f>
        <v>Banana</v>
      </c>
      <c r="D6336">
        <v>2</v>
      </c>
      <c r="E6336" s="5">
        <f>Table4[[#This Row],[qty]]*(VLOOKUP(Table4[[#This Row],[item_sold]],Table1[],5,FALSE))</f>
        <v>20</v>
      </c>
      <c r="F6336" s="5">
        <f>(VLOOKUP(Table4[[#This Row],[item_sold]],Table1[],4,FALSE))*Table4[[#This Row],[qty]]</f>
        <v>16.666666666666668</v>
      </c>
      <c r="G6336">
        <f t="shared" si="1082"/>
        <v>3.3333333333333321</v>
      </c>
      <c r="H6336" t="s">
        <v>402</v>
      </c>
    </row>
    <row r="6337" spans="1:8" x14ac:dyDescent="0.25">
      <c r="A6337" s="1">
        <f t="shared" si="1079"/>
        <v>45587</v>
      </c>
      <c r="B6337" s="31">
        <f>TIME(20,2,0)</f>
        <v>0.83472222222222225</v>
      </c>
      <c r="C6337" t="str">
        <f>'Inventory as of 12th Aug 2024'!A58</f>
        <v>Safari</v>
      </c>
      <c r="D6337">
        <v>2</v>
      </c>
      <c r="E6337" s="5">
        <f>Table4[[#This Row],[qty]]*(VLOOKUP(Table4[[#This Row],[item_sold]],Table1[],5,FALSE))</f>
        <v>30</v>
      </c>
      <c r="F6337" s="5">
        <f>(VLOOKUP(Table4[[#This Row],[item_sold]],Table1[],4,FALSE))*Table4[[#This Row],[qty]]</f>
        <v>17</v>
      </c>
      <c r="G6337">
        <f t="shared" si="1082"/>
        <v>13</v>
      </c>
      <c r="H6337" t="s">
        <v>402</v>
      </c>
    </row>
    <row r="6338" spans="1:8" x14ac:dyDescent="0.25">
      <c r="A6338" s="1">
        <f t="shared" si="1079"/>
        <v>45587</v>
      </c>
      <c r="B6338" s="31">
        <f t="shared" ref="B6338:B6339" si="1091">TIME(20,2,0)</f>
        <v>0.83472222222222225</v>
      </c>
      <c r="C6338" t="str">
        <f>'Inventory as of 12th Aug 2024'!A91</f>
        <v>Tomatoes</v>
      </c>
      <c r="D6338">
        <v>2</v>
      </c>
      <c r="E6338" s="5">
        <f>Table4[[#This Row],[qty]]*(VLOOKUP(Table4[[#This Row],[item_sold]],Table1[],5,FALSE))</f>
        <v>20</v>
      </c>
      <c r="F6338" s="5">
        <f>(VLOOKUP(Table4[[#This Row],[item_sold]],Table1[],4,FALSE))*Table4[[#This Row],[qty]]</f>
        <v>10</v>
      </c>
      <c r="G6338">
        <f t="shared" si="1082"/>
        <v>10</v>
      </c>
      <c r="H6338" t="s">
        <v>361</v>
      </c>
    </row>
    <row r="6339" spans="1:8" x14ac:dyDescent="0.25">
      <c r="A6339" s="1">
        <f t="shared" si="1079"/>
        <v>45587</v>
      </c>
      <c r="B6339" s="31">
        <f t="shared" si="1091"/>
        <v>0.83472222222222225</v>
      </c>
      <c r="C6339" t="str">
        <f>'Inventory as of 12th Aug 2024'!A17</f>
        <v>Brookside milk 500ml</v>
      </c>
      <c r="D6339">
        <v>1</v>
      </c>
      <c r="E6339" s="5">
        <f>Table4[[#This Row],[qty]]*(VLOOKUP(Table4[[#This Row],[item_sold]],Table1[],5,FALSE))</f>
        <v>70</v>
      </c>
      <c r="F6339" s="5">
        <f>(VLOOKUP(Table4[[#This Row],[item_sold]],Table1[],4,FALSE))*Table4[[#This Row],[qty]]</f>
        <v>59</v>
      </c>
      <c r="G6339">
        <f t="shared" si="1082"/>
        <v>11</v>
      </c>
      <c r="H6339" t="s">
        <v>361</v>
      </c>
    </row>
    <row r="6340" spans="1:8" x14ac:dyDescent="0.25">
      <c r="A6340" s="1">
        <f>DATE(2024,10,23)</f>
        <v>45588</v>
      </c>
      <c r="B6340" s="31">
        <f>TIME(7,20,0)</f>
        <v>0.30555555555555552</v>
      </c>
      <c r="C6340" t="str">
        <f>'Inventory as of 12th Aug 2024'!A37</f>
        <v>Festive Bread 400g</v>
      </c>
      <c r="D6340">
        <v>1</v>
      </c>
      <c r="E6340" s="5">
        <f>Table4[[#This Row],[qty]]*(VLOOKUP(Table4[[#This Row],[item_sold]],Table1[],5,FALSE))</f>
        <v>65</v>
      </c>
      <c r="F6340" s="5">
        <f>(VLOOKUP(Table4[[#This Row],[item_sold]],Table1[],4,FALSE))*Table4[[#This Row],[qty]]</f>
        <v>60</v>
      </c>
      <c r="G6340">
        <f t="shared" si="1082"/>
        <v>5</v>
      </c>
      <c r="H6340" t="s">
        <v>247</v>
      </c>
    </row>
    <row r="6341" spans="1:8" x14ac:dyDescent="0.25">
      <c r="A6341" s="1">
        <f t="shared" ref="A6341:A6398" si="1092">DATE(2024,10,23)</f>
        <v>45588</v>
      </c>
      <c r="B6341" s="31">
        <f t="shared" ref="B6341" si="1093">TIME(7,20,0)</f>
        <v>0.30555555555555552</v>
      </c>
      <c r="C6341" t="str">
        <f>'Inventory as of 12th Aug 2024'!A271</f>
        <v>Star Cream Bisquit</v>
      </c>
      <c r="D6341">
        <v>1</v>
      </c>
      <c r="E6341" s="5">
        <f>Table4[[#This Row],[qty]]*(VLOOKUP(Table4[[#This Row],[item_sold]],Table1[],5,FALSE))</f>
        <v>5</v>
      </c>
      <c r="F6341" s="5">
        <f>(VLOOKUP(Table4[[#This Row],[item_sold]],Table1[],4,FALSE))*Table4[[#This Row],[qty]]</f>
        <v>4.2333333333333334</v>
      </c>
      <c r="G6341">
        <f t="shared" si="1082"/>
        <v>0.76666666666666661</v>
      </c>
      <c r="H6341" t="s">
        <v>247</v>
      </c>
    </row>
    <row r="6342" spans="1:8" x14ac:dyDescent="0.25">
      <c r="A6342" s="1">
        <f t="shared" si="1092"/>
        <v>45588</v>
      </c>
      <c r="B6342" s="31">
        <f>TIME(7,23,0)</f>
        <v>0.30763888888888891</v>
      </c>
      <c r="C6342" t="str">
        <f>'Inventory as of 12th Aug 2024'!A58</f>
        <v>Safari</v>
      </c>
      <c r="D6342">
        <v>1</v>
      </c>
      <c r="E6342" s="5">
        <f>Table4[[#This Row],[qty]]*(VLOOKUP(Table4[[#This Row],[item_sold]],Table1[],5,FALSE))</f>
        <v>15</v>
      </c>
      <c r="F6342" s="5">
        <f>(VLOOKUP(Table4[[#This Row],[item_sold]],Table1[],4,FALSE))*Table4[[#This Row],[qty]]</f>
        <v>8.5</v>
      </c>
      <c r="G6342">
        <f t="shared" si="1082"/>
        <v>6.5</v>
      </c>
      <c r="H6342" t="s">
        <v>247</v>
      </c>
    </row>
    <row r="6343" spans="1:8" x14ac:dyDescent="0.25">
      <c r="A6343" s="1">
        <f t="shared" si="1092"/>
        <v>45588</v>
      </c>
      <c r="B6343" s="31">
        <f>TIME(7,34,0)</f>
        <v>0.31527777777777777</v>
      </c>
      <c r="C6343" t="str">
        <f>'Inventory as of 12th Aug 2024'!A7</f>
        <v>Airtel 50 Credit</v>
      </c>
      <c r="D6343">
        <v>1</v>
      </c>
      <c r="E6343" s="5">
        <f>Table4[[#This Row],[qty]]*(VLOOKUP(Table4[[#This Row],[item_sold]],Table1[],5,FALSE))</f>
        <v>50</v>
      </c>
      <c r="F6343" s="5">
        <f>(VLOOKUP(Table4[[#This Row],[item_sold]],Table1[],4,FALSE))*Table4[[#This Row],[qty]]</f>
        <v>47</v>
      </c>
      <c r="G6343">
        <f t="shared" si="1082"/>
        <v>3</v>
      </c>
      <c r="H6343" t="s">
        <v>247</v>
      </c>
    </row>
    <row r="6344" spans="1:8" x14ac:dyDescent="0.25">
      <c r="A6344" s="1">
        <f t="shared" si="1092"/>
        <v>45588</v>
      </c>
      <c r="B6344" s="31">
        <f t="shared" ref="B6344:B6346" si="1094">TIME(7,34,0)</f>
        <v>0.31527777777777777</v>
      </c>
      <c r="C6344" s="25"/>
      <c r="D6344">
        <v>1</v>
      </c>
      <c r="E6344" s="5" t="e">
        <f>Table4[[#This Row],[qty]]*(VLOOKUP(Table4[[#This Row],[item_sold]],Table1[],5,FALSE))</f>
        <v>#N/A</v>
      </c>
      <c r="F6344" s="5" t="e">
        <f>(VLOOKUP(Table4[[#This Row],[item_sold]],Table1[],4,FALSE))*Table4[[#This Row],[qty]]</f>
        <v>#N/A</v>
      </c>
      <c r="G6344" t="e">
        <f t="shared" si="1082"/>
        <v>#N/A</v>
      </c>
      <c r="H6344" t="s">
        <v>361</v>
      </c>
    </row>
    <row r="6345" spans="1:8" x14ac:dyDescent="0.25">
      <c r="A6345" s="1">
        <f t="shared" si="1092"/>
        <v>45588</v>
      </c>
      <c r="B6345" s="31">
        <f t="shared" si="1094"/>
        <v>0.31527777777777777</v>
      </c>
      <c r="C6345" t="str">
        <f>'Inventory as of 12th Aug 2024'!A9</f>
        <v>Kinangop Fresh Milk 500ml</v>
      </c>
      <c r="D6345">
        <v>1</v>
      </c>
      <c r="E6345" s="5">
        <f>Table4[[#This Row],[qty]]*(VLOOKUP(Table4[[#This Row],[item_sold]],Table1[],5,FALSE))</f>
        <v>60</v>
      </c>
      <c r="F6345" s="5">
        <f>(VLOOKUP(Table4[[#This Row],[item_sold]],Table1[],4,FALSE))*Table4[[#This Row],[qty]]</f>
        <v>55</v>
      </c>
      <c r="G6345">
        <f t="shared" si="1082"/>
        <v>5</v>
      </c>
      <c r="H6345" t="s">
        <v>361</v>
      </c>
    </row>
    <row r="6346" spans="1:8" x14ac:dyDescent="0.25">
      <c r="A6346" s="1">
        <f t="shared" si="1092"/>
        <v>45588</v>
      </c>
      <c r="B6346" s="31">
        <f t="shared" si="1094"/>
        <v>0.31527777777777777</v>
      </c>
      <c r="C6346" t="str">
        <f>'Inventory as of 12th Aug 2024'!A37</f>
        <v>Festive Bread 400g</v>
      </c>
      <c r="D6346">
        <v>1</v>
      </c>
      <c r="E6346" s="5">
        <f>Table4[[#This Row],[qty]]*(VLOOKUP(Table4[[#This Row],[item_sold]],Table1[],5,FALSE))</f>
        <v>65</v>
      </c>
      <c r="F6346" s="5">
        <f>(VLOOKUP(Table4[[#This Row],[item_sold]],Table1[],4,FALSE))*Table4[[#This Row],[qty]]</f>
        <v>60</v>
      </c>
      <c r="G6346">
        <f t="shared" si="1082"/>
        <v>5</v>
      </c>
      <c r="H6346" t="s">
        <v>361</v>
      </c>
    </row>
    <row r="6347" spans="1:8" x14ac:dyDescent="0.25">
      <c r="A6347" s="1">
        <f t="shared" si="1092"/>
        <v>45588</v>
      </c>
      <c r="B6347" s="31">
        <f>TIME(9,57,0)</f>
        <v>0.4145833333333333</v>
      </c>
      <c r="C6347" t="str">
        <f>'Inventory as of 12th Aug 2024'!A10</f>
        <v>Mt Kenya milk 200ml</v>
      </c>
      <c r="D6347">
        <v>1</v>
      </c>
      <c r="E6347" s="5">
        <f>Table4[[#This Row],[qty]]*(VLOOKUP(Table4[[#This Row],[item_sold]],Table1[],5,FALSE))</f>
        <v>35</v>
      </c>
      <c r="F6347" s="5">
        <f>(VLOOKUP(Table4[[#This Row],[item_sold]],Table1[],4,FALSE))*Table4[[#This Row],[qty]]</f>
        <v>24.285714285714285</v>
      </c>
      <c r="G6347">
        <f t="shared" si="1082"/>
        <v>10.714285714285715</v>
      </c>
      <c r="H6347" t="s">
        <v>361</v>
      </c>
    </row>
    <row r="6348" spans="1:8" x14ac:dyDescent="0.25">
      <c r="A6348" s="1">
        <f t="shared" si="1092"/>
        <v>45588</v>
      </c>
      <c r="B6348" s="31">
        <f t="shared" ref="B6348:B6349" si="1095">TIME(9,57,0)</f>
        <v>0.4145833333333333</v>
      </c>
      <c r="C6348" t="str">
        <f>'Inventory as of 12th Aug 2024'!A33</f>
        <v>BB Bread 400g</v>
      </c>
      <c r="D6348">
        <v>1</v>
      </c>
      <c r="E6348" s="5">
        <f>Table4[[#This Row],[qty]]*(VLOOKUP(Table4[[#This Row],[item_sold]],Table1[],5,FALSE))</f>
        <v>65</v>
      </c>
      <c r="F6348" s="5">
        <f>(VLOOKUP(Table4[[#This Row],[item_sold]],Table1[],4,FALSE))*Table4[[#This Row],[qty]]</f>
        <v>60</v>
      </c>
      <c r="G6348">
        <f t="shared" si="1082"/>
        <v>5</v>
      </c>
      <c r="H6348" t="s">
        <v>361</v>
      </c>
    </row>
    <row r="6349" spans="1:8" x14ac:dyDescent="0.25">
      <c r="A6349" s="1">
        <f t="shared" si="1092"/>
        <v>45588</v>
      </c>
      <c r="B6349" s="31">
        <f t="shared" si="1095"/>
        <v>0.4145833333333333</v>
      </c>
      <c r="C6349" t="str">
        <f>'Inventory as of 12th Aug 2024'!A57</f>
        <v>Sportsman</v>
      </c>
      <c r="D6349">
        <v>1</v>
      </c>
      <c r="E6349" s="5">
        <f>Table4[[#This Row],[qty]]*(VLOOKUP(Table4[[#This Row],[item_sold]],Table1[],5,FALSE))</f>
        <v>20</v>
      </c>
      <c r="F6349" s="5">
        <f>(VLOOKUP(Table4[[#This Row],[item_sold]],Table1[],4,FALSE))*Table4[[#This Row],[qty]]</f>
        <v>13</v>
      </c>
      <c r="G6349">
        <f t="shared" si="1082"/>
        <v>7</v>
      </c>
      <c r="H6349" t="s">
        <v>247</v>
      </c>
    </row>
    <row r="6350" spans="1:8" x14ac:dyDescent="0.25">
      <c r="A6350" s="1">
        <f t="shared" si="1092"/>
        <v>45588</v>
      </c>
      <c r="B6350" s="31">
        <f>TIME(10,2,0)</f>
        <v>0.41805555555555557</v>
      </c>
      <c r="C6350" t="str">
        <f>'Inventory as of 12th Aug 2024'!A17</f>
        <v>Brookside milk 500ml</v>
      </c>
      <c r="D6350">
        <v>1</v>
      </c>
      <c r="E6350" s="5">
        <f>Table4[[#This Row],[qty]]*(VLOOKUP(Table4[[#This Row],[item_sold]],Table1[],5,FALSE))</f>
        <v>70</v>
      </c>
      <c r="F6350" s="5">
        <f>(VLOOKUP(Table4[[#This Row],[item_sold]],Table1[],4,FALSE))*Table4[[#This Row],[qty]]</f>
        <v>59</v>
      </c>
      <c r="G6350">
        <f t="shared" si="1082"/>
        <v>11</v>
      </c>
      <c r="H6350" t="s">
        <v>361</v>
      </c>
    </row>
    <row r="6351" spans="1:8" x14ac:dyDescent="0.25">
      <c r="A6351" s="1">
        <f t="shared" si="1092"/>
        <v>45588</v>
      </c>
      <c r="B6351" s="31">
        <f t="shared" ref="B6351" si="1096">TIME(10,2,0)</f>
        <v>0.41805555555555557</v>
      </c>
      <c r="C6351" t="str">
        <f>'Inventory as of 12th Aug 2024'!A106</f>
        <v>Steel Wool 15g</v>
      </c>
      <c r="D6351">
        <v>1</v>
      </c>
      <c r="E6351" s="5">
        <f>Table4[[#This Row],[qty]]*(VLOOKUP(Table4[[#This Row],[item_sold]],Table1[],5,FALSE))</f>
        <v>10</v>
      </c>
      <c r="F6351" s="5">
        <f>(VLOOKUP(Table4[[#This Row],[item_sold]],Table1[],4,FALSE))*Table4[[#This Row],[qty]]</f>
        <v>5.2333333333333334</v>
      </c>
      <c r="G6351">
        <f t="shared" si="1082"/>
        <v>4.7666666666666666</v>
      </c>
      <c r="H6351" t="s">
        <v>361</v>
      </c>
    </row>
    <row r="6352" spans="1:8" x14ac:dyDescent="0.25">
      <c r="A6352" s="1">
        <f t="shared" si="1092"/>
        <v>45588</v>
      </c>
      <c r="B6352" s="31">
        <f>TIME(10,5,0)</f>
        <v>0.4201388888888889</v>
      </c>
      <c r="C6352" t="str">
        <f>'Inventory as of 12th Aug 2024'!A120</f>
        <v>Maramoja</v>
      </c>
      <c r="D6352">
        <v>1</v>
      </c>
      <c r="E6352" s="5">
        <f>Table4[[#This Row],[qty]]*(VLOOKUP(Table4[[#This Row],[item_sold]],Table1[],5,FALSE))</f>
        <v>10</v>
      </c>
      <c r="F6352" s="5">
        <f>(VLOOKUP(Table4[[#This Row],[item_sold]],Table1[],4,FALSE))*Table4[[#This Row],[qty]]</f>
        <v>7</v>
      </c>
      <c r="G6352">
        <f t="shared" si="1082"/>
        <v>3</v>
      </c>
      <c r="H6352" t="s">
        <v>361</v>
      </c>
    </row>
    <row r="6353" spans="1:12" x14ac:dyDescent="0.25">
      <c r="A6353" s="1">
        <f t="shared" si="1092"/>
        <v>45588</v>
      </c>
      <c r="B6353" s="31">
        <f t="shared" ref="B6353" si="1097">TIME(10,5,0)</f>
        <v>0.4201388888888889</v>
      </c>
      <c r="C6353" t="str">
        <f>'Inventory as of 12th Aug 2024'!A246</f>
        <v>300ml water</v>
      </c>
      <c r="D6353">
        <v>1</v>
      </c>
      <c r="E6353" s="5">
        <f>Table4[[#This Row],[qty]]*(VLOOKUP(Table4[[#This Row],[item_sold]],Table1[],5,FALSE))</f>
        <v>30</v>
      </c>
      <c r="F6353" s="5">
        <f>(VLOOKUP(Table4[[#This Row],[item_sold]],Table1[],4,FALSE))*Table4[[#This Row],[qty]]</f>
        <v>12.5</v>
      </c>
      <c r="G6353">
        <f t="shared" si="1082"/>
        <v>17.5</v>
      </c>
      <c r="H6353" t="s">
        <v>361</v>
      </c>
    </row>
    <row r="6354" spans="1:12" x14ac:dyDescent="0.25">
      <c r="A6354" s="1">
        <f t="shared" si="1092"/>
        <v>45588</v>
      </c>
      <c r="B6354" s="31">
        <f>TIME(10,8,0)</f>
        <v>0.42222222222222222</v>
      </c>
      <c r="C6354" t="str">
        <f>'Inventory as of 12th Aug 2024'!A2</f>
        <v>Safaricom 20 Credit</v>
      </c>
      <c r="D6354">
        <v>1</v>
      </c>
      <c r="E6354" s="5">
        <f>Table4[[#This Row],[qty]]*(VLOOKUP(Table4[[#This Row],[item_sold]],Table1[],5,FALSE))</f>
        <v>20</v>
      </c>
      <c r="F6354" s="5">
        <f>(VLOOKUP(Table4[[#This Row],[item_sold]],Table1[],4,FALSE))*Table4[[#This Row],[qty]]</f>
        <v>18</v>
      </c>
      <c r="G6354">
        <f t="shared" si="1082"/>
        <v>2</v>
      </c>
      <c r="H6354" t="s">
        <v>247</v>
      </c>
    </row>
    <row r="6355" spans="1:12" x14ac:dyDescent="0.25">
      <c r="A6355" s="1">
        <f t="shared" si="1092"/>
        <v>45588</v>
      </c>
      <c r="B6355" s="31">
        <f>TIME(10,24,0)</f>
        <v>0.43333333333333335</v>
      </c>
      <c r="C6355" t="str">
        <f>'Inventory as of 12th Aug 2024'!A271</f>
        <v>Star Cream Bisquit</v>
      </c>
      <c r="D6355">
        <v>2</v>
      </c>
      <c r="E6355" s="5">
        <f>Table4[[#This Row],[qty]]*(VLOOKUP(Table4[[#This Row],[item_sold]],Table1[],5,FALSE))</f>
        <v>10</v>
      </c>
      <c r="F6355" s="5">
        <f>(VLOOKUP(Table4[[#This Row],[item_sold]],Table1[],4,FALSE))*Table4[[#This Row],[qty]]</f>
        <v>8.4666666666666668</v>
      </c>
      <c r="G6355">
        <f t="shared" si="1082"/>
        <v>1.5333333333333332</v>
      </c>
      <c r="H6355" t="s">
        <v>247</v>
      </c>
    </row>
    <row r="6356" spans="1:12" x14ac:dyDescent="0.25">
      <c r="A6356" s="1">
        <f t="shared" si="1092"/>
        <v>45588</v>
      </c>
      <c r="B6356" s="31">
        <f>TIME(10,29,0)</f>
        <v>0.4368055555555555</v>
      </c>
      <c r="C6356" t="str">
        <f>'Inventory as of 12th Aug 2024'!A205</f>
        <v xml:space="preserve"> soda 1.25lts</v>
      </c>
      <c r="D6356">
        <v>1</v>
      </c>
      <c r="E6356" s="5">
        <f>Table4[[#This Row],[qty]]*(VLOOKUP(Table4[[#This Row],[item_sold]],Table1[],5,FALSE))</f>
        <v>130</v>
      </c>
      <c r="F6356" s="5">
        <f>(VLOOKUP(Table4[[#This Row],[item_sold]],Table1[],4,FALSE))*Table4[[#This Row],[qty]]</f>
        <v>112.5</v>
      </c>
      <c r="G6356">
        <f t="shared" ref="G6356:G6419" si="1098">E6356-F6356</f>
        <v>17.5</v>
      </c>
      <c r="H6356" t="s">
        <v>247</v>
      </c>
    </row>
    <row r="6357" spans="1:12" x14ac:dyDescent="0.25">
      <c r="A6357" s="1">
        <f t="shared" si="1092"/>
        <v>45588</v>
      </c>
      <c r="B6357" s="31">
        <f>TIME(10,59,0)</f>
        <v>0.45763888888888887</v>
      </c>
      <c r="C6357" t="str">
        <f>'Inventory as of 12th Aug 2024'!A58</f>
        <v>Safari</v>
      </c>
      <c r="D6357">
        <v>2</v>
      </c>
      <c r="E6357" s="5">
        <f>Table4[[#This Row],[qty]]*(VLOOKUP(Table4[[#This Row],[item_sold]],Table1[],5,FALSE))</f>
        <v>30</v>
      </c>
      <c r="F6357" s="5">
        <f>(VLOOKUP(Table4[[#This Row],[item_sold]],Table1[],4,FALSE))*Table4[[#This Row],[qty]]</f>
        <v>17</v>
      </c>
      <c r="G6357">
        <f t="shared" si="1098"/>
        <v>13</v>
      </c>
      <c r="H6357" t="s">
        <v>361</v>
      </c>
    </row>
    <row r="6358" spans="1:12" x14ac:dyDescent="0.25">
      <c r="A6358" s="1">
        <f t="shared" si="1092"/>
        <v>45588</v>
      </c>
      <c r="B6358" s="31">
        <f>TIME(11,34,0)</f>
        <v>0.48194444444444445</v>
      </c>
      <c r="C6358" t="str">
        <f>'Inventory as of 12th Aug 2024'!A213</f>
        <v>soda 500ml glass</v>
      </c>
      <c r="D6358">
        <v>1</v>
      </c>
      <c r="E6358" s="5">
        <f>Table4[[#This Row],[qty]]*(VLOOKUP(Table4[[#This Row],[item_sold]],Table1[],5,FALSE))</f>
        <v>55</v>
      </c>
      <c r="F6358" s="5">
        <f>(VLOOKUP(Table4[[#This Row],[item_sold]],Table1[],4,FALSE))*Table4[[#This Row],[qty]]</f>
        <v>50</v>
      </c>
      <c r="G6358">
        <f t="shared" si="1098"/>
        <v>5</v>
      </c>
      <c r="H6358" t="s">
        <v>247</v>
      </c>
    </row>
    <row r="6359" spans="1:12" x14ac:dyDescent="0.25">
      <c r="A6359" s="1">
        <f t="shared" si="1092"/>
        <v>45588</v>
      </c>
      <c r="B6359" s="31">
        <f>TIME(11,34,0)</f>
        <v>0.48194444444444445</v>
      </c>
      <c r="C6359" t="str">
        <f>'Inventory as of 12th Aug 2024'!A200</f>
        <v>Ngumu</v>
      </c>
      <c r="D6359">
        <v>3</v>
      </c>
      <c r="E6359" s="5">
        <f>Table4[[#This Row],[qty]]*(VLOOKUP(Table4[[#This Row],[item_sold]],Table1[],5,FALSE))</f>
        <v>30</v>
      </c>
      <c r="F6359" s="5">
        <f>(VLOOKUP(Table4[[#This Row],[item_sold]],Table1[],4,FALSE))*Table4[[#This Row],[qty]]</f>
        <v>25</v>
      </c>
      <c r="G6359">
        <f t="shared" si="1098"/>
        <v>5</v>
      </c>
      <c r="H6359" t="s">
        <v>247</v>
      </c>
      <c r="J6359" t="s">
        <v>419</v>
      </c>
      <c r="K6359">
        <v>15</v>
      </c>
      <c r="L6359" t="s">
        <v>247</v>
      </c>
    </row>
    <row r="6360" spans="1:12" x14ac:dyDescent="0.25">
      <c r="A6360" s="1">
        <f t="shared" si="1092"/>
        <v>45588</v>
      </c>
      <c r="B6360" s="31">
        <f t="shared" ref="B6360:B6361" si="1099">TIME(11,34,0)</f>
        <v>0.48194444444444445</v>
      </c>
      <c r="C6360" t="str">
        <f>'Inventory as of 12th Aug 2024'!A62</f>
        <v>kensalt 1kg</v>
      </c>
      <c r="D6360">
        <v>1</v>
      </c>
      <c r="E6360" s="5">
        <f>Table4[[#This Row],[qty]]*(VLOOKUP(Table4[[#This Row],[item_sold]],Table1[],5,FALSE))</f>
        <v>50</v>
      </c>
      <c r="F6360" s="5">
        <f>(VLOOKUP(Table4[[#This Row],[item_sold]],Table1[],4,FALSE))*Table4[[#This Row],[qty]]</f>
        <v>35</v>
      </c>
      <c r="G6360">
        <f t="shared" si="1098"/>
        <v>15</v>
      </c>
      <c r="H6360" t="s">
        <v>430</v>
      </c>
      <c r="I6360" t="s">
        <v>456</v>
      </c>
    </row>
    <row r="6361" spans="1:12" x14ac:dyDescent="0.25">
      <c r="A6361" s="1">
        <f t="shared" si="1092"/>
        <v>45588</v>
      </c>
      <c r="B6361" s="31">
        <f t="shared" si="1099"/>
        <v>0.48194444444444445</v>
      </c>
      <c r="C6361" t="str">
        <f>'Inventory as of 12th Aug 2024'!A107</f>
        <v>Match Box</v>
      </c>
      <c r="D6361">
        <v>1</v>
      </c>
      <c r="E6361" s="5">
        <f>Table4[[#This Row],[qty]]*(VLOOKUP(Table4[[#This Row],[item_sold]],Table1[],5,FALSE))</f>
        <v>5</v>
      </c>
      <c r="F6361" s="5">
        <f>(VLOOKUP(Table4[[#This Row],[item_sold]],Table1[],4,FALSE))*Table4[[#This Row],[qty]]</f>
        <v>2.3611111111111112</v>
      </c>
      <c r="G6361">
        <f t="shared" si="1098"/>
        <v>2.6388888888888888</v>
      </c>
      <c r="H6361" t="s">
        <v>430</v>
      </c>
      <c r="I6361" t="s">
        <v>456</v>
      </c>
    </row>
    <row r="6362" spans="1:12" x14ac:dyDescent="0.25">
      <c r="A6362" s="1">
        <f t="shared" si="1092"/>
        <v>45588</v>
      </c>
      <c r="B6362" s="31">
        <f>TIME(12,27,0)</f>
        <v>0.51874999999999993</v>
      </c>
      <c r="C6362" t="str">
        <f>'Inventory as of 12th Aug 2024'!A266</f>
        <v>Zenta Bar Soap</v>
      </c>
      <c r="D6362">
        <v>0.2</v>
      </c>
      <c r="E6362" s="5">
        <f>Table4[[#This Row],[qty]]*(VLOOKUP(Table4[[#This Row],[item_sold]],Table1[],5,FALSE))</f>
        <v>50</v>
      </c>
      <c r="F6362" s="5">
        <f>(VLOOKUP(Table4[[#This Row],[item_sold]],Table1[],4,FALSE))*Table4[[#This Row],[qty]]</f>
        <v>32</v>
      </c>
      <c r="G6362">
        <f t="shared" si="1098"/>
        <v>18</v>
      </c>
      <c r="H6362" t="s">
        <v>247</v>
      </c>
    </row>
    <row r="6363" spans="1:12" x14ac:dyDescent="0.25">
      <c r="A6363" s="1">
        <f t="shared" si="1092"/>
        <v>45588</v>
      </c>
      <c r="B6363" s="31">
        <f t="shared" ref="B6363" si="1100">TIME(12,27,0)</f>
        <v>0.51874999999999993</v>
      </c>
      <c r="C6363" t="str">
        <f>'Inventory as of 12th Aug 2024'!A6</f>
        <v>Airtel 10 Credit</v>
      </c>
      <c r="D6363">
        <v>1</v>
      </c>
      <c r="E6363" s="5">
        <f>Table4[[#This Row],[qty]]*(VLOOKUP(Table4[[#This Row],[item_sold]],Table1[],5,FALSE))</f>
        <v>10</v>
      </c>
      <c r="F6363" s="5">
        <f>(VLOOKUP(Table4[[#This Row],[item_sold]],Table1[],4,FALSE))*Table4[[#This Row],[qty]]</f>
        <v>9</v>
      </c>
      <c r="G6363">
        <f t="shared" si="1098"/>
        <v>1</v>
      </c>
      <c r="H6363" t="s">
        <v>247</v>
      </c>
    </row>
    <row r="6364" spans="1:12" x14ac:dyDescent="0.25">
      <c r="A6364" s="1">
        <f t="shared" si="1092"/>
        <v>45588</v>
      </c>
      <c r="B6364" s="31">
        <f>TIME(12,36,0)</f>
        <v>0.52500000000000002</v>
      </c>
      <c r="C6364" t="str">
        <f>'Inventory as of 12th Aug 2024'!A4</f>
        <v>Safaricom 50 Credit</v>
      </c>
      <c r="D6364">
        <v>2</v>
      </c>
      <c r="E6364" s="5">
        <f>Table4[[#This Row],[qty]]*(VLOOKUP(Table4[[#This Row],[item_sold]],Table1[],5,FALSE))</f>
        <v>100</v>
      </c>
      <c r="F6364" s="5">
        <f>(VLOOKUP(Table4[[#This Row],[item_sold]],Table1[],4,FALSE))*Table4[[#This Row],[qty]]</f>
        <v>94</v>
      </c>
      <c r="G6364">
        <f t="shared" si="1098"/>
        <v>6</v>
      </c>
      <c r="H6364" t="s">
        <v>247</v>
      </c>
    </row>
    <row r="6365" spans="1:12" x14ac:dyDescent="0.25">
      <c r="A6365" s="1">
        <f t="shared" si="1092"/>
        <v>45588</v>
      </c>
      <c r="B6365" s="31">
        <f t="shared" ref="B6365:B6366" si="1101">TIME(12,36,0)</f>
        <v>0.52500000000000002</v>
      </c>
      <c r="C6365" t="str">
        <f>'Inventory as of 12th Aug 2024'!A233</f>
        <v>Lollipop</v>
      </c>
      <c r="D6365">
        <v>2</v>
      </c>
      <c r="E6365" s="5">
        <f>Table4[[#This Row],[qty]]*(VLOOKUP(Table4[[#This Row],[item_sold]],Table1[],5,FALSE))</f>
        <v>10</v>
      </c>
      <c r="F6365" s="5">
        <f>(VLOOKUP(Table4[[#This Row],[item_sold]],Table1[],4,FALSE))*Table4[[#This Row],[qty]]</f>
        <v>4.8</v>
      </c>
      <c r="G6365">
        <f t="shared" si="1098"/>
        <v>5.2</v>
      </c>
      <c r="H6365" t="s">
        <v>247</v>
      </c>
    </row>
    <row r="6366" spans="1:12" x14ac:dyDescent="0.25">
      <c r="A6366" s="1">
        <f t="shared" si="1092"/>
        <v>45588</v>
      </c>
      <c r="B6366" s="31">
        <f t="shared" si="1101"/>
        <v>0.52500000000000002</v>
      </c>
      <c r="C6366" t="str">
        <f>'Inventory as of 12th Aug 2024'!A235</f>
        <v>Cough drops</v>
      </c>
      <c r="D6366">
        <v>2</v>
      </c>
      <c r="E6366" s="5">
        <f>Table4[[#This Row],[qty]]*(VLOOKUP(Table4[[#This Row],[item_sold]],Table1[],5,FALSE))</f>
        <v>10</v>
      </c>
      <c r="F6366" s="5">
        <f>(VLOOKUP(Table4[[#This Row],[item_sold]],Table1[],4,FALSE))*Table4[[#This Row],[qty]]</f>
        <v>8</v>
      </c>
      <c r="G6366">
        <f t="shared" si="1098"/>
        <v>2</v>
      </c>
      <c r="H6366" t="s">
        <v>247</v>
      </c>
    </row>
    <row r="6367" spans="1:12" x14ac:dyDescent="0.25">
      <c r="A6367" s="1">
        <f t="shared" si="1092"/>
        <v>45588</v>
      </c>
      <c r="B6367" s="31">
        <f>TIME(13,41,0)</f>
        <v>0.57013888888888886</v>
      </c>
      <c r="C6367" t="str">
        <f>'Inventory as of 12th Aug 2024'!A84</f>
        <v>omo 20g</v>
      </c>
      <c r="D6367">
        <v>1</v>
      </c>
      <c r="E6367" s="5">
        <f>Table4[[#This Row],[qty]]*(VLOOKUP(Table4[[#This Row],[item_sold]],Table1[],5,FALSE))</f>
        <v>15</v>
      </c>
      <c r="F6367" s="5">
        <f>(VLOOKUP(Table4[[#This Row],[item_sold]],Table1[],4,FALSE))*Table4[[#This Row],[qty]]</f>
        <v>9.1666666666666661</v>
      </c>
      <c r="G6367">
        <f t="shared" si="1098"/>
        <v>5.8333333333333339</v>
      </c>
      <c r="H6367" t="s">
        <v>430</v>
      </c>
      <c r="I6367" t="s">
        <v>419</v>
      </c>
    </row>
    <row r="6368" spans="1:12" x14ac:dyDescent="0.25">
      <c r="A6368" s="1">
        <f t="shared" si="1092"/>
        <v>45588</v>
      </c>
      <c r="B6368" s="31">
        <f>TIME(13,41,0)</f>
        <v>0.57013888888888886</v>
      </c>
      <c r="C6368" t="str">
        <f>'Inventory as of 12th Aug 2024'!A266</f>
        <v>Zenta Bar Soap</v>
      </c>
      <c r="D6368">
        <v>1</v>
      </c>
      <c r="E6368" s="5">
        <f>Table4[[#This Row],[qty]]*(VLOOKUP(Table4[[#This Row],[item_sold]],Table1[],5,FALSE))</f>
        <v>250</v>
      </c>
      <c r="F6368" s="5">
        <f>(VLOOKUP(Table4[[#This Row],[item_sold]],Table1[],4,FALSE))*Table4[[#This Row],[qty]]</f>
        <v>160</v>
      </c>
      <c r="G6368">
        <f t="shared" si="1098"/>
        <v>90</v>
      </c>
      <c r="H6368" t="s">
        <v>430</v>
      </c>
      <c r="I6368" t="s">
        <v>419</v>
      </c>
    </row>
    <row r="6369" spans="1:8" x14ac:dyDescent="0.25">
      <c r="A6369" s="1">
        <f t="shared" si="1092"/>
        <v>45588</v>
      </c>
      <c r="B6369" s="31">
        <f>TIME(13,47,0)</f>
        <v>0.57430555555555551</v>
      </c>
      <c r="C6369" t="str">
        <f>'Inventory as of 12th Aug 2024'!A92</f>
        <v>Banana</v>
      </c>
      <c r="D6369">
        <v>1</v>
      </c>
      <c r="E6369" s="5">
        <f>Table4[[#This Row],[qty]]*(VLOOKUP(Table4[[#This Row],[item_sold]],Table1[],5,FALSE))</f>
        <v>10</v>
      </c>
      <c r="F6369" s="5">
        <f>(VLOOKUP(Table4[[#This Row],[item_sold]],Table1[],4,FALSE))*Table4[[#This Row],[qty]]</f>
        <v>8.3333333333333339</v>
      </c>
      <c r="G6369">
        <f t="shared" si="1098"/>
        <v>1.6666666666666661</v>
      </c>
      <c r="H6369" t="s">
        <v>361</v>
      </c>
    </row>
    <row r="6370" spans="1:8" x14ac:dyDescent="0.25">
      <c r="A6370" s="1">
        <f t="shared" si="1092"/>
        <v>45588</v>
      </c>
      <c r="B6370" s="31">
        <f t="shared" ref="B6370:B6371" si="1102">TIME(13,47,0)</f>
        <v>0.57430555555555551</v>
      </c>
      <c r="C6370" t="str">
        <f>'Inventory as of 12th Aug 2024'!A199</f>
        <v>Kdf</v>
      </c>
      <c r="D6370">
        <v>2</v>
      </c>
      <c r="E6370" s="5">
        <f>Table4[[#This Row],[qty]]*(VLOOKUP(Table4[[#This Row],[item_sold]],Table1[],5,FALSE))</f>
        <v>20</v>
      </c>
      <c r="F6370" s="5">
        <f>(VLOOKUP(Table4[[#This Row],[item_sold]],Table1[],4,FALSE))*Table4[[#This Row],[qty]]</f>
        <v>16.666666666666668</v>
      </c>
      <c r="G6370">
        <f t="shared" si="1098"/>
        <v>3.3333333333333321</v>
      </c>
      <c r="H6370" t="s">
        <v>361</v>
      </c>
    </row>
    <row r="6371" spans="1:8" x14ac:dyDescent="0.25">
      <c r="A6371" s="1">
        <f t="shared" si="1092"/>
        <v>45588</v>
      </c>
      <c r="B6371" s="31">
        <f t="shared" si="1102"/>
        <v>0.57430555555555551</v>
      </c>
      <c r="C6371" t="str">
        <f>'Inventory as of 12th Aug 2024'!A200</f>
        <v>Ngumu</v>
      </c>
      <c r="D6371">
        <v>1</v>
      </c>
      <c r="E6371" s="5">
        <f>Table4[[#This Row],[qty]]*(VLOOKUP(Table4[[#This Row],[item_sold]],Table1[],5,FALSE))</f>
        <v>10</v>
      </c>
      <c r="F6371" s="5">
        <f>(VLOOKUP(Table4[[#This Row],[item_sold]],Table1[],4,FALSE))*Table4[[#This Row],[qty]]</f>
        <v>8.3333333333333339</v>
      </c>
      <c r="G6371">
        <f t="shared" si="1098"/>
        <v>1.6666666666666661</v>
      </c>
      <c r="H6371" t="s">
        <v>361</v>
      </c>
    </row>
    <row r="6372" spans="1:8" x14ac:dyDescent="0.25">
      <c r="A6372" s="1">
        <f t="shared" si="1092"/>
        <v>45588</v>
      </c>
      <c r="B6372" s="31">
        <f>TIME(14,36,0)</f>
        <v>0.60833333333333328</v>
      </c>
      <c r="C6372" t="str">
        <f>'Inventory as of 12th Aug 2024'!A8</f>
        <v>eggs</v>
      </c>
      <c r="D6372">
        <v>5</v>
      </c>
      <c r="E6372" s="5">
        <f>Table4[[#This Row],[qty]]*(VLOOKUP(Table4[[#This Row],[item_sold]],Table1[],5,FALSE))</f>
        <v>100</v>
      </c>
      <c r="F6372" s="5">
        <f>(VLOOKUP(Table4[[#This Row],[item_sold]],Table1[],4,FALSE))*Table4[[#This Row],[qty]]</f>
        <v>71.666666666666671</v>
      </c>
      <c r="G6372">
        <f t="shared" si="1098"/>
        <v>28.333333333333329</v>
      </c>
      <c r="H6372" t="s">
        <v>247</v>
      </c>
    </row>
    <row r="6373" spans="1:8" x14ac:dyDescent="0.25">
      <c r="A6373" s="1">
        <f t="shared" si="1092"/>
        <v>45588</v>
      </c>
      <c r="B6373" s="31">
        <f t="shared" ref="B6373" si="1103">TIME(14,36,0)</f>
        <v>0.60833333333333328</v>
      </c>
      <c r="C6373" t="str">
        <f>'Inventory as of 12th Aug 2024'!A266</f>
        <v>Zenta Bar Soap</v>
      </c>
      <c r="D6373">
        <v>0.2</v>
      </c>
      <c r="E6373" s="5">
        <f>Table4[[#This Row],[qty]]*(VLOOKUP(Table4[[#This Row],[item_sold]],Table1[],5,FALSE))</f>
        <v>50</v>
      </c>
      <c r="F6373" s="5">
        <f>(VLOOKUP(Table4[[#This Row],[item_sold]],Table1[],4,FALSE))*Table4[[#This Row],[qty]]</f>
        <v>32</v>
      </c>
      <c r="G6373">
        <f t="shared" si="1098"/>
        <v>18</v>
      </c>
      <c r="H6373" t="s">
        <v>247</v>
      </c>
    </row>
    <row r="6374" spans="1:8" x14ac:dyDescent="0.25">
      <c r="A6374" s="1">
        <f t="shared" si="1092"/>
        <v>45588</v>
      </c>
      <c r="B6374" s="31">
        <f>TIME(15,10,0)</f>
        <v>0.63194444444444442</v>
      </c>
      <c r="C6374" t="str">
        <f>'Inventory as of 12th Aug 2024'!A8</f>
        <v>eggs</v>
      </c>
      <c r="D6374">
        <v>4</v>
      </c>
      <c r="E6374" s="5">
        <f>Table4[[#This Row],[qty]]*(VLOOKUP(Table4[[#This Row],[item_sold]],Table1[],5,FALSE))</f>
        <v>80</v>
      </c>
      <c r="F6374" s="5">
        <f>(VLOOKUP(Table4[[#This Row],[item_sold]],Table1[],4,FALSE))*Table4[[#This Row],[qty]]</f>
        <v>57.333333333333336</v>
      </c>
      <c r="G6374">
        <f t="shared" si="1098"/>
        <v>22.666666666666664</v>
      </c>
      <c r="H6374" t="s">
        <v>361</v>
      </c>
    </row>
    <row r="6375" spans="1:8" x14ac:dyDescent="0.25">
      <c r="A6375" s="1">
        <f t="shared" si="1092"/>
        <v>45588</v>
      </c>
      <c r="B6375" s="31">
        <f t="shared" ref="B6375:B6376" si="1104">TIME(15,10,0)</f>
        <v>0.63194444444444442</v>
      </c>
      <c r="C6375" t="str">
        <f>'Inventory as of 12th Aug 2024'!A16</f>
        <v>Mt kenya milk 500ml</v>
      </c>
      <c r="D6375">
        <v>2</v>
      </c>
      <c r="E6375" s="5">
        <f>Table4[[#This Row],[qty]]*(VLOOKUP(Table4[[#This Row],[item_sold]],Table1[],5,FALSE))</f>
        <v>130</v>
      </c>
      <c r="F6375" s="5">
        <f>(VLOOKUP(Table4[[#This Row],[item_sold]],Table1[],4,FALSE))*Table4[[#This Row],[qty]]</f>
        <v>96.666666666666671</v>
      </c>
      <c r="G6375">
        <f t="shared" si="1098"/>
        <v>33.333333333333329</v>
      </c>
      <c r="H6375" t="s">
        <v>361</v>
      </c>
    </row>
    <row r="6376" spans="1:8" x14ac:dyDescent="0.25">
      <c r="A6376" s="1">
        <f t="shared" si="1092"/>
        <v>45588</v>
      </c>
      <c r="B6376" s="31">
        <f t="shared" si="1104"/>
        <v>0.63194444444444442</v>
      </c>
      <c r="C6376" t="str">
        <f>'Inventory as of 12th Aug 2024'!A248</f>
        <v>Soko Maize meal</v>
      </c>
      <c r="D6376">
        <v>1</v>
      </c>
      <c r="E6376" s="5">
        <f>Table4[[#This Row],[qty]]*(VLOOKUP(Table4[[#This Row],[item_sold]],Table1[],5,FALSE))</f>
        <v>160</v>
      </c>
      <c r="F6376" s="5">
        <f>(VLOOKUP(Table4[[#This Row],[item_sold]],Table1[],4,FALSE))*Table4[[#This Row],[qty]]</f>
        <v>125</v>
      </c>
      <c r="G6376">
        <f t="shared" si="1098"/>
        <v>35</v>
      </c>
      <c r="H6376" t="s">
        <v>361</v>
      </c>
    </row>
    <row r="6377" spans="1:8" x14ac:dyDescent="0.25">
      <c r="A6377" s="1">
        <f t="shared" si="1092"/>
        <v>45588</v>
      </c>
      <c r="B6377" s="31">
        <f>TIME(16,3,0)</f>
        <v>0.66875000000000007</v>
      </c>
      <c r="C6377" t="str">
        <f>'Inventory as of 12th Aug 2024'!A60</f>
        <v>kensalt 200g</v>
      </c>
      <c r="D6377">
        <v>1</v>
      </c>
      <c r="E6377" s="5">
        <f>Table4[[#This Row],[qty]]*(VLOOKUP(Table4[[#This Row],[item_sold]],Table1[],5,FALSE))</f>
        <v>15</v>
      </c>
      <c r="F6377" s="5">
        <f>(VLOOKUP(Table4[[#This Row],[item_sold]],Table1[],4,FALSE))*Table4[[#This Row],[qty]]</f>
        <v>5.5</v>
      </c>
      <c r="G6377">
        <f t="shared" si="1098"/>
        <v>9.5</v>
      </c>
      <c r="H6377" t="s">
        <v>247</v>
      </c>
    </row>
    <row r="6378" spans="1:8" x14ac:dyDescent="0.25">
      <c r="A6378" s="1">
        <f t="shared" si="1092"/>
        <v>45588</v>
      </c>
      <c r="B6378" s="31">
        <f t="shared" ref="B6378" si="1105">TIME(16,3,0)</f>
        <v>0.66875000000000007</v>
      </c>
      <c r="C6378" t="str">
        <f>'Inventory as of 12th Aug 2024'!A58</f>
        <v>Safari</v>
      </c>
      <c r="D6378">
        <v>1</v>
      </c>
      <c r="E6378" s="5">
        <f>Table4[[#This Row],[qty]]*(VLOOKUP(Table4[[#This Row],[item_sold]],Table1[],5,FALSE))</f>
        <v>15</v>
      </c>
      <c r="F6378" s="5">
        <f>(VLOOKUP(Table4[[#This Row],[item_sold]],Table1[],4,FALSE))*Table4[[#This Row],[qty]]</f>
        <v>8.5</v>
      </c>
      <c r="G6378">
        <f t="shared" si="1098"/>
        <v>6.5</v>
      </c>
      <c r="H6378" t="s">
        <v>247</v>
      </c>
    </row>
    <row r="6379" spans="1:8" x14ac:dyDescent="0.25">
      <c r="A6379" s="1">
        <f t="shared" si="1092"/>
        <v>45588</v>
      </c>
      <c r="B6379" s="31">
        <f>TIME(16,16,0)</f>
        <v>0.6777777777777777</v>
      </c>
      <c r="C6379" t="str">
        <f>'Inventory as of 12th Aug 2024'!A41</f>
        <v>Indomie beef</v>
      </c>
      <c r="D6379">
        <v>1</v>
      </c>
      <c r="E6379" s="5">
        <f>Table4[[#This Row],[qty]]*(VLOOKUP(Table4[[#This Row],[item_sold]],Table1[],5,FALSE))</f>
        <v>50</v>
      </c>
      <c r="F6379" s="5">
        <f>(VLOOKUP(Table4[[#This Row],[item_sold]],Table1[],4,FALSE))*Table4[[#This Row],[qty]]</f>
        <v>38</v>
      </c>
      <c r="G6379">
        <f t="shared" si="1098"/>
        <v>12</v>
      </c>
      <c r="H6379" t="s">
        <v>247</v>
      </c>
    </row>
    <row r="6380" spans="1:8" x14ac:dyDescent="0.25">
      <c r="A6380" s="1">
        <f t="shared" si="1092"/>
        <v>45588</v>
      </c>
      <c r="B6380" s="31">
        <f>TIME(16,32,0)</f>
        <v>0.68888888888888899</v>
      </c>
      <c r="C6380" t="str">
        <f>'Inventory as of 12th Aug 2024'!A6</f>
        <v>Airtel 10 Credit</v>
      </c>
      <c r="D6380">
        <v>1</v>
      </c>
      <c r="E6380" s="5">
        <f>Table4[[#This Row],[qty]]*(VLOOKUP(Table4[[#This Row],[item_sold]],Table1[],5,FALSE))</f>
        <v>10</v>
      </c>
      <c r="F6380" s="5">
        <f>(VLOOKUP(Table4[[#This Row],[item_sold]],Table1[],4,FALSE))*Table4[[#This Row],[qty]]</f>
        <v>9</v>
      </c>
      <c r="G6380">
        <f>E6380-F6380</f>
        <v>1</v>
      </c>
      <c r="H6380" t="s">
        <v>402</v>
      </c>
    </row>
    <row r="6381" spans="1:8" x14ac:dyDescent="0.25">
      <c r="A6381" s="1">
        <f t="shared" si="1092"/>
        <v>45588</v>
      </c>
      <c r="B6381" s="31">
        <f>TIME(17,36,0)</f>
        <v>0.73333333333333339</v>
      </c>
      <c r="C6381" t="str">
        <f>'Inventory as of 12th Aug 2024'!A58</f>
        <v>Safari</v>
      </c>
      <c r="D6381">
        <v>6</v>
      </c>
      <c r="E6381" s="5">
        <f>Table4[[#This Row],[qty]]*(VLOOKUP(Table4[[#This Row],[item_sold]],Table1[],5,FALSE))</f>
        <v>90</v>
      </c>
      <c r="F6381" s="5">
        <f>(VLOOKUP(Table4[[#This Row],[item_sold]],Table1[],4,FALSE))*Table4[[#This Row],[qty]]</f>
        <v>51</v>
      </c>
      <c r="G6381">
        <f>E6381-F6381</f>
        <v>39</v>
      </c>
      <c r="H6381" t="s">
        <v>361</v>
      </c>
    </row>
    <row r="6382" spans="1:8" x14ac:dyDescent="0.25">
      <c r="A6382" s="1">
        <f t="shared" si="1092"/>
        <v>45588</v>
      </c>
      <c r="B6382" s="31">
        <f t="shared" ref="B6382" si="1106">TIME(17,36,0)</f>
        <v>0.73333333333333339</v>
      </c>
      <c r="C6382" t="str">
        <f>'Inventory as of 12th Aug 2024'!A107</f>
        <v>Match Box</v>
      </c>
      <c r="D6382">
        <v>1</v>
      </c>
      <c r="E6382" s="5">
        <f>Table4[[#This Row],[qty]]*(VLOOKUP(Table4[[#This Row],[item_sold]],Table1[],5,FALSE))</f>
        <v>5</v>
      </c>
      <c r="F6382" s="5">
        <f>(VLOOKUP(Table4[[#This Row],[item_sold]],Table1[],4,FALSE))*Table4[[#This Row],[qty]]</f>
        <v>2.3611111111111112</v>
      </c>
      <c r="G6382">
        <f t="shared" si="1098"/>
        <v>2.6388888888888888</v>
      </c>
      <c r="H6382" t="s">
        <v>361</v>
      </c>
    </row>
    <row r="6383" spans="1:8" x14ac:dyDescent="0.25">
      <c r="A6383" s="1">
        <f t="shared" si="1092"/>
        <v>45588</v>
      </c>
      <c r="B6383" s="31">
        <f>TIME(18,6,0)</f>
        <v>0.75416666666666676</v>
      </c>
      <c r="C6383" t="str">
        <f>'Inventory as of 12th Aug 2024'!A58</f>
        <v>Safari</v>
      </c>
      <c r="D6383">
        <v>1</v>
      </c>
      <c r="E6383" s="5">
        <f>Table4[[#This Row],[qty]]*(VLOOKUP(Table4[[#This Row],[item_sold]],Table1[],5,FALSE))</f>
        <v>15</v>
      </c>
      <c r="F6383" s="5">
        <f>(VLOOKUP(Table4[[#This Row],[item_sold]],Table1[],4,FALSE))*Table4[[#This Row],[qty]]</f>
        <v>8.5</v>
      </c>
      <c r="G6383">
        <f t="shared" si="1098"/>
        <v>6.5</v>
      </c>
      <c r="H6383" t="s">
        <v>402</v>
      </c>
    </row>
    <row r="6384" spans="1:8" x14ac:dyDescent="0.25">
      <c r="A6384" s="1">
        <f t="shared" si="1092"/>
        <v>45588</v>
      </c>
      <c r="B6384" s="31">
        <f t="shared" ref="B6384:B6385" si="1107">TIME(18,6,0)</f>
        <v>0.75416666666666676</v>
      </c>
      <c r="C6384" t="str">
        <f>'Inventory as of 12th Aug 2024'!A234</f>
        <v>Bigdaddy</v>
      </c>
      <c r="D6384">
        <v>1</v>
      </c>
      <c r="E6384" s="5">
        <f>Table4[[#This Row],[qty]]*(VLOOKUP(Table4[[#This Row],[item_sold]],Table1[],5,FALSE))</f>
        <v>10</v>
      </c>
      <c r="F6384" s="5">
        <f>(VLOOKUP(Table4[[#This Row],[item_sold]],Table1[],4,FALSE))*Table4[[#This Row],[qty]]</f>
        <v>6</v>
      </c>
      <c r="G6384">
        <f t="shared" si="1098"/>
        <v>4</v>
      </c>
      <c r="H6384" t="s">
        <v>402</v>
      </c>
    </row>
    <row r="6385" spans="1:9" x14ac:dyDescent="0.25">
      <c r="A6385" s="1">
        <f t="shared" si="1092"/>
        <v>45588</v>
      </c>
      <c r="B6385" s="31">
        <f t="shared" si="1107"/>
        <v>0.75416666666666676</v>
      </c>
      <c r="C6385" t="str">
        <f>'Inventory as of 12th Aug 2024'!A107</f>
        <v>Match Box</v>
      </c>
      <c r="D6385">
        <v>1</v>
      </c>
      <c r="E6385" s="5">
        <f>Table4[[#This Row],[qty]]*(VLOOKUP(Table4[[#This Row],[item_sold]],Table1[],5,FALSE))</f>
        <v>5</v>
      </c>
      <c r="F6385" s="5">
        <f>(VLOOKUP(Table4[[#This Row],[item_sold]],Table1[],4,FALSE))*Table4[[#This Row],[qty]]</f>
        <v>2.3611111111111112</v>
      </c>
      <c r="G6385">
        <f t="shared" si="1098"/>
        <v>2.6388888888888888</v>
      </c>
      <c r="H6385" t="s">
        <v>402</v>
      </c>
    </row>
    <row r="6386" spans="1:9" x14ac:dyDescent="0.25">
      <c r="A6386" s="1">
        <f t="shared" si="1092"/>
        <v>45588</v>
      </c>
      <c r="B6386" s="31">
        <f>TIME(18,38,0)</f>
        <v>0.77638888888888891</v>
      </c>
      <c r="C6386" t="str">
        <f>'Inventory as of 12th Aug 2024'!A212</f>
        <v>soda 300ml glass</v>
      </c>
      <c r="D6386">
        <v>1</v>
      </c>
      <c r="E6386" s="5">
        <f>Table4[[#This Row],[qty]]*(VLOOKUP(Table4[[#This Row],[item_sold]],Table1[],5,FALSE))</f>
        <v>40</v>
      </c>
      <c r="F6386" s="5">
        <f>(VLOOKUP(Table4[[#This Row],[item_sold]],Table1[],4,FALSE))*Table4[[#This Row],[qty]]</f>
        <v>32.5</v>
      </c>
      <c r="G6386">
        <f t="shared" si="1098"/>
        <v>7.5</v>
      </c>
      <c r="H6386" t="s">
        <v>361</v>
      </c>
    </row>
    <row r="6387" spans="1:9" x14ac:dyDescent="0.25">
      <c r="A6387" s="1">
        <f t="shared" si="1092"/>
        <v>45588</v>
      </c>
      <c r="B6387" s="31">
        <f>TIME(18,45,0)</f>
        <v>0.78125</v>
      </c>
      <c r="C6387" t="str">
        <f>'Inventory as of 12th Aug 2024'!A42</f>
        <v>Indomie chicken</v>
      </c>
      <c r="D6387">
        <v>2</v>
      </c>
      <c r="E6387" s="5">
        <f>Table4[[#This Row],[qty]]*(VLOOKUP(Table4[[#This Row],[item_sold]],Table1[],5,FALSE))</f>
        <v>100</v>
      </c>
      <c r="F6387" s="5">
        <f>(VLOOKUP(Table4[[#This Row],[item_sold]],Table1[],4,FALSE))*Table4[[#This Row],[qty]]</f>
        <v>75</v>
      </c>
      <c r="G6387">
        <f t="shared" si="1098"/>
        <v>25</v>
      </c>
      <c r="H6387" t="s">
        <v>361</v>
      </c>
    </row>
    <row r="6388" spans="1:9" x14ac:dyDescent="0.25">
      <c r="A6388" s="1">
        <f t="shared" si="1092"/>
        <v>45588</v>
      </c>
      <c r="B6388" s="31">
        <f t="shared" ref="B6388:B6390" si="1108">TIME(18,45,0)</f>
        <v>0.78125</v>
      </c>
      <c r="C6388" t="str">
        <f>'Inventory as of 12th Aug 2024'!A266</f>
        <v>Zenta Bar Soap</v>
      </c>
      <c r="D6388">
        <v>0.4</v>
      </c>
      <c r="E6388" s="5">
        <f>Table4[[#This Row],[qty]]*(VLOOKUP(Table4[[#This Row],[item_sold]],Table1[],5,FALSE))</f>
        <v>100</v>
      </c>
      <c r="F6388" s="5">
        <f>(VLOOKUP(Table4[[#This Row],[item_sold]],Table1[],4,FALSE))*Table4[[#This Row],[qty]]</f>
        <v>64</v>
      </c>
      <c r="G6388">
        <f t="shared" si="1098"/>
        <v>36</v>
      </c>
      <c r="H6388" t="s">
        <v>361</v>
      </c>
    </row>
    <row r="6389" spans="1:9" x14ac:dyDescent="0.25">
      <c r="A6389" s="1">
        <f t="shared" si="1092"/>
        <v>45588</v>
      </c>
      <c r="B6389" s="31">
        <f t="shared" si="1108"/>
        <v>0.78125</v>
      </c>
      <c r="C6389" t="str">
        <f>'Inventory as of 12th Aug 2024'!A9</f>
        <v>Kinangop Fresh Milk 500ml</v>
      </c>
      <c r="D6389">
        <v>1</v>
      </c>
      <c r="E6389" s="5">
        <f>Table4[[#This Row],[qty]]*(VLOOKUP(Table4[[#This Row],[item_sold]],Table1[],5,FALSE))</f>
        <v>60</v>
      </c>
      <c r="F6389" s="5">
        <f>(VLOOKUP(Table4[[#This Row],[item_sold]],Table1[],4,FALSE))*Table4[[#This Row],[qty]]</f>
        <v>55</v>
      </c>
      <c r="G6389">
        <f t="shared" si="1098"/>
        <v>5</v>
      </c>
      <c r="H6389" t="s">
        <v>361</v>
      </c>
    </row>
    <row r="6390" spans="1:9" x14ac:dyDescent="0.25">
      <c r="A6390" s="1">
        <f t="shared" si="1092"/>
        <v>45588</v>
      </c>
      <c r="B6390" s="31">
        <f t="shared" si="1108"/>
        <v>0.78125</v>
      </c>
      <c r="C6390" t="str">
        <f>'Inventory as of 12th Aug 2024'!A37</f>
        <v>Festive Bread 400g</v>
      </c>
      <c r="D6390">
        <v>1</v>
      </c>
      <c r="E6390" s="5">
        <f>Table4[[#This Row],[qty]]*(VLOOKUP(Table4[[#This Row],[item_sold]],Table1[],5,FALSE))</f>
        <v>65</v>
      </c>
      <c r="F6390" s="5">
        <f>(VLOOKUP(Table4[[#This Row],[item_sold]],Table1[],4,FALSE))*Table4[[#This Row],[qty]]</f>
        <v>60</v>
      </c>
      <c r="G6390">
        <f t="shared" si="1098"/>
        <v>5</v>
      </c>
      <c r="H6390" t="s">
        <v>361</v>
      </c>
    </row>
    <row r="6391" spans="1:9" x14ac:dyDescent="0.25">
      <c r="A6391" s="1">
        <f t="shared" si="1092"/>
        <v>45588</v>
      </c>
      <c r="B6391" s="31">
        <f>TIME(18,50,0)</f>
        <v>0.78472222222222221</v>
      </c>
      <c r="C6391" t="str">
        <f>'Inventory as of 12th Aug 2024'!A136</f>
        <v>Poa Pekee Tissue</v>
      </c>
      <c r="D6391">
        <v>1</v>
      </c>
      <c r="E6391" s="5">
        <f>Table4[[#This Row],[qty]]*(VLOOKUP(Table4[[#This Row],[item_sold]],Table1[],5,FALSE))</f>
        <v>30</v>
      </c>
      <c r="F6391" s="5">
        <f>(VLOOKUP(Table4[[#This Row],[item_sold]],Table1[],4,FALSE))*Table4[[#This Row],[qty]]</f>
        <v>13.333333333333334</v>
      </c>
      <c r="G6391">
        <f t="shared" si="1098"/>
        <v>16.666666666666664</v>
      </c>
      <c r="H6391" t="s">
        <v>361</v>
      </c>
    </row>
    <row r="6392" spans="1:9" x14ac:dyDescent="0.25">
      <c r="A6392" s="1">
        <f t="shared" si="1092"/>
        <v>45588</v>
      </c>
      <c r="B6392" s="31">
        <f t="shared" ref="B6392" si="1109">TIME(18,50,0)</f>
        <v>0.78472222222222221</v>
      </c>
      <c r="C6392" t="str">
        <f>'Inventory as of 12th Aug 2024'!A120</f>
        <v>Maramoja</v>
      </c>
      <c r="D6392">
        <v>2</v>
      </c>
      <c r="E6392" s="5">
        <f>Table4[[#This Row],[qty]]*(VLOOKUP(Table4[[#This Row],[item_sold]],Table1[],5,FALSE))</f>
        <v>20</v>
      </c>
      <c r="F6392" s="5">
        <f>(VLOOKUP(Table4[[#This Row],[item_sold]],Table1[],4,FALSE))*Table4[[#This Row],[qty]]</f>
        <v>14</v>
      </c>
      <c r="G6392">
        <f t="shared" si="1098"/>
        <v>6</v>
      </c>
      <c r="H6392" t="s">
        <v>361</v>
      </c>
    </row>
    <row r="6393" spans="1:9" x14ac:dyDescent="0.25">
      <c r="A6393" s="1">
        <f t="shared" si="1092"/>
        <v>45588</v>
      </c>
      <c r="B6393" s="31">
        <f>TIME(19,27,0)</f>
        <v>0.81041666666666667</v>
      </c>
      <c r="C6393" t="str">
        <f>'Inventory as of 12th Aug 2024'!A200</f>
        <v>Ngumu</v>
      </c>
      <c r="D6393">
        <v>3</v>
      </c>
      <c r="E6393" s="5">
        <f>Table4[[#This Row],[qty]]*(VLOOKUP(Table4[[#This Row],[item_sold]],Table1[],5,FALSE))</f>
        <v>30</v>
      </c>
      <c r="F6393" s="5">
        <f>(VLOOKUP(Table4[[#This Row],[item_sold]],Table1[],4,FALSE))*Table4[[#This Row],[qty]]</f>
        <v>25</v>
      </c>
      <c r="G6393">
        <f t="shared" si="1098"/>
        <v>5</v>
      </c>
      <c r="H6393" t="s">
        <v>247</v>
      </c>
    </row>
    <row r="6394" spans="1:9" x14ac:dyDescent="0.25">
      <c r="A6394" s="1">
        <f t="shared" si="1092"/>
        <v>45588</v>
      </c>
      <c r="B6394" s="31">
        <f>TIME(19,56,0)</f>
        <v>0.8305555555555556</v>
      </c>
      <c r="C6394" t="str">
        <f>'Inventory as of 12th Aug 2024'!A37</f>
        <v>Festive Bread 400g</v>
      </c>
      <c r="D6394">
        <v>1</v>
      </c>
      <c r="E6394" s="5">
        <f>Table4[[#This Row],[qty]]*(VLOOKUP(Table4[[#This Row],[item_sold]],Table1[],5,FALSE))</f>
        <v>65</v>
      </c>
      <c r="F6394" s="5">
        <f>(VLOOKUP(Table4[[#This Row],[item_sold]],Table1[],4,FALSE))*Table4[[#This Row],[qty]]</f>
        <v>60</v>
      </c>
      <c r="G6394">
        <f t="shared" si="1098"/>
        <v>5</v>
      </c>
      <c r="H6394" t="s">
        <v>361</v>
      </c>
    </row>
    <row r="6395" spans="1:9" x14ac:dyDescent="0.25">
      <c r="A6395" s="1">
        <f t="shared" si="1092"/>
        <v>45588</v>
      </c>
      <c r="B6395" s="31">
        <f t="shared" ref="B6395:B6396" si="1110">TIME(19,56,0)</f>
        <v>0.8305555555555556</v>
      </c>
      <c r="C6395" t="str">
        <f>'Inventory as of 12th Aug 2024'!A83</f>
        <v>omo 75g</v>
      </c>
      <c r="D6395">
        <v>1</v>
      </c>
      <c r="E6395" s="5">
        <f>Table4[[#This Row],[qty]]*(VLOOKUP(Table4[[#This Row],[item_sold]],Table1[],5,FALSE))</f>
        <v>35</v>
      </c>
      <c r="F6395" s="5">
        <f>(VLOOKUP(Table4[[#This Row],[item_sold]],Table1[],4,FALSE))*Table4[[#This Row],[qty]]</f>
        <v>27.5</v>
      </c>
      <c r="G6395">
        <f t="shared" si="1098"/>
        <v>7.5</v>
      </c>
      <c r="H6395" t="s">
        <v>361</v>
      </c>
    </row>
    <row r="6396" spans="1:9" x14ac:dyDescent="0.25">
      <c r="A6396" s="1">
        <f t="shared" si="1092"/>
        <v>45588</v>
      </c>
      <c r="B6396" s="31">
        <f t="shared" si="1110"/>
        <v>0.8305555555555556</v>
      </c>
      <c r="C6396" t="str">
        <f>'Inventory as of 12th Aug 2024'!A211</f>
        <v>predator</v>
      </c>
      <c r="D6396">
        <v>1</v>
      </c>
      <c r="E6396" s="5">
        <f>Table4[[#This Row],[qty]]*(VLOOKUP(Table4[[#This Row],[item_sold]],Table1[],5,FALSE))</f>
        <v>70</v>
      </c>
      <c r="F6396" s="5">
        <f>(VLOOKUP(Table4[[#This Row],[item_sold]],Table1[],4,FALSE))*Table4[[#This Row],[qty]]</f>
        <v>54.166666666666664</v>
      </c>
      <c r="G6396">
        <f t="shared" si="1098"/>
        <v>15.833333333333336</v>
      </c>
      <c r="H6396" t="s">
        <v>361</v>
      </c>
    </row>
    <row r="6397" spans="1:9" x14ac:dyDescent="0.25">
      <c r="A6397" s="1">
        <f t="shared" si="1092"/>
        <v>45588</v>
      </c>
      <c r="B6397" s="31">
        <f>TIME(20,9,0)</f>
        <v>0.83958333333333324</v>
      </c>
      <c r="C6397" t="str">
        <f>'Inventory as of 12th Aug 2024'!A58</f>
        <v>Safari</v>
      </c>
      <c r="D6397">
        <v>1</v>
      </c>
      <c r="E6397" s="5">
        <f>Table4[[#This Row],[qty]]*(VLOOKUP(Table4[[#This Row],[item_sold]],Table1[],5,FALSE))</f>
        <v>15</v>
      </c>
      <c r="F6397" s="5">
        <f>(VLOOKUP(Table4[[#This Row],[item_sold]],Table1[],4,FALSE))*Table4[[#This Row],[qty]]</f>
        <v>8.5</v>
      </c>
      <c r="G6397">
        <f t="shared" si="1098"/>
        <v>6.5</v>
      </c>
      <c r="H6397" t="s">
        <v>247</v>
      </c>
    </row>
    <row r="6398" spans="1:9" x14ac:dyDescent="0.25">
      <c r="A6398" s="1">
        <f t="shared" si="1092"/>
        <v>45588</v>
      </c>
      <c r="B6398" s="31">
        <f>TIME(20,9,0)</f>
        <v>0.83958333333333324</v>
      </c>
      <c r="C6398" t="str">
        <f>'Inventory as of 12th Aug 2024'!A248</f>
        <v>Soko Maize meal</v>
      </c>
      <c r="D6398">
        <v>1</v>
      </c>
      <c r="E6398" s="5">
        <f>Table4[[#This Row],[qty]]*(VLOOKUP(Table4[[#This Row],[item_sold]],Table1[],5,FALSE))</f>
        <v>160</v>
      </c>
      <c r="F6398" s="5">
        <f>(VLOOKUP(Table4[[#This Row],[item_sold]],Table1[],4,FALSE))*Table4[[#This Row],[qty]]</f>
        <v>125</v>
      </c>
      <c r="G6398">
        <f t="shared" si="1098"/>
        <v>35</v>
      </c>
      <c r="H6398" t="s">
        <v>430</v>
      </c>
      <c r="I6398" t="s">
        <v>390</v>
      </c>
    </row>
    <row r="6399" spans="1:9" x14ac:dyDescent="0.25">
      <c r="A6399" s="1">
        <f>DATE(2024,10,24)</f>
        <v>45589</v>
      </c>
      <c r="B6399" s="31">
        <f>TIME(7,18,0)</f>
        <v>0.30416666666666664</v>
      </c>
      <c r="C6399" t="str">
        <f>'Inventory as of 12th Aug 2024'!A37</f>
        <v>Festive Bread 400g</v>
      </c>
      <c r="D6399">
        <v>1</v>
      </c>
      <c r="E6399" s="5">
        <f>Table4[[#This Row],[qty]]*(VLOOKUP(Table4[[#This Row],[item_sold]],Table1[],5,FALSE))</f>
        <v>65</v>
      </c>
      <c r="F6399" s="5">
        <f>(VLOOKUP(Table4[[#This Row],[item_sold]],Table1[],4,FALSE))*Table4[[#This Row],[qty]]</f>
        <v>60</v>
      </c>
      <c r="G6399">
        <f t="shared" si="1098"/>
        <v>5</v>
      </c>
      <c r="H6399" t="s">
        <v>247</v>
      </c>
    </row>
    <row r="6400" spans="1:9" x14ac:dyDescent="0.25">
      <c r="A6400" s="1">
        <f t="shared" ref="A6400:A6463" si="1111">DATE(2024,10,24)</f>
        <v>45589</v>
      </c>
      <c r="B6400" s="31">
        <f t="shared" ref="B6400:B6401" si="1112">TIME(7,18,0)</f>
        <v>0.30416666666666664</v>
      </c>
      <c r="C6400" t="str">
        <f>'Inventory as of 12th Aug 2024'!A16</f>
        <v>Mt kenya milk 500ml</v>
      </c>
      <c r="D6400">
        <v>4</v>
      </c>
      <c r="E6400" s="5">
        <f>Table4[[#This Row],[qty]]*(VLOOKUP(Table4[[#This Row],[item_sold]],Table1[],5,FALSE))</f>
        <v>260</v>
      </c>
      <c r="F6400" s="5">
        <f>(VLOOKUP(Table4[[#This Row],[item_sold]],Table1[],4,FALSE))*Table4[[#This Row],[qty]]</f>
        <v>193.33333333333334</v>
      </c>
      <c r="G6400">
        <f t="shared" si="1098"/>
        <v>66.666666666666657</v>
      </c>
      <c r="H6400" t="s">
        <v>247</v>
      </c>
    </row>
    <row r="6401" spans="1:12" x14ac:dyDescent="0.25">
      <c r="A6401" s="1">
        <f t="shared" si="1111"/>
        <v>45589</v>
      </c>
      <c r="B6401" s="31">
        <f t="shared" si="1112"/>
        <v>0.30416666666666664</v>
      </c>
      <c r="C6401" s="25"/>
      <c r="D6401">
        <v>1</v>
      </c>
      <c r="E6401" s="5" t="e">
        <f>Table4[[#This Row],[qty]]*(VLOOKUP(Table4[[#This Row],[item_sold]],Table1[],5,FALSE))</f>
        <v>#N/A</v>
      </c>
      <c r="F6401" s="5" t="e">
        <f>(VLOOKUP(Table4[[#This Row],[item_sold]],Table1[],4,FALSE))*Table4[[#This Row],[qty]]</f>
        <v>#N/A</v>
      </c>
      <c r="G6401" t="e">
        <f t="shared" si="1098"/>
        <v>#N/A</v>
      </c>
      <c r="H6401" t="s">
        <v>247</v>
      </c>
    </row>
    <row r="6402" spans="1:12" x14ac:dyDescent="0.25">
      <c r="A6402" s="1">
        <f t="shared" si="1111"/>
        <v>45589</v>
      </c>
      <c r="B6402" s="31">
        <f>TIME(7,32,0)</f>
        <v>0.31388888888888888</v>
      </c>
      <c r="C6402" t="str">
        <f>'Inventory as of 12th Aug 2024'!A178</f>
        <v>Ringoz Paprika</v>
      </c>
      <c r="D6402">
        <v>2</v>
      </c>
      <c r="E6402" s="5">
        <f>Table4[[#This Row],[qty]]*(VLOOKUP(Table4[[#This Row],[item_sold]],Table1[],5,FALSE))</f>
        <v>30</v>
      </c>
      <c r="F6402" s="5">
        <f>(VLOOKUP(Table4[[#This Row],[item_sold]],Table1[],4,FALSE))*Table4[[#This Row],[qty]]</f>
        <v>17.600000000000001</v>
      </c>
      <c r="G6402">
        <f t="shared" si="1098"/>
        <v>12.399999999999999</v>
      </c>
      <c r="H6402" t="s">
        <v>361</v>
      </c>
    </row>
    <row r="6403" spans="1:12" x14ac:dyDescent="0.25">
      <c r="A6403" s="1">
        <f t="shared" si="1111"/>
        <v>45589</v>
      </c>
      <c r="B6403" s="31">
        <f t="shared" ref="B6403:B6407" si="1113">TIME(7,32,0)</f>
        <v>0.31388888888888888</v>
      </c>
      <c r="C6403" t="str">
        <f>'Inventory as of 12th Aug 2024'!A199</f>
        <v>Kdf</v>
      </c>
      <c r="D6403">
        <v>4</v>
      </c>
      <c r="E6403" s="5">
        <f>Table4[[#This Row],[qty]]*(VLOOKUP(Table4[[#This Row],[item_sold]],Table1[],5,FALSE))</f>
        <v>40</v>
      </c>
      <c r="F6403" s="5">
        <f>(VLOOKUP(Table4[[#This Row],[item_sold]],Table1[],4,FALSE))*Table4[[#This Row],[qty]]</f>
        <v>33.333333333333336</v>
      </c>
      <c r="G6403">
        <f t="shared" si="1098"/>
        <v>6.6666666666666643</v>
      </c>
      <c r="H6403" t="s">
        <v>361</v>
      </c>
    </row>
    <row r="6404" spans="1:12" x14ac:dyDescent="0.25">
      <c r="A6404" s="1">
        <f t="shared" si="1111"/>
        <v>45589</v>
      </c>
      <c r="B6404" s="31">
        <f t="shared" si="1113"/>
        <v>0.31388888888888888</v>
      </c>
      <c r="C6404" t="str">
        <f>'Inventory as of 12th Aug 2024'!A135</f>
        <v>Bella Tissue</v>
      </c>
      <c r="D6404">
        <v>1</v>
      </c>
      <c r="E6404" s="5">
        <f>Table4[[#This Row],[qty]]*(VLOOKUP(Table4[[#This Row],[item_sold]],Table1[],5,FALSE))</f>
        <v>50</v>
      </c>
      <c r="F6404" s="5">
        <f>(VLOOKUP(Table4[[#This Row],[item_sold]],Table1[],4,FALSE))*Table4[[#This Row],[qty]]</f>
        <v>35</v>
      </c>
      <c r="G6404">
        <f t="shared" si="1098"/>
        <v>15</v>
      </c>
      <c r="H6404" t="s">
        <v>361</v>
      </c>
    </row>
    <row r="6405" spans="1:12" x14ac:dyDescent="0.25">
      <c r="A6405" s="1">
        <f t="shared" si="1111"/>
        <v>45589</v>
      </c>
      <c r="B6405" s="31">
        <f t="shared" si="1113"/>
        <v>0.31388888888888888</v>
      </c>
      <c r="C6405" t="str">
        <f>'Inventory as of 12th Aug 2024'!A199</f>
        <v>Kdf</v>
      </c>
      <c r="D6405">
        <v>1</v>
      </c>
      <c r="E6405" s="5">
        <f>Table4[[#This Row],[qty]]*(VLOOKUP(Table4[[#This Row],[item_sold]],Table1[],5,FALSE))</f>
        <v>10</v>
      </c>
      <c r="F6405" s="5">
        <f>(VLOOKUP(Table4[[#This Row],[item_sold]],Table1[],4,FALSE))*Table4[[#This Row],[qty]]</f>
        <v>8.3333333333333339</v>
      </c>
      <c r="G6405">
        <f t="shared" si="1098"/>
        <v>1.6666666666666661</v>
      </c>
      <c r="H6405" t="s">
        <v>430</v>
      </c>
      <c r="I6405" t="s">
        <v>385</v>
      </c>
    </row>
    <row r="6406" spans="1:12" x14ac:dyDescent="0.25">
      <c r="A6406" s="1">
        <f t="shared" si="1111"/>
        <v>45589</v>
      </c>
      <c r="B6406" s="31">
        <f t="shared" si="1113"/>
        <v>0.31388888888888888</v>
      </c>
      <c r="C6406" t="str">
        <f>'Inventory as of 12th Aug 2024'!A9</f>
        <v>Kinangop Fresh Milk 500ml</v>
      </c>
      <c r="D6406">
        <v>1</v>
      </c>
      <c r="E6406" s="5">
        <f>Table4[[#This Row],[qty]]*(VLOOKUP(Table4[[#This Row],[item_sold]],Table1[],5,FALSE))</f>
        <v>60</v>
      </c>
      <c r="F6406" s="5">
        <f>(VLOOKUP(Table4[[#This Row],[item_sold]],Table1[],4,FALSE))*Table4[[#This Row],[qty]]</f>
        <v>55</v>
      </c>
      <c r="G6406">
        <f t="shared" si="1098"/>
        <v>5</v>
      </c>
      <c r="H6406" t="s">
        <v>430</v>
      </c>
      <c r="I6406" t="s">
        <v>385</v>
      </c>
    </row>
    <row r="6407" spans="1:12" x14ac:dyDescent="0.25">
      <c r="A6407" s="1">
        <f t="shared" si="1111"/>
        <v>45589</v>
      </c>
      <c r="B6407" s="31">
        <f t="shared" si="1113"/>
        <v>0.31388888888888888</v>
      </c>
      <c r="C6407" t="str">
        <f>'Inventory as of 12th Aug 2024'!A33</f>
        <v>BB Bread 400g</v>
      </c>
      <c r="D6407">
        <v>1</v>
      </c>
      <c r="E6407" s="5">
        <f>Table4[[#This Row],[qty]]*(VLOOKUP(Table4[[#This Row],[item_sold]],Table1[],5,FALSE))</f>
        <v>65</v>
      </c>
      <c r="F6407" s="5">
        <f>(VLOOKUP(Table4[[#This Row],[item_sold]],Table1[],4,FALSE))*Table4[[#This Row],[qty]]</f>
        <v>60</v>
      </c>
      <c r="G6407">
        <f t="shared" si="1098"/>
        <v>5</v>
      </c>
      <c r="H6407" t="s">
        <v>430</v>
      </c>
      <c r="I6407" t="s">
        <v>385</v>
      </c>
    </row>
    <row r="6408" spans="1:12" x14ac:dyDescent="0.25">
      <c r="A6408" s="1">
        <f t="shared" si="1111"/>
        <v>45589</v>
      </c>
      <c r="B6408" s="31">
        <f>TIME(7,52,0)</f>
        <v>0.32777777777777778</v>
      </c>
      <c r="C6408" t="str">
        <f>'Inventory as of 12th Aug 2024'!A244</f>
        <v>5ltrs water</v>
      </c>
      <c r="D6408">
        <v>1</v>
      </c>
      <c r="E6408" s="5">
        <f>Table4[[#This Row],[qty]]*(VLOOKUP(Table4[[#This Row],[item_sold]],Table1[],5,FALSE))</f>
        <v>120</v>
      </c>
      <c r="F6408" s="5">
        <f>(VLOOKUP(Table4[[#This Row],[item_sold]],Table1[],4,FALSE))*Table4[[#This Row],[qty]]</f>
        <v>75</v>
      </c>
      <c r="G6408">
        <f t="shared" si="1098"/>
        <v>45</v>
      </c>
      <c r="H6408" t="s">
        <v>361</v>
      </c>
    </row>
    <row r="6409" spans="1:12" x14ac:dyDescent="0.25">
      <c r="A6409" s="1">
        <f t="shared" si="1111"/>
        <v>45589</v>
      </c>
      <c r="B6409" s="31">
        <f>TIME(7,55,0)</f>
        <v>0.3298611111111111</v>
      </c>
      <c r="C6409" t="str">
        <f>'Inventory as of 12th Aug 2024'!A199</f>
        <v>Kdf</v>
      </c>
      <c r="D6409">
        <v>2</v>
      </c>
      <c r="E6409" s="5">
        <f>Table4[[#This Row],[qty]]*(VLOOKUP(Table4[[#This Row],[item_sold]],Table1[],5,FALSE))</f>
        <v>20</v>
      </c>
      <c r="F6409" s="5">
        <f>(VLOOKUP(Table4[[#This Row],[item_sold]],Table1[],4,FALSE))*Table4[[#This Row],[qty]]</f>
        <v>16.666666666666668</v>
      </c>
      <c r="G6409">
        <f t="shared" si="1098"/>
        <v>3.3333333333333321</v>
      </c>
      <c r="H6409" t="s">
        <v>361</v>
      </c>
    </row>
    <row r="6410" spans="1:12" x14ac:dyDescent="0.25">
      <c r="A6410" s="1">
        <f t="shared" si="1111"/>
        <v>45589</v>
      </c>
      <c r="B6410" s="31">
        <f t="shared" ref="B6410" si="1114">TIME(7,55,0)</f>
        <v>0.3298611111111111</v>
      </c>
      <c r="C6410" t="str">
        <f>'Inventory as of 12th Aug 2024'!A58</f>
        <v>Safari</v>
      </c>
      <c r="D6410">
        <v>1</v>
      </c>
      <c r="E6410" s="5">
        <f>Table4[[#This Row],[qty]]*(VLOOKUP(Table4[[#This Row],[item_sold]],Table1[],5,FALSE))</f>
        <v>15</v>
      </c>
      <c r="F6410" s="5">
        <f>(VLOOKUP(Table4[[#This Row],[item_sold]],Table1[],4,FALSE))*Table4[[#This Row],[qty]]</f>
        <v>8.5</v>
      </c>
      <c r="G6410">
        <f t="shared" si="1098"/>
        <v>6.5</v>
      </c>
      <c r="H6410" t="s">
        <v>430</v>
      </c>
      <c r="I6410" t="s">
        <v>447</v>
      </c>
      <c r="J6410" t="s">
        <v>447</v>
      </c>
      <c r="K6410">
        <v>10</v>
      </c>
      <c r="L6410" t="s">
        <v>247</v>
      </c>
    </row>
    <row r="6411" spans="1:12" x14ac:dyDescent="0.25">
      <c r="A6411" s="1">
        <f t="shared" si="1111"/>
        <v>45589</v>
      </c>
      <c r="B6411" s="31">
        <f>TIME(8,26,0)</f>
        <v>0.35138888888888892</v>
      </c>
      <c r="C6411" t="str">
        <f>'Inventory as of 12th Aug 2024'!A5</f>
        <v>Airtel 20 Credit</v>
      </c>
      <c r="D6411">
        <v>1</v>
      </c>
      <c r="E6411" s="5">
        <f>Table4[[#This Row],[qty]]*(VLOOKUP(Table4[[#This Row],[item_sold]],Table1[],5,FALSE))</f>
        <v>20</v>
      </c>
      <c r="F6411" s="5">
        <f>(VLOOKUP(Table4[[#This Row],[item_sold]],Table1[],4,FALSE))*Table4[[#This Row],[qty]]</f>
        <v>18</v>
      </c>
      <c r="G6411">
        <f t="shared" si="1098"/>
        <v>2</v>
      </c>
      <c r="H6411" t="s">
        <v>247</v>
      </c>
    </row>
    <row r="6412" spans="1:12" x14ac:dyDescent="0.25">
      <c r="A6412" s="1">
        <f t="shared" si="1111"/>
        <v>45589</v>
      </c>
      <c r="B6412" s="31">
        <f t="shared" ref="B6412" si="1115">TIME(8,26,0)</f>
        <v>0.35138888888888892</v>
      </c>
      <c r="C6412" t="str">
        <f>'Inventory as of 12th Aug 2024'!A6</f>
        <v>Airtel 10 Credit</v>
      </c>
      <c r="D6412">
        <v>1</v>
      </c>
      <c r="E6412" s="5">
        <f>Table4[[#This Row],[qty]]*(VLOOKUP(Table4[[#This Row],[item_sold]],Table1[],5,FALSE))</f>
        <v>10</v>
      </c>
      <c r="F6412" s="5">
        <f>(VLOOKUP(Table4[[#This Row],[item_sold]],Table1[],4,FALSE))*Table4[[#This Row],[qty]]</f>
        <v>9</v>
      </c>
      <c r="G6412">
        <f t="shared" si="1098"/>
        <v>1</v>
      </c>
      <c r="H6412" t="s">
        <v>247</v>
      </c>
    </row>
    <row r="6413" spans="1:12" x14ac:dyDescent="0.25">
      <c r="A6413" s="1">
        <f t="shared" si="1111"/>
        <v>45589</v>
      </c>
      <c r="B6413" s="31">
        <f>TIME(8,52,0)</f>
        <v>0.36944444444444446</v>
      </c>
      <c r="C6413" t="str">
        <f>'Inventory as of 12th Aug 2024'!A9</f>
        <v>Kinangop Fresh Milk 500ml</v>
      </c>
      <c r="D6413">
        <v>1</v>
      </c>
      <c r="E6413" s="5">
        <f>Table4[[#This Row],[qty]]*(VLOOKUP(Table4[[#This Row],[item_sold]],Table1[],5,FALSE))</f>
        <v>60</v>
      </c>
      <c r="F6413" s="5">
        <f>(VLOOKUP(Table4[[#This Row],[item_sold]],Table1[],4,FALSE))*Table4[[#This Row],[qty]]</f>
        <v>55</v>
      </c>
      <c r="G6413">
        <f t="shared" si="1098"/>
        <v>5</v>
      </c>
      <c r="H6413" t="s">
        <v>247</v>
      </c>
    </row>
    <row r="6414" spans="1:12" x14ac:dyDescent="0.25">
      <c r="A6414" s="1">
        <f t="shared" si="1111"/>
        <v>45589</v>
      </c>
      <c r="B6414" s="31">
        <f t="shared" ref="B6414:B6418" si="1116">TIME(8,52,0)</f>
        <v>0.36944444444444446</v>
      </c>
      <c r="C6414" t="str">
        <f>'Inventory as of 12th Aug 2024'!A33</f>
        <v>BB Bread 400g</v>
      </c>
      <c r="D6414">
        <v>1</v>
      </c>
      <c r="E6414" s="5">
        <f>Table4[[#This Row],[qty]]*(VLOOKUP(Table4[[#This Row],[item_sold]],Table1[],5,FALSE))</f>
        <v>65</v>
      </c>
      <c r="F6414" s="5">
        <f>(VLOOKUP(Table4[[#This Row],[item_sold]],Table1[],4,FALSE))*Table4[[#This Row],[qty]]</f>
        <v>60</v>
      </c>
      <c r="G6414">
        <f t="shared" si="1098"/>
        <v>5</v>
      </c>
      <c r="H6414" t="s">
        <v>247</v>
      </c>
    </row>
    <row r="6415" spans="1:12" x14ac:dyDescent="0.25">
      <c r="A6415" s="1">
        <f t="shared" si="1111"/>
        <v>45589</v>
      </c>
      <c r="B6415" s="31">
        <f t="shared" si="1116"/>
        <v>0.36944444444444446</v>
      </c>
      <c r="C6415" t="str">
        <f>'Inventory as of 12th Aug 2024'!A75</f>
        <v>Cooking Oil Measured</v>
      </c>
      <c r="D6415">
        <v>0.5</v>
      </c>
      <c r="E6415" s="5">
        <f>Table4[[#This Row],[qty]]*(VLOOKUP(Table4[[#This Row],[item_sold]],Table1[],5,FALSE))</f>
        <v>140</v>
      </c>
      <c r="F6415" s="5">
        <f>(VLOOKUP(Table4[[#This Row],[item_sold]],Table1[],4,FALSE))*Table4[[#This Row],[qty]]</f>
        <v>100</v>
      </c>
      <c r="G6415">
        <f t="shared" si="1098"/>
        <v>40</v>
      </c>
      <c r="H6415" t="s">
        <v>247</v>
      </c>
    </row>
    <row r="6416" spans="1:12" x14ac:dyDescent="0.25">
      <c r="A6416" s="1">
        <f t="shared" si="1111"/>
        <v>45589</v>
      </c>
      <c r="B6416" s="31">
        <f t="shared" si="1116"/>
        <v>0.36944444444444446</v>
      </c>
      <c r="C6416" t="str">
        <f>'Inventory as of 12th Aug 2024'!A16</f>
        <v>Mt kenya milk 500ml</v>
      </c>
      <c r="D6416">
        <v>1</v>
      </c>
      <c r="E6416" s="5">
        <f>Table4[[#This Row],[qty]]*(VLOOKUP(Table4[[#This Row],[item_sold]],Table1[],5,FALSE))</f>
        <v>65</v>
      </c>
      <c r="F6416" s="5">
        <f>(VLOOKUP(Table4[[#This Row],[item_sold]],Table1[],4,FALSE))*Table4[[#This Row],[qty]]</f>
        <v>48.333333333333336</v>
      </c>
      <c r="G6416">
        <f t="shared" si="1098"/>
        <v>16.666666666666664</v>
      </c>
      <c r="H6416" t="s">
        <v>247</v>
      </c>
    </row>
    <row r="6417" spans="1:12" x14ac:dyDescent="0.25">
      <c r="A6417" s="1">
        <f t="shared" si="1111"/>
        <v>45589</v>
      </c>
      <c r="B6417" s="31">
        <f t="shared" si="1116"/>
        <v>0.36944444444444446</v>
      </c>
      <c r="C6417" t="str">
        <f>'Inventory as of 12th Aug 2024'!A243</f>
        <v>Ballon</v>
      </c>
      <c r="D6417">
        <v>1</v>
      </c>
      <c r="E6417" s="5">
        <f>Table4[[#This Row],[qty]]*(VLOOKUP(Table4[[#This Row],[item_sold]],Table1[],5,FALSE))</f>
        <v>10</v>
      </c>
      <c r="F6417" s="5">
        <f>(VLOOKUP(Table4[[#This Row],[item_sold]],Table1[],4,FALSE))*Table4[[#This Row],[qty]]</f>
        <v>7.5</v>
      </c>
      <c r="G6417">
        <f t="shared" si="1098"/>
        <v>2.5</v>
      </c>
      <c r="H6417" t="s">
        <v>247</v>
      </c>
    </row>
    <row r="6418" spans="1:12" x14ac:dyDescent="0.25">
      <c r="A6418" s="1">
        <f t="shared" si="1111"/>
        <v>45589</v>
      </c>
      <c r="B6418" s="31">
        <f t="shared" si="1116"/>
        <v>0.36944444444444446</v>
      </c>
      <c r="C6418" t="str">
        <f>'Inventory as of 12th Aug 2024'!A106</f>
        <v>Steel Wool 15g</v>
      </c>
      <c r="D6418">
        <v>2</v>
      </c>
      <c r="E6418" s="5">
        <f>Table4[[#This Row],[qty]]*(VLOOKUP(Table4[[#This Row],[item_sold]],Table1[],5,FALSE))</f>
        <v>20</v>
      </c>
      <c r="F6418" s="5">
        <f>(VLOOKUP(Table4[[#This Row],[item_sold]],Table1[],4,FALSE))*Table4[[#This Row],[qty]]</f>
        <v>10.466666666666667</v>
      </c>
      <c r="G6418">
        <f t="shared" si="1098"/>
        <v>9.5333333333333332</v>
      </c>
      <c r="H6418" t="s">
        <v>247</v>
      </c>
    </row>
    <row r="6419" spans="1:12" x14ac:dyDescent="0.25">
      <c r="A6419" s="1">
        <f t="shared" si="1111"/>
        <v>45589</v>
      </c>
      <c r="B6419" s="31">
        <f>TIME(10,15,0)</f>
        <v>0.42708333333333331</v>
      </c>
      <c r="C6419" t="str">
        <f>'Inventory as of 12th Aug 2024'!A258</f>
        <v>Sunlight 25g</v>
      </c>
      <c r="D6419">
        <v>1</v>
      </c>
      <c r="E6419" s="5">
        <f>Table4[[#This Row],[qty]]*(VLOOKUP(Table4[[#This Row],[item_sold]],Table1[],5,FALSE))</f>
        <v>15</v>
      </c>
      <c r="F6419" s="5">
        <f>(VLOOKUP(Table4[[#This Row],[item_sold]],Table1[],4,FALSE))*Table4[[#This Row],[qty]]</f>
        <v>8.3333333333333339</v>
      </c>
      <c r="G6419">
        <f t="shared" si="1098"/>
        <v>6.6666666666666661</v>
      </c>
      <c r="H6419" t="s">
        <v>247</v>
      </c>
    </row>
    <row r="6420" spans="1:12" x14ac:dyDescent="0.25">
      <c r="A6420" s="1">
        <f t="shared" si="1111"/>
        <v>45589</v>
      </c>
      <c r="B6420" s="31">
        <f t="shared" ref="B6420:B6425" si="1117">TIME(10,15,0)</f>
        <v>0.42708333333333331</v>
      </c>
      <c r="C6420" t="str">
        <f>'Inventory as of 12th Aug 2024'!A236</f>
        <v>Gomba</v>
      </c>
      <c r="D6420">
        <v>2</v>
      </c>
      <c r="E6420" s="5">
        <f>Table4[[#This Row],[qty]]*(VLOOKUP(Table4[[#This Row],[item_sold]],Table1[],5,FALSE))</f>
        <v>5</v>
      </c>
      <c r="F6420" s="5">
        <f>(VLOOKUP(Table4[[#This Row],[item_sold]],Table1[],4,FALSE))*Table4[[#This Row],[qty]]</f>
        <v>3.6</v>
      </c>
      <c r="G6420">
        <f t="shared" ref="G6420:G6483" si="1118">E6420-F6420</f>
        <v>1.4</v>
      </c>
      <c r="H6420" t="s">
        <v>247</v>
      </c>
    </row>
    <row r="6421" spans="1:12" x14ac:dyDescent="0.25">
      <c r="A6421" s="1">
        <f t="shared" si="1111"/>
        <v>45589</v>
      </c>
      <c r="B6421" s="31">
        <f t="shared" si="1117"/>
        <v>0.42708333333333331</v>
      </c>
      <c r="C6421" t="str">
        <f>'Inventory as of 12th Aug 2024'!A37</f>
        <v>Festive Bread 400g</v>
      </c>
      <c r="D6421">
        <v>2</v>
      </c>
      <c r="E6421" s="5">
        <f>Table4[[#This Row],[qty]]*(VLOOKUP(Table4[[#This Row],[item_sold]],Table1[],5,FALSE))</f>
        <v>130</v>
      </c>
      <c r="F6421" s="5">
        <f>(VLOOKUP(Table4[[#This Row],[item_sold]],Table1[],4,FALSE))*Table4[[#This Row],[qty]]</f>
        <v>120</v>
      </c>
      <c r="G6421">
        <f t="shared" si="1118"/>
        <v>10</v>
      </c>
      <c r="H6421" t="s">
        <v>430</v>
      </c>
      <c r="I6421" t="s">
        <v>431</v>
      </c>
    </row>
    <row r="6422" spans="1:12" x14ac:dyDescent="0.25">
      <c r="A6422" s="1">
        <f t="shared" si="1111"/>
        <v>45589</v>
      </c>
      <c r="B6422" s="31">
        <f t="shared" si="1117"/>
        <v>0.42708333333333331</v>
      </c>
      <c r="C6422" t="str">
        <f>'Inventory as of 12th Aug 2024'!A267</f>
        <v>Ting Ting</v>
      </c>
      <c r="D6422">
        <v>4</v>
      </c>
      <c r="E6422" s="5">
        <f>Table4[[#This Row],[qty]]*(VLOOKUP(Table4[[#This Row],[item_sold]],Table1[],5,FALSE))</f>
        <v>20</v>
      </c>
      <c r="F6422" s="5">
        <f>(VLOOKUP(Table4[[#This Row],[item_sold]],Table1[],4,FALSE))*Table4[[#This Row],[qty]]</f>
        <v>16.239999999999998</v>
      </c>
      <c r="G6422">
        <f t="shared" si="1118"/>
        <v>3.7600000000000016</v>
      </c>
      <c r="H6422" t="s">
        <v>247</v>
      </c>
      <c r="J6422" t="s">
        <v>593</v>
      </c>
      <c r="K6422">
        <v>10</v>
      </c>
      <c r="L6422" t="s">
        <v>247</v>
      </c>
    </row>
    <row r="6423" spans="1:12" x14ac:dyDescent="0.25">
      <c r="A6423" s="1">
        <f t="shared" si="1111"/>
        <v>45589</v>
      </c>
      <c r="B6423" s="31">
        <f t="shared" si="1117"/>
        <v>0.42708333333333331</v>
      </c>
      <c r="C6423" t="str">
        <f>'Inventory as of 12th Aug 2024'!A202</f>
        <v>funtime snacks</v>
      </c>
      <c r="D6423">
        <v>2</v>
      </c>
      <c r="E6423" s="5">
        <f>Table4[[#This Row],[qty]]*(VLOOKUP(Table4[[#This Row],[item_sold]],Table1[],5,FALSE))</f>
        <v>30</v>
      </c>
      <c r="F6423" s="5">
        <f>(VLOOKUP(Table4[[#This Row],[item_sold]],Table1[],4,FALSE))*Table4[[#This Row],[qty]]</f>
        <v>18</v>
      </c>
      <c r="G6423">
        <f t="shared" si="1118"/>
        <v>12</v>
      </c>
      <c r="H6423" t="s">
        <v>247</v>
      </c>
      <c r="J6423" t="s">
        <v>385</v>
      </c>
      <c r="K6423">
        <v>215</v>
      </c>
      <c r="L6423" t="s">
        <v>361</v>
      </c>
    </row>
    <row r="6424" spans="1:12" x14ac:dyDescent="0.25">
      <c r="A6424" s="1">
        <f t="shared" si="1111"/>
        <v>45589</v>
      </c>
      <c r="B6424" s="31">
        <f t="shared" si="1117"/>
        <v>0.42708333333333331</v>
      </c>
      <c r="C6424" s="25"/>
      <c r="D6424">
        <v>2</v>
      </c>
      <c r="E6424" s="5" t="e">
        <f>Table4[[#This Row],[qty]]*(VLOOKUP(Table4[[#This Row],[item_sold]],Table1[],5,FALSE))</f>
        <v>#N/A</v>
      </c>
      <c r="F6424" s="5" t="e">
        <f>(VLOOKUP(Table4[[#This Row],[item_sold]],Table1[],4,FALSE))*Table4[[#This Row],[qty]]</f>
        <v>#N/A</v>
      </c>
      <c r="G6424" t="e">
        <f t="shared" si="1118"/>
        <v>#N/A</v>
      </c>
      <c r="H6424" t="s">
        <v>247</v>
      </c>
    </row>
    <row r="6425" spans="1:12" x14ac:dyDescent="0.25">
      <c r="A6425" s="1">
        <f t="shared" si="1111"/>
        <v>45589</v>
      </c>
      <c r="B6425" s="31">
        <f t="shared" si="1117"/>
        <v>0.42708333333333331</v>
      </c>
      <c r="C6425" t="str">
        <f>'Inventory as of 12th Aug 2024'!A240</f>
        <v>Bigboss</v>
      </c>
      <c r="D6425">
        <v>2</v>
      </c>
      <c r="E6425" s="5">
        <f>Table4[[#This Row],[qty]]*(VLOOKUP(Table4[[#This Row],[item_sold]],Table1[],5,FALSE))</f>
        <v>10</v>
      </c>
      <c r="F6425" s="5">
        <f>(VLOOKUP(Table4[[#This Row],[item_sold]],Table1[],4,FALSE))*Table4[[#This Row],[qty]]</f>
        <v>7</v>
      </c>
      <c r="G6425">
        <f t="shared" si="1118"/>
        <v>3</v>
      </c>
      <c r="H6425" t="s">
        <v>247</v>
      </c>
    </row>
    <row r="6426" spans="1:12" x14ac:dyDescent="0.25">
      <c r="A6426" s="1">
        <f t="shared" si="1111"/>
        <v>45589</v>
      </c>
      <c r="B6426" s="31">
        <f>TIME(12,24,0)</f>
        <v>0.51666666666666672</v>
      </c>
      <c r="C6426" t="str">
        <f>'Inventory as of 12th Aug 2024'!A58</f>
        <v>Safari</v>
      </c>
      <c r="D6426">
        <v>6</v>
      </c>
      <c r="E6426" s="5">
        <f>Table4[[#This Row],[qty]]*(VLOOKUP(Table4[[#This Row],[item_sold]],Table1[],5,FALSE))</f>
        <v>90</v>
      </c>
      <c r="F6426" s="5">
        <f>(VLOOKUP(Table4[[#This Row],[item_sold]],Table1[],4,FALSE))*Table4[[#This Row],[qty]]</f>
        <v>51</v>
      </c>
      <c r="G6426">
        <f t="shared" si="1118"/>
        <v>39</v>
      </c>
      <c r="H6426" t="s">
        <v>361</v>
      </c>
    </row>
    <row r="6427" spans="1:12" x14ac:dyDescent="0.25">
      <c r="A6427" s="1">
        <f t="shared" si="1111"/>
        <v>45589</v>
      </c>
      <c r="B6427" s="31">
        <f>TIME(12,45,0)</f>
        <v>0.53125</v>
      </c>
      <c r="C6427" t="str">
        <f>'Inventory as of 12th Aug 2024'!A205</f>
        <v xml:space="preserve"> soda 1.25lts</v>
      </c>
      <c r="D6427">
        <v>1</v>
      </c>
      <c r="E6427" s="5">
        <f>Table4[[#This Row],[qty]]*(VLOOKUP(Table4[[#This Row],[item_sold]],Table1[],5,FALSE))</f>
        <v>130</v>
      </c>
      <c r="F6427" s="5">
        <f>(VLOOKUP(Table4[[#This Row],[item_sold]],Table1[],4,FALSE))*Table4[[#This Row],[qty]]</f>
        <v>112.5</v>
      </c>
      <c r="G6427">
        <f t="shared" si="1118"/>
        <v>17.5</v>
      </c>
      <c r="H6427" t="s">
        <v>361</v>
      </c>
    </row>
    <row r="6428" spans="1:12" x14ac:dyDescent="0.25">
      <c r="A6428" s="1">
        <f t="shared" si="1111"/>
        <v>45589</v>
      </c>
      <c r="B6428" s="31">
        <f t="shared" ref="B6428" si="1119">TIME(12,45,0)</f>
        <v>0.53125</v>
      </c>
      <c r="C6428" t="str">
        <f>'Inventory as of 12th Aug 2024'!A92</f>
        <v>Banana</v>
      </c>
      <c r="D6428">
        <v>2</v>
      </c>
      <c r="E6428" s="5">
        <f>Table4[[#This Row],[qty]]*(VLOOKUP(Table4[[#This Row],[item_sold]],Table1[],5,FALSE))</f>
        <v>20</v>
      </c>
      <c r="F6428" s="5">
        <f>(VLOOKUP(Table4[[#This Row],[item_sold]],Table1[],4,FALSE))*Table4[[#This Row],[qty]]</f>
        <v>16.666666666666668</v>
      </c>
      <c r="G6428">
        <f t="shared" si="1118"/>
        <v>3.3333333333333321</v>
      </c>
      <c r="H6428" t="s">
        <v>361</v>
      </c>
    </row>
    <row r="6429" spans="1:12" x14ac:dyDescent="0.25">
      <c r="A6429" s="1">
        <f t="shared" si="1111"/>
        <v>45589</v>
      </c>
      <c r="B6429" s="31">
        <f>TIME(13,40,0)</f>
        <v>0.56944444444444442</v>
      </c>
      <c r="C6429" t="str">
        <f>'Inventory as of 12th Aug 2024'!A245</f>
        <v>1.5ltrs water</v>
      </c>
      <c r="D6429">
        <v>1</v>
      </c>
      <c r="E6429" s="5">
        <f>Table4[[#This Row],[qty]]*(VLOOKUP(Table4[[#This Row],[item_sold]],Table1[],5,FALSE))</f>
        <v>70</v>
      </c>
      <c r="F6429" s="5">
        <f>(VLOOKUP(Table4[[#This Row],[item_sold]],Table1[],4,FALSE))*Table4[[#This Row],[qty]]</f>
        <v>25</v>
      </c>
      <c r="G6429">
        <f t="shared" si="1118"/>
        <v>45</v>
      </c>
      <c r="H6429" t="s">
        <v>361</v>
      </c>
    </row>
    <row r="6430" spans="1:12" x14ac:dyDescent="0.25">
      <c r="A6430" s="1">
        <f t="shared" si="1111"/>
        <v>45589</v>
      </c>
      <c r="B6430" s="31">
        <f t="shared" ref="B6430" si="1120">TIME(13,40,0)</f>
        <v>0.56944444444444442</v>
      </c>
      <c r="C6430" t="str">
        <f>'Inventory as of 12th Aug 2024'!A213</f>
        <v>soda 500ml glass</v>
      </c>
      <c r="D6430">
        <v>3</v>
      </c>
      <c r="E6430" s="5">
        <f>Table4[[#This Row],[qty]]*(VLOOKUP(Table4[[#This Row],[item_sold]],Table1[],5,FALSE))</f>
        <v>165</v>
      </c>
      <c r="F6430" s="5">
        <f>(VLOOKUP(Table4[[#This Row],[item_sold]],Table1[],4,FALSE))*Table4[[#This Row],[qty]]</f>
        <v>150</v>
      </c>
      <c r="G6430">
        <f t="shared" si="1118"/>
        <v>15</v>
      </c>
      <c r="H6430" t="s">
        <v>361</v>
      </c>
    </row>
    <row r="6431" spans="1:12" x14ac:dyDescent="0.25">
      <c r="A6431" s="1">
        <f t="shared" si="1111"/>
        <v>45589</v>
      </c>
      <c r="B6431" s="31">
        <f>TIME(13,18,0)</f>
        <v>0.5541666666666667</v>
      </c>
      <c r="C6431" t="str">
        <f>'Inventory as of 12th Aug 2024'!A199</f>
        <v>Kdf</v>
      </c>
      <c r="D6431">
        <v>4</v>
      </c>
      <c r="E6431" s="5">
        <f>Table4[[#This Row],[qty]]*(VLOOKUP(Table4[[#This Row],[item_sold]],Table1[],5,FALSE))</f>
        <v>40</v>
      </c>
      <c r="F6431" s="5">
        <f>(VLOOKUP(Table4[[#This Row],[item_sold]],Table1[],4,FALSE))*Table4[[#This Row],[qty]]</f>
        <v>33.333333333333336</v>
      </c>
      <c r="G6431">
        <f t="shared" si="1118"/>
        <v>6.6666666666666643</v>
      </c>
      <c r="H6431" t="s">
        <v>402</v>
      </c>
    </row>
    <row r="6432" spans="1:12" x14ac:dyDescent="0.25">
      <c r="A6432" s="1">
        <f t="shared" si="1111"/>
        <v>45589</v>
      </c>
      <c r="B6432" s="31">
        <f>TIME(13,22,0)</f>
        <v>0.55694444444444446</v>
      </c>
      <c r="C6432" t="str">
        <f>'Inventory as of 12th Aug 2024'!A54</f>
        <v>Yellow Beans</v>
      </c>
      <c r="D6432">
        <v>1</v>
      </c>
      <c r="E6432" s="5">
        <f>Table4[[#This Row],[qty]]*(VLOOKUP(Table4[[#This Row],[item_sold]],Table1[],5,FALSE))</f>
        <v>180</v>
      </c>
      <c r="F6432" s="5">
        <f>(VLOOKUP(Table4[[#This Row],[item_sold]],Table1[],4,FALSE))*Table4[[#This Row],[qty]]</f>
        <v>125</v>
      </c>
      <c r="G6432">
        <f t="shared" si="1118"/>
        <v>55</v>
      </c>
      <c r="H6432" t="s">
        <v>361</v>
      </c>
    </row>
    <row r="6433" spans="1:12" x14ac:dyDescent="0.25">
      <c r="A6433" s="1">
        <f t="shared" si="1111"/>
        <v>45589</v>
      </c>
      <c r="B6433" s="31">
        <f>TIME(13,40,0)</f>
        <v>0.56944444444444442</v>
      </c>
      <c r="C6433" t="str">
        <f>'Inventory as of 12th Aug 2024'!A107</f>
        <v>Match Box</v>
      </c>
      <c r="D6433">
        <v>2</v>
      </c>
      <c r="E6433" s="5">
        <f>Table4[[#This Row],[qty]]*(VLOOKUP(Table4[[#This Row],[item_sold]],Table1[],5,FALSE))</f>
        <v>10</v>
      </c>
      <c r="F6433" s="5">
        <f>(VLOOKUP(Table4[[#This Row],[item_sold]],Table1[],4,FALSE))*Table4[[#This Row],[qty]]</f>
        <v>4.7222222222222223</v>
      </c>
      <c r="G6433">
        <f t="shared" si="1118"/>
        <v>5.2777777777777777</v>
      </c>
      <c r="H6433" t="s">
        <v>361</v>
      </c>
    </row>
    <row r="6434" spans="1:12" x14ac:dyDescent="0.25">
      <c r="A6434" s="1">
        <f t="shared" si="1111"/>
        <v>45589</v>
      </c>
      <c r="B6434" s="31">
        <f>TIME(13,50,0)</f>
        <v>0.57638888888888895</v>
      </c>
      <c r="C6434" t="str">
        <f>'Inventory as of 12th Aug 2024'!A266</f>
        <v>Zenta Bar Soap</v>
      </c>
      <c r="D6434">
        <v>0.2</v>
      </c>
      <c r="E6434" s="5">
        <f>Table4[[#This Row],[qty]]*(VLOOKUP(Table4[[#This Row],[item_sold]],Table1[],5,FALSE))</f>
        <v>50</v>
      </c>
      <c r="F6434" s="5">
        <f>(VLOOKUP(Table4[[#This Row],[item_sold]],Table1[],4,FALSE))*Table4[[#This Row],[qty]]</f>
        <v>32</v>
      </c>
      <c r="G6434">
        <f t="shared" si="1118"/>
        <v>18</v>
      </c>
      <c r="H6434" t="s">
        <v>402</v>
      </c>
    </row>
    <row r="6435" spans="1:12" x14ac:dyDescent="0.25">
      <c r="A6435" s="1">
        <f t="shared" si="1111"/>
        <v>45589</v>
      </c>
      <c r="B6435" s="31">
        <f t="shared" ref="B6435:B6436" si="1121">TIME(13,50,0)</f>
        <v>0.57638888888888895</v>
      </c>
      <c r="C6435" t="str">
        <f>'Inventory as of 12th Aug 2024'!A234</f>
        <v>Bigdaddy</v>
      </c>
      <c r="D6435">
        <v>3</v>
      </c>
      <c r="E6435" s="5">
        <f>Table4[[#This Row],[qty]]*(VLOOKUP(Table4[[#This Row],[item_sold]],Table1[],5,FALSE))</f>
        <v>30</v>
      </c>
      <c r="F6435" s="5">
        <f>(VLOOKUP(Table4[[#This Row],[item_sold]],Table1[],4,FALSE))*Table4[[#This Row],[qty]]</f>
        <v>18</v>
      </c>
      <c r="G6435">
        <f t="shared" si="1118"/>
        <v>12</v>
      </c>
      <c r="H6435" t="s">
        <v>402</v>
      </c>
    </row>
    <row r="6436" spans="1:12" x14ac:dyDescent="0.25">
      <c r="A6436" s="1">
        <f t="shared" si="1111"/>
        <v>45589</v>
      </c>
      <c r="B6436" s="31">
        <f t="shared" si="1121"/>
        <v>0.57638888888888895</v>
      </c>
      <c r="C6436" t="str">
        <f>'Inventory as of 12th Aug 2024'!A243</f>
        <v>Ballon</v>
      </c>
      <c r="D6436">
        <v>3</v>
      </c>
      <c r="E6436" s="5">
        <f>Table4[[#This Row],[qty]]*(VLOOKUP(Table4[[#This Row],[item_sold]],Table1[],5,FALSE))</f>
        <v>30</v>
      </c>
      <c r="F6436" s="5">
        <f>(VLOOKUP(Table4[[#This Row],[item_sold]],Table1[],4,FALSE))*Table4[[#This Row],[qty]]</f>
        <v>22.5</v>
      </c>
      <c r="G6436">
        <f t="shared" si="1118"/>
        <v>7.5</v>
      </c>
      <c r="H6436" t="s">
        <v>361</v>
      </c>
    </row>
    <row r="6437" spans="1:12" x14ac:dyDescent="0.25">
      <c r="A6437" s="1">
        <f t="shared" si="1111"/>
        <v>45589</v>
      </c>
      <c r="B6437" s="31">
        <f>TIME(14,6,0)</f>
        <v>0.58750000000000002</v>
      </c>
      <c r="C6437" t="str">
        <f>'Inventory as of 12th Aug 2024'!A245</f>
        <v>1.5ltrs water</v>
      </c>
      <c r="D6437">
        <v>1</v>
      </c>
      <c r="E6437" s="5">
        <f>Table4[[#This Row],[qty]]*(VLOOKUP(Table4[[#This Row],[item_sold]],Table1[],5,FALSE))</f>
        <v>70</v>
      </c>
      <c r="F6437" s="5">
        <f>(VLOOKUP(Table4[[#This Row],[item_sold]],Table1[],4,FALSE))*Table4[[#This Row],[qty]]</f>
        <v>25</v>
      </c>
      <c r="G6437">
        <f t="shared" si="1118"/>
        <v>45</v>
      </c>
      <c r="H6437" t="s">
        <v>361</v>
      </c>
    </row>
    <row r="6438" spans="1:12" x14ac:dyDescent="0.25">
      <c r="A6438" s="1">
        <f t="shared" si="1111"/>
        <v>45589</v>
      </c>
      <c r="B6438" s="31">
        <f t="shared" ref="B6438:B6439" si="1122">TIME(14,6,0)</f>
        <v>0.58750000000000002</v>
      </c>
      <c r="C6438" t="str">
        <f>'Inventory as of 12th Aug 2024'!A33</f>
        <v>BB Bread 400g</v>
      </c>
      <c r="D6438">
        <v>1</v>
      </c>
      <c r="E6438" s="5">
        <f>Table4[[#This Row],[qty]]*(VLOOKUP(Table4[[#This Row],[item_sold]],Table1[],5,FALSE))</f>
        <v>65</v>
      </c>
      <c r="F6438" s="5">
        <f>(VLOOKUP(Table4[[#This Row],[item_sold]],Table1[],4,FALSE))*Table4[[#This Row],[qty]]</f>
        <v>60</v>
      </c>
      <c r="G6438">
        <f t="shared" si="1118"/>
        <v>5</v>
      </c>
      <c r="H6438" t="s">
        <v>361</v>
      </c>
    </row>
    <row r="6439" spans="1:12" x14ac:dyDescent="0.25">
      <c r="A6439" s="1">
        <f t="shared" si="1111"/>
        <v>45589</v>
      </c>
      <c r="B6439" s="31">
        <f t="shared" si="1122"/>
        <v>0.58750000000000002</v>
      </c>
      <c r="C6439" t="str">
        <f>'Inventory as of 12th Aug 2024'!A16</f>
        <v>Mt kenya milk 500ml</v>
      </c>
      <c r="D6439">
        <v>1</v>
      </c>
      <c r="E6439" s="5">
        <f>Table4[[#This Row],[qty]]*(VLOOKUP(Table4[[#This Row],[item_sold]],Table1[],5,FALSE))</f>
        <v>65</v>
      </c>
      <c r="F6439" s="5">
        <f>(VLOOKUP(Table4[[#This Row],[item_sold]],Table1[],4,FALSE))*Table4[[#This Row],[qty]]</f>
        <v>48.333333333333336</v>
      </c>
      <c r="G6439">
        <f t="shared" si="1118"/>
        <v>16.666666666666664</v>
      </c>
      <c r="H6439" t="s">
        <v>361</v>
      </c>
    </row>
    <row r="6440" spans="1:12" x14ac:dyDescent="0.25">
      <c r="A6440" s="1">
        <f t="shared" si="1111"/>
        <v>45589</v>
      </c>
      <c r="B6440" s="31">
        <f>TIME(14,7,0)</f>
        <v>0.58819444444444446</v>
      </c>
      <c r="C6440" t="str">
        <f>'Inventory as of 12th Aug 2024'!A272</f>
        <v>Soko Maize 1kg</v>
      </c>
      <c r="D6440">
        <v>1</v>
      </c>
      <c r="E6440" s="5">
        <f>Table4[[#This Row],[qty]]*(VLOOKUP(Table4[[#This Row],[item_sold]],Table1[],5,FALSE))</f>
        <v>90</v>
      </c>
      <c r="F6440" s="5">
        <f>(VLOOKUP(Table4[[#This Row],[item_sold]],Table1[],4,FALSE))*Table4[[#This Row],[qty]]</f>
        <v>60.625</v>
      </c>
      <c r="G6440">
        <f t="shared" si="1118"/>
        <v>29.375</v>
      </c>
      <c r="H6440" t="s">
        <v>430</v>
      </c>
      <c r="I6440" t="s">
        <v>615</v>
      </c>
    </row>
    <row r="6441" spans="1:12" x14ac:dyDescent="0.25">
      <c r="A6441" s="1">
        <f t="shared" si="1111"/>
        <v>45589</v>
      </c>
      <c r="B6441" s="31">
        <f t="shared" ref="B6441" si="1123">TIME(14,7,0)</f>
        <v>0.58819444444444446</v>
      </c>
      <c r="C6441" t="str">
        <f>'Inventory as of 12th Aug 2024'!A91</f>
        <v>Tomatoes</v>
      </c>
      <c r="D6441">
        <v>1</v>
      </c>
      <c r="E6441" s="5">
        <f>Table4[[#This Row],[qty]]*(VLOOKUP(Table4[[#This Row],[item_sold]],Table1[],5,FALSE))</f>
        <v>10</v>
      </c>
      <c r="F6441" s="5">
        <f>(VLOOKUP(Table4[[#This Row],[item_sold]],Table1[],4,FALSE))*Table4[[#This Row],[qty]]</f>
        <v>5</v>
      </c>
      <c r="G6441">
        <f t="shared" si="1118"/>
        <v>5</v>
      </c>
      <c r="H6441" t="s">
        <v>430</v>
      </c>
      <c r="I6441" t="s">
        <v>615</v>
      </c>
      <c r="J6441" t="s">
        <v>615</v>
      </c>
      <c r="K6441">
        <v>25</v>
      </c>
      <c r="L6441" t="s">
        <v>247</v>
      </c>
    </row>
    <row r="6442" spans="1:12" x14ac:dyDescent="0.25">
      <c r="A6442" s="1">
        <f t="shared" si="1111"/>
        <v>45589</v>
      </c>
      <c r="B6442" s="31">
        <f>TIME(14,11,0)</f>
        <v>0.59097222222222223</v>
      </c>
      <c r="C6442" t="str">
        <f>'Inventory as of 12th Aug 2024'!A271</f>
        <v>Star Cream Bisquit</v>
      </c>
      <c r="D6442">
        <v>2</v>
      </c>
      <c r="E6442" s="5">
        <f>Table4[[#This Row],[qty]]*(VLOOKUP(Table4[[#This Row],[item_sold]],Table1[],5,FALSE))</f>
        <v>10</v>
      </c>
      <c r="F6442" s="5">
        <f>(VLOOKUP(Table4[[#This Row],[item_sold]],Table1[],4,FALSE))*Table4[[#This Row],[qty]]</f>
        <v>8.4666666666666668</v>
      </c>
      <c r="G6442">
        <f t="shared" si="1118"/>
        <v>1.5333333333333332</v>
      </c>
      <c r="H6442" t="s">
        <v>247</v>
      </c>
    </row>
    <row r="6443" spans="1:12" x14ac:dyDescent="0.25">
      <c r="A6443" s="1">
        <f t="shared" si="1111"/>
        <v>45589</v>
      </c>
      <c r="B6443" s="31">
        <f t="shared" ref="B6443" si="1124">TIME(14,11,0)</f>
        <v>0.59097222222222223</v>
      </c>
      <c r="C6443" t="str">
        <f>'Inventory as of 12th Aug 2024'!A81</f>
        <v>ariel 75g</v>
      </c>
      <c r="D6443">
        <v>2</v>
      </c>
      <c r="E6443" s="5">
        <f>Table4[[#This Row],[qty]]*(VLOOKUP(Table4[[#This Row],[item_sold]],Table1[],5,FALSE))</f>
        <v>70</v>
      </c>
      <c r="F6443" s="5">
        <f>(VLOOKUP(Table4[[#This Row],[item_sold]],Table1[],4,FALSE))*Table4[[#This Row],[qty]]</f>
        <v>55</v>
      </c>
      <c r="G6443">
        <f t="shared" si="1118"/>
        <v>15</v>
      </c>
      <c r="H6443" t="s">
        <v>430</v>
      </c>
      <c r="I6443" t="s">
        <v>409</v>
      </c>
    </row>
    <row r="6444" spans="1:12" x14ac:dyDescent="0.25">
      <c r="A6444" s="1">
        <f t="shared" si="1111"/>
        <v>45589</v>
      </c>
      <c r="B6444" s="31">
        <f>TIME(14,29,0)</f>
        <v>0.60347222222222219</v>
      </c>
      <c r="C6444" t="str">
        <f>'Inventory as of 12th Aug 2024'!A213</f>
        <v>soda 500ml glass</v>
      </c>
      <c r="D6444">
        <v>1</v>
      </c>
      <c r="E6444" s="5">
        <f>Table4[[#This Row],[qty]]*(VLOOKUP(Table4[[#This Row],[item_sold]],Table1[],5,FALSE))</f>
        <v>55</v>
      </c>
      <c r="F6444" s="5">
        <f>(VLOOKUP(Table4[[#This Row],[item_sold]],Table1[],4,FALSE))*Table4[[#This Row],[qty]]</f>
        <v>50</v>
      </c>
      <c r="G6444">
        <f t="shared" si="1118"/>
        <v>5</v>
      </c>
      <c r="H6444" t="s">
        <v>430</v>
      </c>
      <c r="I6444" t="s">
        <v>419</v>
      </c>
    </row>
    <row r="6445" spans="1:12" x14ac:dyDescent="0.25">
      <c r="A6445" s="1">
        <f t="shared" si="1111"/>
        <v>45589</v>
      </c>
      <c r="B6445" s="31">
        <f t="shared" ref="B6445" si="1125">TIME(14,29,0)</f>
        <v>0.60347222222222219</v>
      </c>
      <c r="C6445" t="str">
        <f>'Inventory as of 12th Aug 2024'!A200</f>
        <v>Ngumu</v>
      </c>
      <c r="D6445">
        <v>6</v>
      </c>
      <c r="E6445" s="5">
        <f>Table4[[#This Row],[qty]]*(VLOOKUP(Table4[[#This Row],[item_sold]],Table1[],5,FALSE))</f>
        <v>60</v>
      </c>
      <c r="F6445" s="5">
        <f>(VLOOKUP(Table4[[#This Row],[item_sold]],Table1[],4,FALSE))*Table4[[#This Row],[qty]]</f>
        <v>50</v>
      </c>
      <c r="G6445">
        <f t="shared" si="1118"/>
        <v>10</v>
      </c>
      <c r="H6445" t="s">
        <v>430</v>
      </c>
      <c r="I6445" t="s">
        <v>419</v>
      </c>
    </row>
    <row r="6446" spans="1:12" x14ac:dyDescent="0.25">
      <c r="A6446" s="1">
        <f t="shared" si="1111"/>
        <v>45589</v>
      </c>
      <c r="B6446" s="31">
        <f>TIME(14,46,0)</f>
        <v>0.61527777777777781</v>
      </c>
      <c r="C6446" t="str">
        <f>'Inventory as of 12th Aug 2024'!A81</f>
        <v>ariel 75g</v>
      </c>
      <c r="D6446">
        <v>1</v>
      </c>
      <c r="E6446" s="5">
        <f>Table4[[#This Row],[qty]]*(VLOOKUP(Table4[[#This Row],[item_sold]],Table1[],5,FALSE))</f>
        <v>35</v>
      </c>
      <c r="F6446" s="5">
        <f>(VLOOKUP(Table4[[#This Row],[item_sold]],Table1[],4,FALSE))*Table4[[#This Row],[qty]]</f>
        <v>27.5</v>
      </c>
      <c r="G6446">
        <f t="shared" si="1118"/>
        <v>7.5</v>
      </c>
      <c r="H6446" t="s">
        <v>247</v>
      </c>
    </row>
    <row r="6447" spans="1:12" x14ac:dyDescent="0.25">
      <c r="A6447" s="1">
        <f t="shared" si="1111"/>
        <v>45589</v>
      </c>
      <c r="B6447" s="31">
        <f t="shared" ref="B6447:B6450" si="1126">TIME(14,46,0)</f>
        <v>0.61527777777777781</v>
      </c>
      <c r="C6447" t="str">
        <f>'Inventory as of 12th Aug 2024'!A213</f>
        <v>soda 500ml glass</v>
      </c>
      <c r="D6447">
        <v>1</v>
      </c>
      <c r="E6447" s="5">
        <f>Table4[[#This Row],[qty]]*(VLOOKUP(Table4[[#This Row],[item_sold]],Table1[],5,FALSE))</f>
        <v>55</v>
      </c>
      <c r="F6447" s="5">
        <f>(VLOOKUP(Table4[[#This Row],[item_sold]],Table1[],4,FALSE))*Table4[[#This Row],[qty]]</f>
        <v>50</v>
      </c>
      <c r="G6447">
        <f t="shared" si="1118"/>
        <v>5</v>
      </c>
      <c r="H6447" t="s">
        <v>430</v>
      </c>
      <c r="I6447" t="s">
        <v>419</v>
      </c>
    </row>
    <row r="6448" spans="1:12" x14ac:dyDescent="0.25">
      <c r="A6448" s="1">
        <f t="shared" si="1111"/>
        <v>45589</v>
      </c>
      <c r="B6448" s="31">
        <f t="shared" si="1126"/>
        <v>0.61527777777777781</v>
      </c>
      <c r="C6448" t="str">
        <f>'Inventory as of 12th Aug 2024'!A212</f>
        <v>soda 300ml glass</v>
      </c>
      <c r="D6448">
        <v>1</v>
      </c>
      <c r="E6448" s="5">
        <f>Table4[[#This Row],[qty]]*(VLOOKUP(Table4[[#This Row],[item_sold]],Table1[],5,FALSE))</f>
        <v>40</v>
      </c>
      <c r="F6448" s="5">
        <f>(VLOOKUP(Table4[[#This Row],[item_sold]],Table1[],4,FALSE))*Table4[[#This Row],[qty]]</f>
        <v>32.5</v>
      </c>
      <c r="G6448">
        <f t="shared" si="1118"/>
        <v>7.5</v>
      </c>
      <c r="H6448" t="s">
        <v>430</v>
      </c>
      <c r="I6448" t="s">
        <v>419</v>
      </c>
    </row>
    <row r="6449" spans="1:9" x14ac:dyDescent="0.25">
      <c r="A6449" s="1">
        <f t="shared" si="1111"/>
        <v>45589</v>
      </c>
      <c r="B6449" s="31">
        <f t="shared" si="1126"/>
        <v>0.61527777777777781</v>
      </c>
      <c r="C6449" t="str">
        <f>'Inventory as of 12th Aug 2024'!A199</f>
        <v>Kdf</v>
      </c>
      <c r="D6449">
        <v>4</v>
      </c>
      <c r="E6449" s="5">
        <f>Table4[[#This Row],[qty]]*(VLOOKUP(Table4[[#This Row],[item_sold]],Table1[],5,FALSE))</f>
        <v>40</v>
      </c>
      <c r="F6449" s="5">
        <f>(VLOOKUP(Table4[[#This Row],[item_sold]],Table1[],4,FALSE))*Table4[[#This Row],[qty]]</f>
        <v>33.333333333333336</v>
      </c>
      <c r="G6449">
        <f t="shared" si="1118"/>
        <v>6.6666666666666643</v>
      </c>
      <c r="H6449" t="s">
        <v>430</v>
      </c>
      <c r="I6449" t="s">
        <v>419</v>
      </c>
    </row>
    <row r="6450" spans="1:9" x14ac:dyDescent="0.25">
      <c r="A6450" s="1">
        <f t="shared" si="1111"/>
        <v>45589</v>
      </c>
      <c r="B6450" s="31">
        <f t="shared" si="1126"/>
        <v>0.61527777777777781</v>
      </c>
      <c r="C6450" t="str">
        <f>'Inventory as of 12th Aug 2024'!A246</f>
        <v>300ml water</v>
      </c>
      <c r="D6450">
        <v>1</v>
      </c>
      <c r="E6450" s="5">
        <f>Table4[[#This Row],[qty]]*(VLOOKUP(Table4[[#This Row],[item_sold]],Table1[],5,FALSE))</f>
        <v>30</v>
      </c>
      <c r="F6450" s="5">
        <f>(VLOOKUP(Table4[[#This Row],[item_sold]],Table1[],4,FALSE))*Table4[[#This Row],[qty]]</f>
        <v>12.5</v>
      </c>
      <c r="G6450">
        <f t="shared" si="1118"/>
        <v>17.5</v>
      </c>
      <c r="H6450" t="s">
        <v>430</v>
      </c>
      <c r="I6450" t="s">
        <v>419</v>
      </c>
    </row>
    <row r="6451" spans="1:9" x14ac:dyDescent="0.25">
      <c r="A6451" s="1">
        <f t="shared" si="1111"/>
        <v>45589</v>
      </c>
      <c r="B6451" s="31">
        <f>TIME(15,38,0)</f>
        <v>0.65138888888888891</v>
      </c>
      <c r="C6451" t="str">
        <f>'Inventory as of 12th Aug 2024'!A58</f>
        <v>Safari</v>
      </c>
      <c r="D6451">
        <v>1</v>
      </c>
      <c r="E6451" s="5">
        <f>Table4[[#This Row],[qty]]*(VLOOKUP(Table4[[#This Row],[item_sold]],Table1[],5,FALSE))</f>
        <v>15</v>
      </c>
      <c r="F6451" s="5">
        <f>(VLOOKUP(Table4[[#This Row],[item_sold]],Table1[],4,FALSE))*Table4[[#This Row],[qty]]</f>
        <v>8.5</v>
      </c>
      <c r="G6451">
        <f t="shared" si="1118"/>
        <v>6.5</v>
      </c>
      <c r="H6451" t="s">
        <v>361</v>
      </c>
    </row>
    <row r="6452" spans="1:9" x14ac:dyDescent="0.25">
      <c r="A6452" s="1">
        <f t="shared" si="1111"/>
        <v>45589</v>
      </c>
      <c r="B6452" s="31">
        <f t="shared" ref="B6452:B6454" si="1127">TIME(15,38,0)</f>
        <v>0.65138888888888891</v>
      </c>
      <c r="C6452" t="str">
        <f>'Inventory as of 12th Aug 2024'!A177</f>
        <v>Ringoz Barbeque</v>
      </c>
      <c r="D6452">
        <v>1</v>
      </c>
      <c r="E6452" s="5">
        <f>Table4[[#This Row],[qty]]*(VLOOKUP(Table4[[#This Row],[item_sold]],Table1[],5,FALSE))</f>
        <v>15</v>
      </c>
      <c r="F6452" s="5">
        <f>(VLOOKUP(Table4[[#This Row],[item_sold]],Table1[],4,FALSE))*Table4[[#This Row],[qty]]</f>
        <v>8.6</v>
      </c>
      <c r="G6452">
        <f t="shared" si="1118"/>
        <v>6.4</v>
      </c>
      <c r="H6452" t="s">
        <v>247</v>
      </c>
    </row>
    <row r="6453" spans="1:9" x14ac:dyDescent="0.25">
      <c r="A6453" s="1">
        <f t="shared" si="1111"/>
        <v>45589</v>
      </c>
      <c r="B6453" s="31">
        <f t="shared" si="1127"/>
        <v>0.65138888888888891</v>
      </c>
      <c r="C6453" t="str">
        <f>'Inventory as of 12th Aug 2024'!A243</f>
        <v>Ballon</v>
      </c>
      <c r="D6453">
        <v>1</v>
      </c>
      <c r="E6453" s="5">
        <f>Table4[[#This Row],[qty]]*(VLOOKUP(Table4[[#This Row],[item_sold]],Table1[],5,FALSE))</f>
        <v>10</v>
      </c>
      <c r="F6453" s="5">
        <f>(VLOOKUP(Table4[[#This Row],[item_sold]],Table1[],4,FALSE))*Table4[[#This Row],[qty]]</f>
        <v>7.5</v>
      </c>
      <c r="G6453">
        <f t="shared" si="1118"/>
        <v>2.5</v>
      </c>
      <c r="H6453" t="s">
        <v>247</v>
      </c>
    </row>
    <row r="6454" spans="1:9" x14ac:dyDescent="0.25">
      <c r="A6454" s="1">
        <f t="shared" si="1111"/>
        <v>45589</v>
      </c>
      <c r="B6454" s="31">
        <f t="shared" si="1127"/>
        <v>0.65138888888888891</v>
      </c>
      <c r="C6454" t="str">
        <f>'Inventory as of 12th Aug 2024'!A271</f>
        <v>Star Cream Bisquit</v>
      </c>
      <c r="D6454">
        <v>1</v>
      </c>
      <c r="E6454" s="5">
        <f>Table4[[#This Row],[qty]]*(VLOOKUP(Table4[[#This Row],[item_sold]],Table1[],5,FALSE))</f>
        <v>5</v>
      </c>
      <c r="F6454" s="5">
        <f>(VLOOKUP(Table4[[#This Row],[item_sold]],Table1[],4,FALSE))*Table4[[#This Row],[qty]]</f>
        <v>4.2333333333333334</v>
      </c>
      <c r="G6454">
        <f t="shared" si="1118"/>
        <v>0.76666666666666661</v>
      </c>
      <c r="H6454" t="s">
        <v>247</v>
      </c>
    </row>
    <row r="6455" spans="1:9" x14ac:dyDescent="0.25">
      <c r="A6455" s="1">
        <f t="shared" si="1111"/>
        <v>45589</v>
      </c>
      <c r="B6455" s="31">
        <f>TIME(15,48,0)</f>
        <v>0.65833333333333333</v>
      </c>
      <c r="C6455" t="str">
        <f>'Inventory as of 12th Aug 2024'!A57</f>
        <v>Sportsman</v>
      </c>
      <c r="D6455">
        <v>1</v>
      </c>
      <c r="E6455" s="5">
        <f>Table4[[#This Row],[qty]]*(VLOOKUP(Table4[[#This Row],[item_sold]],Table1[],5,FALSE))</f>
        <v>20</v>
      </c>
      <c r="F6455" s="5">
        <f>(VLOOKUP(Table4[[#This Row],[item_sold]],Table1[],4,FALSE))*Table4[[#This Row],[qty]]</f>
        <v>13</v>
      </c>
      <c r="G6455">
        <f t="shared" si="1118"/>
        <v>7</v>
      </c>
      <c r="H6455" t="s">
        <v>247</v>
      </c>
    </row>
    <row r="6456" spans="1:9" x14ac:dyDescent="0.25">
      <c r="A6456" s="1">
        <f t="shared" si="1111"/>
        <v>45589</v>
      </c>
      <c r="B6456" s="31">
        <f>TIME(15,48,0)</f>
        <v>0.65833333333333333</v>
      </c>
      <c r="C6456" t="str">
        <f>'Inventory as of 12th Aug 2024'!A232</f>
        <v>coo</v>
      </c>
      <c r="D6456">
        <v>4</v>
      </c>
      <c r="E6456" s="5">
        <f>Table4[[#This Row],[qty]]*(VLOOKUP(Table4[[#This Row],[item_sold]],Table1[],5,FALSE))</f>
        <v>10</v>
      </c>
      <c r="F6456" s="5">
        <f>(VLOOKUP(Table4[[#This Row],[item_sold]],Table1[],4,FALSE))*Table4[[#This Row],[qty]]</f>
        <v>4.8</v>
      </c>
      <c r="G6456">
        <f t="shared" si="1118"/>
        <v>5.2</v>
      </c>
      <c r="H6456" t="s">
        <v>361</v>
      </c>
    </row>
    <row r="6457" spans="1:9" x14ac:dyDescent="0.25">
      <c r="A6457" s="1">
        <f t="shared" si="1111"/>
        <v>45589</v>
      </c>
      <c r="B6457" s="31">
        <f>TIME(16,40,0)</f>
        <v>0.69444444444444453</v>
      </c>
      <c r="C6457" t="str">
        <f>'Inventory as of 12th Aug 2024'!A121</f>
        <v>Panadol Extra</v>
      </c>
      <c r="D6457">
        <v>1</v>
      </c>
      <c r="E6457" s="5">
        <f>Table4[[#This Row],[qty]]*(VLOOKUP(Table4[[#This Row],[item_sold]],Table1[],5,FALSE))</f>
        <v>20</v>
      </c>
      <c r="F6457" s="5">
        <f>(VLOOKUP(Table4[[#This Row],[item_sold]],Table1[],4,FALSE))*Table4[[#This Row],[qty]]</f>
        <v>13</v>
      </c>
      <c r="G6457">
        <f t="shared" si="1118"/>
        <v>7</v>
      </c>
      <c r="H6457" t="s">
        <v>361</v>
      </c>
    </row>
    <row r="6458" spans="1:9" x14ac:dyDescent="0.25">
      <c r="A6458" s="1">
        <f t="shared" si="1111"/>
        <v>45589</v>
      </c>
      <c r="B6458" s="31">
        <f t="shared" ref="B6458:B6459" si="1128">TIME(16,40,0)</f>
        <v>0.69444444444444453</v>
      </c>
      <c r="C6458" t="str">
        <f>'Inventory as of 12th Aug 2024'!A192</f>
        <v>Lemon Bisquit</v>
      </c>
      <c r="D6458">
        <v>2</v>
      </c>
      <c r="E6458" s="5">
        <f>Table4[[#This Row],[qty]]*(VLOOKUP(Table4[[#This Row],[item_sold]],Table1[],5,FALSE))</f>
        <v>10</v>
      </c>
      <c r="F6458" s="5">
        <f>(VLOOKUP(Table4[[#This Row],[item_sold]],Table1[],4,FALSE))*Table4[[#This Row],[qty]]</f>
        <v>8.6666666666666661</v>
      </c>
      <c r="G6458">
        <f t="shared" si="1118"/>
        <v>1.3333333333333339</v>
      </c>
      <c r="H6458" t="s">
        <v>247</v>
      </c>
    </row>
    <row r="6459" spans="1:9" x14ac:dyDescent="0.25">
      <c r="A6459" s="1">
        <f t="shared" si="1111"/>
        <v>45589</v>
      </c>
      <c r="B6459" s="31">
        <f t="shared" si="1128"/>
        <v>0.69444444444444453</v>
      </c>
      <c r="C6459" t="str">
        <f>'Inventory as of 12th Aug 2024'!A234</f>
        <v>Bigdaddy</v>
      </c>
      <c r="D6459">
        <v>1</v>
      </c>
      <c r="E6459" s="5">
        <f>Table4[[#This Row],[qty]]*(VLOOKUP(Table4[[#This Row],[item_sold]],Table1[],5,FALSE))</f>
        <v>10</v>
      </c>
      <c r="F6459" s="5">
        <f>(VLOOKUP(Table4[[#This Row],[item_sold]],Table1[],4,FALSE))*Table4[[#This Row],[qty]]</f>
        <v>6</v>
      </c>
      <c r="G6459">
        <f t="shared" si="1118"/>
        <v>4</v>
      </c>
      <c r="H6459" t="s">
        <v>247</v>
      </c>
    </row>
    <row r="6460" spans="1:9" x14ac:dyDescent="0.25">
      <c r="A6460" s="1">
        <f t="shared" si="1111"/>
        <v>45589</v>
      </c>
      <c r="B6460" s="31">
        <f>TIME(16,45,0)</f>
        <v>0.69791666666666663</v>
      </c>
      <c r="C6460" t="str">
        <f>'Inventory as of 12th Aug 2024'!A199</f>
        <v>Kdf</v>
      </c>
      <c r="D6460">
        <v>2</v>
      </c>
      <c r="E6460" s="5">
        <f>Table4[[#This Row],[qty]]*(VLOOKUP(Table4[[#This Row],[item_sold]],Table1[],5,FALSE))</f>
        <v>20</v>
      </c>
      <c r="F6460" s="5">
        <f>(VLOOKUP(Table4[[#This Row],[item_sold]],Table1[],4,FALSE))*Table4[[#This Row],[qty]]</f>
        <v>16.666666666666668</v>
      </c>
      <c r="G6460">
        <f t="shared" si="1118"/>
        <v>3.3333333333333321</v>
      </c>
      <c r="H6460" t="s">
        <v>247</v>
      </c>
    </row>
    <row r="6461" spans="1:9" x14ac:dyDescent="0.25">
      <c r="A6461" s="1">
        <f t="shared" si="1111"/>
        <v>45589</v>
      </c>
      <c r="B6461" s="31">
        <f t="shared" ref="B6461" si="1129">TIME(16,45,0)</f>
        <v>0.69791666666666663</v>
      </c>
      <c r="C6461" t="str">
        <f>'Inventory as of 12th Aug 2024'!A200</f>
        <v>Ngumu</v>
      </c>
      <c r="D6461">
        <v>2</v>
      </c>
      <c r="E6461" s="5">
        <f>Table4[[#This Row],[qty]]*(VLOOKUP(Table4[[#This Row],[item_sold]],Table1[],5,FALSE))</f>
        <v>20</v>
      </c>
      <c r="F6461" s="5">
        <f>(VLOOKUP(Table4[[#This Row],[item_sold]],Table1[],4,FALSE))*Table4[[#This Row],[qty]]</f>
        <v>16.666666666666668</v>
      </c>
      <c r="G6461">
        <f t="shared" si="1118"/>
        <v>3.3333333333333321</v>
      </c>
      <c r="H6461" t="s">
        <v>247</v>
      </c>
    </row>
    <row r="6462" spans="1:9" x14ac:dyDescent="0.25">
      <c r="A6462" s="1">
        <f t="shared" si="1111"/>
        <v>45589</v>
      </c>
      <c r="B6462" s="31">
        <f>TIME(17,18,0)</f>
        <v>0.72083333333333333</v>
      </c>
      <c r="C6462" t="str">
        <f>'Inventory as of 12th Aug 2024'!A75</f>
        <v>Cooking Oil Measured</v>
      </c>
      <c r="D6462">
        <v>0.25</v>
      </c>
      <c r="E6462" s="5">
        <f>Table4[[#This Row],[qty]]*(VLOOKUP(Table4[[#This Row],[item_sold]],Table1[],5,FALSE))</f>
        <v>70</v>
      </c>
      <c r="F6462" s="5">
        <f>(VLOOKUP(Table4[[#This Row],[item_sold]],Table1[],4,FALSE))*Table4[[#This Row],[qty]]</f>
        <v>50</v>
      </c>
      <c r="G6462">
        <f t="shared" si="1118"/>
        <v>20</v>
      </c>
      <c r="H6462" t="s">
        <v>247</v>
      </c>
    </row>
    <row r="6463" spans="1:9" x14ac:dyDescent="0.25">
      <c r="A6463" s="1">
        <f t="shared" si="1111"/>
        <v>45589</v>
      </c>
      <c r="B6463" s="31">
        <f t="shared" ref="B6463:B6464" si="1130">TIME(17,18,0)</f>
        <v>0.72083333333333333</v>
      </c>
      <c r="C6463" t="str">
        <f>'Inventory as of 12th Aug 2024'!A271</f>
        <v>Star Cream Bisquit</v>
      </c>
      <c r="D6463">
        <v>1</v>
      </c>
      <c r="E6463" s="5">
        <f>Table4[[#This Row],[qty]]*(VLOOKUP(Table4[[#This Row],[item_sold]],Table1[],5,FALSE))</f>
        <v>5</v>
      </c>
      <c r="F6463" s="5">
        <f>(VLOOKUP(Table4[[#This Row],[item_sold]],Table1[],4,FALSE))*Table4[[#This Row],[qty]]</f>
        <v>4.2333333333333334</v>
      </c>
      <c r="G6463">
        <f t="shared" si="1118"/>
        <v>0.76666666666666661</v>
      </c>
      <c r="H6463" t="s">
        <v>247</v>
      </c>
    </row>
    <row r="6464" spans="1:9" x14ac:dyDescent="0.25">
      <c r="A6464" s="1">
        <f t="shared" ref="A6464:A6476" si="1131">DATE(2024,10,24)</f>
        <v>45589</v>
      </c>
      <c r="B6464" s="31">
        <f t="shared" si="1130"/>
        <v>0.72083333333333333</v>
      </c>
      <c r="C6464" t="str">
        <f>'Inventory as of 12th Aug 2024'!A199</f>
        <v>Kdf</v>
      </c>
      <c r="D6464">
        <v>1</v>
      </c>
      <c r="E6464" s="5">
        <f>Table4[[#This Row],[qty]]*(VLOOKUP(Table4[[#This Row],[item_sold]],Table1[],5,FALSE))</f>
        <v>10</v>
      </c>
      <c r="F6464" s="5">
        <f>(VLOOKUP(Table4[[#This Row],[item_sold]],Table1[],4,FALSE))*Table4[[#This Row],[qty]]</f>
        <v>8.3333333333333339</v>
      </c>
      <c r="G6464">
        <f t="shared" si="1118"/>
        <v>1.6666666666666661</v>
      </c>
      <c r="H6464" t="s">
        <v>430</v>
      </c>
      <c r="I6464" t="s">
        <v>390</v>
      </c>
    </row>
    <row r="6465" spans="1:9" x14ac:dyDescent="0.25">
      <c r="A6465" s="1">
        <f t="shared" si="1131"/>
        <v>45589</v>
      </c>
      <c r="B6465" s="31">
        <f>TIME(17,58,0)</f>
        <v>0.74861111111111101</v>
      </c>
      <c r="C6465" t="str">
        <f>'Inventory as of 12th Aug 2024'!A58</f>
        <v>Safari</v>
      </c>
      <c r="D6465">
        <v>1</v>
      </c>
      <c r="E6465" s="5">
        <f>Table4[[#This Row],[qty]]*(VLOOKUP(Table4[[#This Row],[item_sold]],Table1[],5,FALSE))</f>
        <v>15</v>
      </c>
      <c r="F6465" s="5">
        <f>(VLOOKUP(Table4[[#This Row],[item_sold]],Table1[],4,FALSE))*Table4[[#This Row],[qty]]</f>
        <v>8.5</v>
      </c>
      <c r="G6465">
        <f t="shared" si="1118"/>
        <v>6.5</v>
      </c>
      <c r="H6465" t="s">
        <v>361</v>
      </c>
    </row>
    <row r="6466" spans="1:9" x14ac:dyDescent="0.25">
      <c r="A6466" s="1">
        <f t="shared" si="1131"/>
        <v>45589</v>
      </c>
      <c r="B6466" s="31">
        <f t="shared" ref="B6466:B6467" si="1132">TIME(17,58,0)</f>
        <v>0.74861111111111101</v>
      </c>
      <c r="C6466" t="str">
        <f>'Inventory as of 12th Aug 2024'!A211</f>
        <v>predator</v>
      </c>
      <c r="D6466">
        <v>1</v>
      </c>
      <c r="E6466" s="5">
        <f>Table4[[#This Row],[qty]]*(VLOOKUP(Table4[[#This Row],[item_sold]],Table1[],5,FALSE))</f>
        <v>70</v>
      </c>
      <c r="F6466" s="5">
        <f>(VLOOKUP(Table4[[#This Row],[item_sold]],Table1[],4,FALSE))*Table4[[#This Row],[qty]]</f>
        <v>54.166666666666664</v>
      </c>
      <c r="G6466">
        <f t="shared" si="1118"/>
        <v>15.833333333333336</v>
      </c>
      <c r="H6466" t="s">
        <v>361</v>
      </c>
    </row>
    <row r="6467" spans="1:9" x14ac:dyDescent="0.25">
      <c r="A6467" s="1">
        <f t="shared" si="1131"/>
        <v>45589</v>
      </c>
      <c r="B6467" s="31">
        <f t="shared" si="1132"/>
        <v>0.74861111111111101</v>
      </c>
      <c r="C6467" t="str">
        <f>'Inventory as of 12th Aug 2024'!A120</f>
        <v>Maramoja</v>
      </c>
      <c r="D6467">
        <v>3</v>
      </c>
      <c r="E6467" s="5">
        <f>Table4[[#This Row],[qty]]*(VLOOKUP(Table4[[#This Row],[item_sold]],Table1[],5,FALSE))</f>
        <v>30</v>
      </c>
      <c r="F6467" s="5">
        <f>(VLOOKUP(Table4[[#This Row],[item_sold]],Table1[],4,FALSE))*Table4[[#This Row],[qty]]</f>
        <v>21</v>
      </c>
      <c r="G6467">
        <f t="shared" si="1118"/>
        <v>9</v>
      </c>
      <c r="H6467" t="s">
        <v>361</v>
      </c>
    </row>
    <row r="6468" spans="1:9" x14ac:dyDescent="0.25">
      <c r="A6468" s="1">
        <f t="shared" si="1131"/>
        <v>45589</v>
      </c>
      <c r="B6468" s="31">
        <f>TIME(18,12,0)</f>
        <v>0.7583333333333333</v>
      </c>
      <c r="C6468" t="str">
        <f>'Inventory as of 12th Aug 2024'!A58</f>
        <v>Safari</v>
      </c>
      <c r="D6468">
        <v>3</v>
      </c>
      <c r="E6468" s="5">
        <f>Table4[[#This Row],[qty]]*(VLOOKUP(Table4[[#This Row],[item_sold]],Table1[],5,FALSE))</f>
        <v>45</v>
      </c>
      <c r="F6468" s="5">
        <f>(VLOOKUP(Table4[[#This Row],[item_sold]],Table1[],4,FALSE))*Table4[[#This Row],[qty]]</f>
        <v>25.5</v>
      </c>
      <c r="G6468">
        <f t="shared" si="1118"/>
        <v>19.5</v>
      </c>
      <c r="H6468" t="s">
        <v>361</v>
      </c>
    </row>
    <row r="6469" spans="1:9" x14ac:dyDescent="0.25">
      <c r="A6469" s="1">
        <f t="shared" si="1131"/>
        <v>45589</v>
      </c>
      <c r="B6469" s="31">
        <f t="shared" ref="B6469" si="1133">TIME(18,12,0)</f>
        <v>0.7583333333333333</v>
      </c>
      <c r="C6469" t="str">
        <f>'Inventory as of 12th Aug 2024'!A5</f>
        <v>Airtel 20 Credit</v>
      </c>
      <c r="D6469">
        <v>1</v>
      </c>
      <c r="E6469" s="5">
        <f>Table4[[#This Row],[qty]]*(VLOOKUP(Table4[[#This Row],[item_sold]],Table1[],5,FALSE))</f>
        <v>20</v>
      </c>
      <c r="F6469" s="5">
        <f>(VLOOKUP(Table4[[#This Row],[item_sold]],Table1[],4,FALSE))*Table4[[#This Row],[qty]]</f>
        <v>18</v>
      </c>
      <c r="G6469">
        <f t="shared" si="1118"/>
        <v>2</v>
      </c>
      <c r="H6469" t="s">
        <v>247</v>
      </c>
    </row>
    <row r="6470" spans="1:9" x14ac:dyDescent="0.25">
      <c r="A6470" s="1">
        <f t="shared" si="1131"/>
        <v>45589</v>
      </c>
      <c r="B6470" s="31">
        <f>TIME(18,44,0)</f>
        <v>0.78055555555555556</v>
      </c>
      <c r="C6470" t="str">
        <f>'Inventory as of 12th Aug 2024'!A70</f>
        <v>Sugar 1/2 kg</v>
      </c>
      <c r="D6470">
        <v>1</v>
      </c>
      <c r="E6470" s="5">
        <f>Table4[[#This Row],[qty]]*(VLOOKUP(Table4[[#This Row],[item_sold]],Table1[],5,FALSE))</f>
        <v>90</v>
      </c>
      <c r="F6470" s="5">
        <f>(VLOOKUP(Table4[[#This Row],[item_sold]],Table1[],4,FALSE))*Table4[[#This Row],[qty]]</f>
        <v>60</v>
      </c>
      <c r="G6470">
        <f t="shared" si="1118"/>
        <v>30</v>
      </c>
      <c r="H6470" t="s">
        <v>361</v>
      </c>
    </row>
    <row r="6471" spans="1:9" x14ac:dyDescent="0.25">
      <c r="A6471" s="1">
        <f t="shared" si="1131"/>
        <v>45589</v>
      </c>
      <c r="B6471" s="31">
        <f t="shared" ref="B6471:B6476" si="1134">TIME(18,44,0)</f>
        <v>0.78055555555555556</v>
      </c>
      <c r="C6471" t="str">
        <f>'Inventory as of 12th Aug 2024'!A91</f>
        <v>Tomatoes</v>
      </c>
      <c r="D6471">
        <v>2</v>
      </c>
      <c r="E6471" s="5">
        <f>Table4[[#This Row],[qty]]*(VLOOKUP(Table4[[#This Row],[item_sold]],Table1[],5,FALSE))</f>
        <v>20</v>
      </c>
      <c r="F6471" s="5">
        <f>(VLOOKUP(Table4[[#This Row],[item_sold]],Table1[],4,FALSE))*Table4[[#This Row],[qty]]</f>
        <v>10</v>
      </c>
      <c r="G6471">
        <f t="shared" si="1118"/>
        <v>10</v>
      </c>
      <c r="H6471" t="s">
        <v>361</v>
      </c>
    </row>
    <row r="6472" spans="1:9" x14ac:dyDescent="0.25">
      <c r="A6472" s="1">
        <f t="shared" si="1131"/>
        <v>45589</v>
      </c>
      <c r="B6472" s="31">
        <f t="shared" si="1134"/>
        <v>0.78055555555555556</v>
      </c>
      <c r="C6472" t="str">
        <f>'Inventory as of 12th Aug 2024'!A33</f>
        <v>BB Bread 400g</v>
      </c>
      <c r="D6472">
        <v>2</v>
      </c>
      <c r="E6472" s="5">
        <f>Table4[[#This Row],[qty]]*(VLOOKUP(Table4[[#This Row],[item_sold]],Table1[],5,FALSE))</f>
        <v>130</v>
      </c>
      <c r="F6472" s="5">
        <f>(VLOOKUP(Table4[[#This Row],[item_sold]],Table1[],4,FALSE))*Table4[[#This Row],[qty]]</f>
        <v>120</v>
      </c>
      <c r="G6472">
        <f t="shared" si="1118"/>
        <v>10</v>
      </c>
      <c r="H6472" t="s">
        <v>430</v>
      </c>
      <c r="I6472" t="s">
        <v>394</v>
      </c>
    </row>
    <row r="6473" spans="1:9" x14ac:dyDescent="0.25">
      <c r="A6473" s="1">
        <f t="shared" si="1131"/>
        <v>45589</v>
      </c>
      <c r="B6473" s="31">
        <f t="shared" si="1134"/>
        <v>0.78055555555555556</v>
      </c>
      <c r="C6473" t="str">
        <f>'Inventory as of 12th Aug 2024'!A68</f>
        <v>Royco cubes</v>
      </c>
      <c r="D6473">
        <v>1</v>
      </c>
      <c r="E6473" s="5">
        <f>Table4[[#This Row],[qty]]*(VLOOKUP(Table4[[#This Row],[item_sold]],Table1[],5,FALSE))</f>
        <v>5</v>
      </c>
      <c r="F6473" s="5">
        <f>(VLOOKUP(Table4[[#This Row],[item_sold]],Table1[],4,FALSE))*Table4[[#This Row],[qty]]</f>
        <v>3</v>
      </c>
      <c r="G6473">
        <f t="shared" si="1118"/>
        <v>2</v>
      </c>
      <c r="H6473" t="s">
        <v>430</v>
      </c>
      <c r="I6473" t="s">
        <v>394</v>
      </c>
    </row>
    <row r="6474" spans="1:9" x14ac:dyDescent="0.25">
      <c r="A6474" s="1">
        <f t="shared" si="1131"/>
        <v>45589</v>
      </c>
      <c r="B6474" s="31">
        <f t="shared" si="1134"/>
        <v>0.78055555555555556</v>
      </c>
      <c r="C6474" t="str">
        <f>'Inventory as of 12th Aug 2024'!A69</f>
        <v>Royco Beef Mchuzi Mix</v>
      </c>
      <c r="D6474">
        <v>1</v>
      </c>
      <c r="E6474" s="5">
        <f>Table4[[#This Row],[qty]]*(VLOOKUP(Table4[[#This Row],[item_sold]],Table1[],5,FALSE))</f>
        <v>10</v>
      </c>
      <c r="F6474" s="5">
        <f>(VLOOKUP(Table4[[#This Row],[item_sold]],Table1[],4,FALSE))*Table4[[#This Row],[qty]]</f>
        <v>8.3333333333333339</v>
      </c>
      <c r="G6474">
        <f t="shared" si="1118"/>
        <v>1.6666666666666661</v>
      </c>
      <c r="H6474" t="s">
        <v>430</v>
      </c>
      <c r="I6474" t="s">
        <v>394</v>
      </c>
    </row>
    <row r="6475" spans="1:9" x14ac:dyDescent="0.25">
      <c r="A6475" s="1">
        <f t="shared" si="1131"/>
        <v>45589</v>
      </c>
      <c r="B6475" s="31">
        <f t="shared" si="1134"/>
        <v>0.78055555555555556</v>
      </c>
      <c r="C6475" t="str">
        <f>'Inventory as of 12th Aug 2024'!A72</f>
        <v>Curry Powder</v>
      </c>
      <c r="D6475">
        <v>1</v>
      </c>
      <c r="E6475" s="5">
        <f>Table4[[#This Row],[qty]]*(VLOOKUP(Table4[[#This Row],[item_sold]],Table1[],5,FALSE))</f>
        <v>15</v>
      </c>
      <c r="F6475" s="5">
        <f>(VLOOKUP(Table4[[#This Row],[item_sold]],Table1[],4,FALSE))*Table4[[#This Row],[qty]]</f>
        <v>7.5</v>
      </c>
      <c r="G6475">
        <f t="shared" si="1118"/>
        <v>7.5</v>
      </c>
      <c r="H6475" t="s">
        <v>430</v>
      </c>
      <c r="I6475" t="s">
        <v>394</v>
      </c>
    </row>
    <row r="6476" spans="1:9" x14ac:dyDescent="0.25">
      <c r="A6476" s="1">
        <f t="shared" si="1131"/>
        <v>45589</v>
      </c>
      <c r="B6476" s="31">
        <f t="shared" si="1134"/>
        <v>0.78055555555555556</v>
      </c>
      <c r="C6476" t="str">
        <f>'Inventory as of 12th Aug 2024'!A70</f>
        <v>Sugar 1/2 kg</v>
      </c>
      <c r="D6476">
        <v>1</v>
      </c>
      <c r="E6476" s="5">
        <f>Table4[[#This Row],[qty]]*(VLOOKUP(Table4[[#This Row],[item_sold]],Table1[],5,FALSE))</f>
        <v>90</v>
      </c>
      <c r="F6476" s="5">
        <f>(VLOOKUP(Table4[[#This Row],[item_sold]],Table1[],4,FALSE))*Table4[[#This Row],[qty]]</f>
        <v>60</v>
      </c>
      <c r="G6476">
        <f t="shared" si="1118"/>
        <v>30</v>
      </c>
      <c r="H6476" t="s">
        <v>430</v>
      </c>
      <c r="I6476" t="s">
        <v>394</v>
      </c>
    </row>
    <row r="6477" spans="1:9" x14ac:dyDescent="0.25">
      <c r="A6477" s="1">
        <f>DATE(2024,10,24)</f>
        <v>45589</v>
      </c>
      <c r="B6477" s="31">
        <f>TIME(19,27,0)</f>
        <v>0.81041666666666667</v>
      </c>
      <c r="C6477" t="str">
        <f>'Inventory as of 12th Aug 2024'!A91</f>
        <v>Tomatoes</v>
      </c>
      <c r="D6477">
        <v>2</v>
      </c>
      <c r="E6477" s="5">
        <f>Table4[[#This Row],[qty]]*(VLOOKUP(Table4[[#This Row],[item_sold]],Table1[],5,FALSE))</f>
        <v>20</v>
      </c>
      <c r="F6477" s="5">
        <f>(VLOOKUP(Table4[[#This Row],[item_sold]],Table1[],4,FALSE))*Table4[[#This Row],[qty]]</f>
        <v>10</v>
      </c>
      <c r="G6477">
        <f t="shared" si="1118"/>
        <v>10</v>
      </c>
      <c r="H6477" t="s">
        <v>361</v>
      </c>
    </row>
    <row r="6478" spans="1:9" x14ac:dyDescent="0.25">
      <c r="A6478" s="1">
        <f t="shared" ref="A6478:A6483" si="1135">DATE(2024,10,24)</f>
        <v>45589</v>
      </c>
      <c r="B6478" s="31">
        <f>TIME(19,34,0)</f>
        <v>0.81527777777777777</v>
      </c>
      <c r="C6478" t="str">
        <f>'Inventory as of 12th Aug 2024'!A33</f>
        <v>BB Bread 400g</v>
      </c>
      <c r="D6478">
        <v>1</v>
      </c>
      <c r="E6478" s="5">
        <f>Table4[[#This Row],[qty]]*(VLOOKUP(Table4[[#This Row],[item_sold]],Table1[],5,FALSE))</f>
        <v>65</v>
      </c>
      <c r="F6478" s="5">
        <f>(VLOOKUP(Table4[[#This Row],[item_sold]],Table1[],4,FALSE))*Table4[[#This Row],[qty]]</f>
        <v>60</v>
      </c>
      <c r="G6478">
        <f t="shared" si="1118"/>
        <v>5</v>
      </c>
      <c r="H6478" t="s">
        <v>361</v>
      </c>
    </row>
    <row r="6479" spans="1:9" x14ac:dyDescent="0.25">
      <c r="A6479" s="1">
        <f t="shared" si="1135"/>
        <v>45589</v>
      </c>
      <c r="B6479" s="31">
        <f t="shared" ref="B6479" si="1136">TIME(19,34,0)</f>
        <v>0.81527777777777777</v>
      </c>
      <c r="C6479" t="str">
        <f>'Inventory as of 12th Aug 2024'!A10</f>
        <v>Mt Kenya milk 200ml</v>
      </c>
      <c r="D6479">
        <v>1</v>
      </c>
      <c r="E6479" s="5">
        <f>Table4[[#This Row],[qty]]*(VLOOKUP(Table4[[#This Row],[item_sold]],Table1[],5,FALSE))</f>
        <v>35</v>
      </c>
      <c r="F6479" s="5">
        <f>(VLOOKUP(Table4[[#This Row],[item_sold]],Table1[],4,FALSE))*Table4[[#This Row],[qty]]</f>
        <v>24.285714285714285</v>
      </c>
      <c r="G6479">
        <f t="shared" si="1118"/>
        <v>10.714285714285715</v>
      </c>
      <c r="H6479" t="s">
        <v>361</v>
      </c>
    </row>
    <row r="6480" spans="1:9" x14ac:dyDescent="0.25">
      <c r="A6480" s="1">
        <f t="shared" si="1135"/>
        <v>45589</v>
      </c>
      <c r="B6480" s="31">
        <f>TIME(19,49,0)</f>
        <v>0.8256944444444444</v>
      </c>
      <c r="C6480" t="str">
        <f>'Inventory as of 12th Aug 2024'!A33</f>
        <v>BB Bread 400g</v>
      </c>
      <c r="D6480">
        <v>1</v>
      </c>
      <c r="E6480" s="5">
        <f>Table4[[#This Row],[qty]]*(VLOOKUP(Table4[[#This Row],[item_sold]],Table1[],5,FALSE))</f>
        <v>65</v>
      </c>
      <c r="F6480" s="5">
        <f>(VLOOKUP(Table4[[#This Row],[item_sold]],Table1[],4,FALSE))*Table4[[#This Row],[qty]]</f>
        <v>60</v>
      </c>
      <c r="G6480">
        <f t="shared" si="1118"/>
        <v>5</v>
      </c>
      <c r="H6480" t="s">
        <v>361</v>
      </c>
    </row>
    <row r="6481" spans="1:12" x14ac:dyDescent="0.25">
      <c r="A6481" s="1">
        <f t="shared" si="1135"/>
        <v>45589</v>
      </c>
      <c r="B6481" s="31">
        <f t="shared" ref="B6481" si="1137">TIME(19,49,0)</f>
        <v>0.8256944444444444</v>
      </c>
      <c r="C6481" t="str">
        <f>'Inventory as of 12th Aug 2024'!A16</f>
        <v>Mt kenya milk 500ml</v>
      </c>
      <c r="D6481">
        <v>1</v>
      </c>
      <c r="E6481" s="5">
        <f>Table4[[#This Row],[qty]]*(VLOOKUP(Table4[[#This Row],[item_sold]],Table1[],5,FALSE))</f>
        <v>65</v>
      </c>
      <c r="F6481" s="5">
        <f>(VLOOKUP(Table4[[#This Row],[item_sold]],Table1[],4,FALSE))*Table4[[#This Row],[qty]]</f>
        <v>48.333333333333336</v>
      </c>
      <c r="G6481">
        <f t="shared" si="1118"/>
        <v>16.666666666666664</v>
      </c>
      <c r="H6481" t="s">
        <v>361</v>
      </c>
    </row>
    <row r="6482" spans="1:12" x14ac:dyDescent="0.25">
      <c r="A6482" s="1">
        <f t="shared" si="1135"/>
        <v>45589</v>
      </c>
      <c r="B6482" s="31">
        <f>TIME(20,4,0)</f>
        <v>0.83611111111111114</v>
      </c>
      <c r="C6482" t="str">
        <f>'Inventory as of 12th Aug 2024'!A58</f>
        <v>Safari</v>
      </c>
      <c r="D6482">
        <v>1</v>
      </c>
      <c r="E6482" s="5">
        <f>Table4[[#This Row],[qty]]*(VLOOKUP(Table4[[#This Row],[item_sold]],Table1[],5,FALSE))</f>
        <v>15</v>
      </c>
      <c r="F6482" s="5">
        <f>(VLOOKUP(Table4[[#This Row],[item_sold]],Table1[],4,FALSE))*Table4[[#This Row],[qty]]</f>
        <v>8.5</v>
      </c>
      <c r="G6482">
        <f t="shared" si="1118"/>
        <v>6.5</v>
      </c>
      <c r="H6482" t="s">
        <v>594</v>
      </c>
      <c r="I6482" t="s">
        <v>447</v>
      </c>
    </row>
    <row r="6483" spans="1:12" x14ac:dyDescent="0.25">
      <c r="A6483" s="1">
        <f t="shared" si="1135"/>
        <v>45589</v>
      </c>
      <c r="B6483" s="31">
        <f>TIME(21,6,0)</f>
        <v>0.87916666666666676</v>
      </c>
      <c r="C6483" t="str">
        <f>'Inventory as of 12th Aug 2024'!A17</f>
        <v>Brookside milk 500ml</v>
      </c>
      <c r="D6483">
        <v>1</v>
      </c>
      <c r="E6483" s="5">
        <f>Table4[[#This Row],[qty]]*(VLOOKUP(Table4[[#This Row],[item_sold]],Table1[],5,FALSE))</f>
        <v>70</v>
      </c>
      <c r="F6483" s="5">
        <f>(VLOOKUP(Table4[[#This Row],[item_sold]],Table1[],4,FALSE))*Table4[[#This Row],[qty]]</f>
        <v>59</v>
      </c>
      <c r="G6483">
        <f t="shared" si="1118"/>
        <v>11</v>
      </c>
      <c r="H6483" t="s">
        <v>430</v>
      </c>
      <c r="I6483" t="s">
        <v>385</v>
      </c>
    </row>
    <row r="6484" spans="1:12" x14ac:dyDescent="0.25">
      <c r="A6484" s="1">
        <f>DATE(2024,10,25)</f>
        <v>45590</v>
      </c>
      <c r="B6484" s="31">
        <f>TIME(7,29,0)</f>
        <v>0.31180555555555556</v>
      </c>
      <c r="C6484" t="str">
        <f>'Inventory as of 12th Aug 2024'!A199</f>
        <v>Kdf</v>
      </c>
      <c r="D6484">
        <v>2</v>
      </c>
      <c r="E6484" s="5">
        <f>Table4[[#This Row],[qty]]*(VLOOKUP(Table4[[#This Row],[item_sold]],Table1[],5,FALSE))</f>
        <v>20</v>
      </c>
      <c r="F6484" s="5">
        <f>(VLOOKUP(Table4[[#This Row],[item_sold]],Table1[],4,FALSE))*Table4[[#This Row],[qty]]</f>
        <v>16.666666666666668</v>
      </c>
      <c r="G6484">
        <f t="shared" ref="G6484:G6547" si="1138">E6484-F6484</f>
        <v>3.3333333333333321</v>
      </c>
      <c r="H6484" t="s">
        <v>361</v>
      </c>
    </row>
    <row r="6485" spans="1:12" x14ac:dyDescent="0.25">
      <c r="A6485" s="1">
        <f t="shared" ref="A6485:A6548" si="1139">DATE(2024,10,25)</f>
        <v>45590</v>
      </c>
      <c r="B6485" s="31">
        <f>TIME(8,23,0)</f>
        <v>0.34930555555555554</v>
      </c>
      <c r="C6485" t="str">
        <f>'Inventory as of 12th Aug 2024'!A199</f>
        <v>Kdf</v>
      </c>
      <c r="D6485">
        <v>2</v>
      </c>
      <c r="E6485" s="5">
        <f>Table4[[#This Row],[qty]]*(VLOOKUP(Table4[[#This Row],[item_sold]],Table1[],5,FALSE))</f>
        <v>20</v>
      </c>
      <c r="F6485" s="5">
        <f>(VLOOKUP(Table4[[#This Row],[item_sold]],Table1[],4,FALSE))*Table4[[#This Row],[qty]]</f>
        <v>16.666666666666668</v>
      </c>
      <c r="G6485">
        <f t="shared" si="1138"/>
        <v>3.3333333333333321</v>
      </c>
      <c r="H6485" t="s">
        <v>402</v>
      </c>
    </row>
    <row r="6486" spans="1:12" x14ac:dyDescent="0.25">
      <c r="A6486" s="1">
        <f t="shared" si="1139"/>
        <v>45590</v>
      </c>
      <c r="B6486" s="31">
        <f>TIME(9,1,0)</f>
        <v>0.3756944444444445</v>
      </c>
      <c r="C6486" t="str">
        <f>'Inventory as of 12th Aug 2024'!A149</f>
        <v>Arimis small</v>
      </c>
      <c r="D6486">
        <v>1</v>
      </c>
      <c r="E6486" s="5">
        <f>Table4[[#This Row],[qty]]*(VLOOKUP(Table4[[#This Row],[item_sold]],Table1[],5,FALSE))</f>
        <v>35</v>
      </c>
      <c r="F6486" s="5">
        <f>(VLOOKUP(Table4[[#This Row],[item_sold]],Table1[],4,FALSE))*Table4[[#This Row],[qty]]</f>
        <v>23.333333333333332</v>
      </c>
      <c r="G6486">
        <f t="shared" si="1138"/>
        <v>11.666666666666668</v>
      </c>
      <c r="H6486" t="s">
        <v>430</v>
      </c>
      <c r="I6486" t="s">
        <v>393</v>
      </c>
      <c r="J6486" t="s">
        <v>393</v>
      </c>
      <c r="K6486">
        <v>25</v>
      </c>
      <c r="L6486" t="s">
        <v>247</v>
      </c>
    </row>
    <row r="6487" spans="1:12" x14ac:dyDescent="0.25">
      <c r="A6487" s="1">
        <f t="shared" si="1139"/>
        <v>45590</v>
      </c>
      <c r="B6487" s="31">
        <f t="shared" ref="B6487" si="1140">TIME(9,1,0)</f>
        <v>0.3756944444444445</v>
      </c>
      <c r="C6487" t="str">
        <f>'Inventory as of 12th Aug 2024'!A58</f>
        <v>Safari</v>
      </c>
      <c r="D6487">
        <v>1</v>
      </c>
      <c r="E6487" s="5">
        <f>Table4[[#This Row],[qty]]*(VLOOKUP(Table4[[#This Row],[item_sold]],Table1[],5,FALSE))</f>
        <v>15</v>
      </c>
      <c r="F6487" s="5">
        <f>(VLOOKUP(Table4[[#This Row],[item_sold]],Table1[],4,FALSE))*Table4[[#This Row],[qty]]</f>
        <v>8.5</v>
      </c>
      <c r="G6487">
        <f t="shared" si="1138"/>
        <v>6.5</v>
      </c>
      <c r="H6487" t="s">
        <v>247</v>
      </c>
    </row>
    <row r="6488" spans="1:12" x14ac:dyDescent="0.25">
      <c r="A6488" s="1">
        <f t="shared" si="1139"/>
        <v>45590</v>
      </c>
      <c r="B6488" s="31">
        <f>TIME(9,14,0)</f>
        <v>0.38472222222222219</v>
      </c>
      <c r="C6488" t="str">
        <f>'Inventory as of 12th Aug 2024'!A199</f>
        <v>Kdf</v>
      </c>
      <c r="D6488">
        <v>6</v>
      </c>
      <c r="E6488" s="5">
        <f>Table4[[#This Row],[qty]]*(VLOOKUP(Table4[[#This Row],[item_sold]],Table1[],5,FALSE))</f>
        <v>60</v>
      </c>
      <c r="F6488" s="5">
        <f>(VLOOKUP(Table4[[#This Row],[item_sold]],Table1[],4,FALSE))*Table4[[#This Row],[qty]]</f>
        <v>50</v>
      </c>
      <c r="G6488">
        <f t="shared" si="1138"/>
        <v>10</v>
      </c>
      <c r="H6488" t="s">
        <v>247</v>
      </c>
    </row>
    <row r="6489" spans="1:12" x14ac:dyDescent="0.25">
      <c r="A6489" s="1">
        <f t="shared" si="1139"/>
        <v>45590</v>
      </c>
      <c r="B6489" s="31">
        <f t="shared" ref="B6489:B6490" si="1141">TIME(9,14,0)</f>
        <v>0.38472222222222219</v>
      </c>
      <c r="C6489" t="str">
        <f>'Inventory as of 12th Aug 2024'!A5</f>
        <v>Airtel 20 Credit</v>
      </c>
      <c r="D6489">
        <v>1</v>
      </c>
      <c r="E6489" s="5">
        <f>Table4[[#This Row],[qty]]*(VLOOKUP(Table4[[#This Row],[item_sold]],Table1[],5,FALSE))</f>
        <v>20</v>
      </c>
      <c r="F6489" s="5">
        <f>(VLOOKUP(Table4[[#This Row],[item_sold]],Table1[],4,FALSE))*Table4[[#This Row],[qty]]</f>
        <v>18</v>
      </c>
      <c r="G6489">
        <f t="shared" si="1138"/>
        <v>2</v>
      </c>
      <c r="H6489" t="s">
        <v>247</v>
      </c>
    </row>
    <row r="6490" spans="1:12" x14ac:dyDescent="0.25">
      <c r="A6490" s="1">
        <f t="shared" si="1139"/>
        <v>45590</v>
      </c>
      <c r="B6490" s="31">
        <f t="shared" si="1141"/>
        <v>0.38472222222222219</v>
      </c>
      <c r="C6490" t="str">
        <f>'Inventory as of 12th Aug 2024'!A2</f>
        <v>Safaricom 20 Credit</v>
      </c>
      <c r="D6490">
        <v>2</v>
      </c>
      <c r="E6490" s="5">
        <f>Table4[[#This Row],[qty]]*(VLOOKUP(Table4[[#This Row],[item_sold]],Table1[],5,FALSE))</f>
        <v>40</v>
      </c>
      <c r="F6490" s="5">
        <f>(VLOOKUP(Table4[[#This Row],[item_sold]],Table1[],4,FALSE))*Table4[[#This Row],[qty]]</f>
        <v>36</v>
      </c>
      <c r="G6490">
        <f t="shared" si="1138"/>
        <v>4</v>
      </c>
      <c r="H6490" t="s">
        <v>621</v>
      </c>
    </row>
    <row r="6491" spans="1:12" x14ac:dyDescent="0.25">
      <c r="A6491" s="1">
        <f t="shared" si="1139"/>
        <v>45590</v>
      </c>
      <c r="B6491" s="31">
        <f>TIME(8,40,0)</f>
        <v>0.3611111111111111</v>
      </c>
      <c r="C6491" t="str">
        <f>'Inventory as of 12th Aug 2024'!A7</f>
        <v>Airtel 50 Credit</v>
      </c>
      <c r="D6491">
        <v>1</v>
      </c>
      <c r="E6491" s="5">
        <f>Table4[[#This Row],[qty]]*(VLOOKUP(Table4[[#This Row],[item_sold]],Table1[],5,FALSE))</f>
        <v>50</v>
      </c>
      <c r="F6491" s="5">
        <f>(VLOOKUP(Table4[[#This Row],[item_sold]],Table1[],4,FALSE))*Table4[[#This Row],[qty]]</f>
        <v>47</v>
      </c>
      <c r="G6491">
        <f t="shared" si="1138"/>
        <v>3</v>
      </c>
      <c r="H6491" t="s">
        <v>247</v>
      </c>
    </row>
    <row r="6492" spans="1:12" x14ac:dyDescent="0.25">
      <c r="A6492" s="1">
        <f t="shared" si="1139"/>
        <v>45590</v>
      </c>
      <c r="B6492" s="31">
        <f t="shared" ref="B6492" si="1142">TIME(8,40,0)</f>
        <v>0.3611111111111111</v>
      </c>
      <c r="C6492" t="str">
        <f>'Inventory as of 12th Aug 2024'!A193</f>
        <v>Ginger Bisquit</v>
      </c>
      <c r="D6492">
        <v>3</v>
      </c>
      <c r="E6492" s="5">
        <f>Table4[[#This Row],[qty]]*(VLOOKUP(Table4[[#This Row],[item_sold]],Table1[],5,FALSE))</f>
        <v>15</v>
      </c>
      <c r="F6492" s="5">
        <f>(VLOOKUP(Table4[[#This Row],[item_sold]],Table1[],4,FALSE))*Table4[[#This Row],[qty]]</f>
        <v>13</v>
      </c>
      <c r="G6492">
        <f t="shared" si="1138"/>
        <v>2</v>
      </c>
      <c r="H6492" t="s">
        <v>247</v>
      </c>
    </row>
    <row r="6493" spans="1:12" x14ac:dyDescent="0.25">
      <c r="A6493" s="1">
        <f t="shared" si="1139"/>
        <v>45590</v>
      </c>
      <c r="B6493" s="31">
        <f>TIME(10,8,0)</f>
        <v>0.42222222222222222</v>
      </c>
      <c r="C6493" t="str">
        <f>'Inventory as of 12th Aug 2024'!A8</f>
        <v>eggs</v>
      </c>
      <c r="D6493">
        <v>4</v>
      </c>
      <c r="E6493" s="5">
        <f>Table4[[#This Row],[qty]]*(VLOOKUP(Table4[[#This Row],[item_sold]],Table1[],5,FALSE))</f>
        <v>80</v>
      </c>
      <c r="F6493" s="5">
        <f>(VLOOKUP(Table4[[#This Row],[item_sold]],Table1[],4,FALSE))*Table4[[#This Row],[qty]]</f>
        <v>57.333333333333336</v>
      </c>
      <c r="G6493">
        <f t="shared" si="1138"/>
        <v>22.666666666666664</v>
      </c>
      <c r="H6493" t="s">
        <v>361</v>
      </c>
    </row>
    <row r="6494" spans="1:12" x14ac:dyDescent="0.25">
      <c r="A6494" s="1">
        <f t="shared" si="1139"/>
        <v>45590</v>
      </c>
      <c r="B6494" s="31">
        <f>TIME(10,13,0)</f>
        <v>0.42569444444444443</v>
      </c>
      <c r="C6494" t="str">
        <f>'Inventory as of 12th Aug 2024'!A267</f>
        <v>Ting Ting</v>
      </c>
      <c r="D6494">
        <v>1</v>
      </c>
      <c r="E6494" s="5">
        <f>Table4[[#This Row],[qty]]*(VLOOKUP(Table4[[#This Row],[item_sold]],Table1[],5,FALSE))</f>
        <v>5</v>
      </c>
      <c r="F6494" s="5">
        <f>(VLOOKUP(Table4[[#This Row],[item_sold]],Table1[],4,FALSE))*Table4[[#This Row],[qty]]</f>
        <v>4.0599999999999996</v>
      </c>
      <c r="G6494">
        <f t="shared" si="1138"/>
        <v>0.94000000000000039</v>
      </c>
      <c r="H6494" t="s">
        <v>247</v>
      </c>
    </row>
    <row r="6495" spans="1:12" x14ac:dyDescent="0.25">
      <c r="A6495" s="1">
        <f t="shared" si="1139"/>
        <v>45590</v>
      </c>
      <c r="B6495" s="31">
        <f t="shared" ref="B6495" si="1143">TIME(10,13,0)</f>
        <v>0.42569444444444443</v>
      </c>
      <c r="C6495" t="str">
        <f>'Inventory as of 12th Aug 2024'!A233</f>
        <v>Lollipop</v>
      </c>
      <c r="D6495">
        <v>1</v>
      </c>
      <c r="E6495" s="5">
        <f>Table4[[#This Row],[qty]]*(VLOOKUP(Table4[[#This Row],[item_sold]],Table1[],5,FALSE))</f>
        <v>5</v>
      </c>
      <c r="F6495" s="5">
        <f>(VLOOKUP(Table4[[#This Row],[item_sold]],Table1[],4,FALSE))*Table4[[#This Row],[qty]]</f>
        <v>2.4</v>
      </c>
      <c r="G6495">
        <f t="shared" si="1138"/>
        <v>2.6</v>
      </c>
      <c r="H6495" t="s">
        <v>247</v>
      </c>
    </row>
    <row r="6496" spans="1:12" x14ac:dyDescent="0.25">
      <c r="A6496" s="1">
        <f t="shared" si="1139"/>
        <v>45590</v>
      </c>
      <c r="B6496" s="31">
        <f>TIME(11,5,0)</f>
        <v>0.46180555555555558</v>
      </c>
      <c r="C6496" t="str">
        <f>'Inventory as of 12th Aug 2024'!A234</f>
        <v>Bigdaddy</v>
      </c>
      <c r="D6496">
        <v>3</v>
      </c>
      <c r="E6496" s="5">
        <f>Table4[[#This Row],[qty]]*(VLOOKUP(Table4[[#This Row],[item_sold]],Table1[],5,FALSE))</f>
        <v>30</v>
      </c>
      <c r="F6496" s="5">
        <f>(VLOOKUP(Table4[[#This Row],[item_sold]],Table1[],4,FALSE))*Table4[[#This Row],[qty]]</f>
        <v>18</v>
      </c>
      <c r="G6496">
        <f t="shared" si="1138"/>
        <v>12</v>
      </c>
      <c r="H6496" t="s">
        <v>247</v>
      </c>
    </row>
    <row r="6497" spans="1:8" x14ac:dyDescent="0.25">
      <c r="A6497" s="1">
        <f t="shared" si="1139"/>
        <v>45590</v>
      </c>
      <c r="B6497" s="31">
        <f t="shared" ref="B6497:B6499" si="1144">TIME(11,5,0)</f>
        <v>0.46180555555555558</v>
      </c>
      <c r="C6497" t="str">
        <f>'Inventory as of 12th Aug 2024'!A230</f>
        <v>Fresh Blue</v>
      </c>
      <c r="D6497">
        <v>1</v>
      </c>
      <c r="E6497" s="5">
        <f>Table4[[#This Row],[qty]]*(VLOOKUP(Table4[[#This Row],[item_sold]],Table1[],5,FALSE))</f>
        <v>10</v>
      </c>
      <c r="F6497" s="5">
        <f>(VLOOKUP(Table4[[#This Row],[item_sold]],Table1[],4,FALSE))*Table4[[#This Row],[qty]]</f>
        <v>5</v>
      </c>
      <c r="G6497">
        <f t="shared" si="1138"/>
        <v>5</v>
      </c>
      <c r="H6497" t="s">
        <v>247</v>
      </c>
    </row>
    <row r="6498" spans="1:8" x14ac:dyDescent="0.25">
      <c r="A6498" s="1">
        <f t="shared" si="1139"/>
        <v>45590</v>
      </c>
      <c r="B6498" s="31">
        <f t="shared" si="1144"/>
        <v>0.46180555555555558</v>
      </c>
      <c r="C6498" t="str">
        <f>'Inventory as of 12th Aug 2024'!A221</f>
        <v>Rasor Blade</v>
      </c>
      <c r="D6498">
        <v>1</v>
      </c>
      <c r="E6498" s="5">
        <f>Table4[[#This Row],[qty]]*(VLOOKUP(Table4[[#This Row],[item_sold]],Table1[],5,FALSE))</f>
        <v>5</v>
      </c>
      <c r="F6498" s="5">
        <f>(VLOOKUP(Table4[[#This Row],[item_sold]],Table1[],4,FALSE))*Table4[[#This Row],[qty]]</f>
        <v>2</v>
      </c>
      <c r="G6498">
        <f t="shared" si="1138"/>
        <v>3</v>
      </c>
      <c r="H6498" t="s">
        <v>247</v>
      </c>
    </row>
    <row r="6499" spans="1:8" x14ac:dyDescent="0.25">
      <c r="A6499" s="1">
        <f t="shared" si="1139"/>
        <v>45590</v>
      </c>
      <c r="B6499" s="31">
        <f t="shared" si="1144"/>
        <v>0.46180555555555558</v>
      </c>
      <c r="C6499" t="str">
        <f>'Inventory as of 12th Aug 2024'!A7</f>
        <v>Airtel 50 Credit</v>
      </c>
      <c r="D6499">
        <v>1</v>
      </c>
      <c r="E6499" s="5">
        <f>Table4[[#This Row],[qty]]*(VLOOKUP(Table4[[#This Row],[item_sold]],Table1[],5,FALSE))</f>
        <v>50</v>
      </c>
      <c r="F6499" s="5">
        <f>(VLOOKUP(Table4[[#This Row],[item_sold]],Table1[],4,FALSE))*Table4[[#This Row],[qty]]</f>
        <v>47</v>
      </c>
      <c r="G6499">
        <f t="shared" si="1138"/>
        <v>3</v>
      </c>
      <c r="H6499" t="s">
        <v>247</v>
      </c>
    </row>
    <row r="6500" spans="1:8" x14ac:dyDescent="0.25">
      <c r="A6500" s="1">
        <f t="shared" si="1139"/>
        <v>45590</v>
      </c>
      <c r="B6500" s="31">
        <f>TIME(11,20,0)</f>
        <v>0.47222222222222227</v>
      </c>
      <c r="C6500" t="str">
        <f>'Inventory as of 12th Aug 2024'!A16</f>
        <v>Mt kenya milk 500ml</v>
      </c>
      <c r="D6500">
        <v>1</v>
      </c>
      <c r="E6500" s="5">
        <f>Table4[[#This Row],[qty]]*(VLOOKUP(Table4[[#This Row],[item_sold]],Table1[],5,FALSE))</f>
        <v>65</v>
      </c>
      <c r="F6500" s="5">
        <f>(VLOOKUP(Table4[[#This Row],[item_sold]],Table1[],4,FALSE))*Table4[[#This Row],[qty]]</f>
        <v>48.333333333333336</v>
      </c>
      <c r="G6500">
        <f t="shared" si="1138"/>
        <v>16.666666666666664</v>
      </c>
      <c r="H6500" t="s">
        <v>361</v>
      </c>
    </row>
    <row r="6501" spans="1:8" x14ac:dyDescent="0.25">
      <c r="A6501" s="1">
        <f t="shared" si="1139"/>
        <v>45590</v>
      </c>
      <c r="B6501" s="31">
        <f t="shared" ref="B6501:B6502" si="1145">TIME(11,20,0)</f>
        <v>0.47222222222222227</v>
      </c>
      <c r="C6501" t="str">
        <f>'Inventory as of 12th Aug 2024'!A37</f>
        <v>Festive Bread 400g</v>
      </c>
      <c r="D6501">
        <v>1</v>
      </c>
      <c r="E6501" s="5">
        <f>Table4[[#This Row],[qty]]*(VLOOKUP(Table4[[#This Row],[item_sold]],Table1[],5,FALSE))</f>
        <v>65</v>
      </c>
      <c r="F6501" s="5">
        <f>(VLOOKUP(Table4[[#This Row],[item_sold]],Table1[],4,FALSE))*Table4[[#This Row],[qty]]</f>
        <v>60</v>
      </c>
      <c r="G6501">
        <f t="shared" si="1138"/>
        <v>5</v>
      </c>
      <c r="H6501" t="s">
        <v>361</v>
      </c>
    </row>
    <row r="6502" spans="1:8" x14ac:dyDescent="0.25">
      <c r="A6502" s="1">
        <f t="shared" si="1139"/>
        <v>45590</v>
      </c>
      <c r="B6502" s="31">
        <f t="shared" si="1145"/>
        <v>0.47222222222222227</v>
      </c>
      <c r="C6502" t="str">
        <f>'Inventory as of 12th Aug 2024'!A16</f>
        <v>Mt kenya milk 500ml</v>
      </c>
      <c r="D6502">
        <v>1</v>
      </c>
      <c r="E6502" s="5">
        <f>Table4[[#This Row],[qty]]*(VLOOKUP(Table4[[#This Row],[item_sold]],Table1[],5,FALSE))</f>
        <v>65</v>
      </c>
      <c r="F6502" s="5">
        <f>(VLOOKUP(Table4[[#This Row],[item_sold]],Table1[],4,FALSE))*Table4[[#This Row],[qty]]</f>
        <v>48.333333333333336</v>
      </c>
      <c r="G6502">
        <f t="shared" si="1138"/>
        <v>16.666666666666664</v>
      </c>
      <c r="H6502" t="s">
        <v>361</v>
      </c>
    </row>
    <row r="6503" spans="1:8" x14ac:dyDescent="0.25">
      <c r="A6503" s="1">
        <f t="shared" si="1139"/>
        <v>45590</v>
      </c>
      <c r="B6503" s="31">
        <f>TIME(11,25,0)</f>
        <v>0.47569444444444442</v>
      </c>
      <c r="C6503" t="str">
        <f>'Inventory as of 12th Aug 2024'!A199</f>
        <v>Kdf</v>
      </c>
      <c r="D6503">
        <v>4</v>
      </c>
      <c r="E6503" s="5">
        <f>Table4[[#This Row],[qty]]*(VLOOKUP(Table4[[#This Row],[item_sold]],Table1[],5,FALSE))</f>
        <v>40</v>
      </c>
      <c r="F6503" s="5">
        <f>(VLOOKUP(Table4[[#This Row],[item_sold]],Table1[],4,FALSE))*Table4[[#This Row],[qty]]</f>
        <v>33.333333333333336</v>
      </c>
      <c r="G6503">
        <f t="shared" si="1138"/>
        <v>6.6666666666666643</v>
      </c>
      <c r="H6503" t="s">
        <v>361</v>
      </c>
    </row>
    <row r="6504" spans="1:8" x14ac:dyDescent="0.25">
      <c r="A6504" s="1">
        <f t="shared" si="1139"/>
        <v>45590</v>
      </c>
      <c r="B6504" s="31">
        <f>TIME(11,25,0)</f>
        <v>0.47569444444444442</v>
      </c>
      <c r="C6504" t="str">
        <f>'Inventory as of 12th Aug 2024'!A10</f>
        <v>Mt Kenya milk 200ml</v>
      </c>
      <c r="D6504">
        <v>1</v>
      </c>
      <c r="E6504" s="5">
        <f>Table4[[#This Row],[qty]]*(VLOOKUP(Table4[[#This Row],[item_sold]],Table1[],5,FALSE))</f>
        <v>35</v>
      </c>
      <c r="F6504" s="5">
        <f>(VLOOKUP(Table4[[#This Row],[item_sold]],Table1[],4,FALSE))*Table4[[#This Row],[qty]]</f>
        <v>24.285714285714285</v>
      </c>
      <c r="G6504">
        <f t="shared" si="1138"/>
        <v>10.714285714285715</v>
      </c>
      <c r="H6504" t="s">
        <v>361</v>
      </c>
    </row>
    <row r="6505" spans="1:8" x14ac:dyDescent="0.25">
      <c r="A6505" s="1">
        <f t="shared" si="1139"/>
        <v>45590</v>
      </c>
      <c r="B6505" s="31">
        <f>TIME(13,43,0)</f>
        <v>0.57152777777777775</v>
      </c>
      <c r="C6505" t="str">
        <f>'Inventory as of 12th Aug 2024'!A200</f>
        <v>Ngumu</v>
      </c>
      <c r="D6505">
        <v>2</v>
      </c>
      <c r="E6505" s="5">
        <f>Table4[[#This Row],[qty]]*(VLOOKUP(Table4[[#This Row],[item_sold]],Table1[],5,FALSE))</f>
        <v>20</v>
      </c>
      <c r="F6505" s="5">
        <f>(VLOOKUP(Table4[[#This Row],[item_sold]],Table1[],4,FALSE))*Table4[[#This Row],[qty]]</f>
        <v>16.666666666666668</v>
      </c>
      <c r="G6505">
        <f t="shared" si="1138"/>
        <v>3.3333333333333321</v>
      </c>
      <c r="H6505" t="s">
        <v>361</v>
      </c>
    </row>
    <row r="6506" spans="1:8" x14ac:dyDescent="0.25">
      <c r="A6506" s="1">
        <f t="shared" si="1139"/>
        <v>45590</v>
      </c>
      <c r="B6506" s="31">
        <f t="shared" ref="B6506:B6508" si="1146">TIME(13,43,0)</f>
        <v>0.57152777777777775</v>
      </c>
      <c r="C6506" t="str">
        <f>'Inventory as of 12th Aug 2024'!A199</f>
        <v>Kdf</v>
      </c>
      <c r="D6506">
        <v>2</v>
      </c>
      <c r="E6506" s="5">
        <f>Table4[[#This Row],[qty]]*(VLOOKUP(Table4[[#This Row],[item_sold]],Table1[],5,FALSE))</f>
        <v>20</v>
      </c>
      <c r="F6506" s="5">
        <f>(VLOOKUP(Table4[[#This Row],[item_sold]],Table1[],4,FALSE))*Table4[[#This Row],[qty]]</f>
        <v>16.666666666666668</v>
      </c>
      <c r="G6506">
        <f t="shared" si="1138"/>
        <v>3.3333333333333321</v>
      </c>
      <c r="H6506" t="s">
        <v>361</v>
      </c>
    </row>
    <row r="6507" spans="1:8" x14ac:dyDescent="0.25">
      <c r="A6507" s="1">
        <f t="shared" si="1139"/>
        <v>45590</v>
      </c>
      <c r="B6507" s="31">
        <f t="shared" si="1146"/>
        <v>0.57152777777777775</v>
      </c>
      <c r="C6507" t="str">
        <f>'Inventory as of 12th Aug 2024'!A200</f>
        <v>Ngumu</v>
      </c>
      <c r="D6507">
        <v>2</v>
      </c>
      <c r="E6507" s="5">
        <f>Table4[[#This Row],[qty]]*(VLOOKUP(Table4[[#This Row],[item_sold]],Table1[],5,FALSE))</f>
        <v>20</v>
      </c>
      <c r="F6507" s="5">
        <f>(VLOOKUP(Table4[[#This Row],[item_sold]],Table1[],4,FALSE))*Table4[[#This Row],[qty]]</f>
        <v>16.666666666666668</v>
      </c>
      <c r="G6507">
        <f t="shared" si="1138"/>
        <v>3.3333333333333321</v>
      </c>
      <c r="H6507" t="s">
        <v>361</v>
      </c>
    </row>
    <row r="6508" spans="1:8" x14ac:dyDescent="0.25">
      <c r="A6508" s="1">
        <f t="shared" si="1139"/>
        <v>45590</v>
      </c>
      <c r="B6508" s="31">
        <f t="shared" si="1146"/>
        <v>0.57152777777777775</v>
      </c>
      <c r="C6508" t="str">
        <f>'Inventory as of 12th Aug 2024'!A212</f>
        <v>soda 300ml glass</v>
      </c>
      <c r="D6508">
        <v>2</v>
      </c>
      <c r="E6508" s="5">
        <f>Table4[[#This Row],[qty]]*(VLOOKUP(Table4[[#This Row],[item_sold]],Table1[],5,FALSE))</f>
        <v>80</v>
      </c>
      <c r="F6508" s="5">
        <f>(VLOOKUP(Table4[[#This Row],[item_sold]],Table1[],4,FALSE))*Table4[[#This Row],[qty]]</f>
        <v>65</v>
      </c>
      <c r="G6508">
        <f t="shared" si="1138"/>
        <v>15</v>
      </c>
      <c r="H6508" t="s">
        <v>361</v>
      </c>
    </row>
    <row r="6509" spans="1:8" x14ac:dyDescent="0.25">
      <c r="A6509" s="1">
        <f t="shared" si="1139"/>
        <v>45590</v>
      </c>
      <c r="B6509" s="31">
        <f>TIME(13,30,0)</f>
        <v>0.5625</v>
      </c>
      <c r="C6509" t="str">
        <f>'Inventory as of 12th Aug 2024'!A214</f>
        <v>smash juice</v>
      </c>
      <c r="D6509">
        <v>1</v>
      </c>
      <c r="E6509" s="5">
        <f>Table4[[#This Row],[qty]]*(VLOOKUP(Table4[[#This Row],[item_sold]],Table1[],5,FALSE))</f>
        <v>20</v>
      </c>
      <c r="F6509" s="5">
        <f>(VLOOKUP(Table4[[#This Row],[item_sold]],Table1[],4,FALSE))*Table4[[#This Row],[qty]]</f>
        <v>15</v>
      </c>
      <c r="G6509">
        <f t="shared" si="1138"/>
        <v>5</v>
      </c>
      <c r="H6509" t="s">
        <v>361</v>
      </c>
    </row>
    <row r="6510" spans="1:8" x14ac:dyDescent="0.25">
      <c r="A6510" s="1">
        <f t="shared" si="1139"/>
        <v>45590</v>
      </c>
      <c r="B6510" s="31">
        <f t="shared" ref="B6510:B6511" si="1147">TIME(13,30,0)</f>
        <v>0.5625</v>
      </c>
      <c r="C6510" t="str">
        <f>'Inventory as of 12th Aug 2024'!A193</f>
        <v>Ginger Bisquit</v>
      </c>
      <c r="D6510">
        <v>2</v>
      </c>
      <c r="E6510" s="5">
        <f>Table4[[#This Row],[qty]]*(VLOOKUP(Table4[[#This Row],[item_sold]],Table1[],5,FALSE))</f>
        <v>10</v>
      </c>
      <c r="F6510" s="5">
        <f>(VLOOKUP(Table4[[#This Row],[item_sold]],Table1[],4,FALSE))*Table4[[#This Row],[qty]]</f>
        <v>8.6666666666666661</v>
      </c>
      <c r="G6510">
        <f t="shared" si="1138"/>
        <v>1.3333333333333339</v>
      </c>
      <c r="H6510" t="s">
        <v>361</v>
      </c>
    </row>
    <row r="6511" spans="1:8" x14ac:dyDescent="0.25">
      <c r="A6511" s="1">
        <f t="shared" si="1139"/>
        <v>45590</v>
      </c>
      <c r="B6511" s="31">
        <f t="shared" si="1147"/>
        <v>0.5625</v>
      </c>
      <c r="C6511" t="str">
        <f>'Inventory as of 12th Aug 2024'!A256</f>
        <v>Family bisquit</v>
      </c>
      <c r="D6511">
        <v>1</v>
      </c>
      <c r="E6511" s="5">
        <f>Table4[[#This Row],[qty]]*(VLOOKUP(Table4[[#This Row],[item_sold]],Table1[],5,FALSE))</f>
        <v>35</v>
      </c>
      <c r="F6511" s="5">
        <f>(VLOOKUP(Table4[[#This Row],[item_sold]],Table1[],4,FALSE))*Table4[[#This Row],[qty]]</f>
        <v>23.333333333333332</v>
      </c>
      <c r="G6511">
        <f t="shared" si="1138"/>
        <v>11.666666666666668</v>
      </c>
      <c r="H6511" t="s">
        <v>361</v>
      </c>
    </row>
    <row r="6512" spans="1:8" x14ac:dyDescent="0.25">
      <c r="A6512" s="1">
        <f t="shared" si="1139"/>
        <v>45590</v>
      </c>
      <c r="B6512" s="31">
        <f>TIME(13,43,0)</f>
        <v>0.57152777777777775</v>
      </c>
      <c r="C6512" t="str">
        <f>'Inventory as of 12th Aug 2024'!A271</f>
        <v>Star Cream Bisquit</v>
      </c>
      <c r="D6512">
        <v>2</v>
      </c>
      <c r="E6512" s="5">
        <f>Table4[[#This Row],[qty]]*(VLOOKUP(Table4[[#This Row],[item_sold]],Table1[],5,FALSE))</f>
        <v>10</v>
      </c>
      <c r="F6512" s="5">
        <f>(VLOOKUP(Table4[[#This Row],[item_sold]],Table1[],4,FALSE))*Table4[[#This Row],[qty]]</f>
        <v>8.4666666666666668</v>
      </c>
      <c r="G6512">
        <f t="shared" si="1138"/>
        <v>1.5333333333333332</v>
      </c>
      <c r="H6512" t="s">
        <v>361</v>
      </c>
    </row>
    <row r="6513" spans="1:9" x14ac:dyDescent="0.25">
      <c r="A6513" s="1">
        <f t="shared" si="1139"/>
        <v>45590</v>
      </c>
      <c r="B6513" s="31">
        <f>TIME(13,55,0)</f>
        <v>0.57986111111111105</v>
      </c>
      <c r="C6513" t="str">
        <f>'Inventory as of 12th Aug 2024'!A213</f>
        <v>soda 500ml glass</v>
      </c>
      <c r="D6513">
        <v>1</v>
      </c>
      <c r="E6513" s="5">
        <f>Table4[[#This Row],[qty]]*(VLOOKUP(Table4[[#This Row],[item_sold]],Table1[],5,FALSE))</f>
        <v>55</v>
      </c>
      <c r="F6513" s="5">
        <f>(VLOOKUP(Table4[[#This Row],[item_sold]],Table1[],4,FALSE))*Table4[[#This Row],[qty]]</f>
        <v>50</v>
      </c>
      <c r="G6513">
        <f t="shared" si="1138"/>
        <v>5</v>
      </c>
      <c r="H6513" t="s">
        <v>361</v>
      </c>
    </row>
    <row r="6514" spans="1:9" x14ac:dyDescent="0.25">
      <c r="A6514" s="1">
        <f t="shared" si="1139"/>
        <v>45590</v>
      </c>
      <c r="B6514" s="31">
        <f t="shared" ref="B6514:B6515" si="1148">TIME(13,55,0)</f>
        <v>0.57986111111111105</v>
      </c>
      <c r="C6514" t="str">
        <f>'Inventory as of 12th Aug 2024'!A33</f>
        <v>BB Bread 400g</v>
      </c>
      <c r="D6514">
        <v>1</v>
      </c>
      <c r="E6514" s="5">
        <f>Table4[[#This Row],[qty]]*(VLOOKUP(Table4[[#This Row],[item_sold]],Table1[],5,FALSE))</f>
        <v>65</v>
      </c>
      <c r="F6514" s="5">
        <f>(VLOOKUP(Table4[[#This Row],[item_sold]],Table1[],4,FALSE))*Table4[[#This Row],[qty]]</f>
        <v>60</v>
      </c>
      <c r="G6514">
        <f t="shared" si="1138"/>
        <v>5</v>
      </c>
      <c r="H6514" t="s">
        <v>361</v>
      </c>
    </row>
    <row r="6515" spans="1:9" x14ac:dyDescent="0.25">
      <c r="A6515" s="1">
        <f t="shared" si="1139"/>
        <v>45590</v>
      </c>
      <c r="B6515" s="31">
        <f t="shared" si="1148"/>
        <v>0.57986111111111105</v>
      </c>
      <c r="C6515" t="str">
        <f>'Inventory as of 12th Aug 2024'!A16</f>
        <v>Mt kenya milk 500ml</v>
      </c>
      <c r="D6515">
        <v>1</v>
      </c>
      <c r="E6515" s="5">
        <f>Table4[[#This Row],[qty]]*(VLOOKUP(Table4[[#This Row],[item_sold]],Table1[],5,FALSE))</f>
        <v>65</v>
      </c>
      <c r="F6515" s="5">
        <f>(VLOOKUP(Table4[[#This Row],[item_sold]],Table1[],4,FALSE))*Table4[[#This Row],[qty]]</f>
        <v>48.333333333333336</v>
      </c>
      <c r="G6515">
        <f t="shared" si="1138"/>
        <v>16.666666666666664</v>
      </c>
      <c r="H6515" t="s">
        <v>361</v>
      </c>
    </row>
    <row r="6516" spans="1:9" x14ac:dyDescent="0.25">
      <c r="A6516" s="1">
        <f t="shared" si="1139"/>
        <v>45590</v>
      </c>
      <c r="B6516" s="31">
        <f>TIME(13,58,0)</f>
        <v>0.58194444444444449</v>
      </c>
      <c r="C6516" t="str">
        <f>'Inventory as of 12th Aug 2024'!A212</f>
        <v>soda 300ml glass</v>
      </c>
      <c r="D6516">
        <v>1</v>
      </c>
      <c r="E6516" s="5">
        <f>Table4[[#This Row],[qty]]*(VLOOKUP(Table4[[#This Row],[item_sold]],Table1[],5,FALSE))</f>
        <v>40</v>
      </c>
      <c r="F6516" s="5">
        <f>(VLOOKUP(Table4[[#This Row],[item_sold]],Table1[],4,FALSE))*Table4[[#This Row],[qty]]</f>
        <v>32.5</v>
      </c>
      <c r="G6516">
        <f t="shared" si="1138"/>
        <v>7.5</v>
      </c>
      <c r="H6516" t="s">
        <v>361</v>
      </c>
    </row>
    <row r="6517" spans="1:9" x14ac:dyDescent="0.25">
      <c r="A6517" s="1">
        <f t="shared" si="1139"/>
        <v>45590</v>
      </c>
      <c r="B6517" s="31">
        <f t="shared" ref="B6517:B6520" si="1149">TIME(13,58,0)</f>
        <v>0.58194444444444449</v>
      </c>
      <c r="C6517" t="str">
        <f>'Inventory as of 12th Aug 2024'!A33</f>
        <v>BB Bread 400g</v>
      </c>
      <c r="D6517">
        <v>1</v>
      </c>
      <c r="E6517" s="5">
        <f>Table4[[#This Row],[qty]]*(VLOOKUP(Table4[[#This Row],[item_sold]],Table1[],5,FALSE))</f>
        <v>65</v>
      </c>
      <c r="F6517" s="5">
        <f>(VLOOKUP(Table4[[#This Row],[item_sold]],Table1[],4,FALSE))*Table4[[#This Row],[qty]]</f>
        <v>60</v>
      </c>
      <c r="G6517">
        <f t="shared" si="1138"/>
        <v>5</v>
      </c>
      <c r="H6517" t="s">
        <v>361</v>
      </c>
    </row>
    <row r="6518" spans="1:9" x14ac:dyDescent="0.25">
      <c r="A6518" s="1">
        <f t="shared" si="1139"/>
        <v>45590</v>
      </c>
      <c r="B6518" s="31">
        <f t="shared" si="1149"/>
        <v>0.58194444444444449</v>
      </c>
      <c r="C6518" t="str">
        <f>'Inventory as of 12th Aug 2024'!A272</f>
        <v>Soko Maize 1kg</v>
      </c>
      <c r="D6518">
        <v>1</v>
      </c>
      <c r="E6518" s="5">
        <f>Table4[[#This Row],[qty]]*(VLOOKUP(Table4[[#This Row],[item_sold]],Table1[],5,FALSE))</f>
        <v>90</v>
      </c>
      <c r="F6518" s="5">
        <f>(VLOOKUP(Table4[[#This Row],[item_sold]],Table1[],4,FALSE))*Table4[[#This Row],[qty]]</f>
        <v>60.625</v>
      </c>
      <c r="G6518">
        <f t="shared" si="1138"/>
        <v>29.375</v>
      </c>
      <c r="H6518" t="s">
        <v>430</v>
      </c>
      <c r="I6518" t="s">
        <v>615</v>
      </c>
    </row>
    <row r="6519" spans="1:9" x14ac:dyDescent="0.25">
      <c r="A6519" s="1">
        <f t="shared" si="1139"/>
        <v>45590</v>
      </c>
      <c r="B6519" s="31">
        <f t="shared" si="1149"/>
        <v>0.58194444444444449</v>
      </c>
      <c r="C6519" t="str">
        <f>'Inventory as of 12th Aug 2024'!A75</f>
        <v>Cooking Oil Measured</v>
      </c>
      <c r="D6519">
        <v>0.25</v>
      </c>
      <c r="E6519" s="5">
        <f>Table4[[#This Row],[qty]]*(VLOOKUP(Table4[[#This Row],[item_sold]],Table1[],5,FALSE))</f>
        <v>70</v>
      </c>
      <c r="F6519" s="5">
        <f>(VLOOKUP(Table4[[#This Row],[item_sold]],Table1[],4,FALSE))*Table4[[#This Row],[qty]]</f>
        <v>50</v>
      </c>
      <c r="G6519">
        <f t="shared" si="1138"/>
        <v>20</v>
      </c>
      <c r="H6519" t="s">
        <v>430</v>
      </c>
      <c r="I6519" t="s">
        <v>615</v>
      </c>
    </row>
    <row r="6520" spans="1:9" x14ac:dyDescent="0.25">
      <c r="A6520" s="1">
        <f t="shared" si="1139"/>
        <v>45590</v>
      </c>
      <c r="B6520" s="31">
        <f t="shared" si="1149"/>
        <v>0.58194444444444449</v>
      </c>
      <c r="C6520" t="str">
        <f>'Inventory as of 12th Aug 2024'!A6</f>
        <v>Airtel 10 Credit</v>
      </c>
      <c r="D6520">
        <v>1</v>
      </c>
      <c r="E6520" s="5">
        <f>Table4[[#This Row],[qty]]*(VLOOKUP(Table4[[#This Row],[item_sold]],Table1[],5,FALSE))</f>
        <v>10</v>
      </c>
      <c r="F6520" s="5">
        <f>(VLOOKUP(Table4[[#This Row],[item_sold]],Table1[],4,FALSE))*Table4[[#This Row],[qty]]</f>
        <v>9</v>
      </c>
      <c r="G6520">
        <f t="shared" si="1138"/>
        <v>1</v>
      </c>
      <c r="H6520" t="s">
        <v>402</v>
      </c>
    </row>
    <row r="6521" spans="1:9" x14ac:dyDescent="0.25">
      <c r="A6521" s="1">
        <f t="shared" si="1139"/>
        <v>45590</v>
      </c>
      <c r="B6521" s="31">
        <f>TIME(14,39,0)</f>
        <v>0.61041666666666672</v>
      </c>
      <c r="C6521" t="str">
        <f>'Inventory as of 12th Aug 2024'!A8</f>
        <v>eggs</v>
      </c>
      <c r="D6521">
        <v>5</v>
      </c>
      <c r="E6521" s="5">
        <f>Table4[[#This Row],[qty]]*(VLOOKUP(Table4[[#This Row],[item_sold]],Table1[],5,FALSE))</f>
        <v>100</v>
      </c>
      <c r="F6521" s="5">
        <f>(VLOOKUP(Table4[[#This Row],[item_sold]],Table1[],4,FALSE))*Table4[[#This Row],[qty]]</f>
        <v>71.666666666666671</v>
      </c>
      <c r="G6521">
        <f t="shared" si="1138"/>
        <v>28.333333333333329</v>
      </c>
      <c r="H6521" t="s">
        <v>402</v>
      </c>
    </row>
    <row r="6522" spans="1:9" x14ac:dyDescent="0.25">
      <c r="A6522" s="1">
        <f t="shared" si="1139"/>
        <v>45590</v>
      </c>
      <c r="B6522" s="31">
        <f t="shared" ref="B6522:B6524" si="1150">TIME(14,39,0)</f>
        <v>0.61041666666666672</v>
      </c>
      <c r="C6522" t="str">
        <f>'Inventory as of 12th Aug 2024'!A192</f>
        <v>Lemon Bisquit</v>
      </c>
      <c r="D6522">
        <v>4</v>
      </c>
      <c r="E6522" s="5">
        <f>Table4[[#This Row],[qty]]*(VLOOKUP(Table4[[#This Row],[item_sold]],Table1[],5,FALSE))</f>
        <v>20</v>
      </c>
      <c r="F6522" s="5">
        <f>(VLOOKUP(Table4[[#This Row],[item_sold]],Table1[],4,FALSE))*Table4[[#This Row],[qty]]</f>
        <v>17.333333333333332</v>
      </c>
      <c r="G6522">
        <f t="shared" si="1138"/>
        <v>2.6666666666666679</v>
      </c>
      <c r="H6522" t="s">
        <v>402</v>
      </c>
    </row>
    <row r="6523" spans="1:9" x14ac:dyDescent="0.25">
      <c r="A6523" s="1">
        <f t="shared" si="1139"/>
        <v>45590</v>
      </c>
      <c r="B6523" s="31">
        <f t="shared" si="1150"/>
        <v>0.61041666666666672</v>
      </c>
      <c r="C6523" t="str">
        <f>'Inventory as of 12th Aug 2024'!A178</f>
        <v>Ringoz Paprika</v>
      </c>
      <c r="D6523">
        <v>3</v>
      </c>
      <c r="E6523" s="5">
        <f>Table4[[#This Row],[qty]]*(VLOOKUP(Table4[[#This Row],[item_sold]],Table1[],5,FALSE))</f>
        <v>45</v>
      </c>
      <c r="F6523" s="5">
        <f>(VLOOKUP(Table4[[#This Row],[item_sold]],Table1[],4,FALSE))*Table4[[#This Row],[qty]]</f>
        <v>26.400000000000002</v>
      </c>
      <c r="G6523">
        <f t="shared" si="1138"/>
        <v>18.599999999999998</v>
      </c>
      <c r="H6523" t="s">
        <v>430</v>
      </c>
      <c r="I6523" t="s">
        <v>456</v>
      </c>
    </row>
    <row r="6524" spans="1:9" x14ac:dyDescent="0.25">
      <c r="A6524" s="1">
        <f t="shared" si="1139"/>
        <v>45590</v>
      </c>
      <c r="B6524" s="31">
        <f t="shared" si="1150"/>
        <v>0.61041666666666672</v>
      </c>
      <c r="C6524" t="str">
        <f>'Inventory as of 12th Aug 2024'!A132</f>
        <v>Gellette</v>
      </c>
      <c r="D6524">
        <v>1</v>
      </c>
      <c r="E6524" s="5">
        <f>Table4[[#This Row],[qty]]*(VLOOKUP(Table4[[#This Row],[item_sold]],Table1[],5,FALSE))</f>
        <v>30</v>
      </c>
      <c r="F6524" s="5">
        <f>(VLOOKUP(Table4[[#This Row],[item_sold]],Table1[],4,FALSE))*Table4[[#This Row],[qty]]</f>
        <v>23.333333333333332</v>
      </c>
      <c r="G6524">
        <f t="shared" si="1138"/>
        <v>6.6666666666666679</v>
      </c>
      <c r="H6524" t="s">
        <v>402</v>
      </c>
    </row>
    <row r="6525" spans="1:9" x14ac:dyDescent="0.25">
      <c r="A6525" s="1">
        <f t="shared" si="1139"/>
        <v>45590</v>
      </c>
      <c r="B6525" s="31">
        <f>TIME(18,3,0)</f>
        <v>0.75208333333333333</v>
      </c>
      <c r="C6525" t="str">
        <f>'Inventory as of 12th Aug 2024'!A240</f>
        <v>Bigboss</v>
      </c>
      <c r="D6525">
        <v>2</v>
      </c>
      <c r="E6525" s="5">
        <f>Table4[[#This Row],[qty]]*(VLOOKUP(Table4[[#This Row],[item_sold]],Table1[],5,FALSE))</f>
        <v>10</v>
      </c>
      <c r="F6525" s="5">
        <f>(VLOOKUP(Table4[[#This Row],[item_sold]],Table1[],4,FALSE))*Table4[[#This Row],[qty]]</f>
        <v>7</v>
      </c>
      <c r="G6525">
        <f t="shared" si="1138"/>
        <v>3</v>
      </c>
      <c r="H6525" t="s">
        <v>402</v>
      </c>
    </row>
    <row r="6526" spans="1:9" x14ac:dyDescent="0.25">
      <c r="A6526" s="1">
        <f t="shared" si="1139"/>
        <v>45590</v>
      </c>
      <c r="B6526" s="31">
        <f t="shared" ref="B6526:B6528" si="1151">TIME(18,3,0)</f>
        <v>0.75208333333333333</v>
      </c>
      <c r="C6526" t="str">
        <f>'Inventory as of 12th Aug 2024'!A233</f>
        <v>Lollipop</v>
      </c>
      <c r="D6526">
        <v>1</v>
      </c>
      <c r="E6526" s="5">
        <f>Table4[[#This Row],[qty]]*(VLOOKUP(Table4[[#This Row],[item_sold]],Table1[],5,FALSE))</f>
        <v>5</v>
      </c>
      <c r="F6526" s="5">
        <f>(VLOOKUP(Table4[[#This Row],[item_sold]],Table1[],4,FALSE))*Table4[[#This Row],[qty]]</f>
        <v>2.4</v>
      </c>
      <c r="G6526">
        <f t="shared" si="1138"/>
        <v>2.6</v>
      </c>
      <c r="H6526" t="s">
        <v>402</v>
      </c>
    </row>
    <row r="6527" spans="1:9" x14ac:dyDescent="0.25">
      <c r="A6527" s="1">
        <f t="shared" si="1139"/>
        <v>45590</v>
      </c>
      <c r="B6527" s="31">
        <f t="shared" si="1151"/>
        <v>0.75208333333333333</v>
      </c>
      <c r="C6527" t="str">
        <f>'Inventory as of 12th Aug 2024'!A199</f>
        <v>Kdf</v>
      </c>
      <c r="D6527">
        <v>2</v>
      </c>
      <c r="E6527" s="5">
        <f>Table4[[#This Row],[qty]]*(VLOOKUP(Table4[[#This Row],[item_sold]],Table1[],5,FALSE))</f>
        <v>20</v>
      </c>
      <c r="F6527" s="5">
        <f>(VLOOKUP(Table4[[#This Row],[item_sold]],Table1[],4,FALSE))*Table4[[#This Row],[qty]]</f>
        <v>16.666666666666668</v>
      </c>
      <c r="G6527">
        <f t="shared" si="1138"/>
        <v>3.3333333333333321</v>
      </c>
      <c r="H6527" t="s">
        <v>430</v>
      </c>
      <c r="I6527" t="s">
        <v>456</v>
      </c>
    </row>
    <row r="6528" spans="1:9" x14ac:dyDescent="0.25">
      <c r="A6528" s="1">
        <f t="shared" si="1139"/>
        <v>45590</v>
      </c>
      <c r="B6528" s="31">
        <f t="shared" si="1151"/>
        <v>0.75208333333333333</v>
      </c>
      <c r="C6528" t="str">
        <f>'Inventory as of 12th Aug 2024'!A178</f>
        <v>Ringoz Paprika</v>
      </c>
      <c r="D6528">
        <v>1</v>
      </c>
      <c r="E6528" s="5">
        <f>Table4[[#This Row],[qty]]*(VLOOKUP(Table4[[#This Row],[item_sold]],Table1[],5,FALSE))</f>
        <v>15</v>
      </c>
      <c r="F6528" s="5">
        <f>(VLOOKUP(Table4[[#This Row],[item_sold]],Table1[],4,FALSE))*Table4[[#This Row],[qty]]</f>
        <v>8.8000000000000007</v>
      </c>
      <c r="G6528">
        <f t="shared" si="1138"/>
        <v>6.1999999999999993</v>
      </c>
      <c r="H6528" t="s">
        <v>430</v>
      </c>
      <c r="I6528" t="s">
        <v>456</v>
      </c>
    </row>
    <row r="6529" spans="1:9" x14ac:dyDescent="0.25">
      <c r="A6529" s="1">
        <f t="shared" si="1139"/>
        <v>45590</v>
      </c>
      <c r="B6529" s="31">
        <f>TIME(18,4,0)</f>
        <v>0.75277777777777777</v>
      </c>
      <c r="C6529" t="str">
        <f>'Inventory as of 12th Aug 2024'!A153</f>
        <v>mosquito stick</v>
      </c>
      <c r="D6529">
        <v>3</v>
      </c>
      <c r="E6529" s="5">
        <f>Table4[[#This Row],[qty]]*(VLOOKUP(Table4[[#This Row],[item_sold]],Table1[],5,FALSE))</f>
        <v>30</v>
      </c>
      <c r="F6529" s="5">
        <f>(VLOOKUP(Table4[[#This Row],[item_sold]],Table1[],4,FALSE))*Table4[[#This Row],[qty]]</f>
        <v>27</v>
      </c>
      <c r="G6529">
        <f t="shared" si="1138"/>
        <v>3</v>
      </c>
      <c r="H6529" t="s">
        <v>361</v>
      </c>
    </row>
    <row r="6530" spans="1:9" x14ac:dyDescent="0.25">
      <c r="A6530" s="1">
        <f t="shared" si="1139"/>
        <v>45590</v>
      </c>
      <c r="B6530" s="31">
        <f t="shared" ref="B6530:B6535" si="1152">TIME(18,4,0)</f>
        <v>0.75277777777777777</v>
      </c>
      <c r="C6530" t="str">
        <f>'Inventory as of 12th Aug 2024'!A16</f>
        <v>Mt kenya milk 500ml</v>
      </c>
      <c r="D6530">
        <v>1</v>
      </c>
      <c r="E6530" s="5">
        <f>Table4[[#This Row],[qty]]*(VLOOKUP(Table4[[#This Row],[item_sold]],Table1[],5,FALSE))</f>
        <v>65</v>
      </c>
      <c r="F6530" s="5">
        <f>(VLOOKUP(Table4[[#This Row],[item_sold]],Table1[],4,FALSE))*Table4[[#This Row],[qty]]</f>
        <v>48.333333333333336</v>
      </c>
      <c r="G6530">
        <f t="shared" si="1138"/>
        <v>16.666666666666664</v>
      </c>
      <c r="H6530" t="s">
        <v>361</v>
      </c>
    </row>
    <row r="6531" spans="1:9" x14ac:dyDescent="0.25">
      <c r="A6531" s="1">
        <f t="shared" si="1139"/>
        <v>45590</v>
      </c>
      <c r="B6531" s="31">
        <f t="shared" si="1152"/>
        <v>0.75277777777777777</v>
      </c>
      <c r="C6531" t="str">
        <f>'Inventory as of 12th Aug 2024'!A92</f>
        <v>Banana</v>
      </c>
      <c r="D6531">
        <v>4</v>
      </c>
      <c r="E6531" s="5">
        <f>Table4[[#This Row],[qty]]*(VLOOKUP(Table4[[#This Row],[item_sold]],Table1[],5,FALSE))</f>
        <v>40</v>
      </c>
      <c r="F6531" s="5">
        <f>(VLOOKUP(Table4[[#This Row],[item_sold]],Table1[],4,FALSE))*Table4[[#This Row],[qty]]</f>
        <v>33.333333333333336</v>
      </c>
      <c r="G6531">
        <f t="shared" si="1138"/>
        <v>6.6666666666666643</v>
      </c>
      <c r="H6531" t="s">
        <v>361</v>
      </c>
    </row>
    <row r="6532" spans="1:9" x14ac:dyDescent="0.25">
      <c r="A6532" s="1">
        <f t="shared" si="1139"/>
        <v>45590</v>
      </c>
      <c r="B6532" s="31">
        <f t="shared" si="1152"/>
        <v>0.75277777777777777</v>
      </c>
      <c r="C6532" t="str">
        <f>'Inventory as of 12th Aug 2024'!A199</f>
        <v>Kdf</v>
      </c>
      <c r="D6532">
        <v>2</v>
      </c>
      <c r="E6532" s="5">
        <f>Table4[[#This Row],[qty]]*(VLOOKUP(Table4[[#This Row],[item_sold]],Table1[],5,FALSE))</f>
        <v>20</v>
      </c>
      <c r="F6532" s="5">
        <f>(VLOOKUP(Table4[[#This Row],[item_sold]],Table1[],4,FALSE))*Table4[[#This Row],[qty]]</f>
        <v>16.666666666666668</v>
      </c>
      <c r="G6532">
        <f t="shared" si="1138"/>
        <v>3.3333333333333321</v>
      </c>
      <c r="H6532" t="s">
        <v>361</v>
      </c>
    </row>
    <row r="6533" spans="1:9" x14ac:dyDescent="0.25">
      <c r="A6533" s="1">
        <f t="shared" si="1139"/>
        <v>45590</v>
      </c>
      <c r="B6533" s="31">
        <f t="shared" si="1152"/>
        <v>0.75277777777777777</v>
      </c>
      <c r="C6533" t="str">
        <f>'Inventory as of 12th Aug 2024'!A58</f>
        <v>Safari</v>
      </c>
      <c r="D6533">
        <v>4</v>
      </c>
      <c r="E6533" s="5">
        <f>Table4[[#This Row],[qty]]*(VLOOKUP(Table4[[#This Row],[item_sold]],Table1[],5,FALSE))</f>
        <v>60</v>
      </c>
      <c r="F6533" s="5">
        <f>(VLOOKUP(Table4[[#This Row],[item_sold]],Table1[],4,FALSE))*Table4[[#This Row],[qty]]</f>
        <v>34</v>
      </c>
      <c r="G6533">
        <f t="shared" si="1138"/>
        <v>26</v>
      </c>
      <c r="H6533" t="s">
        <v>402</v>
      </c>
    </row>
    <row r="6534" spans="1:9" x14ac:dyDescent="0.25">
      <c r="A6534" s="1">
        <f t="shared" si="1139"/>
        <v>45590</v>
      </c>
      <c r="B6534" s="31">
        <f t="shared" si="1152"/>
        <v>0.75277777777777777</v>
      </c>
      <c r="C6534" t="str">
        <f>'Inventory as of 12th Aug 2024'!A92</f>
        <v>Banana</v>
      </c>
      <c r="D6534">
        <v>1</v>
      </c>
      <c r="E6534" s="5">
        <f>Table4[[#This Row],[qty]]*(VLOOKUP(Table4[[#This Row],[item_sold]],Table1[],5,FALSE))</f>
        <v>10</v>
      </c>
      <c r="F6534" s="5">
        <f>(VLOOKUP(Table4[[#This Row],[item_sold]],Table1[],4,FALSE))*Table4[[#This Row],[qty]]</f>
        <v>8.3333333333333339</v>
      </c>
      <c r="G6534">
        <f t="shared" si="1138"/>
        <v>1.6666666666666661</v>
      </c>
      <c r="H6534" t="s">
        <v>430</v>
      </c>
      <c r="I6534" t="s">
        <v>390</v>
      </c>
    </row>
    <row r="6535" spans="1:9" x14ac:dyDescent="0.25">
      <c r="A6535" s="1">
        <f t="shared" si="1139"/>
        <v>45590</v>
      </c>
      <c r="B6535" s="31">
        <f t="shared" si="1152"/>
        <v>0.75277777777777777</v>
      </c>
      <c r="C6535" t="str">
        <f>'Inventory as of 12th Aug 2024'!A75</f>
        <v>Cooking Oil Measured</v>
      </c>
      <c r="D6535">
        <v>0.25</v>
      </c>
      <c r="E6535" s="5">
        <f>Table4[[#This Row],[qty]]*(VLOOKUP(Table4[[#This Row],[item_sold]],Table1[],5,FALSE))</f>
        <v>70</v>
      </c>
      <c r="F6535" s="5">
        <f>(VLOOKUP(Table4[[#This Row],[item_sold]],Table1[],4,FALSE))*Table4[[#This Row],[qty]]</f>
        <v>50</v>
      </c>
      <c r="G6535">
        <f t="shared" si="1138"/>
        <v>20</v>
      </c>
      <c r="H6535" t="s">
        <v>361</v>
      </c>
    </row>
    <row r="6536" spans="1:9" x14ac:dyDescent="0.25">
      <c r="A6536" s="1">
        <f t="shared" si="1139"/>
        <v>45590</v>
      </c>
      <c r="B6536" s="31">
        <f>TIME(18,28,0)</f>
        <v>0.76944444444444438</v>
      </c>
      <c r="C6536" t="str">
        <f>'Inventory as of 12th Aug 2024'!A234</f>
        <v>Bigdaddy</v>
      </c>
      <c r="D6536">
        <v>1</v>
      </c>
      <c r="E6536" s="5">
        <f>Table4[[#This Row],[qty]]*(VLOOKUP(Table4[[#This Row],[item_sold]],Table1[],5,FALSE))</f>
        <v>10</v>
      </c>
      <c r="F6536" s="5">
        <f>(VLOOKUP(Table4[[#This Row],[item_sold]],Table1[],4,FALSE))*Table4[[#This Row],[qty]]</f>
        <v>6</v>
      </c>
      <c r="G6536">
        <f t="shared" si="1138"/>
        <v>4</v>
      </c>
      <c r="H6536" t="s">
        <v>247</v>
      </c>
    </row>
    <row r="6537" spans="1:9" x14ac:dyDescent="0.25">
      <c r="A6537" s="1">
        <f t="shared" si="1139"/>
        <v>45590</v>
      </c>
      <c r="B6537" s="31">
        <f t="shared" ref="B6537:B6541" si="1153">TIME(18,28,0)</f>
        <v>0.76944444444444438</v>
      </c>
      <c r="C6537" t="str">
        <f>'Inventory as of 12th Aug 2024'!A212</f>
        <v>soda 300ml glass</v>
      </c>
      <c r="D6537">
        <v>1</v>
      </c>
      <c r="E6537" s="5">
        <f>Table4[[#This Row],[qty]]*(VLOOKUP(Table4[[#This Row],[item_sold]],Table1[],5,FALSE))</f>
        <v>40</v>
      </c>
      <c r="F6537" s="5">
        <f>(VLOOKUP(Table4[[#This Row],[item_sold]],Table1[],4,FALSE))*Table4[[#This Row],[qty]]</f>
        <v>32.5</v>
      </c>
      <c r="G6537">
        <f t="shared" si="1138"/>
        <v>7.5</v>
      </c>
      <c r="H6537" t="s">
        <v>247</v>
      </c>
    </row>
    <row r="6538" spans="1:9" x14ac:dyDescent="0.25">
      <c r="A6538" s="1">
        <f t="shared" si="1139"/>
        <v>45590</v>
      </c>
      <c r="B6538" s="31">
        <f t="shared" si="1153"/>
        <v>0.76944444444444438</v>
      </c>
      <c r="C6538" t="str">
        <f>'Inventory as of 12th Aug 2024'!A199</f>
        <v>Kdf</v>
      </c>
      <c r="D6538">
        <v>2</v>
      </c>
      <c r="E6538" s="5">
        <f>Table4[[#This Row],[qty]]*(VLOOKUP(Table4[[#This Row],[item_sold]],Table1[],5,FALSE))</f>
        <v>20</v>
      </c>
      <c r="F6538" s="5">
        <f>(VLOOKUP(Table4[[#This Row],[item_sold]],Table1[],4,FALSE))*Table4[[#This Row],[qty]]</f>
        <v>16.666666666666668</v>
      </c>
      <c r="G6538">
        <f t="shared" si="1138"/>
        <v>3.3333333333333321</v>
      </c>
      <c r="H6538" t="s">
        <v>247</v>
      </c>
    </row>
    <row r="6539" spans="1:9" x14ac:dyDescent="0.25">
      <c r="A6539" s="1">
        <f t="shared" si="1139"/>
        <v>45590</v>
      </c>
      <c r="B6539" s="31">
        <f t="shared" si="1153"/>
        <v>0.76944444444444438</v>
      </c>
      <c r="C6539" t="str">
        <f>'Inventory as of 12th Aug 2024'!A212</f>
        <v>soda 300ml glass</v>
      </c>
      <c r="D6539">
        <v>1</v>
      </c>
      <c r="E6539" s="5">
        <f>Table4[[#This Row],[qty]]*(VLOOKUP(Table4[[#This Row],[item_sold]],Table1[],5,FALSE))</f>
        <v>40</v>
      </c>
      <c r="F6539" s="5">
        <f>(VLOOKUP(Table4[[#This Row],[item_sold]],Table1[],4,FALSE))*Table4[[#This Row],[qty]]</f>
        <v>32.5</v>
      </c>
      <c r="G6539">
        <f t="shared" si="1138"/>
        <v>7.5</v>
      </c>
      <c r="H6539" t="s">
        <v>247</v>
      </c>
    </row>
    <row r="6540" spans="1:9" x14ac:dyDescent="0.25">
      <c r="A6540" s="1">
        <f t="shared" si="1139"/>
        <v>45590</v>
      </c>
      <c r="B6540" s="31">
        <f t="shared" si="1153"/>
        <v>0.76944444444444438</v>
      </c>
      <c r="C6540" t="str">
        <f>'Inventory as of 12th Aug 2024'!A213</f>
        <v>soda 500ml glass</v>
      </c>
      <c r="D6540">
        <v>1</v>
      </c>
      <c r="E6540" s="5">
        <f>Table4[[#This Row],[qty]]*(VLOOKUP(Table4[[#This Row],[item_sold]],Table1[],5,FALSE))</f>
        <v>55</v>
      </c>
      <c r="F6540" s="5">
        <f>(VLOOKUP(Table4[[#This Row],[item_sold]],Table1[],4,FALSE))*Table4[[#This Row],[qty]]</f>
        <v>50</v>
      </c>
      <c r="G6540">
        <f t="shared" si="1138"/>
        <v>5</v>
      </c>
      <c r="H6540" t="s">
        <v>247</v>
      </c>
    </row>
    <row r="6541" spans="1:9" x14ac:dyDescent="0.25">
      <c r="A6541" s="1">
        <f t="shared" si="1139"/>
        <v>45590</v>
      </c>
      <c r="B6541" s="31">
        <f t="shared" si="1153"/>
        <v>0.76944444444444438</v>
      </c>
      <c r="C6541" t="str">
        <f>'Inventory as of 12th Aug 2024'!A256</f>
        <v>Family bisquit</v>
      </c>
      <c r="D6541">
        <v>1</v>
      </c>
      <c r="E6541" s="5">
        <f>Table4[[#This Row],[qty]]*(VLOOKUP(Table4[[#This Row],[item_sold]],Table1[],5,FALSE))</f>
        <v>35</v>
      </c>
      <c r="F6541" s="5">
        <f>(VLOOKUP(Table4[[#This Row],[item_sold]],Table1[],4,FALSE))*Table4[[#This Row],[qty]]</f>
        <v>23.333333333333332</v>
      </c>
      <c r="G6541">
        <f t="shared" si="1138"/>
        <v>11.666666666666668</v>
      </c>
      <c r="H6541" t="s">
        <v>247</v>
      </c>
    </row>
    <row r="6542" spans="1:9" x14ac:dyDescent="0.25">
      <c r="A6542" s="1">
        <f t="shared" si="1139"/>
        <v>45590</v>
      </c>
      <c r="B6542" s="31">
        <f>TIME(18,46,0)</f>
        <v>0.78194444444444444</v>
      </c>
      <c r="C6542" t="str">
        <f>'Inventory as of 12th Aug 2024'!A75</f>
        <v>Cooking Oil Measured</v>
      </c>
      <c r="D6542">
        <v>0.25</v>
      </c>
      <c r="E6542" s="5">
        <f>Table4[[#This Row],[qty]]*(VLOOKUP(Table4[[#This Row],[item_sold]],Table1[],5,FALSE))</f>
        <v>70</v>
      </c>
      <c r="F6542" s="5">
        <f>(VLOOKUP(Table4[[#This Row],[item_sold]],Table1[],4,FALSE))*Table4[[#This Row],[qty]]</f>
        <v>50</v>
      </c>
      <c r="G6542">
        <f t="shared" si="1138"/>
        <v>20</v>
      </c>
      <c r="H6542" t="s">
        <v>361</v>
      </c>
    </row>
    <row r="6543" spans="1:9" x14ac:dyDescent="0.25">
      <c r="A6543" s="1">
        <f t="shared" si="1139"/>
        <v>45590</v>
      </c>
      <c r="B6543" s="31">
        <f t="shared" ref="B6543:B6554" si="1154">TIME(18,46,0)</f>
        <v>0.78194444444444444</v>
      </c>
      <c r="C6543" t="str">
        <f>'Inventory as of 12th Aug 2024'!A179</f>
        <v>Bitez</v>
      </c>
      <c r="D6543">
        <v>2</v>
      </c>
      <c r="E6543" s="5">
        <f>Table4[[#This Row],[qty]]*(VLOOKUP(Table4[[#This Row],[item_sold]],Table1[],5,FALSE))</f>
        <v>30</v>
      </c>
      <c r="F6543" s="5">
        <f>(VLOOKUP(Table4[[#This Row],[item_sold]],Table1[],4,FALSE))*Table4[[#This Row],[qty]]</f>
        <v>17.600000000000001</v>
      </c>
      <c r="G6543">
        <f t="shared" si="1138"/>
        <v>12.399999999999999</v>
      </c>
      <c r="H6543" t="s">
        <v>430</v>
      </c>
      <c r="I6543" t="s">
        <v>404</v>
      </c>
    </row>
    <row r="6544" spans="1:9" x14ac:dyDescent="0.25">
      <c r="A6544" s="1">
        <f t="shared" si="1139"/>
        <v>45590</v>
      </c>
      <c r="B6544" s="31">
        <f t="shared" si="1154"/>
        <v>0.78194444444444444</v>
      </c>
      <c r="C6544" t="str">
        <f>'Inventory as of 12th Aug 2024'!A70</f>
        <v>Sugar 1/2 kg</v>
      </c>
      <c r="D6544">
        <v>1</v>
      </c>
      <c r="E6544" s="5">
        <f>Table4[[#This Row],[qty]]*(VLOOKUP(Table4[[#This Row],[item_sold]],Table1[],5,FALSE))</f>
        <v>90</v>
      </c>
      <c r="F6544" s="5">
        <f>(VLOOKUP(Table4[[#This Row],[item_sold]],Table1[],4,FALSE))*Table4[[#This Row],[qty]]</f>
        <v>60</v>
      </c>
      <c r="G6544">
        <f t="shared" si="1138"/>
        <v>30</v>
      </c>
      <c r="H6544" t="s">
        <v>430</v>
      </c>
      <c r="I6544" t="s">
        <v>404</v>
      </c>
    </row>
    <row r="6545" spans="1:12" x14ac:dyDescent="0.25">
      <c r="A6545" s="1">
        <f t="shared" si="1139"/>
        <v>45590</v>
      </c>
      <c r="B6545" s="31">
        <f t="shared" si="1154"/>
        <v>0.78194444444444444</v>
      </c>
      <c r="C6545" t="str">
        <f>'Inventory as of 12th Aug 2024'!A85</f>
        <v>Downy lavender</v>
      </c>
      <c r="D6545">
        <v>2</v>
      </c>
      <c r="E6545" s="5">
        <f>Table4[[#This Row],[qty]]*(VLOOKUP(Table4[[#This Row],[item_sold]],Table1[],5,FALSE))</f>
        <v>40</v>
      </c>
      <c r="F6545" s="5">
        <f>(VLOOKUP(Table4[[#This Row],[item_sold]],Table1[],4,FALSE))*Table4[[#This Row],[qty]]</f>
        <v>34.666666666666664</v>
      </c>
      <c r="G6545">
        <f t="shared" si="1138"/>
        <v>5.3333333333333357</v>
      </c>
      <c r="H6545" t="s">
        <v>430</v>
      </c>
      <c r="I6545" t="s">
        <v>404</v>
      </c>
    </row>
    <row r="6546" spans="1:12" x14ac:dyDescent="0.25">
      <c r="A6546" s="1">
        <f t="shared" si="1139"/>
        <v>45590</v>
      </c>
      <c r="B6546" s="31">
        <f t="shared" si="1154"/>
        <v>0.78194444444444444</v>
      </c>
      <c r="C6546" t="str">
        <f>'Inventory as of 12th Aug 2024'!A68</f>
        <v>Royco cubes</v>
      </c>
      <c r="D6546">
        <v>6</v>
      </c>
      <c r="E6546" s="5">
        <f>Table4[[#This Row],[qty]]*(VLOOKUP(Table4[[#This Row],[item_sold]],Table1[],5,FALSE))</f>
        <v>30</v>
      </c>
      <c r="F6546" s="5">
        <f>(VLOOKUP(Table4[[#This Row],[item_sold]],Table1[],4,FALSE))*Table4[[#This Row],[qty]]</f>
        <v>18</v>
      </c>
      <c r="G6546">
        <f t="shared" si="1138"/>
        <v>12</v>
      </c>
      <c r="H6546" t="s">
        <v>430</v>
      </c>
      <c r="I6546" t="s">
        <v>404</v>
      </c>
    </row>
    <row r="6547" spans="1:12" x14ac:dyDescent="0.25">
      <c r="A6547" s="1">
        <f t="shared" si="1139"/>
        <v>45590</v>
      </c>
      <c r="B6547" s="31">
        <f t="shared" si="1154"/>
        <v>0.78194444444444444</v>
      </c>
      <c r="C6547" t="str">
        <f>'Inventory as of 12th Aug 2024'!A68</f>
        <v>Royco cubes</v>
      </c>
      <c r="D6547">
        <v>2</v>
      </c>
      <c r="E6547" s="5">
        <f>Table4[[#This Row],[qty]]*(VLOOKUP(Table4[[#This Row],[item_sold]],Table1[],5,FALSE))</f>
        <v>10</v>
      </c>
      <c r="F6547" s="5">
        <f>(VLOOKUP(Table4[[#This Row],[item_sold]],Table1[],4,FALSE))*Table4[[#This Row],[qty]]</f>
        <v>6</v>
      </c>
      <c r="G6547">
        <f t="shared" si="1138"/>
        <v>4</v>
      </c>
      <c r="H6547" t="s">
        <v>430</v>
      </c>
      <c r="I6547" t="s">
        <v>404</v>
      </c>
    </row>
    <row r="6548" spans="1:12" x14ac:dyDescent="0.25">
      <c r="A6548" s="1">
        <f t="shared" si="1139"/>
        <v>45590</v>
      </c>
      <c r="B6548" s="31">
        <f t="shared" si="1154"/>
        <v>0.78194444444444444</v>
      </c>
      <c r="C6548" t="str">
        <f>'Inventory as of 12th Aug 2024'!A213</f>
        <v>soda 500ml glass</v>
      </c>
      <c r="D6548">
        <v>3</v>
      </c>
      <c r="E6548" s="5">
        <f>Table4[[#This Row],[qty]]*(VLOOKUP(Table4[[#This Row],[item_sold]],Table1[],5,FALSE))</f>
        <v>165</v>
      </c>
      <c r="F6548" s="5">
        <f>(VLOOKUP(Table4[[#This Row],[item_sold]],Table1[],4,FALSE))*Table4[[#This Row],[qty]]</f>
        <v>150</v>
      </c>
      <c r="G6548">
        <f t="shared" ref="G6548:G6611" si="1155">E6548-F6548</f>
        <v>15</v>
      </c>
      <c r="H6548" t="s">
        <v>430</v>
      </c>
      <c r="I6548" t="s">
        <v>404</v>
      </c>
    </row>
    <row r="6549" spans="1:12" x14ac:dyDescent="0.25">
      <c r="A6549" s="1">
        <f t="shared" ref="A6549:A6564" si="1156">DATE(2024,10,25)</f>
        <v>45590</v>
      </c>
      <c r="B6549" s="31">
        <f t="shared" si="1154"/>
        <v>0.78194444444444444</v>
      </c>
      <c r="C6549" t="str">
        <f>'Inventory as of 12th Aug 2024'!A75</f>
        <v>Cooking Oil Measured</v>
      </c>
      <c r="D6549">
        <v>0.5</v>
      </c>
      <c r="E6549" s="5">
        <f>Table4[[#This Row],[qty]]*(VLOOKUP(Table4[[#This Row],[item_sold]],Table1[],5,FALSE))</f>
        <v>140</v>
      </c>
      <c r="F6549" s="5">
        <f>(VLOOKUP(Table4[[#This Row],[item_sold]],Table1[],4,FALSE))*Table4[[#This Row],[qty]]</f>
        <v>100</v>
      </c>
      <c r="G6549">
        <f t="shared" si="1155"/>
        <v>40</v>
      </c>
      <c r="H6549" t="s">
        <v>430</v>
      </c>
      <c r="I6549" t="s">
        <v>404</v>
      </c>
    </row>
    <row r="6550" spans="1:12" x14ac:dyDescent="0.25">
      <c r="A6550" s="1">
        <f t="shared" si="1156"/>
        <v>45590</v>
      </c>
      <c r="B6550" s="31">
        <f t="shared" si="1154"/>
        <v>0.78194444444444444</v>
      </c>
      <c r="C6550" t="str">
        <f>'Inventory as of 12th Aug 2024'!A37</f>
        <v>Festive Bread 400g</v>
      </c>
      <c r="D6550">
        <v>1</v>
      </c>
      <c r="E6550" s="5">
        <f>Table4[[#This Row],[qty]]*(VLOOKUP(Table4[[#This Row],[item_sold]],Table1[],5,FALSE))</f>
        <v>65</v>
      </c>
      <c r="F6550" s="5">
        <f>(VLOOKUP(Table4[[#This Row],[item_sold]],Table1[],4,FALSE))*Table4[[#This Row],[qty]]</f>
        <v>60</v>
      </c>
      <c r="G6550">
        <f t="shared" si="1155"/>
        <v>5</v>
      </c>
      <c r="H6550" t="s">
        <v>430</v>
      </c>
      <c r="I6550" t="s">
        <v>404</v>
      </c>
    </row>
    <row r="6551" spans="1:12" x14ac:dyDescent="0.25">
      <c r="A6551" s="1">
        <f t="shared" si="1156"/>
        <v>45590</v>
      </c>
      <c r="B6551" s="31">
        <f t="shared" si="1154"/>
        <v>0.78194444444444444</v>
      </c>
      <c r="C6551" t="str">
        <f>'Inventory as of 12th Aug 2024'!A17</f>
        <v>Brookside milk 500ml</v>
      </c>
      <c r="D6551">
        <v>1</v>
      </c>
      <c r="E6551" s="5">
        <f>Table4[[#This Row],[qty]]*(VLOOKUP(Table4[[#This Row],[item_sold]],Table1[],5,FALSE))</f>
        <v>70</v>
      </c>
      <c r="F6551" s="5">
        <f>(VLOOKUP(Table4[[#This Row],[item_sold]],Table1[],4,FALSE))*Table4[[#This Row],[qty]]</f>
        <v>59</v>
      </c>
      <c r="G6551">
        <f t="shared" si="1155"/>
        <v>11</v>
      </c>
      <c r="H6551" t="s">
        <v>430</v>
      </c>
      <c r="I6551" t="s">
        <v>404</v>
      </c>
    </row>
    <row r="6552" spans="1:12" x14ac:dyDescent="0.25">
      <c r="A6552" s="1">
        <f t="shared" si="1156"/>
        <v>45590</v>
      </c>
      <c r="B6552" s="31">
        <f t="shared" si="1154"/>
        <v>0.78194444444444444</v>
      </c>
      <c r="C6552" t="str">
        <f>'Inventory as of 12th Aug 2024'!A91</f>
        <v>Tomatoes</v>
      </c>
      <c r="D6552">
        <v>3</v>
      </c>
      <c r="E6552" s="5">
        <f>Table4[[#This Row],[qty]]*(VLOOKUP(Table4[[#This Row],[item_sold]],Table1[],5,FALSE))</f>
        <v>30</v>
      </c>
      <c r="F6552" s="5">
        <f>(VLOOKUP(Table4[[#This Row],[item_sold]],Table1[],4,FALSE))*Table4[[#This Row],[qty]]</f>
        <v>15</v>
      </c>
      <c r="G6552">
        <f t="shared" si="1155"/>
        <v>15</v>
      </c>
      <c r="H6552" t="s">
        <v>430</v>
      </c>
      <c r="I6552" t="s">
        <v>404</v>
      </c>
    </row>
    <row r="6553" spans="1:12" x14ac:dyDescent="0.25">
      <c r="A6553" s="1">
        <f t="shared" si="1156"/>
        <v>45590</v>
      </c>
      <c r="B6553" s="31">
        <f t="shared" si="1154"/>
        <v>0.78194444444444444</v>
      </c>
      <c r="C6553" t="str">
        <f>'Inventory as of 12th Aug 2024'!A90</f>
        <v>Onion</v>
      </c>
      <c r="D6553">
        <v>3</v>
      </c>
      <c r="E6553" s="5">
        <f>Table4[[#This Row],[qty]]*(VLOOKUP(Table4[[#This Row],[item_sold]],Table1[],5,FALSE))</f>
        <v>30</v>
      </c>
      <c r="F6553" s="5">
        <f>(VLOOKUP(Table4[[#This Row],[item_sold]],Table1[],4,FALSE))*Table4[[#This Row],[qty]]</f>
        <v>24</v>
      </c>
      <c r="G6553">
        <f t="shared" si="1155"/>
        <v>6</v>
      </c>
      <c r="H6553" t="s">
        <v>430</v>
      </c>
      <c r="I6553" t="s">
        <v>404</v>
      </c>
    </row>
    <row r="6554" spans="1:12" x14ac:dyDescent="0.25">
      <c r="A6554" s="1">
        <f t="shared" si="1156"/>
        <v>45590</v>
      </c>
      <c r="B6554" s="31">
        <f t="shared" si="1154"/>
        <v>0.78194444444444444</v>
      </c>
      <c r="C6554" t="str">
        <f>'Inventory as of 12th Aug 2024'!A42</f>
        <v>Indomie chicken</v>
      </c>
      <c r="D6554">
        <v>2</v>
      </c>
      <c r="E6554" s="5">
        <f>Table4[[#This Row],[qty]]*(VLOOKUP(Table4[[#This Row],[item_sold]],Table1[],5,FALSE))</f>
        <v>100</v>
      </c>
      <c r="F6554" s="5">
        <f>(VLOOKUP(Table4[[#This Row],[item_sold]],Table1[],4,FALSE))*Table4[[#This Row],[qty]]</f>
        <v>75</v>
      </c>
      <c r="G6554">
        <f t="shared" si="1155"/>
        <v>25</v>
      </c>
      <c r="H6554" t="s">
        <v>430</v>
      </c>
      <c r="I6554" t="s">
        <v>404</v>
      </c>
    </row>
    <row r="6555" spans="1:12" x14ac:dyDescent="0.25">
      <c r="A6555" s="1">
        <f t="shared" si="1156"/>
        <v>45590</v>
      </c>
      <c r="B6555" s="31">
        <f>TIME(19,11,0)</f>
        <v>0.7993055555555556</v>
      </c>
      <c r="C6555" t="str">
        <f>'Inventory as of 12th Aug 2024'!A7</f>
        <v>Airtel 50 Credit</v>
      </c>
      <c r="D6555">
        <v>1</v>
      </c>
      <c r="E6555" s="5">
        <f>Table4[[#This Row],[qty]]*(VLOOKUP(Table4[[#This Row],[item_sold]],Table1[],5,FALSE))</f>
        <v>50</v>
      </c>
      <c r="F6555" s="5">
        <f>(VLOOKUP(Table4[[#This Row],[item_sold]],Table1[],4,FALSE))*Table4[[#This Row],[qty]]</f>
        <v>47</v>
      </c>
      <c r="G6555">
        <f t="shared" si="1155"/>
        <v>3</v>
      </c>
      <c r="H6555" t="s">
        <v>402</v>
      </c>
      <c r="J6555" t="s">
        <v>419</v>
      </c>
      <c r="K6555">
        <v>70</v>
      </c>
      <c r="L6555" t="s">
        <v>247</v>
      </c>
    </row>
    <row r="6556" spans="1:12" x14ac:dyDescent="0.25">
      <c r="A6556" s="1">
        <f t="shared" si="1156"/>
        <v>45590</v>
      </c>
      <c r="B6556" s="31">
        <f>TIME(19,15,0)</f>
        <v>0.80208333333333337</v>
      </c>
      <c r="C6556" t="str">
        <f>'Inventory as of 12th Aug 2024'!A8</f>
        <v>eggs</v>
      </c>
      <c r="D6556">
        <v>4</v>
      </c>
      <c r="E6556" s="5">
        <f>Table4[[#This Row],[qty]]*(VLOOKUP(Table4[[#This Row],[item_sold]],Table1[],5,FALSE))</f>
        <v>80</v>
      </c>
      <c r="F6556" s="5">
        <f>(VLOOKUP(Table4[[#This Row],[item_sold]],Table1[],4,FALSE))*Table4[[#This Row],[qty]]</f>
        <v>57.333333333333336</v>
      </c>
      <c r="G6556">
        <f t="shared" si="1155"/>
        <v>22.666666666666664</v>
      </c>
      <c r="H6556" t="s">
        <v>402</v>
      </c>
    </row>
    <row r="6557" spans="1:12" x14ac:dyDescent="0.25">
      <c r="A6557" s="1">
        <f t="shared" si="1156"/>
        <v>45590</v>
      </c>
      <c r="B6557" s="31">
        <f>TIME(19,29,0)</f>
        <v>0.81180555555555556</v>
      </c>
      <c r="C6557" t="str">
        <f>'Inventory as of 12th Aug 2024'!A8</f>
        <v>eggs</v>
      </c>
      <c r="D6557">
        <v>3</v>
      </c>
      <c r="E6557" s="5">
        <f>Table4[[#This Row],[qty]]*(VLOOKUP(Table4[[#This Row],[item_sold]],Table1[],5,FALSE))</f>
        <v>60</v>
      </c>
      <c r="F6557" s="5">
        <f>(VLOOKUP(Table4[[#This Row],[item_sold]],Table1[],4,FALSE))*Table4[[#This Row],[qty]]</f>
        <v>43</v>
      </c>
      <c r="G6557">
        <f t="shared" si="1155"/>
        <v>17</v>
      </c>
      <c r="H6557" t="s">
        <v>361</v>
      </c>
    </row>
    <row r="6558" spans="1:12" x14ac:dyDescent="0.25">
      <c r="A6558" s="1">
        <f t="shared" si="1156"/>
        <v>45590</v>
      </c>
      <c r="B6558" s="31">
        <f t="shared" ref="B6558" si="1157">TIME(19,29,0)</f>
        <v>0.81180555555555556</v>
      </c>
      <c r="C6558" t="str">
        <f>'Inventory as of 12th Aug 2024'!A10</f>
        <v>Mt Kenya milk 200ml</v>
      </c>
      <c r="D6558">
        <v>1</v>
      </c>
      <c r="E6558" s="5">
        <f>Table4[[#This Row],[qty]]*(VLOOKUP(Table4[[#This Row],[item_sold]],Table1[],5,FALSE))</f>
        <v>35</v>
      </c>
      <c r="F6558" s="5">
        <f>(VLOOKUP(Table4[[#This Row],[item_sold]],Table1[],4,FALSE))*Table4[[#This Row],[qty]]</f>
        <v>24.285714285714285</v>
      </c>
      <c r="G6558">
        <f t="shared" si="1155"/>
        <v>10.714285714285715</v>
      </c>
      <c r="H6558" t="s">
        <v>361</v>
      </c>
    </row>
    <row r="6559" spans="1:12" x14ac:dyDescent="0.25">
      <c r="A6559" s="1">
        <f t="shared" si="1156"/>
        <v>45590</v>
      </c>
      <c r="B6559" s="31">
        <f>TIME(19,50,0)</f>
        <v>0.82638888888888884</v>
      </c>
      <c r="C6559" t="str">
        <f>'Inventory as of 12th Aug 2024'!A211</f>
        <v>predator</v>
      </c>
      <c r="D6559">
        <v>1</v>
      </c>
      <c r="E6559" s="5">
        <f>Table4[[#This Row],[qty]]*(VLOOKUP(Table4[[#This Row],[item_sold]],Table1[],5,FALSE))</f>
        <v>70</v>
      </c>
      <c r="F6559" s="5">
        <f>(VLOOKUP(Table4[[#This Row],[item_sold]],Table1[],4,FALSE))*Table4[[#This Row],[qty]]</f>
        <v>54.166666666666664</v>
      </c>
      <c r="G6559">
        <f t="shared" si="1155"/>
        <v>15.833333333333336</v>
      </c>
      <c r="H6559" t="s">
        <v>361</v>
      </c>
    </row>
    <row r="6560" spans="1:12" x14ac:dyDescent="0.25">
      <c r="A6560" s="1">
        <f t="shared" si="1156"/>
        <v>45590</v>
      </c>
      <c r="B6560" s="31">
        <f>TIME(20,0,0)</f>
        <v>0.83333333333333337</v>
      </c>
      <c r="C6560" t="str">
        <f>'Inventory as of 12th Aug 2024'!A8</f>
        <v>eggs</v>
      </c>
      <c r="D6560">
        <v>4</v>
      </c>
      <c r="E6560" s="5">
        <f>Table4[[#This Row],[qty]]*(VLOOKUP(Table4[[#This Row],[item_sold]],Table1[],5,FALSE))</f>
        <v>80</v>
      </c>
      <c r="F6560" s="5">
        <f>(VLOOKUP(Table4[[#This Row],[item_sold]],Table1[],4,FALSE))*Table4[[#This Row],[qty]]</f>
        <v>57.333333333333336</v>
      </c>
      <c r="G6560">
        <f t="shared" si="1155"/>
        <v>22.666666666666664</v>
      </c>
      <c r="H6560" t="s">
        <v>361</v>
      </c>
      <c r="J6560" t="s">
        <v>462</v>
      </c>
      <c r="K6560">
        <v>665</v>
      </c>
      <c r="L6560" t="s">
        <v>361</v>
      </c>
    </row>
    <row r="6561" spans="1:9" x14ac:dyDescent="0.25">
      <c r="A6561" s="1">
        <f t="shared" si="1156"/>
        <v>45590</v>
      </c>
      <c r="B6561" s="31">
        <f>TIME(20,17,0)</f>
        <v>0.84513888888888899</v>
      </c>
      <c r="C6561" t="str">
        <f>'Inventory as of 12th Aug 2024'!A75</f>
        <v>Cooking Oil Measured</v>
      </c>
      <c r="D6561">
        <v>0.25</v>
      </c>
      <c r="E6561" s="5">
        <f>Table4[[#This Row],[qty]]*(VLOOKUP(Table4[[#This Row],[item_sold]],Table1[],5,FALSE))</f>
        <v>70</v>
      </c>
      <c r="F6561" s="5">
        <f>(VLOOKUP(Table4[[#This Row],[item_sold]],Table1[],4,FALSE))*Table4[[#This Row],[qty]]</f>
        <v>50</v>
      </c>
      <c r="G6561">
        <f t="shared" si="1155"/>
        <v>20</v>
      </c>
      <c r="H6561" t="s">
        <v>361</v>
      </c>
    </row>
    <row r="6562" spans="1:9" x14ac:dyDescent="0.25">
      <c r="A6562" s="1">
        <f t="shared" si="1156"/>
        <v>45590</v>
      </c>
      <c r="B6562" s="31">
        <f>TIME(20,50,0)</f>
        <v>0.86805555555555547</v>
      </c>
      <c r="C6562" t="str">
        <f>'Inventory as of 12th Aug 2024'!A16</f>
        <v>Mt kenya milk 500ml</v>
      </c>
      <c r="D6562">
        <v>1</v>
      </c>
      <c r="E6562" s="5">
        <f>Table4[[#This Row],[qty]]*(VLOOKUP(Table4[[#This Row],[item_sold]],Table1[],5,FALSE))</f>
        <v>65</v>
      </c>
      <c r="F6562" s="5">
        <f>(VLOOKUP(Table4[[#This Row],[item_sold]],Table1[],4,FALSE))*Table4[[#This Row],[qty]]</f>
        <v>48.333333333333336</v>
      </c>
      <c r="G6562">
        <f t="shared" si="1155"/>
        <v>16.666666666666664</v>
      </c>
      <c r="H6562" t="s">
        <v>430</v>
      </c>
      <c r="I6562" t="s">
        <v>455</v>
      </c>
    </row>
    <row r="6563" spans="1:9" x14ac:dyDescent="0.25">
      <c r="A6563" s="1">
        <f t="shared" si="1156"/>
        <v>45590</v>
      </c>
      <c r="B6563" s="31">
        <f t="shared" ref="B6563:B6564" si="1158">TIME(20,50,0)</f>
        <v>0.86805555555555547</v>
      </c>
      <c r="C6563" t="str">
        <f>'Inventory as of 12th Aug 2024'!A9</f>
        <v>Kinangop Fresh Milk 500ml</v>
      </c>
      <c r="D6563">
        <v>1</v>
      </c>
      <c r="E6563" s="5">
        <f>Table4[[#This Row],[qty]]*(VLOOKUP(Table4[[#This Row],[item_sold]],Table1[],5,FALSE))</f>
        <v>60</v>
      </c>
      <c r="F6563" s="5">
        <f>(VLOOKUP(Table4[[#This Row],[item_sold]],Table1[],4,FALSE))*Table4[[#This Row],[qty]]</f>
        <v>55</v>
      </c>
      <c r="G6563">
        <f t="shared" si="1155"/>
        <v>5</v>
      </c>
      <c r="H6563" t="s">
        <v>430</v>
      </c>
      <c r="I6563" t="s">
        <v>455</v>
      </c>
    </row>
    <row r="6564" spans="1:9" x14ac:dyDescent="0.25">
      <c r="A6564" s="1">
        <f t="shared" si="1156"/>
        <v>45590</v>
      </c>
      <c r="B6564" s="31">
        <f t="shared" si="1158"/>
        <v>0.86805555555555547</v>
      </c>
      <c r="C6564" t="str">
        <f>'Inventory as of 12th Aug 2024'!A8</f>
        <v>eggs</v>
      </c>
      <c r="D6564">
        <v>3</v>
      </c>
      <c r="E6564" s="5">
        <f>Table4[[#This Row],[qty]]*(VLOOKUP(Table4[[#This Row],[item_sold]],Table1[],5,FALSE))</f>
        <v>60</v>
      </c>
      <c r="F6564" s="5">
        <f>(VLOOKUP(Table4[[#This Row],[item_sold]],Table1[],4,FALSE))*Table4[[#This Row],[qty]]</f>
        <v>43</v>
      </c>
      <c r="G6564">
        <f t="shared" si="1155"/>
        <v>17</v>
      </c>
      <c r="H6564" t="s">
        <v>430</v>
      </c>
      <c r="I6564" t="s">
        <v>455</v>
      </c>
    </row>
    <row r="6565" spans="1:9" x14ac:dyDescent="0.25">
      <c r="A6565" s="1">
        <f>DATE(2024,10,26)</f>
        <v>45591</v>
      </c>
      <c r="B6565" s="31">
        <f>TIME(7,38,0)</f>
        <v>0.31805555555555554</v>
      </c>
      <c r="C6565" t="str">
        <f>'Inventory as of 12th Aug 2024'!A33</f>
        <v>BB Bread 400g</v>
      </c>
      <c r="D6565">
        <v>1</v>
      </c>
      <c r="E6565" s="5">
        <f>Table4[[#This Row],[qty]]*(VLOOKUP(Table4[[#This Row],[item_sold]],Table1[],5,FALSE))</f>
        <v>65</v>
      </c>
      <c r="F6565" s="5">
        <f>(VLOOKUP(Table4[[#This Row],[item_sold]],Table1[],4,FALSE))*Table4[[#This Row],[qty]]</f>
        <v>60</v>
      </c>
      <c r="G6565">
        <f t="shared" si="1155"/>
        <v>5</v>
      </c>
      <c r="H6565" t="s">
        <v>430</v>
      </c>
      <c r="I6565" t="s">
        <v>456</v>
      </c>
    </row>
    <row r="6566" spans="1:9" x14ac:dyDescent="0.25">
      <c r="A6566" s="1">
        <f t="shared" ref="A6566:A6629" si="1159">DATE(2024,10,26)</f>
        <v>45591</v>
      </c>
      <c r="B6566" s="31">
        <f>TIME(7,45,0)</f>
        <v>0.32291666666666669</v>
      </c>
      <c r="C6566" t="str">
        <f>'Inventory as of 12th Aug 2024'!A79</f>
        <v xml:space="preserve">Whitewash </v>
      </c>
      <c r="D6566">
        <v>1</v>
      </c>
      <c r="E6566" s="5">
        <f>Table4[[#This Row],[qty]]*(VLOOKUP(Table4[[#This Row],[item_sold]],Table1[],5,FALSE))</f>
        <v>50</v>
      </c>
      <c r="F6566" s="5">
        <f>(VLOOKUP(Table4[[#This Row],[item_sold]],Table1[],4,FALSE))*Table4[[#This Row],[qty]]</f>
        <v>33.75</v>
      </c>
      <c r="G6566">
        <f t="shared" si="1155"/>
        <v>16.25</v>
      </c>
      <c r="H6566" t="s">
        <v>361</v>
      </c>
    </row>
    <row r="6567" spans="1:9" x14ac:dyDescent="0.25">
      <c r="A6567" s="1">
        <f t="shared" si="1159"/>
        <v>45591</v>
      </c>
      <c r="B6567" s="31">
        <f t="shared" ref="B6567" si="1160">TIME(7,45,0)</f>
        <v>0.32291666666666669</v>
      </c>
      <c r="C6567" t="str">
        <f>'Inventory as of 12th Aug 2024'!A258</f>
        <v>Sunlight 25g</v>
      </c>
      <c r="D6567">
        <v>2</v>
      </c>
      <c r="E6567" s="5">
        <f>Table4[[#This Row],[qty]]*(VLOOKUP(Table4[[#This Row],[item_sold]],Table1[],5,FALSE))</f>
        <v>30</v>
      </c>
      <c r="F6567" s="5">
        <f>(VLOOKUP(Table4[[#This Row],[item_sold]],Table1[],4,FALSE))*Table4[[#This Row],[qty]]</f>
        <v>16.666666666666668</v>
      </c>
      <c r="G6567">
        <f t="shared" si="1155"/>
        <v>13.333333333333332</v>
      </c>
      <c r="H6567" t="s">
        <v>361</v>
      </c>
    </row>
    <row r="6568" spans="1:9" x14ac:dyDescent="0.25">
      <c r="A6568" s="1">
        <f t="shared" si="1159"/>
        <v>45591</v>
      </c>
      <c r="B6568" s="31">
        <f>TIME(8,9,0)</f>
        <v>0.33958333333333335</v>
      </c>
      <c r="C6568" t="str">
        <f>'Inventory as of 12th Aug 2024'!A199</f>
        <v>Kdf</v>
      </c>
      <c r="D6568">
        <v>5</v>
      </c>
      <c r="E6568" s="5">
        <f>Table4[[#This Row],[qty]]*(VLOOKUP(Table4[[#This Row],[item_sold]],Table1[],5,FALSE))</f>
        <v>50</v>
      </c>
      <c r="F6568" s="5">
        <f>(VLOOKUP(Table4[[#This Row],[item_sold]],Table1[],4,FALSE))*Table4[[#This Row],[qty]]</f>
        <v>41.666666666666671</v>
      </c>
      <c r="G6568">
        <f t="shared" si="1155"/>
        <v>8.3333333333333286</v>
      </c>
      <c r="H6568" t="s">
        <v>361</v>
      </c>
    </row>
    <row r="6569" spans="1:9" x14ac:dyDescent="0.25">
      <c r="A6569" s="1">
        <f t="shared" si="1159"/>
        <v>45591</v>
      </c>
      <c r="B6569" s="31">
        <f t="shared" ref="B6569" si="1161">TIME(8,9,0)</f>
        <v>0.33958333333333335</v>
      </c>
      <c r="C6569" t="str">
        <f>'Inventory as of 12th Aug 2024'!A133</f>
        <v>Medium Colgate Toothbrush</v>
      </c>
      <c r="D6569">
        <v>1</v>
      </c>
      <c r="E6569" s="5">
        <f>Table4[[#This Row],[qty]]*(VLOOKUP(Table4[[#This Row],[item_sold]],Table1[],5,FALSE))</f>
        <v>40</v>
      </c>
      <c r="F6569" s="5">
        <f>(VLOOKUP(Table4[[#This Row],[item_sold]],Table1[],4,FALSE))*Table4[[#This Row],[qty]]</f>
        <v>25</v>
      </c>
      <c r="G6569">
        <f t="shared" si="1155"/>
        <v>15</v>
      </c>
      <c r="H6569" t="s">
        <v>430</v>
      </c>
      <c r="I6569" t="s">
        <v>456</v>
      </c>
    </row>
    <row r="6570" spans="1:9" x14ac:dyDescent="0.25">
      <c r="A6570" s="1">
        <f t="shared" si="1159"/>
        <v>45591</v>
      </c>
      <c r="B6570" s="31">
        <f>TIME(8,38,0)</f>
        <v>0.35972222222222222</v>
      </c>
      <c r="C6570" t="str">
        <f>'Inventory as of 12th Aug 2024'!A33</f>
        <v>BB Bread 400g</v>
      </c>
      <c r="D6570">
        <v>1</v>
      </c>
      <c r="E6570" s="5">
        <f>Table4[[#This Row],[qty]]*(VLOOKUP(Table4[[#This Row],[item_sold]],Table1[],5,FALSE))</f>
        <v>65</v>
      </c>
      <c r="F6570" s="5">
        <f>(VLOOKUP(Table4[[#This Row],[item_sold]],Table1[],4,FALSE))*Table4[[#This Row],[qty]]</f>
        <v>60</v>
      </c>
      <c r="G6570">
        <f t="shared" si="1155"/>
        <v>5</v>
      </c>
      <c r="H6570" t="s">
        <v>430</v>
      </c>
      <c r="I6570" t="s">
        <v>390</v>
      </c>
    </row>
    <row r="6571" spans="1:9" x14ac:dyDescent="0.25">
      <c r="A6571" s="1">
        <f t="shared" si="1159"/>
        <v>45591</v>
      </c>
      <c r="B6571" s="31">
        <f t="shared" ref="B6571" si="1162">TIME(8,38,0)</f>
        <v>0.35972222222222222</v>
      </c>
      <c r="C6571" t="str">
        <f>'Inventory as of 12th Aug 2024'!A17</f>
        <v>Brookside milk 500ml</v>
      </c>
      <c r="D6571">
        <v>1</v>
      </c>
      <c r="E6571" s="5">
        <f>Table4[[#This Row],[qty]]*(VLOOKUP(Table4[[#This Row],[item_sold]],Table1[],5,FALSE))</f>
        <v>70</v>
      </c>
      <c r="F6571" s="5">
        <f>(VLOOKUP(Table4[[#This Row],[item_sold]],Table1[],4,FALSE))*Table4[[#This Row],[qty]]</f>
        <v>59</v>
      </c>
      <c r="G6571">
        <f t="shared" si="1155"/>
        <v>11</v>
      </c>
      <c r="H6571" t="s">
        <v>430</v>
      </c>
      <c r="I6571" t="s">
        <v>390</v>
      </c>
    </row>
    <row r="6572" spans="1:9" x14ac:dyDescent="0.25">
      <c r="A6572" s="1">
        <f t="shared" si="1159"/>
        <v>45591</v>
      </c>
      <c r="B6572" s="31">
        <f>TIME(8,43,0)</f>
        <v>0.36319444444444443</v>
      </c>
      <c r="C6572" t="str">
        <f>'Inventory as of 12th Aug 2024'!A199</f>
        <v>Kdf</v>
      </c>
      <c r="D6572">
        <v>2</v>
      </c>
      <c r="E6572" s="5">
        <f>Table4[[#This Row],[qty]]*(VLOOKUP(Table4[[#This Row],[item_sold]],Table1[],5,FALSE))</f>
        <v>20</v>
      </c>
      <c r="F6572" s="5">
        <f>(VLOOKUP(Table4[[#This Row],[item_sold]],Table1[],4,FALSE))*Table4[[#This Row],[qty]]</f>
        <v>16.666666666666668</v>
      </c>
      <c r="G6572">
        <f t="shared" si="1155"/>
        <v>3.3333333333333321</v>
      </c>
      <c r="H6572" t="s">
        <v>402</v>
      </c>
    </row>
    <row r="6573" spans="1:9" x14ac:dyDescent="0.25">
      <c r="A6573" s="1">
        <f t="shared" si="1159"/>
        <v>45591</v>
      </c>
      <c r="B6573" s="31">
        <f t="shared" ref="B6573" si="1163">TIME(8,43,0)</f>
        <v>0.36319444444444443</v>
      </c>
      <c r="C6573" t="str">
        <f>'Inventory as of 12th Aug 2024'!A33</f>
        <v>BB Bread 400g</v>
      </c>
      <c r="D6573">
        <v>2</v>
      </c>
      <c r="E6573" s="5">
        <f>Table4[[#This Row],[qty]]*(VLOOKUP(Table4[[#This Row],[item_sold]],Table1[],5,FALSE))</f>
        <v>130</v>
      </c>
      <c r="F6573" s="5">
        <f>(VLOOKUP(Table4[[#This Row],[item_sold]],Table1[],4,FALSE))*Table4[[#This Row],[qty]]</f>
        <v>120</v>
      </c>
      <c r="G6573">
        <f t="shared" si="1155"/>
        <v>10</v>
      </c>
      <c r="H6573" t="s">
        <v>430</v>
      </c>
      <c r="I6573" t="s">
        <v>394</v>
      </c>
    </row>
    <row r="6574" spans="1:9" x14ac:dyDescent="0.25">
      <c r="A6574" s="1">
        <f t="shared" si="1159"/>
        <v>45591</v>
      </c>
      <c r="B6574" s="31">
        <f>TIME(9,7,0)</f>
        <v>0.37986111111111115</v>
      </c>
      <c r="C6574" t="str">
        <f>'Inventory as of 12th Aug 2024'!A86</f>
        <v>Downy sunrise fresh</v>
      </c>
      <c r="D6574">
        <v>2</v>
      </c>
      <c r="E6574" s="5">
        <f>Table4[[#This Row],[qty]]*(VLOOKUP(Table4[[#This Row],[item_sold]],Table1[],5,FALSE))</f>
        <v>40</v>
      </c>
      <c r="F6574" s="5">
        <f>(VLOOKUP(Table4[[#This Row],[item_sold]],Table1[],4,FALSE))*Table4[[#This Row],[qty]]</f>
        <v>34.666666666666664</v>
      </c>
      <c r="G6574">
        <f t="shared" si="1155"/>
        <v>5.3333333333333357</v>
      </c>
      <c r="H6574" t="s">
        <v>361</v>
      </c>
    </row>
    <row r="6575" spans="1:9" x14ac:dyDescent="0.25">
      <c r="A6575" s="1">
        <f t="shared" si="1159"/>
        <v>45591</v>
      </c>
      <c r="B6575" s="31">
        <f t="shared" ref="B6575:B6577" si="1164">TIME(9,7,0)</f>
        <v>0.37986111111111115</v>
      </c>
      <c r="C6575" t="str">
        <f>'Inventory as of 12th Aug 2024'!A92</f>
        <v>Banana</v>
      </c>
      <c r="D6575">
        <v>2</v>
      </c>
      <c r="E6575" s="5">
        <f>Table4[[#This Row],[qty]]*(VLOOKUP(Table4[[#This Row],[item_sold]],Table1[],5,FALSE))</f>
        <v>20</v>
      </c>
      <c r="F6575" s="5">
        <f>(VLOOKUP(Table4[[#This Row],[item_sold]],Table1[],4,FALSE))*Table4[[#This Row],[qty]]</f>
        <v>16.666666666666668</v>
      </c>
      <c r="G6575">
        <f t="shared" si="1155"/>
        <v>3.3333333333333321</v>
      </c>
      <c r="H6575" t="s">
        <v>361</v>
      </c>
    </row>
    <row r="6576" spans="1:9" x14ac:dyDescent="0.25">
      <c r="A6576" s="1">
        <f t="shared" si="1159"/>
        <v>45591</v>
      </c>
      <c r="B6576" s="31">
        <f t="shared" si="1164"/>
        <v>0.37986111111111115</v>
      </c>
      <c r="C6576" t="str">
        <f>'Inventory as of 12th Aug 2024'!A16</f>
        <v>Mt kenya milk 500ml</v>
      </c>
      <c r="D6576">
        <v>1</v>
      </c>
      <c r="E6576" s="5">
        <f>Table4[[#This Row],[qty]]*(VLOOKUP(Table4[[#This Row],[item_sold]],Table1[],5,FALSE))</f>
        <v>65</v>
      </c>
      <c r="F6576" s="5">
        <f>(VLOOKUP(Table4[[#This Row],[item_sold]],Table1[],4,FALSE))*Table4[[#This Row],[qty]]</f>
        <v>48.333333333333336</v>
      </c>
      <c r="G6576">
        <f t="shared" si="1155"/>
        <v>16.666666666666664</v>
      </c>
      <c r="H6576" t="s">
        <v>361</v>
      </c>
    </row>
    <row r="6577" spans="1:12" x14ac:dyDescent="0.25">
      <c r="A6577" s="1">
        <f t="shared" si="1159"/>
        <v>45591</v>
      </c>
      <c r="B6577" s="31">
        <f t="shared" si="1164"/>
        <v>0.37986111111111115</v>
      </c>
      <c r="C6577" t="str">
        <f>'Inventory as of 12th Aug 2024'!A33</f>
        <v>BB Bread 400g</v>
      </c>
      <c r="D6577">
        <v>1</v>
      </c>
      <c r="E6577" s="5">
        <f>Table4[[#This Row],[qty]]*(VLOOKUP(Table4[[#This Row],[item_sold]],Table1[],5,FALSE))</f>
        <v>65</v>
      </c>
      <c r="F6577" s="5">
        <f>(VLOOKUP(Table4[[#This Row],[item_sold]],Table1[],4,FALSE))*Table4[[#This Row],[qty]]</f>
        <v>60</v>
      </c>
      <c r="G6577">
        <f t="shared" si="1155"/>
        <v>5</v>
      </c>
      <c r="H6577" t="s">
        <v>361</v>
      </c>
    </row>
    <row r="6578" spans="1:12" x14ac:dyDescent="0.25">
      <c r="A6578" s="1">
        <f t="shared" si="1159"/>
        <v>45591</v>
      </c>
      <c r="B6578" s="31">
        <f>TIME(9,21,0)</f>
        <v>0.38958333333333334</v>
      </c>
      <c r="C6578" t="str">
        <f>'Inventory as of 12th Aug 2024'!A272</f>
        <v>Soko Maize 1kg</v>
      </c>
      <c r="D6578">
        <v>1</v>
      </c>
      <c r="E6578" s="5">
        <f>Table4[[#This Row],[qty]]*(VLOOKUP(Table4[[#This Row],[item_sold]],Table1[],5,FALSE))</f>
        <v>90</v>
      </c>
      <c r="F6578" s="5">
        <f>(VLOOKUP(Table4[[#This Row],[item_sold]],Table1[],4,FALSE))*Table4[[#This Row],[qty]]</f>
        <v>60.625</v>
      </c>
      <c r="G6578">
        <f t="shared" si="1155"/>
        <v>29.375</v>
      </c>
      <c r="H6578" t="s">
        <v>430</v>
      </c>
      <c r="I6578" t="s">
        <v>615</v>
      </c>
      <c r="J6578" t="s">
        <v>615</v>
      </c>
      <c r="K6578">
        <v>115</v>
      </c>
      <c r="L6578" t="s">
        <v>247</v>
      </c>
    </row>
    <row r="6579" spans="1:12" x14ac:dyDescent="0.25">
      <c r="A6579" s="1">
        <f t="shared" si="1159"/>
        <v>45591</v>
      </c>
      <c r="B6579" s="31">
        <f t="shared" ref="B6579:B6582" si="1165">TIME(9,21,0)</f>
        <v>0.38958333333333334</v>
      </c>
      <c r="C6579" t="str">
        <f>'Inventory as of 12th Aug 2024'!A91</f>
        <v>Tomatoes</v>
      </c>
      <c r="D6579">
        <v>1</v>
      </c>
      <c r="E6579" s="5">
        <f>Table4[[#This Row],[qty]]*(VLOOKUP(Table4[[#This Row],[item_sold]],Table1[],5,FALSE))</f>
        <v>10</v>
      </c>
      <c r="F6579" s="5">
        <f>(VLOOKUP(Table4[[#This Row],[item_sold]],Table1[],4,FALSE))*Table4[[#This Row],[qty]]</f>
        <v>5</v>
      </c>
      <c r="G6579">
        <f t="shared" si="1155"/>
        <v>5</v>
      </c>
      <c r="H6579" t="s">
        <v>430</v>
      </c>
      <c r="I6579" t="s">
        <v>615</v>
      </c>
    </row>
    <row r="6580" spans="1:12" x14ac:dyDescent="0.25">
      <c r="A6580" s="1">
        <f t="shared" si="1159"/>
        <v>45591</v>
      </c>
      <c r="B6580" s="31">
        <f t="shared" si="1165"/>
        <v>0.38958333333333334</v>
      </c>
      <c r="C6580" t="str">
        <f>'Inventory as of 12th Aug 2024'!A16</f>
        <v>Mt kenya milk 500ml</v>
      </c>
      <c r="D6580">
        <v>1</v>
      </c>
      <c r="E6580" s="5">
        <f>Table4[[#This Row],[qty]]*(VLOOKUP(Table4[[#This Row],[item_sold]],Table1[],5,FALSE))</f>
        <v>65</v>
      </c>
      <c r="F6580" s="5">
        <f>(VLOOKUP(Table4[[#This Row],[item_sold]],Table1[],4,FALSE))*Table4[[#This Row],[qty]]</f>
        <v>48.333333333333336</v>
      </c>
      <c r="G6580">
        <f t="shared" si="1155"/>
        <v>16.666666666666664</v>
      </c>
      <c r="H6580" t="s">
        <v>430</v>
      </c>
      <c r="I6580" t="s">
        <v>615</v>
      </c>
    </row>
    <row r="6581" spans="1:12" x14ac:dyDescent="0.25">
      <c r="A6581" s="1">
        <f t="shared" si="1159"/>
        <v>45591</v>
      </c>
      <c r="B6581" s="31">
        <f t="shared" si="1165"/>
        <v>0.38958333333333334</v>
      </c>
      <c r="C6581" t="str">
        <f>'Inventory as of 12th Aug 2024'!A8</f>
        <v>eggs</v>
      </c>
      <c r="D6581">
        <v>2</v>
      </c>
      <c r="E6581" s="5">
        <f>Table4[[#This Row],[qty]]*(VLOOKUP(Table4[[#This Row],[item_sold]],Table1[],5,FALSE))</f>
        <v>40</v>
      </c>
      <c r="F6581" s="5">
        <f>(VLOOKUP(Table4[[#This Row],[item_sold]],Table1[],4,FALSE))*Table4[[#This Row],[qty]]</f>
        <v>28.666666666666668</v>
      </c>
      <c r="G6581">
        <f t="shared" si="1155"/>
        <v>11.333333333333332</v>
      </c>
      <c r="H6581" t="s">
        <v>430</v>
      </c>
      <c r="I6581" t="s">
        <v>615</v>
      </c>
    </row>
    <row r="6582" spans="1:12" x14ac:dyDescent="0.25">
      <c r="A6582" s="1">
        <f t="shared" si="1159"/>
        <v>45591</v>
      </c>
      <c r="B6582" s="31">
        <f t="shared" si="1165"/>
        <v>0.38958333333333334</v>
      </c>
      <c r="C6582" t="str">
        <f>'Inventory as of 12th Aug 2024'!A107</f>
        <v>Match Box</v>
      </c>
      <c r="D6582">
        <v>1</v>
      </c>
      <c r="E6582" s="5">
        <f>Table4[[#This Row],[qty]]*(VLOOKUP(Table4[[#This Row],[item_sold]],Table1[],5,FALSE))</f>
        <v>5</v>
      </c>
      <c r="F6582" s="5">
        <f>(VLOOKUP(Table4[[#This Row],[item_sold]],Table1[],4,FALSE))*Table4[[#This Row],[qty]]</f>
        <v>2.3611111111111112</v>
      </c>
      <c r="G6582">
        <f t="shared" si="1155"/>
        <v>2.6388888888888888</v>
      </c>
      <c r="H6582" t="s">
        <v>430</v>
      </c>
      <c r="I6582" t="s">
        <v>615</v>
      </c>
    </row>
    <row r="6583" spans="1:12" x14ac:dyDescent="0.25">
      <c r="A6583" s="1">
        <f t="shared" si="1159"/>
        <v>45591</v>
      </c>
      <c r="B6583" s="31">
        <f>TIME(9,30,0)</f>
        <v>0.39583333333333331</v>
      </c>
      <c r="C6583" t="str">
        <f>'Inventory as of 12th Aug 2024'!A185</f>
        <v>Glucose 10g</v>
      </c>
      <c r="D6583">
        <v>2</v>
      </c>
      <c r="E6583" s="5">
        <f>Table4[[#This Row],[qty]]*(VLOOKUP(Table4[[#This Row],[item_sold]],Table1[],5,FALSE))</f>
        <v>10</v>
      </c>
      <c r="F6583" s="5">
        <f>(VLOOKUP(Table4[[#This Row],[item_sold]],Table1[],4,FALSE))*Table4[[#This Row],[qty]]</f>
        <v>7.5</v>
      </c>
      <c r="G6583">
        <f t="shared" si="1155"/>
        <v>2.5</v>
      </c>
      <c r="H6583" t="s">
        <v>402</v>
      </c>
    </row>
    <row r="6584" spans="1:12" x14ac:dyDescent="0.25">
      <c r="A6584" s="1">
        <f t="shared" si="1159"/>
        <v>45591</v>
      </c>
      <c r="B6584" s="31">
        <f>TIME(11,59,0)</f>
        <v>0.4993055555555555</v>
      </c>
      <c r="C6584" t="str">
        <f>'Inventory as of 12th Aug 2024'!A91</f>
        <v>Tomatoes</v>
      </c>
      <c r="D6584">
        <v>2</v>
      </c>
      <c r="E6584" s="5">
        <f>Table4[[#This Row],[qty]]*(VLOOKUP(Table4[[#This Row],[item_sold]],Table1[],5,FALSE))</f>
        <v>20</v>
      </c>
      <c r="F6584" s="5">
        <f>(VLOOKUP(Table4[[#This Row],[item_sold]],Table1[],4,FALSE))*Table4[[#This Row],[qty]]</f>
        <v>10</v>
      </c>
      <c r="G6584">
        <f t="shared" si="1155"/>
        <v>10</v>
      </c>
      <c r="H6584" t="s">
        <v>361</v>
      </c>
    </row>
    <row r="6585" spans="1:12" x14ac:dyDescent="0.25">
      <c r="A6585" s="1">
        <f t="shared" si="1159"/>
        <v>45591</v>
      </c>
      <c r="B6585" s="31">
        <f t="shared" ref="B6585" si="1166">TIME(11,59,0)</f>
        <v>0.4993055555555555</v>
      </c>
      <c r="C6585" t="str">
        <f>'Inventory as of 12th Aug 2024'!A256</f>
        <v>Family bisquit</v>
      </c>
      <c r="D6585">
        <v>1</v>
      </c>
      <c r="E6585" s="5">
        <f>Table4[[#This Row],[qty]]*(VLOOKUP(Table4[[#This Row],[item_sold]],Table1[],5,FALSE))</f>
        <v>35</v>
      </c>
      <c r="F6585" s="5">
        <f>(VLOOKUP(Table4[[#This Row],[item_sold]],Table1[],4,FALSE))*Table4[[#This Row],[qty]]</f>
        <v>23.333333333333332</v>
      </c>
      <c r="G6585">
        <f t="shared" si="1155"/>
        <v>11.666666666666668</v>
      </c>
      <c r="H6585" t="s">
        <v>361</v>
      </c>
    </row>
    <row r="6586" spans="1:12" x14ac:dyDescent="0.25">
      <c r="A6586" s="1">
        <f t="shared" si="1159"/>
        <v>45591</v>
      </c>
      <c r="B6586" s="31">
        <f>TIME(12,26,0)</f>
        <v>0.5180555555555556</v>
      </c>
      <c r="C6586" t="str">
        <f>'Inventory as of 12th Aug 2024'!A58</f>
        <v>Safari</v>
      </c>
      <c r="D6586">
        <v>1</v>
      </c>
      <c r="E6586" s="5">
        <f>Table4[[#This Row],[qty]]*(VLOOKUP(Table4[[#This Row],[item_sold]],Table1[],5,FALSE))</f>
        <v>15</v>
      </c>
      <c r="F6586" s="5">
        <f>(VLOOKUP(Table4[[#This Row],[item_sold]],Table1[],4,FALSE))*Table4[[#This Row],[qty]]</f>
        <v>8.5</v>
      </c>
      <c r="G6586">
        <f t="shared" si="1155"/>
        <v>6.5</v>
      </c>
      <c r="H6586" t="s">
        <v>361</v>
      </c>
    </row>
    <row r="6587" spans="1:12" x14ac:dyDescent="0.25">
      <c r="A6587" s="1">
        <f t="shared" si="1159"/>
        <v>45591</v>
      </c>
      <c r="B6587" s="31">
        <f t="shared" ref="B6587:B6590" si="1167">TIME(12,26,0)</f>
        <v>0.5180555555555556</v>
      </c>
      <c r="C6587" t="str">
        <f>'Inventory as of 12th Aug 2024'!A178</f>
        <v>Ringoz Paprika</v>
      </c>
      <c r="D6587">
        <v>2</v>
      </c>
      <c r="E6587" s="5">
        <f>Table4[[#This Row],[qty]]*(VLOOKUP(Table4[[#This Row],[item_sold]],Table1[],5,FALSE))</f>
        <v>30</v>
      </c>
      <c r="F6587" s="5">
        <f>(VLOOKUP(Table4[[#This Row],[item_sold]],Table1[],4,FALSE))*Table4[[#This Row],[qty]]</f>
        <v>17.600000000000001</v>
      </c>
      <c r="G6587">
        <f t="shared" si="1155"/>
        <v>12.399999999999999</v>
      </c>
      <c r="H6587" t="s">
        <v>247</v>
      </c>
    </row>
    <row r="6588" spans="1:12" x14ac:dyDescent="0.25">
      <c r="A6588" s="1">
        <f t="shared" si="1159"/>
        <v>45591</v>
      </c>
      <c r="B6588" s="31">
        <f t="shared" si="1167"/>
        <v>0.5180555555555556</v>
      </c>
      <c r="C6588" t="str">
        <f>'Inventory as of 12th Aug 2024'!A179</f>
        <v>Bitez</v>
      </c>
      <c r="D6588">
        <v>2</v>
      </c>
      <c r="E6588" s="5">
        <f>Table4[[#This Row],[qty]]*(VLOOKUP(Table4[[#This Row],[item_sold]],Table1[],5,FALSE))</f>
        <v>30</v>
      </c>
      <c r="F6588" s="5">
        <f>(VLOOKUP(Table4[[#This Row],[item_sold]],Table1[],4,FALSE))*Table4[[#This Row],[qty]]</f>
        <v>17.600000000000001</v>
      </c>
      <c r="G6588">
        <f t="shared" si="1155"/>
        <v>12.399999999999999</v>
      </c>
      <c r="H6588" t="s">
        <v>247</v>
      </c>
    </row>
    <row r="6589" spans="1:12" x14ac:dyDescent="0.25">
      <c r="A6589" s="1">
        <f t="shared" si="1159"/>
        <v>45591</v>
      </c>
      <c r="B6589" s="31">
        <f t="shared" si="1167"/>
        <v>0.5180555555555556</v>
      </c>
      <c r="C6589" t="str">
        <f>'Inventory as of 12th Aug 2024'!A243</f>
        <v>Ballon</v>
      </c>
      <c r="D6589">
        <v>1</v>
      </c>
      <c r="E6589" s="5">
        <f>Table4[[#This Row],[qty]]*(VLOOKUP(Table4[[#This Row],[item_sold]],Table1[],5,FALSE))</f>
        <v>10</v>
      </c>
      <c r="F6589" s="5">
        <f>(VLOOKUP(Table4[[#This Row],[item_sold]],Table1[],4,FALSE))*Table4[[#This Row],[qty]]</f>
        <v>7.5</v>
      </c>
      <c r="G6589">
        <f t="shared" si="1155"/>
        <v>2.5</v>
      </c>
      <c r="H6589" t="s">
        <v>247</v>
      </c>
    </row>
    <row r="6590" spans="1:12" x14ac:dyDescent="0.25">
      <c r="A6590" s="1">
        <f t="shared" si="1159"/>
        <v>45591</v>
      </c>
      <c r="B6590" s="31">
        <f t="shared" si="1167"/>
        <v>0.5180555555555556</v>
      </c>
      <c r="C6590" t="str">
        <f>'Inventory as of 12th Aug 2024'!A191</f>
        <v>Nuvita Bisquit</v>
      </c>
      <c r="D6590">
        <v>2</v>
      </c>
      <c r="E6590" s="5">
        <f>Table4[[#This Row],[qty]]*(VLOOKUP(Table4[[#This Row],[item_sold]],Table1[],5,FALSE))</f>
        <v>10</v>
      </c>
      <c r="F6590" s="5">
        <f>(VLOOKUP(Table4[[#This Row],[item_sold]],Table1[],4,FALSE))*Table4[[#This Row],[qty]]</f>
        <v>8.3333333333333339</v>
      </c>
      <c r="G6590">
        <f t="shared" si="1155"/>
        <v>1.6666666666666661</v>
      </c>
      <c r="H6590" t="s">
        <v>247</v>
      </c>
    </row>
    <row r="6591" spans="1:12" x14ac:dyDescent="0.25">
      <c r="A6591" s="1">
        <f t="shared" si="1159"/>
        <v>45591</v>
      </c>
      <c r="B6591" s="31">
        <f>TIME(12,51,0)</f>
        <v>0.53541666666666665</v>
      </c>
      <c r="C6591" t="str">
        <f>'Inventory as of 12th Aug 2024'!A242</f>
        <v>Icepop</v>
      </c>
      <c r="D6591">
        <v>1</v>
      </c>
      <c r="E6591" s="5">
        <f>Table4[[#This Row],[qty]]*(VLOOKUP(Table4[[#This Row],[item_sold]],Table1[],5,FALSE))</f>
        <v>15</v>
      </c>
      <c r="F6591" s="5">
        <f>(VLOOKUP(Table4[[#This Row],[item_sold]],Table1[],4,FALSE))*Table4[[#This Row],[qty]]</f>
        <v>7.5</v>
      </c>
      <c r="G6591">
        <f t="shared" si="1155"/>
        <v>7.5</v>
      </c>
      <c r="H6591" t="s">
        <v>247</v>
      </c>
    </row>
    <row r="6592" spans="1:12" x14ac:dyDescent="0.25">
      <c r="A6592" s="1">
        <f t="shared" si="1159"/>
        <v>45591</v>
      </c>
      <c r="B6592" s="31">
        <f>TIME(13,11,0)</f>
        <v>0.5493055555555556</v>
      </c>
      <c r="C6592" t="str">
        <f>'Inventory as of 12th Aug 2024'!A129</f>
        <v>Eno</v>
      </c>
      <c r="D6592">
        <v>2</v>
      </c>
      <c r="E6592" s="5">
        <f>Table4[[#This Row],[qty]]*(VLOOKUP(Table4[[#This Row],[item_sold]],Table1[],5,FALSE))</f>
        <v>40</v>
      </c>
      <c r="F6592" s="5">
        <f>(VLOOKUP(Table4[[#This Row],[item_sold]],Table1[],4,FALSE))*Table4[[#This Row],[qty]]</f>
        <v>22</v>
      </c>
      <c r="G6592">
        <f t="shared" si="1155"/>
        <v>18</v>
      </c>
      <c r="H6592" t="s">
        <v>361</v>
      </c>
    </row>
    <row r="6593" spans="1:8" x14ac:dyDescent="0.25">
      <c r="A6593" s="1">
        <f t="shared" si="1159"/>
        <v>45591</v>
      </c>
      <c r="B6593" s="31">
        <f>TIME(13,23,0)</f>
        <v>0.55763888888888891</v>
      </c>
      <c r="C6593" t="str">
        <f>'Inventory as of 12th Aug 2024'!A199</f>
        <v>Kdf</v>
      </c>
      <c r="D6593">
        <v>4</v>
      </c>
      <c r="E6593" s="5">
        <f>Table4[[#This Row],[qty]]*(VLOOKUP(Table4[[#This Row],[item_sold]],Table1[],5,FALSE))</f>
        <v>40</v>
      </c>
      <c r="F6593" s="5">
        <f>(VLOOKUP(Table4[[#This Row],[item_sold]],Table1[],4,FALSE))*Table4[[#This Row],[qty]]</f>
        <v>33.333333333333336</v>
      </c>
      <c r="G6593">
        <f t="shared" si="1155"/>
        <v>6.6666666666666643</v>
      </c>
      <c r="H6593" t="s">
        <v>361</v>
      </c>
    </row>
    <row r="6594" spans="1:8" x14ac:dyDescent="0.25">
      <c r="A6594" s="1">
        <f t="shared" si="1159"/>
        <v>45591</v>
      </c>
      <c r="B6594" s="31">
        <f t="shared" ref="B6594" si="1168">TIME(13,23,0)</f>
        <v>0.55763888888888891</v>
      </c>
      <c r="C6594" t="str">
        <f>'Inventory as of 12th Aug 2024'!A10</f>
        <v>Mt Kenya milk 200ml</v>
      </c>
      <c r="D6594">
        <v>1</v>
      </c>
      <c r="E6594" s="5">
        <f>Table4[[#This Row],[qty]]*(VLOOKUP(Table4[[#This Row],[item_sold]],Table1[],5,FALSE))</f>
        <v>35</v>
      </c>
      <c r="F6594" s="5">
        <f>(VLOOKUP(Table4[[#This Row],[item_sold]],Table1[],4,FALSE))*Table4[[#This Row],[qty]]</f>
        <v>24.285714285714285</v>
      </c>
      <c r="G6594">
        <f t="shared" si="1155"/>
        <v>10.714285714285715</v>
      </c>
      <c r="H6594" t="s">
        <v>361</v>
      </c>
    </row>
    <row r="6595" spans="1:8" x14ac:dyDescent="0.25">
      <c r="A6595" s="1">
        <f t="shared" si="1159"/>
        <v>45591</v>
      </c>
      <c r="B6595" s="31">
        <f>TIME(13,41,0)</f>
        <v>0.57013888888888886</v>
      </c>
      <c r="C6595" t="str">
        <f>'Inventory as of 12th Aug 2024'!A212</f>
        <v>soda 300ml glass</v>
      </c>
      <c r="D6595">
        <v>1</v>
      </c>
      <c r="E6595" s="5">
        <f>Table4[[#This Row],[qty]]*(VLOOKUP(Table4[[#This Row],[item_sold]],Table1[],5,FALSE))</f>
        <v>40</v>
      </c>
      <c r="F6595" s="5">
        <f>(VLOOKUP(Table4[[#This Row],[item_sold]],Table1[],4,FALSE))*Table4[[#This Row],[qty]]</f>
        <v>32.5</v>
      </c>
      <c r="G6595">
        <f t="shared" si="1155"/>
        <v>7.5</v>
      </c>
      <c r="H6595" t="s">
        <v>361</v>
      </c>
    </row>
    <row r="6596" spans="1:8" x14ac:dyDescent="0.25">
      <c r="A6596" s="1">
        <f t="shared" si="1159"/>
        <v>45591</v>
      </c>
      <c r="B6596" s="31">
        <f t="shared" ref="B6596" si="1169">TIME(13,41,0)</f>
        <v>0.57013888888888886</v>
      </c>
      <c r="C6596" t="str">
        <f>'Inventory as of 12th Aug 2024'!A199</f>
        <v>Kdf</v>
      </c>
      <c r="D6596">
        <v>3</v>
      </c>
      <c r="E6596" s="5">
        <f>Table4[[#This Row],[qty]]*(VLOOKUP(Table4[[#This Row],[item_sold]],Table1[],5,FALSE))</f>
        <v>30</v>
      </c>
      <c r="F6596" s="5">
        <f>(VLOOKUP(Table4[[#This Row],[item_sold]],Table1[],4,FALSE))*Table4[[#This Row],[qty]]</f>
        <v>25</v>
      </c>
      <c r="G6596">
        <f t="shared" si="1155"/>
        <v>5</v>
      </c>
      <c r="H6596" t="s">
        <v>361</v>
      </c>
    </row>
    <row r="6597" spans="1:8" x14ac:dyDescent="0.25">
      <c r="A6597" s="1">
        <f t="shared" si="1159"/>
        <v>45591</v>
      </c>
      <c r="B6597" s="31">
        <f>TIME(13,38,0)</f>
        <v>0.56805555555555554</v>
      </c>
      <c r="C6597" t="str">
        <f>'Inventory as of 12th Aug 2024'!A16</f>
        <v>Mt kenya milk 500ml</v>
      </c>
      <c r="D6597">
        <v>1</v>
      </c>
      <c r="E6597" s="5">
        <f>Table4[[#This Row],[qty]]*(VLOOKUP(Table4[[#This Row],[item_sold]],Table1[],5,FALSE))</f>
        <v>65</v>
      </c>
      <c r="F6597" s="5">
        <f>(VLOOKUP(Table4[[#This Row],[item_sold]],Table1[],4,FALSE))*Table4[[#This Row],[qty]]</f>
        <v>48.333333333333336</v>
      </c>
      <c r="G6597">
        <f t="shared" si="1155"/>
        <v>16.666666666666664</v>
      </c>
      <c r="H6597" t="s">
        <v>361</v>
      </c>
    </row>
    <row r="6598" spans="1:8" x14ac:dyDescent="0.25">
      <c r="A6598" s="1">
        <f t="shared" si="1159"/>
        <v>45591</v>
      </c>
      <c r="B6598" s="31">
        <f t="shared" ref="B6598:B6604" si="1170">TIME(13,38,0)</f>
        <v>0.56805555555555554</v>
      </c>
      <c r="C6598" t="str">
        <f>'Inventory as of 12th Aug 2024'!A58</f>
        <v>Safari</v>
      </c>
      <c r="D6598">
        <v>1</v>
      </c>
      <c r="E6598" s="5">
        <f>Table4[[#This Row],[qty]]*(VLOOKUP(Table4[[#This Row],[item_sold]],Table1[],5,FALSE))</f>
        <v>15</v>
      </c>
      <c r="F6598" s="5">
        <f>(VLOOKUP(Table4[[#This Row],[item_sold]],Table1[],4,FALSE))*Table4[[#This Row],[qty]]</f>
        <v>8.5</v>
      </c>
      <c r="G6598">
        <f t="shared" si="1155"/>
        <v>6.5</v>
      </c>
      <c r="H6598" t="s">
        <v>402</v>
      </c>
    </row>
    <row r="6599" spans="1:8" x14ac:dyDescent="0.25">
      <c r="A6599" s="1">
        <f t="shared" si="1159"/>
        <v>45591</v>
      </c>
      <c r="B6599" s="31">
        <f t="shared" si="1170"/>
        <v>0.56805555555555554</v>
      </c>
      <c r="C6599" t="str">
        <f>'Inventory as of 12th Aug 2024'!A206</f>
        <v>soda 500ml plastic</v>
      </c>
      <c r="D6599">
        <v>1</v>
      </c>
      <c r="E6599" s="5">
        <f>Table4[[#This Row],[qty]]*(VLOOKUP(Table4[[#This Row],[item_sold]],Table1[],5,FALSE))</f>
        <v>70</v>
      </c>
      <c r="F6599" s="5">
        <f>(VLOOKUP(Table4[[#This Row],[item_sold]],Table1[],4,FALSE))*Table4[[#This Row],[qty]]</f>
        <v>60.416666666666664</v>
      </c>
      <c r="G6599">
        <f t="shared" si="1155"/>
        <v>9.5833333333333357</v>
      </c>
      <c r="H6599" t="s">
        <v>402</v>
      </c>
    </row>
    <row r="6600" spans="1:8" x14ac:dyDescent="0.25">
      <c r="A6600" s="1">
        <f t="shared" si="1159"/>
        <v>45591</v>
      </c>
      <c r="B6600" s="31">
        <f t="shared" si="1170"/>
        <v>0.56805555555555554</v>
      </c>
      <c r="C6600" t="str">
        <f>'Inventory as of 12th Aug 2024'!A16</f>
        <v>Mt kenya milk 500ml</v>
      </c>
      <c r="D6600">
        <v>1</v>
      </c>
      <c r="E6600" s="5">
        <f>Table4[[#This Row],[qty]]*(VLOOKUP(Table4[[#This Row],[item_sold]],Table1[],5,FALSE))</f>
        <v>65</v>
      </c>
      <c r="F6600" s="5">
        <f>(VLOOKUP(Table4[[#This Row],[item_sold]],Table1[],4,FALSE))*Table4[[#This Row],[qty]]</f>
        <v>48.333333333333336</v>
      </c>
      <c r="G6600">
        <f t="shared" si="1155"/>
        <v>16.666666666666664</v>
      </c>
      <c r="H6600" t="s">
        <v>402</v>
      </c>
    </row>
    <row r="6601" spans="1:8" x14ac:dyDescent="0.25">
      <c r="A6601" s="1">
        <f t="shared" si="1159"/>
        <v>45591</v>
      </c>
      <c r="B6601" s="31">
        <f t="shared" si="1170"/>
        <v>0.56805555555555554</v>
      </c>
      <c r="C6601" t="str">
        <f>'Inventory as of 12th Aug 2024'!A37</f>
        <v>Festive Bread 400g</v>
      </c>
      <c r="D6601">
        <v>1</v>
      </c>
      <c r="E6601" s="5">
        <f>Table4[[#This Row],[qty]]*(VLOOKUP(Table4[[#This Row],[item_sold]],Table1[],5,FALSE))</f>
        <v>65</v>
      </c>
      <c r="F6601" s="5">
        <f>(VLOOKUP(Table4[[#This Row],[item_sold]],Table1[],4,FALSE))*Table4[[#This Row],[qty]]</f>
        <v>60</v>
      </c>
      <c r="G6601">
        <f t="shared" si="1155"/>
        <v>5</v>
      </c>
      <c r="H6601" t="s">
        <v>402</v>
      </c>
    </row>
    <row r="6602" spans="1:8" x14ac:dyDescent="0.25">
      <c r="A6602" s="1">
        <f t="shared" si="1159"/>
        <v>45591</v>
      </c>
      <c r="B6602" s="31">
        <f t="shared" si="1170"/>
        <v>0.56805555555555554</v>
      </c>
      <c r="C6602" t="str">
        <f>'Inventory as of 12th Aug 2024'!A7</f>
        <v>Airtel 50 Credit</v>
      </c>
      <c r="D6602">
        <v>1</v>
      </c>
      <c r="E6602" s="5">
        <f>Table4[[#This Row],[qty]]*(VLOOKUP(Table4[[#This Row],[item_sold]],Table1[],5,FALSE))</f>
        <v>50</v>
      </c>
      <c r="F6602" s="5">
        <f>(VLOOKUP(Table4[[#This Row],[item_sold]],Table1[],4,FALSE))*Table4[[#This Row],[qty]]</f>
        <v>47</v>
      </c>
      <c r="G6602">
        <f t="shared" si="1155"/>
        <v>3</v>
      </c>
      <c r="H6602" t="s">
        <v>402</v>
      </c>
    </row>
    <row r="6603" spans="1:8" x14ac:dyDescent="0.25">
      <c r="A6603" s="1">
        <f t="shared" si="1159"/>
        <v>45591</v>
      </c>
      <c r="B6603" s="31">
        <f t="shared" si="1170"/>
        <v>0.56805555555555554</v>
      </c>
      <c r="C6603" t="str">
        <f>'Inventory as of 12th Aug 2024'!A91</f>
        <v>Tomatoes</v>
      </c>
      <c r="D6603">
        <v>1</v>
      </c>
      <c r="E6603" s="5">
        <f>Table4[[#This Row],[qty]]*(VLOOKUP(Table4[[#This Row],[item_sold]],Table1[],5,FALSE))</f>
        <v>10</v>
      </c>
      <c r="F6603" s="5">
        <f>(VLOOKUP(Table4[[#This Row],[item_sold]],Table1[],4,FALSE))*Table4[[#This Row],[qty]]</f>
        <v>5</v>
      </c>
      <c r="G6603">
        <f t="shared" si="1155"/>
        <v>5</v>
      </c>
      <c r="H6603" t="s">
        <v>402</v>
      </c>
    </row>
    <row r="6604" spans="1:8" x14ac:dyDescent="0.25">
      <c r="A6604" s="1">
        <f t="shared" si="1159"/>
        <v>45591</v>
      </c>
      <c r="B6604" s="31">
        <f t="shared" si="1170"/>
        <v>0.56805555555555554</v>
      </c>
      <c r="C6604" t="str">
        <f>'Inventory as of 12th Aug 2024'!A266</f>
        <v>Zenta Bar Soap</v>
      </c>
      <c r="D6604">
        <v>1</v>
      </c>
      <c r="E6604" s="5">
        <f>Table4[[#This Row],[qty]]*(VLOOKUP(Table4[[#This Row],[item_sold]],Table1[],5,FALSE))</f>
        <v>250</v>
      </c>
      <c r="F6604" s="5">
        <f>(VLOOKUP(Table4[[#This Row],[item_sold]],Table1[],4,FALSE))*Table4[[#This Row],[qty]]</f>
        <v>160</v>
      </c>
      <c r="G6604">
        <f t="shared" si="1155"/>
        <v>90</v>
      </c>
      <c r="H6604" t="s">
        <v>402</v>
      </c>
    </row>
    <row r="6605" spans="1:8" x14ac:dyDescent="0.25">
      <c r="A6605" s="1">
        <f t="shared" si="1159"/>
        <v>45591</v>
      </c>
      <c r="B6605" s="31">
        <f t="shared" ref="B6605:B6606" si="1171">TIME(13,48,0)</f>
        <v>0.57500000000000007</v>
      </c>
      <c r="C6605" t="str">
        <f>'Inventory as of 12th Aug 2024'!A75</f>
        <v>Cooking Oil Measured</v>
      </c>
      <c r="D6605">
        <v>0.25</v>
      </c>
      <c r="E6605" s="5">
        <f>Table4[[#This Row],[qty]]*(VLOOKUP(Table4[[#This Row],[item_sold]],Table1[],5,FALSE))</f>
        <v>70</v>
      </c>
      <c r="F6605" s="5">
        <f>(VLOOKUP(Table4[[#This Row],[item_sold]],Table1[],4,FALSE))*Table4[[#This Row],[qty]]</f>
        <v>50</v>
      </c>
      <c r="G6605">
        <f t="shared" si="1155"/>
        <v>20</v>
      </c>
      <c r="H6605" t="s">
        <v>361</v>
      </c>
    </row>
    <row r="6606" spans="1:8" x14ac:dyDescent="0.25">
      <c r="A6606" s="1">
        <f t="shared" si="1159"/>
        <v>45591</v>
      </c>
      <c r="B6606" s="31">
        <f t="shared" si="1171"/>
        <v>0.57500000000000007</v>
      </c>
      <c r="C6606" t="str">
        <f>'Inventory as of 12th Aug 2024'!A232</f>
        <v>coo</v>
      </c>
      <c r="D6606">
        <v>2</v>
      </c>
      <c r="E6606" s="5">
        <f>Table4[[#This Row],[qty]]*(VLOOKUP(Table4[[#This Row],[item_sold]],Table1[],5,FALSE))</f>
        <v>5</v>
      </c>
      <c r="F6606" s="5">
        <f>(VLOOKUP(Table4[[#This Row],[item_sold]],Table1[],4,FALSE))*Table4[[#This Row],[qty]]</f>
        <v>2.4</v>
      </c>
      <c r="G6606">
        <f t="shared" si="1155"/>
        <v>2.6</v>
      </c>
      <c r="H6606" t="s">
        <v>402</v>
      </c>
    </row>
    <row r="6607" spans="1:8" x14ac:dyDescent="0.25">
      <c r="A6607" s="1">
        <f t="shared" si="1159"/>
        <v>45591</v>
      </c>
      <c r="B6607" s="31">
        <f>TIME(13,32,0)</f>
        <v>0.56388888888888888</v>
      </c>
      <c r="C6607" t="str">
        <f>'Inventory as of 12th Aug 2024'!A41</f>
        <v>Indomie beef</v>
      </c>
      <c r="D6607">
        <v>1</v>
      </c>
      <c r="E6607" s="5">
        <f>Table4[[#This Row],[qty]]*(VLOOKUP(Table4[[#This Row],[item_sold]],Table1[],5,FALSE))</f>
        <v>50</v>
      </c>
      <c r="F6607" s="5">
        <f>(VLOOKUP(Table4[[#This Row],[item_sold]],Table1[],4,FALSE))*Table4[[#This Row],[qty]]</f>
        <v>38</v>
      </c>
      <c r="G6607">
        <f t="shared" si="1155"/>
        <v>12</v>
      </c>
      <c r="H6607" t="s">
        <v>361</v>
      </c>
    </row>
    <row r="6608" spans="1:8" x14ac:dyDescent="0.25">
      <c r="A6608" s="1">
        <f t="shared" si="1159"/>
        <v>45591</v>
      </c>
      <c r="B6608" s="31">
        <f t="shared" ref="B6608:B6609" si="1172">TIME(13,32,0)</f>
        <v>0.56388888888888888</v>
      </c>
      <c r="C6608" t="str">
        <f>'Inventory as of 12th Aug 2024'!A120</f>
        <v>Maramoja</v>
      </c>
      <c r="D6608">
        <v>1</v>
      </c>
      <c r="E6608" s="5">
        <f>Table4[[#This Row],[qty]]*(VLOOKUP(Table4[[#This Row],[item_sold]],Table1[],5,FALSE))</f>
        <v>10</v>
      </c>
      <c r="F6608" s="5">
        <f>(VLOOKUP(Table4[[#This Row],[item_sold]],Table1[],4,FALSE))*Table4[[#This Row],[qty]]</f>
        <v>7</v>
      </c>
      <c r="G6608">
        <f t="shared" si="1155"/>
        <v>3</v>
      </c>
      <c r="H6608" t="s">
        <v>402</v>
      </c>
    </row>
    <row r="6609" spans="1:12" x14ac:dyDescent="0.25">
      <c r="A6609" s="1">
        <f t="shared" si="1159"/>
        <v>45591</v>
      </c>
      <c r="B6609" s="31">
        <f t="shared" si="1172"/>
        <v>0.56388888888888888</v>
      </c>
      <c r="C6609" t="str">
        <f>'Inventory as of 12th Aug 2024'!A193</f>
        <v>Ginger Bisquit</v>
      </c>
      <c r="D6609">
        <v>1</v>
      </c>
      <c r="E6609" s="5">
        <f>Table4[[#This Row],[qty]]*(VLOOKUP(Table4[[#This Row],[item_sold]],Table1[],5,FALSE))</f>
        <v>5</v>
      </c>
      <c r="F6609" s="5">
        <f>(VLOOKUP(Table4[[#This Row],[item_sold]],Table1[],4,FALSE))*Table4[[#This Row],[qty]]</f>
        <v>4.333333333333333</v>
      </c>
      <c r="G6609">
        <f t="shared" si="1155"/>
        <v>0.66666666666666696</v>
      </c>
      <c r="H6609" t="s">
        <v>402</v>
      </c>
    </row>
    <row r="6610" spans="1:12" x14ac:dyDescent="0.25">
      <c r="A6610" s="1">
        <f t="shared" si="1159"/>
        <v>45591</v>
      </c>
      <c r="B6610" s="31">
        <f>TIME(15,9,0)</f>
        <v>0.63124999999999998</v>
      </c>
      <c r="C6610" t="str">
        <f>'Inventory as of 12th Aug 2024'!A213</f>
        <v>soda 500ml glass</v>
      </c>
      <c r="D6610">
        <v>1</v>
      </c>
      <c r="E6610" s="5">
        <f>Table4[[#This Row],[qty]]*(VLOOKUP(Table4[[#This Row],[item_sold]],Table1[],5,FALSE))</f>
        <v>55</v>
      </c>
      <c r="F6610" s="5">
        <f>(VLOOKUP(Table4[[#This Row],[item_sold]],Table1[],4,FALSE))*Table4[[#This Row],[qty]]</f>
        <v>50</v>
      </c>
      <c r="G6610">
        <f t="shared" si="1155"/>
        <v>5</v>
      </c>
      <c r="H6610" t="s">
        <v>361</v>
      </c>
    </row>
    <row r="6611" spans="1:12" x14ac:dyDescent="0.25">
      <c r="A6611" s="1">
        <f t="shared" si="1159"/>
        <v>45591</v>
      </c>
      <c r="B6611" s="31">
        <f t="shared" ref="B6611:B6612" si="1173">TIME(15,9,0)</f>
        <v>0.63124999999999998</v>
      </c>
      <c r="C6611" t="str">
        <f>'Inventory as of 12th Aug 2024'!A236</f>
        <v>Gomba</v>
      </c>
      <c r="D6611">
        <v>2</v>
      </c>
      <c r="E6611" s="5">
        <f>Table4[[#This Row],[qty]]*(VLOOKUP(Table4[[#This Row],[item_sold]],Table1[],5,FALSE))</f>
        <v>5</v>
      </c>
      <c r="F6611" s="5">
        <f>(VLOOKUP(Table4[[#This Row],[item_sold]],Table1[],4,FALSE))*Table4[[#This Row],[qty]]</f>
        <v>3.6</v>
      </c>
      <c r="G6611">
        <f t="shared" si="1155"/>
        <v>1.4</v>
      </c>
      <c r="H6611" t="s">
        <v>402</v>
      </c>
    </row>
    <row r="6612" spans="1:12" x14ac:dyDescent="0.25">
      <c r="A6612" s="1">
        <f t="shared" si="1159"/>
        <v>45591</v>
      </c>
      <c r="B6612" s="31">
        <f t="shared" si="1173"/>
        <v>0.63124999999999998</v>
      </c>
      <c r="C6612" t="str">
        <f>'Inventory as of 12th Aug 2024'!A239</f>
        <v>Gumballs</v>
      </c>
      <c r="D6612">
        <v>5</v>
      </c>
      <c r="E6612" s="5">
        <f>Table4[[#This Row],[qty]]*(VLOOKUP(Table4[[#This Row],[item_sold]],Table1[],5,FALSE))</f>
        <v>5</v>
      </c>
      <c r="F6612" s="5">
        <f>(VLOOKUP(Table4[[#This Row],[item_sold]],Table1[],4,FALSE))*Table4[[#This Row],[qty]]</f>
        <v>3.5</v>
      </c>
      <c r="G6612">
        <f t="shared" ref="G6612:G6675" si="1174">E6612-F6612</f>
        <v>1.5</v>
      </c>
      <c r="H6612" t="s">
        <v>402</v>
      </c>
    </row>
    <row r="6613" spans="1:12" x14ac:dyDescent="0.25">
      <c r="A6613" s="1">
        <f t="shared" si="1159"/>
        <v>45591</v>
      </c>
      <c r="B6613" s="31">
        <f>TIME(15,14,0)</f>
        <v>0.63472222222222219</v>
      </c>
      <c r="C6613" t="str">
        <f>'Inventory as of 12th Aug 2024'!A42</f>
        <v>Indomie chicken</v>
      </c>
      <c r="D6613">
        <v>2</v>
      </c>
      <c r="E6613" s="5">
        <f>Table4[[#This Row],[qty]]*(VLOOKUP(Table4[[#This Row],[item_sold]],Table1[],5,FALSE))</f>
        <v>100</v>
      </c>
      <c r="F6613" s="5">
        <f>(VLOOKUP(Table4[[#This Row],[item_sold]],Table1[],4,FALSE))*Table4[[#This Row],[qty]]</f>
        <v>75</v>
      </c>
      <c r="G6613">
        <f t="shared" si="1174"/>
        <v>25</v>
      </c>
      <c r="H6613" t="s">
        <v>361</v>
      </c>
    </row>
    <row r="6614" spans="1:12" x14ac:dyDescent="0.25">
      <c r="A6614" s="1">
        <f t="shared" si="1159"/>
        <v>45591</v>
      </c>
      <c r="B6614" s="31">
        <f t="shared" ref="B6614:B6616" si="1175">TIME(15,14,0)</f>
        <v>0.63472222222222219</v>
      </c>
      <c r="C6614" t="str">
        <f>'Inventory as of 12th Aug 2024'!A199</f>
        <v>Kdf</v>
      </c>
      <c r="D6614">
        <v>10</v>
      </c>
      <c r="E6614" s="5">
        <f>Table4[[#This Row],[qty]]*(VLOOKUP(Table4[[#This Row],[item_sold]],Table1[],5,FALSE))</f>
        <v>100</v>
      </c>
      <c r="F6614" s="5">
        <f>(VLOOKUP(Table4[[#This Row],[item_sold]],Table1[],4,FALSE))*Table4[[#This Row],[qty]]</f>
        <v>83.333333333333343</v>
      </c>
      <c r="G6614">
        <f t="shared" si="1174"/>
        <v>16.666666666666657</v>
      </c>
      <c r="H6614" t="s">
        <v>361</v>
      </c>
    </row>
    <row r="6615" spans="1:12" x14ac:dyDescent="0.25">
      <c r="A6615" s="1">
        <f t="shared" si="1159"/>
        <v>45591</v>
      </c>
      <c r="B6615" s="31">
        <f t="shared" si="1175"/>
        <v>0.63472222222222219</v>
      </c>
      <c r="C6615" t="str">
        <f>'Inventory as of 12th Aug 2024'!A266</f>
        <v>Zenta Bar Soap</v>
      </c>
      <c r="D6615">
        <v>0.2</v>
      </c>
      <c r="E6615" s="5">
        <f>Table4[[#This Row],[qty]]*(VLOOKUP(Table4[[#This Row],[item_sold]],Table1[],5,FALSE))</f>
        <v>50</v>
      </c>
      <c r="F6615" s="5">
        <f>(VLOOKUP(Table4[[#This Row],[item_sold]],Table1[],4,FALSE))*Table4[[#This Row],[qty]]</f>
        <v>32</v>
      </c>
      <c r="G6615">
        <f t="shared" si="1174"/>
        <v>18</v>
      </c>
      <c r="H6615" t="s">
        <v>430</v>
      </c>
      <c r="I6615" t="s">
        <v>394</v>
      </c>
    </row>
    <row r="6616" spans="1:12" x14ac:dyDescent="0.25">
      <c r="A6616" s="1">
        <f t="shared" si="1159"/>
        <v>45591</v>
      </c>
      <c r="B6616" s="31">
        <f t="shared" si="1175"/>
        <v>0.63472222222222219</v>
      </c>
      <c r="C6616" t="str">
        <f>'Inventory as of 12th Aug 2024'!A135</f>
        <v>Bella Tissue</v>
      </c>
      <c r="D6616">
        <v>1</v>
      </c>
      <c r="E6616" s="5">
        <f>Table4[[#This Row],[qty]]*(VLOOKUP(Table4[[#This Row],[item_sold]],Table1[],5,FALSE))</f>
        <v>50</v>
      </c>
      <c r="F6616" s="5">
        <f>(VLOOKUP(Table4[[#This Row],[item_sold]],Table1[],4,FALSE))*Table4[[#This Row],[qty]]</f>
        <v>35</v>
      </c>
      <c r="G6616">
        <f t="shared" si="1174"/>
        <v>15</v>
      </c>
      <c r="H6616" t="s">
        <v>430</v>
      </c>
      <c r="I6616" t="s">
        <v>394</v>
      </c>
    </row>
    <row r="6617" spans="1:12" x14ac:dyDescent="0.25">
      <c r="A6617" s="1">
        <f t="shared" si="1159"/>
        <v>45591</v>
      </c>
      <c r="B6617" s="31">
        <f>TIME(16,7,0)</f>
        <v>0.67152777777777783</v>
      </c>
      <c r="C6617" t="str">
        <f>'Inventory as of 12th Aug 2024'!A41</f>
        <v>Indomie beef</v>
      </c>
      <c r="D6617">
        <v>1</v>
      </c>
      <c r="E6617" s="5">
        <f>Table4[[#This Row],[qty]]*(VLOOKUP(Table4[[#This Row],[item_sold]],Table1[],5,FALSE))</f>
        <v>50</v>
      </c>
      <c r="F6617" s="5">
        <f>(VLOOKUP(Table4[[#This Row],[item_sold]],Table1[],4,FALSE))*Table4[[#This Row],[qty]]</f>
        <v>38</v>
      </c>
      <c r="G6617">
        <f t="shared" si="1174"/>
        <v>12</v>
      </c>
      <c r="H6617" t="s">
        <v>361</v>
      </c>
    </row>
    <row r="6618" spans="1:12" x14ac:dyDescent="0.25">
      <c r="A6618" s="1">
        <f t="shared" si="1159"/>
        <v>45591</v>
      </c>
      <c r="B6618" s="31">
        <f>TIME(16,11,0)</f>
        <v>0.6743055555555556</v>
      </c>
      <c r="C6618" t="str">
        <f>'Inventory as of 12th Aug 2024'!A264</f>
        <v>Afia 1ltr</v>
      </c>
      <c r="D6618">
        <v>1</v>
      </c>
      <c r="E6618" s="5">
        <f>Table4[[#This Row],[qty]]*(VLOOKUP(Table4[[#This Row],[item_sold]],Table1[],5,FALSE))</f>
        <v>150</v>
      </c>
      <c r="F6618" s="5">
        <f>(VLOOKUP(Table4[[#This Row],[item_sold]],Table1[],4,FALSE))*Table4[[#This Row],[qty]]</f>
        <v>120.83333333333333</v>
      </c>
      <c r="G6618">
        <f t="shared" si="1174"/>
        <v>29.166666666666671</v>
      </c>
      <c r="H6618" t="s">
        <v>361</v>
      </c>
    </row>
    <row r="6619" spans="1:12" x14ac:dyDescent="0.25">
      <c r="A6619" s="1">
        <f t="shared" si="1159"/>
        <v>45591</v>
      </c>
      <c r="B6619" s="31">
        <f>TIME(16,23,0)</f>
        <v>0.68263888888888891</v>
      </c>
      <c r="C6619" t="str">
        <f>'Inventory as of 12th Aug 2024'!A45</f>
        <v>Ajab 1kg</v>
      </c>
      <c r="D6619">
        <v>1</v>
      </c>
      <c r="E6619" s="5">
        <f>Table4[[#This Row],[qty]]*(VLOOKUP(Table4[[#This Row],[item_sold]],Table1[],5,FALSE))</f>
        <v>120</v>
      </c>
      <c r="F6619" s="5">
        <f>(VLOOKUP(Table4[[#This Row],[item_sold]],Table1[],4,FALSE))*Table4[[#This Row],[qty]]</f>
        <v>87.5</v>
      </c>
      <c r="G6619">
        <f t="shared" si="1174"/>
        <v>32.5</v>
      </c>
      <c r="H6619" t="s">
        <v>361</v>
      </c>
    </row>
    <row r="6620" spans="1:12" x14ac:dyDescent="0.25">
      <c r="A6620" s="1">
        <f t="shared" si="1159"/>
        <v>45591</v>
      </c>
      <c r="B6620" s="31">
        <f>TIME(16,31,0)</f>
        <v>0.68819444444444444</v>
      </c>
      <c r="C6620" t="str">
        <f>'Inventory as of 12th Aug 2024'!A211</f>
        <v>predator</v>
      </c>
      <c r="D6620">
        <v>1</v>
      </c>
      <c r="E6620" s="5">
        <f>Table4[[#This Row],[qty]]*(VLOOKUP(Table4[[#This Row],[item_sold]],Table1[],5,FALSE))</f>
        <v>70</v>
      </c>
      <c r="F6620" s="5">
        <f>(VLOOKUP(Table4[[#This Row],[item_sold]],Table1[],4,FALSE))*Table4[[#This Row],[qty]]</f>
        <v>54.166666666666664</v>
      </c>
      <c r="G6620">
        <f t="shared" si="1174"/>
        <v>15.833333333333336</v>
      </c>
      <c r="H6620" t="s">
        <v>430</v>
      </c>
      <c r="I6620" t="s">
        <v>403</v>
      </c>
      <c r="J6620" t="s">
        <v>403</v>
      </c>
      <c r="K6620">
        <v>50</v>
      </c>
      <c r="L6620" t="s">
        <v>361</v>
      </c>
    </row>
    <row r="6621" spans="1:12" x14ac:dyDescent="0.25">
      <c r="A6621" s="1">
        <f t="shared" si="1159"/>
        <v>45591</v>
      </c>
      <c r="B6621" s="31">
        <f>TIME(16,52,0)</f>
        <v>0.70277777777777783</v>
      </c>
      <c r="C6621" t="str">
        <f>'Inventory as of 12th Aug 2024'!A58</f>
        <v>Safari</v>
      </c>
      <c r="D6621">
        <v>1</v>
      </c>
      <c r="E6621" s="5">
        <f>Table4[[#This Row],[qty]]*(VLOOKUP(Table4[[#This Row],[item_sold]],Table1[],5,FALSE))</f>
        <v>15</v>
      </c>
      <c r="F6621" s="5">
        <f>(VLOOKUP(Table4[[#This Row],[item_sold]],Table1[],4,FALSE))*Table4[[#This Row],[qty]]</f>
        <v>8.5</v>
      </c>
      <c r="G6621">
        <f t="shared" si="1174"/>
        <v>6.5</v>
      </c>
      <c r="H6621" t="s">
        <v>361</v>
      </c>
    </row>
    <row r="6622" spans="1:12" x14ac:dyDescent="0.25">
      <c r="A6622" s="1">
        <f t="shared" si="1159"/>
        <v>45591</v>
      </c>
      <c r="B6622" s="31">
        <f>TIME(17,7,0)</f>
        <v>0.71319444444444446</v>
      </c>
      <c r="C6622" t="str">
        <f>'Inventory as of 12th Aug 2024'!A244</f>
        <v>5ltrs water</v>
      </c>
      <c r="D6622">
        <v>1</v>
      </c>
      <c r="E6622" s="5">
        <f>Table4[[#This Row],[qty]]*(VLOOKUP(Table4[[#This Row],[item_sold]],Table1[],5,FALSE))</f>
        <v>120</v>
      </c>
      <c r="F6622" s="5">
        <f>(VLOOKUP(Table4[[#This Row],[item_sold]],Table1[],4,FALSE))*Table4[[#This Row],[qty]]</f>
        <v>75</v>
      </c>
      <c r="G6622">
        <f t="shared" si="1174"/>
        <v>45</v>
      </c>
      <c r="H6622" t="s">
        <v>361</v>
      </c>
    </row>
    <row r="6623" spans="1:12" x14ac:dyDescent="0.25">
      <c r="A6623" s="1">
        <f t="shared" si="1159"/>
        <v>45591</v>
      </c>
      <c r="B6623" s="31">
        <f t="shared" ref="B6623" si="1176">TIME(17,7,0)</f>
        <v>0.71319444444444446</v>
      </c>
      <c r="C6623" t="str">
        <f>'Inventory as of 12th Aug 2024'!A212</f>
        <v>soda 300ml glass</v>
      </c>
      <c r="D6623">
        <v>1</v>
      </c>
      <c r="E6623" s="5">
        <f>Table4[[#This Row],[qty]]*(VLOOKUP(Table4[[#This Row],[item_sold]],Table1[],5,FALSE))</f>
        <v>40</v>
      </c>
      <c r="F6623" s="5">
        <f>(VLOOKUP(Table4[[#This Row],[item_sold]],Table1[],4,FALSE))*Table4[[#This Row],[qty]]</f>
        <v>32.5</v>
      </c>
      <c r="G6623">
        <f t="shared" si="1174"/>
        <v>7.5</v>
      </c>
      <c r="H6623" t="s">
        <v>402</v>
      </c>
    </row>
    <row r="6624" spans="1:12" x14ac:dyDescent="0.25">
      <c r="A6624" s="1">
        <f t="shared" si="1159"/>
        <v>45591</v>
      </c>
      <c r="B6624" s="31">
        <f>TIME(17,26,0)</f>
        <v>0.72638888888888886</v>
      </c>
      <c r="C6624" t="str">
        <f>'Inventory as of 12th Aug 2024'!A232</f>
        <v>coo</v>
      </c>
      <c r="D6624">
        <v>2</v>
      </c>
      <c r="E6624" s="5">
        <f>Table4[[#This Row],[qty]]*(VLOOKUP(Table4[[#This Row],[item_sold]],Table1[],5,FALSE))</f>
        <v>5</v>
      </c>
      <c r="F6624" s="5">
        <f>(VLOOKUP(Table4[[#This Row],[item_sold]],Table1[],4,FALSE))*Table4[[#This Row],[qty]]</f>
        <v>2.4</v>
      </c>
      <c r="G6624">
        <f t="shared" si="1174"/>
        <v>2.6</v>
      </c>
      <c r="H6624" t="s">
        <v>402</v>
      </c>
    </row>
    <row r="6625" spans="1:12" x14ac:dyDescent="0.25">
      <c r="A6625" s="1">
        <f t="shared" si="1159"/>
        <v>45591</v>
      </c>
      <c r="B6625" s="31">
        <f t="shared" ref="B6625" si="1177">TIME(17,26,0)</f>
        <v>0.72638888888888886</v>
      </c>
      <c r="C6625" t="str">
        <f>'Inventory as of 12th Aug 2024'!A192</f>
        <v>Lemon Bisquit</v>
      </c>
      <c r="D6625">
        <v>1</v>
      </c>
      <c r="E6625" s="5">
        <f>Table4[[#This Row],[qty]]*(VLOOKUP(Table4[[#This Row],[item_sold]],Table1[],5,FALSE))</f>
        <v>5</v>
      </c>
      <c r="F6625" s="5">
        <f>(VLOOKUP(Table4[[#This Row],[item_sold]],Table1[],4,FALSE))*Table4[[#This Row],[qty]]</f>
        <v>4.333333333333333</v>
      </c>
      <c r="G6625">
        <f t="shared" si="1174"/>
        <v>0.66666666666666696</v>
      </c>
      <c r="H6625" t="s">
        <v>402</v>
      </c>
    </row>
    <row r="6626" spans="1:12" x14ac:dyDescent="0.25">
      <c r="A6626" s="1">
        <f t="shared" si="1159"/>
        <v>45591</v>
      </c>
      <c r="B6626" s="31">
        <f>TIME(17,30,0)</f>
        <v>0.72916666666666663</v>
      </c>
      <c r="C6626" t="str">
        <f>'Inventory as of 12th Aug 2024'!A234</f>
        <v>Bigdaddy</v>
      </c>
      <c r="D6626">
        <v>2</v>
      </c>
      <c r="E6626" s="5">
        <f>Table4[[#This Row],[qty]]*(VLOOKUP(Table4[[#This Row],[item_sold]],Table1[],5,FALSE))</f>
        <v>20</v>
      </c>
      <c r="F6626" s="5">
        <f>(VLOOKUP(Table4[[#This Row],[item_sold]],Table1[],4,FALSE))*Table4[[#This Row],[qty]]</f>
        <v>12</v>
      </c>
      <c r="G6626">
        <f t="shared" si="1174"/>
        <v>8</v>
      </c>
      <c r="H6626" t="s">
        <v>402</v>
      </c>
    </row>
    <row r="6627" spans="1:12" x14ac:dyDescent="0.25">
      <c r="A6627" s="1">
        <f t="shared" si="1159"/>
        <v>45591</v>
      </c>
      <c r="B6627" s="31">
        <f t="shared" ref="B6627:B6628" si="1178">TIME(17,30,0)</f>
        <v>0.72916666666666663</v>
      </c>
      <c r="C6627" t="str">
        <f>'Inventory as of 12th Aug 2024'!A16</f>
        <v>Mt kenya milk 500ml</v>
      </c>
      <c r="D6627">
        <v>3</v>
      </c>
      <c r="E6627" s="5">
        <f>Table4[[#This Row],[qty]]*(VLOOKUP(Table4[[#This Row],[item_sold]],Table1[],5,FALSE))</f>
        <v>195</v>
      </c>
      <c r="F6627" s="5">
        <f>(VLOOKUP(Table4[[#This Row],[item_sold]],Table1[],4,FALSE))*Table4[[#This Row],[qty]]</f>
        <v>145</v>
      </c>
      <c r="G6627">
        <f t="shared" si="1174"/>
        <v>50</v>
      </c>
      <c r="H6627" t="s">
        <v>430</v>
      </c>
      <c r="I6627" t="s">
        <v>456</v>
      </c>
    </row>
    <row r="6628" spans="1:12" x14ac:dyDescent="0.25">
      <c r="A6628" s="1">
        <f t="shared" si="1159"/>
        <v>45591</v>
      </c>
      <c r="B6628" s="31">
        <f t="shared" si="1178"/>
        <v>0.72916666666666663</v>
      </c>
      <c r="C6628" t="str">
        <f>'Inventory as of 12th Aug 2024'!A37</f>
        <v>Festive Bread 400g</v>
      </c>
      <c r="D6628">
        <v>2</v>
      </c>
      <c r="E6628" s="5">
        <f>Table4[[#This Row],[qty]]*(VLOOKUP(Table4[[#This Row],[item_sold]],Table1[],5,FALSE))</f>
        <v>130</v>
      </c>
      <c r="F6628" s="5">
        <f>(VLOOKUP(Table4[[#This Row],[item_sold]],Table1[],4,FALSE))*Table4[[#This Row],[qty]]</f>
        <v>120</v>
      </c>
      <c r="G6628">
        <f t="shared" si="1174"/>
        <v>10</v>
      </c>
      <c r="H6628" t="s">
        <v>430</v>
      </c>
      <c r="I6628" t="s">
        <v>456</v>
      </c>
    </row>
    <row r="6629" spans="1:12" x14ac:dyDescent="0.25">
      <c r="A6629" s="1">
        <f t="shared" si="1159"/>
        <v>45591</v>
      </c>
      <c r="B6629" s="31">
        <f>TIME(18,2,0)</f>
        <v>0.75138888888888899</v>
      </c>
      <c r="C6629" t="str">
        <f>'Inventory as of 12th Aug 2024'!A199</f>
        <v>Kdf</v>
      </c>
      <c r="D6629">
        <v>2</v>
      </c>
      <c r="E6629" s="5">
        <f>Table4[[#This Row],[qty]]*(VLOOKUP(Table4[[#This Row],[item_sold]],Table1[],5,FALSE))</f>
        <v>20</v>
      </c>
      <c r="F6629" s="5">
        <f>(VLOOKUP(Table4[[#This Row],[item_sold]],Table1[],4,FALSE))*Table4[[#This Row],[qty]]</f>
        <v>16.666666666666668</v>
      </c>
      <c r="G6629">
        <f t="shared" si="1174"/>
        <v>3.3333333333333321</v>
      </c>
      <c r="H6629" t="s">
        <v>430</v>
      </c>
      <c r="I6629" t="s">
        <v>456</v>
      </c>
    </row>
    <row r="6630" spans="1:12" x14ac:dyDescent="0.25">
      <c r="A6630" s="1">
        <f t="shared" ref="A6630:A6654" si="1179">DATE(2024,10,26)</f>
        <v>45591</v>
      </c>
      <c r="B6630" s="31">
        <f t="shared" ref="B6630:B6633" si="1180">TIME(18,2,0)</f>
        <v>0.75138888888888899</v>
      </c>
      <c r="C6630" t="str">
        <f>'Inventory as of 12th Aug 2024'!A92</f>
        <v>Banana</v>
      </c>
      <c r="D6630">
        <v>1</v>
      </c>
      <c r="E6630" s="5">
        <f>Table4[[#This Row],[qty]]*(VLOOKUP(Table4[[#This Row],[item_sold]],Table1[],5,FALSE))</f>
        <v>10</v>
      </c>
      <c r="F6630" s="5">
        <f>(VLOOKUP(Table4[[#This Row],[item_sold]],Table1[],4,FALSE))*Table4[[#This Row],[qty]]</f>
        <v>8.3333333333333339</v>
      </c>
      <c r="G6630">
        <f t="shared" si="1174"/>
        <v>1.6666666666666661</v>
      </c>
      <c r="H6630" t="s">
        <v>402</v>
      </c>
    </row>
    <row r="6631" spans="1:12" x14ac:dyDescent="0.25">
      <c r="A6631" s="1">
        <f t="shared" si="1179"/>
        <v>45591</v>
      </c>
      <c r="B6631" s="31">
        <f t="shared" si="1180"/>
        <v>0.75138888888888899</v>
      </c>
      <c r="C6631" t="str">
        <f>'Inventory as of 12th Aug 2024'!A231</f>
        <v>Patco</v>
      </c>
      <c r="D6631">
        <v>4</v>
      </c>
      <c r="E6631" s="5">
        <f>Table4[[#This Row],[qty]]*(VLOOKUP(Table4[[#This Row],[item_sold]],Table1[],5,FALSE))</f>
        <v>10</v>
      </c>
      <c r="F6631" s="5">
        <f>(VLOOKUP(Table4[[#This Row],[item_sold]],Table1[],4,FALSE))*Table4[[#This Row],[qty]]</f>
        <v>4.8</v>
      </c>
      <c r="G6631">
        <f t="shared" si="1174"/>
        <v>5.2</v>
      </c>
      <c r="H6631" t="s">
        <v>402</v>
      </c>
    </row>
    <row r="6632" spans="1:12" x14ac:dyDescent="0.25">
      <c r="A6632" s="1">
        <f t="shared" si="1179"/>
        <v>45591</v>
      </c>
      <c r="B6632" s="31">
        <f t="shared" si="1180"/>
        <v>0.75138888888888899</v>
      </c>
      <c r="C6632" t="str">
        <f>'Inventory as of 12th Aug 2024'!A107</f>
        <v>Match Box</v>
      </c>
      <c r="D6632">
        <v>2</v>
      </c>
      <c r="E6632" s="5">
        <f>Table4[[#This Row],[qty]]*(VLOOKUP(Table4[[#This Row],[item_sold]],Table1[],5,FALSE))</f>
        <v>10</v>
      </c>
      <c r="F6632" s="5">
        <f>(VLOOKUP(Table4[[#This Row],[item_sold]],Table1[],4,FALSE))*Table4[[#This Row],[qty]]</f>
        <v>4.7222222222222223</v>
      </c>
      <c r="G6632">
        <f t="shared" si="1174"/>
        <v>5.2777777777777777</v>
      </c>
      <c r="H6632" t="s">
        <v>402</v>
      </c>
    </row>
    <row r="6633" spans="1:12" x14ac:dyDescent="0.25">
      <c r="A6633" s="1">
        <f t="shared" si="1179"/>
        <v>45591</v>
      </c>
      <c r="B6633" s="31">
        <f t="shared" si="1180"/>
        <v>0.75138888888888899</v>
      </c>
      <c r="C6633" t="str">
        <f>'Inventory as of 12th Aug 2024'!A236</f>
        <v>Gomba</v>
      </c>
      <c r="D6633">
        <v>4</v>
      </c>
      <c r="E6633" s="5">
        <f>Table4[[#This Row],[qty]]*(VLOOKUP(Table4[[#This Row],[item_sold]],Table1[],5,FALSE))</f>
        <v>10</v>
      </c>
      <c r="F6633" s="5">
        <f>(VLOOKUP(Table4[[#This Row],[item_sold]],Table1[],4,FALSE))*Table4[[#This Row],[qty]]</f>
        <v>7.2</v>
      </c>
      <c r="G6633">
        <f t="shared" si="1174"/>
        <v>2.8</v>
      </c>
      <c r="H6633" t="s">
        <v>402</v>
      </c>
    </row>
    <row r="6634" spans="1:12" x14ac:dyDescent="0.25">
      <c r="A6634" s="1">
        <f t="shared" si="1179"/>
        <v>45591</v>
      </c>
      <c r="B6634" s="31">
        <f>TIME(18,24,0)</f>
        <v>0.76666666666666661</v>
      </c>
      <c r="C6634" t="str">
        <f>'Inventory as of 12th Aug 2024'!A58</f>
        <v>Safari</v>
      </c>
      <c r="D6634">
        <v>1</v>
      </c>
      <c r="E6634" s="5">
        <f>Table4[[#This Row],[qty]]*(VLOOKUP(Table4[[#This Row],[item_sold]],Table1[],5,FALSE))</f>
        <v>15</v>
      </c>
      <c r="F6634" s="5">
        <f>(VLOOKUP(Table4[[#This Row],[item_sold]],Table1[],4,FALSE))*Table4[[#This Row],[qty]]</f>
        <v>8.5</v>
      </c>
      <c r="G6634">
        <f t="shared" si="1174"/>
        <v>6.5</v>
      </c>
      <c r="H6634" t="s">
        <v>361</v>
      </c>
    </row>
    <row r="6635" spans="1:12" x14ac:dyDescent="0.25">
      <c r="A6635" s="1">
        <f t="shared" si="1179"/>
        <v>45591</v>
      </c>
      <c r="B6635" s="31">
        <f>TIME(18,33,0)</f>
        <v>0.7729166666666667</v>
      </c>
      <c r="C6635" t="str">
        <f>'Inventory as of 12th Aug 2024'!A153</f>
        <v>mosquito stick</v>
      </c>
      <c r="D6635">
        <v>10</v>
      </c>
      <c r="E6635" s="5">
        <f>Table4[[#This Row],[qty]]*(VLOOKUP(Table4[[#This Row],[item_sold]],Table1[],5,FALSE))</f>
        <v>100</v>
      </c>
      <c r="F6635" s="5">
        <f>(VLOOKUP(Table4[[#This Row],[item_sold]],Table1[],4,FALSE))*Table4[[#This Row],[qty]]</f>
        <v>90</v>
      </c>
      <c r="G6635">
        <f t="shared" si="1174"/>
        <v>10</v>
      </c>
      <c r="H6635" t="s">
        <v>430</v>
      </c>
      <c r="I6635" t="s">
        <v>431</v>
      </c>
    </row>
    <row r="6636" spans="1:12" x14ac:dyDescent="0.25">
      <c r="A6636" s="1">
        <f t="shared" si="1179"/>
        <v>45591</v>
      </c>
      <c r="B6636" s="31">
        <f t="shared" ref="B6636:B6640" si="1181">TIME(18,33,0)</f>
        <v>0.7729166666666667</v>
      </c>
      <c r="C6636" t="str">
        <f>'Inventory as of 12th Aug 2024'!A205</f>
        <v xml:space="preserve"> soda 1.25lts</v>
      </c>
      <c r="D6636">
        <v>1</v>
      </c>
      <c r="E6636" s="5">
        <f>Table4[[#This Row],[qty]]*(VLOOKUP(Table4[[#This Row],[item_sold]],Table1[],5,FALSE))</f>
        <v>130</v>
      </c>
      <c r="F6636" s="5">
        <f>(VLOOKUP(Table4[[#This Row],[item_sold]],Table1[],4,FALSE))*Table4[[#This Row],[qty]]</f>
        <v>112.5</v>
      </c>
      <c r="G6636">
        <f t="shared" si="1174"/>
        <v>17.5</v>
      </c>
      <c r="H6636" t="s">
        <v>430</v>
      </c>
      <c r="I6636" t="s">
        <v>431</v>
      </c>
      <c r="J6636" t="s">
        <v>431</v>
      </c>
      <c r="K6636">
        <v>230</v>
      </c>
      <c r="L6636" t="s">
        <v>361</v>
      </c>
    </row>
    <row r="6637" spans="1:12" x14ac:dyDescent="0.25">
      <c r="A6637" s="1">
        <f t="shared" si="1179"/>
        <v>45591</v>
      </c>
      <c r="B6637" s="31">
        <f t="shared" si="1181"/>
        <v>0.7729166666666667</v>
      </c>
      <c r="C6637" t="str">
        <f>'Inventory as of 12th Aug 2024'!A204</f>
        <v>soda 2lts</v>
      </c>
      <c r="D6637">
        <v>1</v>
      </c>
      <c r="E6637" s="5">
        <f>Table4[[#This Row],[qty]]*(VLOOKUP(Table4[[#This Row],[item_sold]],Table1[],5,FALSE))</f>
        <v>200</v>
      </c>
      <c r="F6637" s="5">
        <f>(VLOOKUP(Table4[[#This Row],[item_sold]],Table1[],4,FALSE))*Table4[[#This Row],[qty]]</f>
        <v>176.66666666666666</v>
      </c>
      <c r="G6637">
        <f t="shared" si="1174"/>
        <v>23.333333333333343</v>
      </c>
      <c r="H6637" t="s">
        <v>361</v>
      </c>
    </row>
    <row r="6638" spans="1:12" x14ac:dyDescent="0.25">
      <c r="A6638" s="1">
        <f t="shared" si="1179"/>
        <v>45591</v>
      </c>
      <c r="B6638" s="31">
        <f t="shared" si="1181"/>
        <v>0.7729166666666667</v>
      </c>
      <c r="C6638" t="str">
        <f>'Inventory as of 12th Aug 2024'!A240</f>
        <v>Bigboss</v>
      </c>
      <c r="D6638">
        <v>7</v>
      </c>
      <c r="E6638" s="5">
        <f>Table4[[#This Row],[qty]]*(VLOOKUP(Table4[[#This Row],[item_sold]],Table1[],5,FALSE))</f>
        <v>35</v>
      </c>
      <c r="F6638" s="5">
        <f>(VLOOKUP(Table4[[#This Row],[item_sold]],Table1[],4,FALSE))*Table4[[#This Row],[qty]]</f>
        <v>24.5</v>
      </c>
      <c r="G6638">
        <f t="shared" si="1174"/>
        <v>10.5</v>
      </c>
      <c r="H6638" t="s">
        <v>361</v>
      </c>
    </row>
    <row r="6639" spans="1:12" x14ac:dyDescent="0.25">
      <c r="A6639" s="1">
        <f t="shared" si="1179"/>
        <v>45591</v>
      </c>
      <c r="B6639" s="31">
        <f t="shared" si="1181"/>
        <v>0.7729166666666667</v>
      </c>
      <c r="C6639" t="str">
        <f>'Inventory as of 12th Aug 2024'!A231</f>
        <v>Patco</v>
      </c>
      <c r="D6639">
        <v>2</v>
      </c>
      <c r="E6639" s="5">
        <f>Table4[[#This Row],[qty]]*(VLOOKUP(Table4[[#This Row],[item_sold]],Table1[],5,FALSE))</f>
        <v>5</v>
      </c>
      <c r="F6639" s="5">
        <f>(VLOOKUP(Table4[[#This Row],[item_sold]],Table1[],4,FALSE))*Table4[[#This Row],[qty]]</f>
        <v>2.4</v>
      </c>
      <c r="G6639">
        <f t="shared" si="1174"/>
        <v>2.6</v>
      </c>
      <c r="H6639" t="s">
        <v>247</v>
      </c>
    </row>
    <row r="6640" spans="1:12" x14ac:dyDescent="0.25">
      <c r="A6640" s="1">
        <f t="shared" si="1179"/>
        <v>45591</v>
      </c>
      <c r="B6640" s="31">
        <f t="shared" si="1181"/>
        <v>0.7729166666666667</v>
      </c>
      <c r="C6640" t="str">
        <f>'Inventory as of 12th Aug 2024'!A227</f>
        <v>Battery AA</v>
      </c>
      <c r="D6640">
        <v>2</v>
      </c>
      <c r="E6640" s="5">
        <f>Table4[[#This Row],[qty]]*(VLOOKUP(Table4[[#This Row],[item_sold]],Table1[],5,FALSE))</f>
        <v>30</v>
      </c>
      <c r="F6640" s="5">
        <f>(VLOOKUP(Table4[[#This Row],[item_sold]],Table1[],4,FALSE))*Table4[[#This Row],[qty]]</f>
        <v>20</v>
      </c>
      <c r="G6640">
        <f t="shared" si="1174"/>
        <v>10</v>
      </c>
      <c r="H6640" t="s">
        <v>361</v>
      </c>
      <c r="J6640" t="s">
        <v>394</v>
      </c>
      <c r="K6640">
        <v>100</v>
      </c>
      <c r="L6640" t="s">
        <v>361</v>
      </c>
    </row>
    <row r="6641" spans="1:12" x14ac:dyDescent="0.25">
      <c r="A6641" s="1">
        <f t="shared" si="1179"/>
        <v>45591</v>
      </c>
      <c r="B6641" s="31">
        <f>TIME(18,43,0)</f>
        <v>0.77986111111111101</v>
      </c>
      <c r="C6641" t="str">
        <f>'Inventory as of 12th Aug 2024'!A193</f>
        <v>Ginger Bisquit</v>
      </c>
      <c r="D6641">
        <v>8</v>
      </c>
      <c r="E6641" s="5">
        <f>Table4[[#This Row],[qty]]*(VLOOKUP(Table4[[#This Row],[item_sold]],Table1[],5,FALSE))</f>
        <v>40</v>
      </c>
      <c r="F6641" s="5">
        <f>(VLOOKUP(Table4[[#This Row],[item_sold]],Table1[],4,FALSE))*Table4[[#This Row],[qty]]</f>
        <v>34.666666666666664</v>
      </c>
      <c r="G6641">
        <f t="shared" si="1174"/>
        <v>5.3333333333333357</v>
      </c>
      <c r="H6641" t="s">
        <v>430</v>
      </c>
      <c r="I6641" t="s">
        <v>386</v>
      </c>
    </row>
    <row r="6642" spans="1:12" x14ac:dyDescent="0.25">
      <c r="A6642" s="1">
        <f t="shared" si="1179"/>
        <v>45591</v>
      </c>
      <c r="B6642" s="31">
        <f>TIME(18,47,0)</f>
        <v>0.78263888888888899</v>
      </c>
      <c r="C6642" t="str">
        <f>'Inventory as of 12th Aug 2024'!A40</f>
        <v>Spagetti</v>
      </c>
      <c r="D6642">
        <v>1</v>
      </c>
      <c r="E6642" s="5">
        <f>Table4[[#This Row],[qty]]*(VLOOKUP(Table4[[#This Row],[item_sold]],Table1[],5,FALSE))</f>
        <v>85</v>
      </c>
      <c r="F6642" s="5">
        <f>(VLOOKUP(Table4[[#This Row],[item_sold]],Table1[],4,FALSE))*Table4[[#This Row],[qty]]</f>
        <v>75.599999999999994</v>
      </c>
      <c r="G6642">
        <f t="shared" si="1174"/>
        <v>9.4000000000000057</v>
      </c>
      <c r="H6642" t="s">
        <v>361</v>
      </c>
    </row>
    <row r="6643" spans="1:12" x14ac:dyDescent="0.25">
      <c r="A6643" s="1">
        <f t="shared" si="1179"/>
        <v>45591</v>
      </c>
      <c r="B6643" s="31">
        <f t="shared" ref="B6643" si="1182">TIME(18,47,0)</f>
        <v>0.78263888888888899</v>
      </c>
      <c r="C6643" t="str">
        <f>'Inventory as of 12th Aug 2024'!A193</f>
        <v>Ginger Bisquit</v>
      </c>
      <c r="D6643">
        <v>12</v>
      </c>
      <c r="E6643" s="5">
        <f>Table4[[#This Row],[qty]]*(VLOOKUP(Table4[[#This Row],[item_sold]],Table1[],5,FALSE))</f>
        <v>60</v>
      </c>
      <c r="F6643" s="5">
        <f>(VLOOKUP(Table4[[#This Row],[item_sold]],Table1[],4,FALSE))*Table4[[#This Row],[qty]]</f>
        <v>52</v>
      </c>
      <c r="G6643">
        <f t="shared" si="1174"/>
        <v>8</v>
      </c>
      <c r="H6643" t="s">
        <v>430</v>
      </c>
      <c r="I6643" t="s">
        <v>386</v>
      </c>
    </row>
    <row r="6644" spans="1:12" x14ac:dyDescent="0.25">
      <c r="A6644" s="1">
        <f t="shared" si="1179"/>
        <v>45591</v>
      </c>
      <c r="B6644" s="31">
        <f>TIME(19,7,0)</f>
        <v>0.79652777777777783</v>
      </c>
      <c r="C6644" t="str">
        <f>'Inventory as of 12th Aug 2024'!A59</f>
        <v>kabras sugar 1kg</v>
      </c>
      <c r="D6644">
        <v>1</v>
      </c>
      <c r="E6644" s="5">
        <f>Table4[[#This Row],[qty]]*(VLOOKUP(Table4[[#This Row],[item_sold]],Table1[],5,FALSE))</f>
        <v>180</v>
      </c>
      <c r="F6644" s="5">
        <f>(VLOOKUP(Table4[[#This Row],[item_sold]],Table1[],4,FALSE))*Table4[[#This Row],[qty]]</f>
        <v>140</v>
      </c>
      <c r="G6644">
        <f t="shared" si="1174"/>
        <v>40</v>
      </c>
      <c r="H6644" t="s">
        <v>361</v>
      </c>
    </row>
    <row r="6645" spans="1:12" x14ac:dyDescent="0.25">
      <c r="A6645" s="1">
        <f t="shared" si="1179"/>
        <v>45591</v>
      </c>
      <c r="B6645" s="31">
        <f>TIME(19,25,0)</f>
        <v>0.80902777777777779</v>
      </c>
      <c r="C6645" t="str">
        <f>'Inventory as of 12th Aug 2024'!A211</f>
        <v>predator</v>
      </c>
      <c r="D6645">
        <v>1</v>
      </c>
      <c r="E6645" s="5">
        <f>Table4[[#This Row],[qty]]*(VLOOKUP(Table4[[#This Row],[item_sold]],Table1[],5,FALSE))</f>
        <v>70</v>
      </c>
      <c r="F6645" s="5">
        <f>(VLOOKUP(Table4[[#This Row],[item_sold]],Table1[],4,FALSE))*Table4[[#This Row],[qty]]</f>
        <v>54.166666666666664</v>
      </c>
      <c r="G6645">
        <f t="shared" si="1174"/>
        <v>15.833333333333336</v>
      </c>
      <c r="H6645" t="s">
        <v>361</v>
      </c>
    </row>
    <row r="6646" spans="1:12" x14ac:dyDescent="0.25">
      <c r="A6646" s="1">
        <f t="shared" si="1179"/>
        <v>45591</v>
      </c>
      <c r="B6646" s="31">
        <f t="shared" ref="B6646" si="1183">TIME(19,25,0)</f>
        <v>0.80902777777777779</v>
      </c>
      <c r="C6646" t="str">
        <f>'Inventory as of 12th Aug 2024'!A27</f>
        <v>Nescafe 1.5g</v>
      </c>
      <c r="D6646">
        <v>1</v>
      </c>
      <c r="E6646" s="5">
        <f>Table4[[#This Row],[qty]]*(VLOOKUP(Table4[[#This Row],[item_sold]],Table1[],5,FALSE))</f>
        <v>15</v>
      </c>
      <c r="F6646" s="5">
        <f>(VLOOKUP(Table4[[#This Row],[item_sold]],Table1[],4,FALSE))*Table4[[#This Row],[qty]]</f>
        <v>9.1666666666666661</v>
      </c>
      <c r="G6646">
        <f t="shared" si="1174"/>
        <v>5.8333333333333339</v>
      </c>
      <c r="H6646" t="s">
        <v>361</v>
      </c>
    </row>
    <row r="6647" spans="1:12" x14ac:dyDescent="0.25">
      <c r="A6647" s="1">
        <f t="shared" si="1179"/>
        <v>45591</v>
      </c>
      <c r="B6647" s="31">
        <f>TIME(19,48,0)</f>
        <v>0.82500000000000007</v>
      </c>
      <c r="C6647" t="str">
        <f>'Inventory as of 12th Aug 2024'!A90</f>
        <v>Onion</v>
      </c>
      <c r="D6647">
        <v>1</v>
      </c>
      <c r="E6647" s="5">
        <f>Table4[[#This Row],[qty]]*(VLOOKUP(Table4[[#This Row],[item_sold]],Table1[],5,FALSE))</f>
        <v>10</v>
      </c>
      <c r="F6647" s="5">
        <f>(VLOOKUP(Table4[[#This Row],[item_sold]],Table1[],4,FALSE))*Table4[[#This Row],[qty]]</f>
        <v>8</v>
      </c>
      <c r="G6647">
        <f t="shared" si="1174"/>
        <v>2</v>
      </c>
      <c r="H6647" t="s">
        <v>402</v>
      </c>
    </row>
    <row r="6648" spans="1:12" x14ac:dyDescent="0.25">
      <c r="A6648" s="1">
        <f t="shared" si="1179"/>
        <v>45591</v>
      </c>
      <c r="B6648" s="31">
        <f>TIME(19,56,0)</f>
        <v>0.8305555555555556</v>
      </c>
      <c r="C6648" t="str">
        <f>'Inventory as of 12th Aug 2024'!A7</f>
        <v>Airtel 50 Credit</v>
      </c>
      <c r="D6648">
        <v>1</v>
      </c>
      <c r="E6648" s="5">
        <f>Table4[[#This Row],[qty]]*(VLOOKUP(Table4[[#This Row],[item_sold]],Table1[],5,FALSE))</f>
        <v>50</v>
      </c>
      <c r="F6648" s="5">
        <f>(VLOOKUP(Table4[[#This Row],[item_sold]],Table1[],4,FALSE))*Table4[[#This Row],[qty]]</f>
        <v>47</v>
      </c>
      <c r="G6648">
        <f t="shared" si="1174"/>
        <v>3</v>
      </c>
      <c r="H6648" t="s">
        <v>402</v>
      </c>
    </row>
    <row r="6649" spans="1:12" x14ac:dyDescent="0.25">
      <c r="A6649" s="1">
        <f t="shared" si="1179"/>
        <v>45591</v>
      </c>
      <c r="B6649" s="31">
        <f>TIME(20,18,0)</f>
        <v>0.84583333333333333</v>
      </c>
      <c r="C6649" t="str">
        <f>'Inventory as of 12th Aug 2024'!A264</f>
        <v>Afia 1ltr</v>
      </c>
      <c r="D6649">
        <v>1</v>
      </c>
      <c r="E6649" s="5">
        <f>Table4[[#This Row],[qty]]*(VLOOKUP(Table4[[#This Row],[item_sold]],Table1[],5,FALSE))</f>
        <v>150</v>
      </c>
      <c r="F6649" s="5">
        <f>(VLOOKUP(Table4[[#This Row],[item_sold]],Table1[],4,FALSE))*Table4[[#This Row],[qty]]</f>
        <v>120.83333333333333</v>
      </c>
      <c r="G6649">
        <f t="shared" si="1174"/>
        <v>29.166666666666671</v>
      </c>
      <c r="H6649" t="s">
        <v>361</v>
      </c>
    </row>
    <row r="6650" spans="1:12" x14ac:dyDescent="0.25">
      <c r="A6650" s="1">
        <f t="shared" si="1179"/>
        <v>45591</v>
      </c>
      <c r="B6650" s="31">
        <f>TIME(20,28,0)</f>
        <v>0.85277777777777775</v>
      </c>
      <c r="C6650" t="str">
        <f>'Inventory as of 12th Aug 2024'!A37</f>
        <v>Festive Bread 400g</v>
      </c>
      <c r="D6650">
        <v>1</v>
      </c>
      <c r="E6650" s="5">
        <f>Table4[[#This Row],[qty]]*(VLOOKUP(Table4[[#This Row],[item_sold]],Table1[],5,FALSE))</f>
        <v>65</v>
      </c>
      <c r="F6650" s="5">
        <f>(VLOOKUP(Table4[[#This Row],[item_sold]],Table1[],4,FALSE))*Table4[[#This Row],[qty]]</f>
        <v>60</v>
      </c>
      <c r="G6650">
        <f t="shared" si="1174"/>
        <v>5</v>
      </c>
      <c r="H6650" t="s">
        <v>402</v>
      </c>
      <c r="J6650" t="s">
        <v>390</v>
      </c>
      <c r="K6650">
        <v>135</v>
      </c>
      <c r="L6650" t="s">
        <v>247</v>
      </c>
    </row>
    <row r="6651" spans="1:12" x14ac:dyDescent="0.25">
      <c r="A6651" s="1">
        <f t="shared" si="1179"/>
        <v>45591</v>
      </c>
      <c r="B6651" s="31">
        <f>TIME(20,29,0)</f>
        <v>0.8534722222222223</v>
      </c>
      <c r="C6651" t="str">
        <f>'Inventory as of 12th Aug 2024'!A211</f>
        <v>predator</v>
      </c>
      <c r="D6651">
        <v>1</v>
      </c>
      <c r="E6651" s="5">
        <f>Table4[[#This Row],[qty]]*(VLOOKUP(Table4[[#This Row],[item_sold]],Table1[],5,FALSE))</f>
        <v>70</v>
      </c>
      <c r="F6651" s="5">
        <f>(VLOOKUP(Table4[[#This Row],[item_sold]],Table1[],4,FALSE))*Table4[[#This Row],[qty]]</f>
        <v>54.166666666666664</v>
      </c>
      <c r="G6651">
        <f t="shared" si="1174"/>
        <v>15.833333333333336</v>
      </c>
      <c r="H6651" t="s">
        <v>361</v>
      </c>
    </row>
    <row r="6652" spans="1:12" x14ac:dyDescent="0.25">
      <c r="A6652" s="1">
        <f t="shared" si="1179"/>
        <v>45591</v>
      </c>
      <c r="B6652" s="31">
        <f>TIME(20,36,0)</f>
        <v>0.85833333333333339</v>
      </c>
      <c r="C6652" t="str">
        <f>'Inventory as of 12th Aug 2024'!A58</f>
        <v>Safari</v>
      </c>
      <c r="D6652">
        <v>1</v>
      </c>
      <c r="E6652" s="5">
        <f>Table4[[#This Row],[qty]]*(VLOOKUP(Table4[[#This Row],[item_sold]],Table1[],5,FALSE))</f>
        <v>15</v>
      </c>
      <c r="F6652" s="5">
        <f>(VLOOKUP(Table4[[#This Row],[item_sold]],Table1[],4,FALSE))*Table4[[#This Row],[qty]]</f>
        <v>8.5</v>
      </c>
      <c r="G6652">
        <f t="shared" si="1174"/>
        <v>6.5</v>
      </c>
      <c r="H6652" t="s">
        <v>430</v>
      </c>
      <c r="I6652" t="s">
        <v>447</v>
      </c>
      <c r="J6652" t="s">
        <v>447</v>
      </c>
      <c r="K6652">
        <v>10</v>
      </c>
      <c r="L6652" t="s">
        <v>247</v>
      </c>
    </row>
    <row r="6653" spans="1:12" x14ac:dyDescent="0.25">
      <c r="A6653" s="1">
        <f t="shared" si="1179"/>
        <v>45591</v>
      </c>
      <c r="B6653" s="31">
        <f>TIME(20,45,0)</f>
        <v>0.86458333333333337</v>
      </c>
      <c r="C6653" t="str">
        <f>'Inventory as of 12th Aug 2024'!A153</f>
        <v>mosquito stick</v>
      </c>
      <c r="D6653">
        <v>2</v>
      </c>
      <c r="E6653" s="5">
        <f>Table4[[#This Row],[qty]]*(VLOOKUP(Table4[[#This Row],[item_sold]],Table1[],5,FALSE))</f>
        <v>20</v>
      </c>
      <c r="F6653" s="5">
        <f>(VLOOKUP(Table4[[#This Row],[item_sold]],Table1[],4,FALSE))*Table4[[#This Row],[qty]]</f>
        <v>18</v>
      </c>
      <c r="G6653">
        <f t="shared" si="1174"/>
        <v>2</v>
      </c>
      <c r="H6653" t="s">
        <v>361</v>
      </c>
      <c r="J6653" t="s">
        <v>393</v>
      </c>
      <c r="K6653">
        <v>10</v>
      </c>
      <c r="L6653" t="s">
        <v>361</v>
      </c>
    </row>
    <row r="6654" spans="1:12" x14ac:dyDescent="0.25">
      <c r="A6654" s="1">
        <f t="shared" si="1179"/>
        <v>45591</v>
      </c>
      <c r="B6654" s="31">
        <f>TIME(20,30,0)</f>
        <v>0.85416666666666663</v>
      </c>
      <c r="C6654" t="str">
        <f>'Inventory as of 12th Aug 2024'!A153</f>
        <v>mosquito stick</v>
      </c>
      <c r="D6654">
        <v>3</v>
      </c>
      <c r="E6654" s="5">
        <f>Table4[[#This Row],[qty]]*(VLOOKUP(Table4[[#This Row],[item_sold]],Table1[],5,FALSE))</f>
        <v>30</v>
      </c>
      <c r="F6654" s="5">
        <f>(VLOOKUP(Table4[[#This Row],[item_sold]],Table1[],4,FALSE))*Table4[[#This Row],[qty]]</f>
        <v>27</v>
      </c>
      <c r="G6654">
        <f t="shared" si="1174"/>
        <v>3</v>
      </c>
      <c r="H6654" t="s">
        <v>361</v>
      </c>
    </row>
    <row r="6655" spans="1:12" x14ac:dyDescent="0.25">
      <c r="A6655" s="1">
        <f>DATE(2024,10,27)</f>
        <v>45592</v>
      </c>
      <c r="B6655" s="31">
        <f>TIME(7,42,0)</f>
        <v>0.32083333333333336</v>
      </c>
      <c r="C6655" t="str">
        <f>'Inventory as of 12th Aug 2024'!A5</f>
        <v>Airtel 20 Credit</v>
      </c>
      <c r="D6655">
        <v>1</v>
      </c>
      <c r="E6655" s="5">
        <f>Table4[[#This Row],[qty]]*(VLOOKUP(Table4[[#This Row],[item_sold]],Table1[],5,FALSE))</f>
        <v>20</v>
      </c>
      <c r="F6655" s="5">
        <f>(VLOOKUP(Table4[[#This Row],[item_sold]],Table1[],4,FALSE))*Table4[[#This Row],[qty]]</f>
        <v>18</v>
      </c>
      <c r="G6655">
        <f t="shared" si="1174"/>
        <v>2</v>
      </c>
      <c r="H6655" t="s">
        <v>361</v>
      </c>
    </row>
    <row r="6656" spans="1:12" x14ac:dyDescent="0.25">
      <c r="A6656" s="1">
        <f t="shared" ref="A6656:A6719" si="1184">DATE(2024,10,27)</f>
        <v>45592</v>
      </c>
      <c r="B6656" s="31">
        <f>TIME(7,57,0)</f>
        <v>0.33124999999999999</v>
      </c>
      <c r="C6656" t="str">
        <f>'Inventory as of 12th Aug 2024'!A17</f>
        <v>Brookside milk 500ml</v>
      </c>
      <c r="D6656">
        <v>4</v>
      </c>
      <c r="E6656" s="5">
        <f>Table4[[#This Row],[qty]]*(VLOOKUP(Table4[[#This Row],[item_sold]],Table1[],5,FALSE))</f>
        <v>280</v>
      </c>
      <c r="F6656" s="5">
        <f>(VLOOKUP(Table4[[#This Row],[item_sold]],Table1[],4,FALSE))*Table4[[#This Row],[qty]]</f>
        <v>236</v>
      </c>
      <c r="G6656">
        <f t="shared" si="1174"/>
        <v>44</v>
      </c>
      <c r="H6656" t="s">
        <v>361</v>
      </c>
    </row>
    <row r="6657" spans="1:12" x14ac:dyDescent="0.25">
      <c r="A6657" s="1">
        <f t="shared" si="1184"/>
        <v>45592</v>
      </c>
      <c r="B6657" s="31">
        <f>TIME(8,10,0)</f>
        <v>0.34027777777777773</v>
      </c>
      <c r="C6657" t="str">
        <f>'Inventory as of 12th Aug 2024'!A213</f>
        <v>soda 500ml glass</v>
      </c>
      <c r="D6657">
        <v>1</v>
      </c>
      <c r="E6657" s="5">
        <f>Table4[[#This Row],[qty]]*(VLOOKUP(Table4[[#This Row],[item_sold]],Table1[],5,FALSE))</f>
        <v>55</v>
      </c>
      <c r="F6657" s="5">
        <f>(VLOOKUP(Table4[[#This Row],[item_sold]],Table1[],4,FALSE))*Table4[[#This Row],[qty]]</f>
        <v>50</v>
      </c>
      <c r="G6657">
        <f t="shared" si="1174"/>
        <v>5</v>
      </c>
      <c r="H6657" t="s">
        <v>430</v>
      </c>
      <c r="I6657" t="s">
        <v>450</v>
      </c>
      <c r="J6657" t="s">
        <v>450</v>
      </c>
      <c r="K6657">
        <v>50</v>
      </c>
      <c r="L6657" t="s">
        <v>361</v>
      </c>
    </row>
    <row r="6658" spans="1:12" x14ac:dyDescent="0.25">
      <c r="A6658" s="1">
        <f t="shared" si="1184"/>
        <v>45592</v>
      </c>
      <c r="B6658" s="31">
        <f>TIME(8,36,0)</f>
        <v>0.35833333333333334</v>
      </c>
      <c r="C6658" t="str">
        <f>'Inventory as of 12th Aug 2024'!A16</f>
        <v>Mt kenya milk 500ml</v>
      </c>
      <c r="D6658">
        <v>1</v>
      </c>
      <c r="E6658" s="5">
        <f>Table4[[#This Row],[qty]]*(VLOOKUP(Table4[[#This Row],[item_sold]],Table1[],5,FALSE))</f>
        <v>65</v>
      </c>
      <c r="F6658" s="5">
        <f>(VLOOKUP(Table4[[#This Row],[item_sold]],Table1[],4,FALSE))*Table4[[#This Row],[qty]]</f>
        <v>48.333333333333336</v>
      </c>
      <c r="G6658">
        <f t="shared" si="1174"/>
        <v>16.666666666666664</v>
      </c>
      <c r="H6658" t="s">
        <v>402</v>
      </c>
    </row>
    <row r="6659" spans="1:12" x14ac:dyDescent="0.25">
      <c r="A6659" s="1">
        <f t="shared" si="1184"/>
        <v>45592</v>
      </c>
      <c r="B6659" s="31">
        <f>TIME(8,45,0)</f>
        <v>0.36458333333333331</v>
      </c>
      <c r="C6659" t="str">
        <f>'Inventory as of 12th Aug 2024'!A3</f>
        <v>Safaricom 10 Credit</v>
      </c>
      <c r="D6659">
        <v>1</v>
      </c>
      <c r="E6659" s="5">
        <f>Table4[[#This Row],[qty]]*(VLOOKUP(Table4[[#This Row],[item_sold]],Table1[],5,FALSE))</f>
        <v>10</v>
      </c>
      <c r="F6659" s="5">
        <f>(VLOOKUP(Table4[[#This Row],[item_sold]],Table1[],4,FALSE))*Table4[[#This Row],[qty]]</f>
        <v>9</v>
      </c>
      <c r="G6659">
        <f t="shared" si="1174"/>
        <v>1</v>
      </c>
      <c r="H6659" t="s">
        <v>402</v>
      </c>
    </row>
    <row r="6660" spans="1:12" x14ac:dyDescent="0.25">
      <c r="A6660" s="1">
        <f t="shared" si="1184"/>
        <v>45592</v>
      </c>
      <c r="B6660" s="31">
        <f>TIME(9,9,0)</f>
        <v>0.38125000000000003</v>
      </c>
      <c r="C6660" t="str">
        <f>'Inventory as of 12th Aug 2024'!A8</f>
        <v>eggs</v>
      </c>
      <c r="D6660">
        <v>5</v>
      </c>
      <c r="E6660" s="5">
        <f>Table4[[#This Row],[qty]]*(VLOOKUP(Table4[[#This Row],[item_sold]],Table1[],5,FALSE))</f>
        <v>100</v>
      </c>
      <c r="F6660" s="5">
        <f>(VLOOKUP(Table4[[#This Row],[item_sold]],Table1[],4,FALSE))*Table4[[#This Row],[qty]]</f>
        <v>71.666666666666671</v>
      </c>
      <c r="G6660">
        <f t="shared" si="1174"/>
        <v>28.333333333333329</v>
      </c>
      <c r="H6660" t="s">
        <v>361</v>
      </c>
    </row>
    <row r="6661" spans="1:12" x14ac:dyDescent="0.25">
      <c r="A6661" s="1">
        <f t="shared" si="1184"/>
        <v>45592</v>
      </c>
      <c r="B6661" s="31">
        <f t="shared" ref="B6661" si="1185">TIME(9,9,0)</f>
        <v>0.38125000000000003</v>
      </c>
      <c r="C6661" t="str">
        <f>'Inventory as of 12th Aug 2024'!A135</f>
        <v>Bella Tissue</v>
      </c>
      <c r="D6661">
        <v>2</v>
      </c>
      <c r="E6661" s="5">
        <f>Table4[[#This Row],[qty]]*(VLOOKUP(Table4[[#This Row],[item_sold]],Table1[],5,FALSE))</f>
        <v>100</v>
      </c>
      <c r="F6661" s="5">
        <f>(VLOOKUP(Table4[[#This Row],[item_sold]],Table1[],4,FALSE))*Table4[[#This Row],[qty]]</f>
        <v>70</v>
      </c>
      <c r="G6661">
        <f t="shared" si="1174"/>
        <v>30</v>
      </c>
      <c r="H6661" t="s">
        <v>361</v>
      </c>
    </row>
    <row r="6662" spans="1:12" x14ac:dyDescent="0.25">
      <c r="A6662" s="1">
        <f t="shared" si="1184"/>
        <v>45592</v>
      </c>
      <c r="B6662" s="31">
        <f>TIME(10,30,0)</f>
        <v>0.4375</v>
      </c>
      <c r="C6662" t="str">
        <f>'Inventory as of 12th Aug 2024'!A50</f>
        <v>Pishori rice</v>
      </c>
      <c r="D6662">
        <v>0.5</v>
      </c>
      <c r="E6662" s="5">
        <f>Table4[[#This Row],[qty]]*(VLOOKUP(Table4[[#This Row],[item_sold]],Table1[],5,FALSE))</f>
        <v>110</v>
      </c>
      <c r="F6662" s="5">
        <f>(VLOOKUP(Table4[[#This Row],[item_sold]],Table1[],4,FALSE))*Table4[[#This Row],[qty]]</f>
        <v>90</v>
      </c>
      <c r="G6662">
        <f t="shared" si="1174"/>
        <v>20</v>
      </c>
      <c r="H6662" t="s">
        <v>402</v>
      </c>
    </row>
    <row r="6663" spans="1:12" x14ac:dyDescent="0.25">
      <c r="A6663" s="1">
        <f t="shared" si="1184"/>
        <v>45592</v>
      </c>
      <c r="B6663" s="31">
        <f t="shared" ref="B6663" si="1186">TIME(10,30,0)</f>
        <v>0.4375</v>
      </c>
      <c r="C6663" t="str">
        <f>'Inventory as of 12th Aug 2024'!A91</f>
        <v>Tomatoes</v>
      </c>
      <c r="D6663">
        <v>2</v>
      </c>
      <c r="E6663" s="5">
        <f>Table4[[#This Row],[qty]]*(VLOOKUP(Table4[[#This Row],[item_sold]],Table1[],5,FALSE))</f>
        <v>20</v>
      </c>
      <c r="F6663" s="5">
        <f>(VLOOKUP(Table4[[#This Row],[item_sold]],Table1[],4,FALSE))*Table4[[#This Row],[qty]]</f>
        <v>10</v>
      </c>
      <c r="G6663">
        <f t="shared" si="1174"/>
        <v>10</v>
      </c>
      <c r="H6663" t="s">
        <v>402</v>
      </c>
    </row>
    <row r="6664" spans="1:12" x14ac:dyDescent="0.25">
      <c r="A6664" s="1">
        <f t="shared" si="1184"/>
        <v>45592</v>
      </c>
      <c r="B6664" s="31">
        <f>TIME(10,47,0)</f>
        <v>0.44930555555555557</v>
      </c>
      <c r="C6664" t="str">
        <f>'Inventory as of 12th Aug 2024'!A199</f>
        <v>Kdf</v>
      </c>
      <c r="D6664">
        <v>2</v>
      </c>
      <c r="E6664" s="5">
        <f>Table4[[#This Row],[qty]]*(VLOOKUP(Table4[[#This Row],[item_sold]],Table1[],5,FALSE))</f>
        <v>20</v>
      </c>
      <c r="F6664" s="5">
        <f>(VLOOKUP(Table4[[#This Row],[item_sold]],Table1[],4,FALSE))*Table4[[#This Row],[qty]]</f>
        <v>16.666666666666668</v>
      </c>
      <c r="G6664">
        <f t="shared" si="1174"/>
        <v>3.3333333333333321</v>
      </c>
      <c r="H6664" t="s">
        <v>361</v>
      </c>
    </row>
    <row r="6665" spans="1:12" x14ac:dyDescent="0.25">
      <c r="A6665" s="1">
        <f t="shared" si="1184"/>
        <v>45592</v>
      </c>
      <c r="B6665" s="31">
        <f>TIME(10,55,0)</f>
        <v>0.4548611111111111</v>
      </c>
      <c r="C6665" t="str">
        <f>'Inventory as of 12th Aug 2024'!A215</f>
        <v>Blueband 100g</v>
      </c>
      <c r="D6665">
        <v>1</v>
      </c>
      <c r="E6665" s="5">
        <f>Table4[[#This Row],[qty]]*(VLOOKUP(Table4[[#This Row],[item_sold]],Table1[],5,FALSE))</f>
        <v>70</v>
      </c>
      <c r="F6665" s="5">
        <f>(VLOOKUP(Table4[[#This Row],[item_sold]],Table1[],4,FALSE))*Table4[[#This Row],[qty]]</f>
        <v>58.333333333333336</v>
      </c>
      <c r="G6665">
        <f t="shared" si="1174"/>
        <v>11.666666666666664</v>
      </c>
      <c r="H6665" t="s">
        <v>430</v>
      </c>
      <c r="I6665" t="s">
        <v>417</v>
      </c>
      <c r="J6665" t="s">
        <v>417</v>
      </c>
      <c r="K6665">
        <v>64</v>
      </c>
      <c r="L6665" t="s">
        <v>361</v>
      </c>
    </row>
    <row r="6666" spans="1:12" x14ac:dyDescent="0.25">
      <c r="A6666" s="1">
        <f t="shared" si="1184"/>
        <v>45592</v>
      </c>
      <c r="B6666" s="31">
        <f>TIME(11,6,0)</f>
        <v>0.46249999999999997</v>
      </c>
      <c r="C6666" t="str">
        <f>'Inventory as of 12th Aug 2024'!A58</f>
        <v>Safari</v>
      </c>
      <c r="D6666">
        <v>1</v>
      </c>
      <c r="E6666" s="5">
        <f>Table4[[#This Row],[qty]]*(VLOOKUP(Table4[[#This Row],[item_sold]],Table1[],5,FALSE))</f>
        <v>15</v>
      </c>
      <c r="F6666" s="5">
        <f>(VLOOKUP(Table4[[#This Row],[item_sold]],Table1[],4,FALSE))*Table4[[#This Row],[qty]]</f>
        <v>8.5</v>
      </c>
      <c r="G6666">
        <f t="shared" si="1174"/>
        <v>6.5</v>
      </c>
      <c r="H6666" t="s">
        <v>361</v>
      </c>
    </row>
    <row r="6667" spans="1:12" x14ac:dyDescent="0.25">
      <c r="A6667" s="1">
        <f t="shared" si="1184"/>
        <v>45592</v>
      </c>
      <c r="B6667" s="31">
        <f t="shared" ref="B6667" si="1187">TIME(11,6,0)</f>
        <v>0.46249999999999997</v>
      </c>
      <c r="C6667" t="str">
        <f>'Inventory as of 12th Aug 2024'!A58</f>
        <v>Safari</v>
      </c>
      <c r="D6667">
        <v>1</v>
      </c>
      <c r="E6667" s="5">
        <f>Table4[[#This Row],[qty]]*(VLOOKUP(Table4[[#This Row],[item_sold]],Table1[],5,FALSE))</f>
        <v>15</v>
      </c>
      <c r="F6667" s="5">
        <f>(VLOOKUP(Table4[[#This Row],[item_sold]],Table1[],4,FALSE))*Table4[[#This Row],[qty]]</f>
        <v>8.5</v>
      </c>
      <c r="G6667">
        <f t="shared" si="1174"/>
        <v>6.5</v>
      </c>
      <c r="H6667" t="s">
        <v>402</v>
      </c>
    </row>
    <row r="6668" spans="1:12" x14ac:dyDescent="0.25">
      <c r="A6668" s="1">
        <f t="shared" si="1184"/>
        <v>45592</v>
      </c>
      <c r="B6668" s="31">
        <f>TIME(11,12,0)</f>
        <v>0.46666666666666662</v>
      </c>
      <c r="C6668" t="str">
        <f>'Inventory as of 12th Aug 2024'!A33</f>
        <v>BB Bread 400g</v>
      </c>
      <c r="D6668">
        <v>2</v>
      </c>
      <c r="E6668" s="5">
        <f>Table4[[#This Row],[qty]]*(VLOOKUP(Table4[[#This Row],[item_sold]],Table1[],5,FALSE))</f>
        <v>130</v>
      </c>
      <c r="F6668" s="5">
        <f>(VLOOKUP(Table4[[#This Row],[item_sold]],Table1[],4,FALSE))*Table4[[#This Row],[qty]]</f>
        <v>120</v>
      </c>
      <c r="G6668">
        <f t="shared" si="1174"/>
        <v>10</v>
      </c>
      <c r="H6668" t="s">
        <v>361</v>
      </c>
    </row>
    <row r="6669" spans="1:12" x14ac:dyDescent="0.25">
      <c r="A6669" s="1">
        <f t="shared" si="1184"/>
        <v>45592</v>
      </c>
      <c r="B6669" s="31">
        <f t="shared" ref="B6669:B6671" si="1188">TIME(11,12,0)</f>
        <v>0.46666666666666662</v>
      </c>
      <c r="C6669" t="str">
        <f>'Inventory as of 12th Aug 2024'!A16</f>
        <v>Mt kenya milk 500ml</v>
      </c>
      <c r="D6669">
        <v>1</v>
      </c>
      <c r="E6669" s="5">
        <f>Table4[[#This Row],[qty]]*(VLOOKUP(Table4[[#This Row],[item_sold]],Table1[],5,FALSE))</f>
        <v>65</v>
      </c>
      <c r="F6669" s="5">
        <f>(VLOOKUP(Table4[[#This Row],[item_sold]],Table1[],4,FALSE))*Table4[[#This Row],[qty]]</f>
        <v>48.333333333333336</v>
      </c>
      <c r="G6669">
        <f t="shared" si="1174"/>
        <v>16.666666666666664</v>
      </c>
      <c r="H6669" t="s">
        <v>430</v>
      </c>
      <c r="I6669" t="s">
        <v>385</v>
      </c>
    </row>
    <row r="6670" spans="1:12" x14ac:dyDescent="0.25">
      <c r="A6670" s="1">
        <f t="shared" si="1184"/>
        <v>45592</v>
      </c>
      <c r="B6670" s="31">
        <f t="shared" si="1188"/>
        <v>0.46666666666666662</v>
      </c>
      <c r="C6670" t="str">
        <f>'Inventory as of 12th Aug 2024'!A37</f>
        <v>Festive Bread 400g</v>
      </c>
      <c r="D6670">
        <v>1</v>
      </c>
      <c r="E6670" s="5">
        <f>Table4[[#This Row],[qty]]*(VLOOKUP(Table4[[#This Row],[item_sold]],Table1[],5,FALSE))</f>
        <v>65</v>
      </c>
      <c r="F6670" s="5">
        <f>(VLOOKUP(Table4[[#This Row],[item_sold]],Table1[],4,FALSE))*Table4[[#This Row],[qty]]</f>
        <v>60</v>
      </c>
      <c r="G6670">
        <f t="shared" si="1174"/>
        <v>5</v>
      </c>
      <c r="H6670" t="s">
        <v>430</v>
      </c>
      <c r="I6670" t="s">
        <v>385</v>
      </c>
    </row>
    <row r="6671" spans="1:12" x14ac:dyDescent="0.25">
      <c r="A6671" s="1">
        <f t="shared" si="1184"/>
        <v>45592</v>
      </c>
      <c r="B6671" s="31">
        <f t="shared" si="1188"/>
        <v>0.46666666666666662</v>
      </c>
      <c r="C6671" s="25"/>
      <c r="D6671">
        <v>1</v>
      </c>
      <c r="E6671" s="5" t="e">
        <f>Table4[[#This Row],[qty]]*(VLOOKUP(Table4[[#This Row],[item_sold]],Table1[],5,FALSE))</f>
        <v>#N/A</v>
      </c>
      <c r="F6671" s="5" t="e">
        <f>(VLOOKUP(Table4[[#This Row],[item_sold]],Table1[],4,FALSE))*Table4[[#This Row],[qty]]</f>
        <v>#N/A</v>
      </c>
      <c r="G6671" t="e">
        <f t="shared" si="1174"/>
        <v>#N/A</v>
      </c>
      <c r="H6671" t="s">
        <v>430</v>
      </c>
      <c r="I6671" t="s">
        <v>385</v>
      </c>
    </row>
    <row r="6672" spans="1:12" x14ac:dyDescent="0.25">
      <c r="A6672" s="1">
        <f t="shared" si="1184"/>
        <v>45592</v>
      </c>
      <c r="B6672" s="31">
        <f>TIME(11,30,0)</f>
        <v>0.47916666666666669</v>
      </c>
      <c r="C6672" t="str">
        <f>'Inventory as of 12th Aug 2024'!A8</f>
        <v>eggs</v>
      </c>
      <c r="D6672">
        <v>5</v>
      </c>
      <c r="E6672" s="5">
        <f>Table4[[#This Row],[qty]]*(VLOOKUP(Table4[[#This Row],[item_sold]],Table1[],5,FALSE))</f>
        <v>100</v>
      </c>
      <c r="F6672" s="5">
        <f>(VLOOKUP(Table4[[#This Row],[item_sold]],Table1[],4,FALSE))*Table4[[#This Row],[qty]]</f>
        <v>71.666666666666671</v>
      </c>
      <c r="G6672">
        <f t="shared" si="1174"/>
        <v>28.333333333333329</v>
      </c>
      <c r="H6672" t="s">
        <v>361</v>
      </c>
      <c r="J6672" t="s">
        <v>419</v>
      </c>
      <c r="K6672">
        <v>5</v>
      </c>
      <c r="L6672" t="s">
        <v>247</v>
      </c>
    </row>
    <row r="6673" spans="1:8" x14ac:dyDescent="0.25">
      <c r="A6673" s="1">
        <f t="shared" si="1184"/>
        <v>45592</v>
      </c>
      <c r="B6673" s="31">
        <f>TIME(11,46,0)</f>
        <v>0.49027777777777781</v>
      </c>
      <c r="C6673" t="str">
        <f>'Inventory as of 12th Aug 2024'!A245</f>
        <v>1.5ltrs water</v>
      </c>
      <c r="D6673">
        <v>1</v>
      </c>
      <c r="E6673" s="5">
        <f>Table4[[#This Row],[qty]]*(VLOOKUP(Table4[[#This Row],[item_sold]],Table1[],5,FALSE))</f>
        <v>70</v>
      </c>
      <c r="F6673" s="5">
        <f>(VLOOKUP(Table4[[#This Row],[item_sold]],Table1[],4,FALSE))*Table4[[#This Row],[qty]]</f>
        <v>25</v>
      </c>
      <c r="G6673">
        <f t="shared" si="1174"/>
        <v>45</v>
      </c>
      <c r="H6673" t="s">
        <v>402</v>
      </c>
    </row>
    <row r="6674" spans="1:8" x14ac:dyDescent="0.25">
      <c r="A6674" s="1">
        <f t="shared" si="1184"/>
        <v>45592</v>
      </c>
      <c r="B6674" s="31">
        <f>TIME(11,46,0)</f>
        <v>0.49027777777777781</v>
      </c>
      <c r="C6674" t="str">
        <f>'Inventory as of 12th Aug 2024'!A92</f>
        <v>Banana</v>
      </c>
      <c r="D6674">
        <v>4</v>
      </c>
      <c r="E6674" s="5">
        <f>Table4[[#This Row],[qty]]*(VLOOKUP(Table4[[#This Row],[item_sold]],Table1[],5,FALSE))</f>
        <v>40</v>
      </c>
      <c r="F6674" s="5">
        <f>(VLOOKUP(Table4[[#This Row],[item_sold]],Table1[],4,FALSE))*Table4[[#This Row],[qty]]</f>
        <v>33.333333333333336</v>
      </c>
      <c r="G6674">
        <f t="shared" si="1174"/>
        <v>6.6666666666666643</v>
      </c>
      <c r="H6674" t="s">
        <v>402</v>
      </c>
    </row>
    <row r="6675" spans="1:8" x14ac:dyDescent="0.25">
      <c r="A6675" s="1">
        <f t="shared" si="1184"/>
        <v>45592</v>
      </c>
      <c r="B6675" s="31">
        <f>TIME(13,13,0)</f>
        <v>0.55069444444444449</v>
      </c>
      <c r="C6675" t="str">
        <f>'Inventory as of 12th Aug 2024'!A212</f>
        <v>soda 300ml glass</v>
      </c>
      <c r="D6675">
        <v>1</v>
      </c>
      <c r="E6675" s="5">
        <f>Table4[[#This Row],[qty]]*(VLOOKUP(Table4[[#This Row],[item_sold]],Table1[],5,FALSE))</f>
        <v>40</v>
      </c>
      <c r="F6675" s="5">
        <f>(VLOOKUP(Table4[[#This Row],[item_sold]],Table1[],4,FALSE))*Table4[[#This Row],[qty]]</f>
        <v>32.5</v>
      </c>
      <c r="G6675">
        <f t="shared" si="1174"/>
        <v>7.5</v>
      </c>
      <c r="H6675" t="s">
        <v>361</v>
      </c>
    </row>
    <row r="6676" spans="1:8" x14ac:dyDescent="0.25">
      <c r="A6676" s="1">
        <f t="shared" si="1184"/>
        <v>45592</v>
      </c>
      <c r="B6676" s="31">
        <f t="shared" ref="B6676:B6691" si="1189">TIME(13,13,0)</f>
        <v>0.55069444444444449</v>
      </c>
      <c r="C6676" t="str">
        <f>'Inventory as of 12th Aug 2024'!A16</f>
        <v>Mt kenya milk 500ml</v>
      </c>
      <c r="D6676">
        <v>1</v>
      </c>
      <c r="E6676" s="5">
        <f>Table4[[#This Row],[qty]]*(VLOOKUP(Table4[[#This Row],[item_sold]],Table1[],5,FALSE))</f>
        <v>65</v>
      </c>
      <c r="F6676" s="5">
        <f>(VLOOKUP(Table4[[#This Row],[item_sold]],Table1[],4,FALSE))*Table4[[#This Row],[qty]]</f>
        <v>48.333333333333336</v>
      </c>
      <c r="G6676">
        <f t="shared" ref="G6676:G6739" si="1190">E6676-F6676</f>
        <v>16.666666666666664</v>
      </c>
      <c r="H6676" t="s">
        <v>402</v>
      </c>
    </row>
    <row r="6677" spans="1:8" x14ac:dyDescent="0.25">
      <c r="A6677" s="1">
        <f t="shared" si="1184"/>
        <v>45592</v>
      </c>
      <c r="B6677" s="31">
        <f t="shared" si="1189"/>
        <v>0.55069444444444449</v>
      </c>
      <c r="C6677" t="str">
        <f>'Inventory as of 12th Aug 2024'!A10</f>
        <v>Mt Kenya milk 200ml</v>
      </c>
      <c r="D6677">
        <v>1</v>
      </c>
      <c r="E6677" s="5">
        <f>Table4[[#This Row],[qty]]*(VLOOKUP(Table4[[#This Row],[item_sold]],Table1[],5,FALSE))</f>
        <v>35</v>
      </c>
      <c r="F6677" s="5">
        <f>(VLOOKUP(Table4[[#This Row],[item_sold]],Table1[],4,FALSE))*Table4[[#This Row],[qty]]</f>
        <v>24.285714285714285</v>
      </c>
      <c r="G6677">
        <f t="shared" si="1190"/>
        <v>10.714285714285715</v>
      </c>
      <c r="H6677" t="s">
        <v>402</v>
      </c>
    </row>
    <row r="6678" spans="1:8" x14ac:dyDescent="0.25">
      <c r="A6678" s="1">
        <f t="shared" si="1184"/>
        <v>45592</v>
      </c>
      <c r="B6678" s="31">
        <f t="shared" si="1189"/>
        <v>0.55069444444444449</v>
      </c>
      <c r="C6678" t="str">
        <f>'Inventory as of 12th Aug 2024'!A199</f>
        <v>Kdf</v>
      </c>
      <c r="D6678">
        <v>6</v>
      </c>
      <c r="E6678" s="5">
        <f>Table4[[#This Row],[qty]]*(VLOOKUP(Table4[[#This Row],[item_sold]],Table1[],5,FALSE))</f>
        <v>60</v>
      </c>
      <c r="F6678" s="5">
        <f>(VLOOKUP(Table4[[#This Row],[item_sold]],Table1[],4,FALSE))*Table4[[#This Row],[qty]]</f>
        <v>50</v>
      </c>
      <c r="G6678">
        <f t="shared" si="1190"/>
        <v>10</v>
      </c>
      <c r="H6678" t="s">
        <v>361</v>
      </c>
    </row>
    <row r="6679" spans="1:8" x14ac:dyDescent="0.25">
      <c r="A6679" s="1">
        <f t="shared" si="1184"/>
        <v>45592</v>
      </c>
      <c r="B6679" s="31">
        <f t="shared" si="1189"/>
        <v>0.55069444444444449</v>
      </c>
      <c r="C6679" t="str">
        <f>'Inventory as of 12th Aug 2024'!A33</f>
        <v>BB Bread 400g</v>
      </c>
      <c r="D6679">
        <v>1</v>
      </c>
      <c r="E6679" s="5">
        <f>Table4[[#This Row],[qty]]*(VLOOKUP(Table4[[#This Row],[item_sold]],Table1[],5,FALSE))</f>
        <v>65</v>
      </c>
      <c r="F6679" s="5">
        <f>(VLOOKUP(Table4[[#This Row],[item_sold]],Table1[],4,FALSE))*Table4[[#This Row],[qty]]</f>
        <v>60</v>
      </c>
      <c r="G6679">
        <f t="shared" si="1190"/>
        <v>5</v>
      </c>
      <c r="H6679" t="s">
        <v>402</v>
      </c>
    </row>
    <row r="6680" spans="1:8" x14ac:dyDescent="0.25">
      <c r="A6680" s="1">
        <f t="shared" si="1184"/>
        <v>45592</v>
      </c>
      <c r="B6680" s="31">
        <f t="shared" si="1189"/>
        <v>0.55069444444444449</v>
      </c>
      <c r="C6680" t="str">
        <f>'Inventory as of 12th Aug 2024'!A212</f>
        <v>soda 300ml glass</v>
      </c>
      <c r="D6680">
        <v>1</v>
      </c>
      <c r="E6680" s="5">
        <f>Table4[[#This Row],[qty]]*(VLOOKUP(Table4[[#This Row],[item_sold]],Table1[],5,FALSE))</f>
        <v>40</v>
      </c>
      <c r="F6680" s="5">
        <f>(VLOOKUP(Table4[[#This Row],[item_sold]],Table1[],4,FALSE))*Table4[[#This Row],[qty]]</f>
        <v>32.5</v>
      </c>
      <c r="G6680">
        <f t="shared" si="1190"/>
        <v>7.5</v>
      </c>
      <c r="H6680" t="s">
        <v>361</v>
      </c>
    </row>
    <row r="6681" spans="1:8" x14ac:dyDescent="0.25">
      <c r="A6681" s="1">
        <f t="shared" si="1184"/>
        <v>45592</v>
      </c>
      <c r="B6681" s="31">
        <f t="shared" si="1189"/>
        <v>0.55069444444444449</v>
      </c>
      <c r="C6681" t="str">
        <f>'Inventory as of 12th Aug 2024'!A199</f>
        <v>Kdf</v>
      </c>
      <c r="D6681">
        <v>2</v>
      </c>
      <c r="E6681" s="5">
        <f>Table4[[#This Row],[qty]]*(VLOOKUP(Table4[[#This Row],[item_sold]],Table1[],5,FALSE))</f>
        <v>20</v>
      </c>
      <c r="F6681" s="5">
        <f>(VLOOKUP(Table4[[#This Row],[item_sold]],Table1[],4,FALSE))*Table4[[#This Row],[qty]]</f>
        <v>16.666666666666668</v>
      </c>
      <c r="G6681">
        <f t="shared" si="1190"/>
        <v>3.3333333333333321</v>
      </c>
      <c r="H6681" t="s">
        <v>361</v>
      </c>
    </row>
    <row r="6682" spans="1:8" x14ac:dyDescent="0.25">
      <c r="A6682" s="1">
        <f t="shared" si="1184"/>
        <v>45592</v>
      </c>
      <c r="B6682" s="31">
        <f t="shared" si="1189"/>
        <v>0.55069444444444449</v>
      </c>
      <c r="C6682" t="str">
        <f>'Inventory as of 12th Aug 2024'!A199</f>
        <v>Kdf</v>
      </c>
      <c r="D6682">
        <v>2</v>
      </c>
      <c r="E6682" s="5">
        <f>Table4[[#This Row],[qty]]*(VLOOKUP(Table4[[#This Row],[item_sold]],Table1[],5,FALSE))</f>
        <v>20</v>
      </c>
      <c r="F6682" s="5">
        <f>(VLOOKUP(Table4[[#This Row],[item_sold]],Table1[],4,FALSE))*Table4[[#This Row],[qty]]</f>
        <v>16.666666666666668</v>
      </c>
      <c r="G6682">
        <f t="shared" si="1190"/>
        <v>3.3333333333333321</v>
      </c>
      <c r="H6682" t="s">
        <v>402</v>
      </c>
    </row>
    <row r="6683" spans="1:8" x14ac:dyDescent="0.25">
      <c r="A6683" s="1">
        <f t="shared" si="1184"/>
        <v>45592</v>
      </c>
      <c r="B6683" s="31">
        <f t="shared" si="1189"/>
        <v>0.55069444444444449</v>
      </c>
      <c r="C6683" t="str">
        <f>'Inventory as of 12th Aug 2024'!A10</f>
        <v>Mt Kenya milk 200ml</v>
      </c>
      <c r="D6683">
        <v>1</v>
      </c>
      <c r="E6683" s="5">
        <f>Table4[[#This Row],[qty]]*(VLOOKUP(Table4[[#This Row],[item_sold]],Table1[],5,FALSE))</f>
        <v>35</v>
      </c>
      <c r="F6683" s="5">
        <f>(VLOOKUP(Table4[[#This Row],[item_sold]],Table1[],4,FALSE))*Table4[[#This Row],[qty]]</f>
        <v>24.285714285714285</v>
      </c>
      <c r="G6683">
        <f t="shared" si="1190"/>
        <v>10.714285714285715</v>
      </c>
      <c r="H6683" t="s">
        <v>402</v>
      </c>
    </row>
    <row r="6684" spans="1:8" x14ac:dyDescent="0.25">
      <c r="A6684" s="1">
        <f t="shared" si="1184"/>
        <v>45592</v>
      </c>
      <c r="B6684" s="31">
        <f t="shared" si="1189"/>
        <v>0.55069444444444449</v>
      </c>
      <c r="C6684" t="str">
        <f>'Inventory as of 12th Aug 2024'!A199</f>
        <v>Kdf</v>
      </c>
      <c r="D6684">
        <v>4</v>
      </c>
      <c r="E6684" s="5">
        <f>Table4[[#This Row],[qty]]*(VLOOKUP(Table4[[#This Row],[item_sold]],Table1[],5,FALSE))</f>
        <v>40</v>
      </c>
      <c r="F6684" s="5">
        <f>(VLOOKUP(Table4[[#This Row],[item_sold]],Table1[],4,FALSE))*Table4[[#This Row],[qty]]</f>
        <v>33.333333333333336</v>
      </c>
      <c r="G6684">
        <f t="shared" si="1190"/>
        <v>6.6666666666666643</v>
      </c>
      <c r="H6684" t="s">
        <v>247</v>
      </c>
    </row>
    <row r="6685" spans="1:8" x14ac:dyDescent="0.25">
      <c r="A6685" s="1">
        <f t="shared" si="1184"/>
        <v>45592</v>
      </c>
      <c r="B6685" s="31">
        <f t="shared" si="1189"/>
        <v>0.55069444444444449</v>
      </c>
      <c r="C6685" t="str">
        <f>'Inventory as of 12th Aug 2024'!A10</f>
        <v>Mt Kenya milk 200ml</v>
      </c>
      <c r="D6685">
        <v>1</v>
      </c>
      <c r="E6685" s="5">
        <f>Table4[[#This Row],[qty]]*(VLOOKUP(Table4[[#This Row],[item_sold]],Table1[],5,FALSE))</f>
        <v>35</v>
      </c>
      <c r="F6685" s="5">
        <f>(VLOOKUP(Table4[[#This Row],[item_sold]],Table1[],4,FALSE))*Table4[[#This Row],[qty]]</f>
        <v>24.285714285714285</v>
      </c>
      <c r="G6685">
        <f t="shared" si="1190"/>
        <v>10.714285714285715</v>
      </c>
      <c r="H6685" t="s">
        <v>247</v>
      </c>
    </row>
    <row r="6686" spans="1:8" x14ac:dyDescent="0.25">
      <c r="A6686" s="1">
        <f t="shared" si="1184"/>
        <v>45592</v>
      </c>
      <c r="B6686" s="31">
        <f t="shared" si="1189"/>
        <v>0.55069444444444449</v>
      </c>
      <c r="C6686" t="str">
        <f>'Inventory as of 12th Aug 2024'!A92</f>
        <v>Banana</v>
      </c>
      <c r="D6686">
        <v>2</v>
      </c>
      <c r="E6686" s="5">
        <f>Table4[[#This Row],[qty]]*(VLOOKUP(Table4[[#This Row],[item_sold]],Table1[],5,FALSE))</f>
        <v>20</v>
      </c>
      <c r="F6686" s="5">
        <f>(VLOOKUP(Table4[[#This Row],[item_sold]],Table1[],4,FALSE))*Table4[[#This Row],[qty]]</f>
        <v>16.666666666666668</v>
      </c>
      <c r="G6686">
        <f t="shared" si="1190"/>
        <v>3.3333333333333321</v>
      </c>
      <c r="H6686" t="s">
        <v>361</v>
      </c>
    </row>
    <row r="6687" spans="1:8" x14ac:dyDescent="0.25">
      <c r="A6687" s="1">
        <f t="shared" si="1184"/>
        <v>45592</v>
      </c>
      <c r="B6687" s="31">
        <f t="shared" si="1189"/>
        <v>0.55069444444444449</v>
      </c>
      <c r="C6687" t="str">
        <f>'Inventory as of 12th Aug 2024'!A92</f>
        <v>Banana</v>
      </c>
      <c r="D6687">
        <v>2</v>
      </c>
      <c r="E6687" s="5">
        <f>Table4[[#This Row],[qty]]*(VLOOKUP(Table4[[#This Row],[item_sold]],Table1[],5,FALSE))</f>
        <v>20</v>
      </c>
      <c r="F6687" s="5">
        <f>(VLOOKUP(Table4[[#This Row],[item_sold]],Table1[],4,FALSE))*Table4[[#This Row],[qty]]</f>
        <v>16.666666666666668</v>
      </c>
      <c r="G6687">
        <f t="shared" si="1190"/>
        <v>3.3333333333333321</v>
      </c>
      <c r="H6687" t="s">
        <v>361</v>
      </c>
    </row>
    <row r="6688" spans="1:8" x14ac:dyDescent="0.25">
      <c r="A6688" s="1">
        <f t="shared" si="1184"/>
        <v>45592</v>
      </c>
      <c r="B6688" s="31">
        <f t="shared" si="1189"/>
        <v>0.55069444444444449</v>
      </c>
      <c r="C6688" t="str">
        <f>'Inventory as of 12th Aug 2024'!A212</f>
        <v>soda 300ml glass</v>
      </c>
      <c r="D6688">
        <v>1</v>
      </c>
      <c r="E6688" s="5">
        <f>Table4[[#This Row],[qty]]*(VLOOKUP(Table4[[#This Row],[item_sold]],Table1[],5,FALSE))</f>
        <v>40</v>
      </c>
      <c r="F6688" s="5">
        <f>(VLOOKUP(Table4[[#This Row],[item_sold]],Table1[],4,FALSE))*Table4[[#This Row],[qty]]</f>
        <v>32.5</v>
      </c>
      <c r="G6688">
        <f t="shared" si="1190"/>
        <v>7.5</v>
      </c>
      <c r="H6688" t="s">
        <v>361</v>
      </c>
    </row>
    <row r="6689" spans="1:12" x14ac:dyDescent="0.25">
      <c r="A6689" s="1">
        <f t="shared" si="1184"/>
        <v>45592</v>
      </c>
      <c r="B6689" s="31">
        <f t="shared" si="1189"/>
        <v>0.55069444444444449</v>
      </c>
      <c r="C6689" t="str">
        <f>'Inventory as of 12th Aug 2024'!A58</f>
        <v>Safari</v>
      </c>
      <c r="D6689">
        <v>2</v>
      </c>
      <c r="E6689" s="5">
        <f>Table4[[#This Row],[qty]]*(VLOOKUP(Table4[[#This Row],[item_sold]],Table1[],5,FALSE))</f>
        <v>30</v>
      </c>
      <c r="F6689" s="5">
        <f>(VLOOKUP(Table4[[#This Row],[item_sold]],Table1[],4,FALSE))*Table4[[#This Row],[qty]]</f>
        <v>17</v>
      </c>
      <c r="G6689">
        <f t="shared" si="1190"/>
        <v>13</v>
      </c>
      <c r="H6689" t="s">
        <v>247</v>
      </c>
    </row>
    <row r="6690" spans="1:12" x14ac:dyDescent="0.25">
      <c r="A6690" s="1">
        <f t="shared" si="1184"/>
        <v>45592</v>
      </c>
      <c r="B6690" s="31">
        <f t="shared" si="1189"/>
        <v>0.55069444444444449</v>
      </c>
      <c r="C6690" t="str">
        <f>'Inventory as of 12th Aug 2024'!A92</f>
        <v>Banana</v>
      </c>
      <c r="D6690">
        <v>1</v>
      </c>
      <c r="E6690" s="5">
        <f>Table4[[#This Row],[qty]]*(VLOOKUP(Table4[[#This Row],[item_sold]],Table1[],5,FALSE))</f>
        <v>10</v>
      </c>
      <c r="F6690" s="5">
        <f>(VLOOKUP(Table4[[#This Row],[item_sold]],Table1[],4,FALSE))*Table4[[#This Row],[qty]]</f>
        <v>8.3333333333333339</v>
      </c>
      <c r="G6690">
        <f t="shared" si="1190"/>
        <v>1.6666666666666661</v>
      </c>
      <c r="H6690" t="s">
        <v>402</v>
      </c>
    </row>
    <row r="6691" spans="1:12" x14ac:dyDescent="0.25">
      <c r="A6691" s="1">
        <f t="shared" si="1184"/>
        <v>45592</v>
      </c>
      <c r="B6691" s="31">
        <f t="shared" si="1189"/>
        <v>0.55069444444444449</v>
      </c>
      <c r="C6691" t="str">
        <f>'Inventory as of 12th Aug 2024'!A107</f>
        <v>Match Box</v>
      </c>
      <c r="D6691">
        <v>1</v>
      </c>
      <c r="E6691" s="5">
        <f>Table4[[#This Row],[qty]]*(VLOOKUP(Table4[[#This Row],[item_sold]],Table1[],5,FALSE))</f>
        <v>5</v>
      </c>
      <c r="F6691" s="5">
        <f>(VLOOKUP(Table4[[#This Row],[item_sold]],Table1[],4,FALSE))*Table4[[#This Row],[qty]]</f>
        <v>2.3611111111111112</v>
      </c>
      <c r="G6691">
        <f t="shared" si="1190"/>
        <v>2.6388888888888888</v>
      </c>
      <c r="H6691" t="s">
        <v>402</v>
      </c>
    </row>
    <row r="6692" spans="1:12" x14ac:dyDescent="0.25">
      <c r="A6692" s="1">
        <f t="shared" si="1184"/>
        <v>45592</v>
      </c>
      <c r="B6692" s="31">
        <f>TIME(13,45,0)</f>
        <v>0.57291666666666663</v>
      </c>
      <c r="C6692" s="25"/>
      <c r="D6692">
        <v>1</v>
      </c>
      <c r="E6692" s="5" t="e">
        <f>Table4[[#This Row],[qty]]*(VLOOKUP(Table4[[#This Row],[item_sold]],Table1[],5,FALSE))</f>
        <v>#N/A</v>
      </c>
      <c r="F6692" s="5" t="e">
        <f>(VLOOKUP(Table4[[#This Row],[item_sold]],Table1[],4,FALSE))*Table4[[#This Row],[qty]]</f>
        <v>#N/A</v>
      </c>
      <c r="G6692" t="e">
        <f t="shared" si="1190"/>
        <v>#N/A</v>
      </c>
      <c r="H6692" t="s">
        <v>402</v>
      </c>
    </row>
    <row r="6693" spans="1:12" x14ac:dyDescent="0.25">
      <c r="A6693" s="1">
        <f t="shared" si="1184"/>
        <v>45592</v>
      </c>
      <c r="B6693" s="31">
        <f>TIME(13,48,0)</f>
        <v>0.57500000000000007</v>
      </c>
      <c r="C6693" t="str">
        <f>'Inventory as of 12th Aug 2024'!A58</f>
        <v>Safari</v>
      </c>
      <c r="D6693">
        <v>1</v>
      </c>
      <c r="E6693" s="5">
        <f>Table4[[#This Row],[qty]]*(VLOOKUP(Table4[[#This Row],[item_sold]],Table1[],5,FALSE))</f>
        <v>15</v>
      </c>
      <c r="F6693" s="5">
        <f>(VLOOKUP(Table4[[#This Row],[item_sold]],Table1[],4,FALSE))*Table4[[#This Row],[qty]]</f>
        <v>8.5</v>
      </c>
      <c r="G6693">
        <f t="shared" si="1190"/>
        <v>6.5</v>
      </c>
      <c r="H6693" t="s">
        <v>361</v>
      </c>
    </row>
    <row r="6694" spans="1:12" x14ac:dyDescent="0.25">
      <c r="A6694" s="1">
        <f t="shared" si="1184"/>
        <v>45592</v>
      </c>
      <c r="B6694" s="31">
        <f>TIME(13,48,0)</f>
        <v>0.57500000000000007</v>
      </c>
      <c r="C6694" t="str">
        <f>'Inventory as of 12th Aug 2024'!A84</f>
        <v>omo 20g</v>
      </c>
      <c r="D6694">
        <v>1</v>
      </c>
      <c r="E6694" s="5">
        <f>Table4[[#This Row],[qty]]*(VLOOKUP(Table4[[#This Row],[item_sold]],Table1[],5,FALSE))</f>
        <v>15</v>
      </c>
      <c r="F6694" s="5">
        <f>(VLOOKUP(Table4[[#This Row],[item_sold]],Table1[],4,FALSE))*Table4[[#This Row],[qty]]</f>
        <v>9.1666666666666661</v>
      </c>
      <c r="G6694">
        <f t="shared" si="1190"/>
        <v>5.8333333333333339</v>
      </c>
      <c r="H6694" t="s">
        <v>361</v>
      </c>
    </row>
    <row r="6695" spans="1:12" x14ac:dyDescent="0.25">
      <c r="A6695" s="1">
        <f t="shared" si="1184"/>
        <v>45592</v>
      </c>
      <c r="B6695" s="31">
        <f>TIME(14,40,0)</f>
        <v>0.61111111111111105</v>
      </c>
      <c r="C6695" t="str">
        <f>'Inventory as of 12th Aug 2024'!A58</f>
        <v>Safari</v>
      </c>
      <c r="D6695">
        <v>2</v>
      </c>
      <c r="E6695" s="5">
        <f>Table4[[#This Row],[qty]]*(VLOOKUP(Table4[[#This Row],[item_sold]],Table1[],5,FALSE))</f>
        <v>30</v>
      </c>
      <c r="F6695" s="5">
        <f>(VLOOKUP(Table4[[#This Row],[item_sold]],Table1[],4,FALSE))*Table4[[#This Row],[qty]]</f>
        <v>17</v>
      </c>
      <c r="G6695">
        <f t="shared" si="1190"/>
        <v>13</v>
      </c>
      <c r="H6695" t="s">
        <v>361</v>
      </c>
    </row>
    <row r="6696" spans="1:12" x14ac:dyDescent="0.25">
      <c r="A6696" s="1">
        <f t="shared" si="1184"/>
        <v>45592</v>
      </c>
      <c r="B6696" s="31">
        <f>TIME(14,50,0)</f>
        <v>0.61805555555555558</v>
      </c>
      <c r="C6696" t="str">
        <f>'Inventory as of 12th Aug 2024'!A120</f>
        <v>Maramoja</v>
      </c>
      <c r="D6696">
        <v>1</v>
      </c>
      <c r="E6696" s="5">
        <f>Table4[[#This Row],[qty]]*(VLOOKUP(Table4[[#This Row],[item_sold]],Table1[],5,FALSE))</f>
        <v>10</v>
      </c>
      <c r="F6696" s="5">
        <f>(VLOOKUP(Table4[[#This Row],[item_sold]],Table1[],4,FALSE))*Table4[[#This Row],[qty]]</f>
        <v>7</v>
      </c>
      <c r="G6696">
        <f t="shared" si="1190"/>
        <v>3</v>
      </c>
      <c r="H6696" t="s">
        <v>402</v>
      </c>
      <c r="J6696" t="s">
        <v>593</v>
      </c>
      <c r="K6696">
        <v>20</v>
      </c>
      <c r="L6696" t="s">
        <v>247</v>
      </c>
    </row>
    <row r="6697" spans="1:12" x14ac:dyDescent="0.25">
      <c r="A6697" s="1">
        <f t="shared" si="1184"/>
        <v>45592</v>
      </c>
      <c r="B6697" s="31">
        <f>TIME(15,40,0)</f>
        <v>0.65277777777777779</v>
      </c>
      <c r="C6697" t="str">
        <f>'Inventory as of 12th Aug 2024'!A69</f>
        <v>Royco Beef Mchuzi Mix</v>
      </c>
      <c r="D6697">
        <v>1</v>
      </c>
      <c r="E6697" s="5">
        <f>Table4[[#This Row],[qty]]*(VLOOKUP(Table4[[#This Row],[item_sold]],Table1[],5,FALSE))</f>
        <v>10</v>
      </c>
      <c r="F6697" s="5">
        <f>(VLOOKUP(Table4[[#This Row],[item_sold]],Table1[],4,FALSE))*Table4[[#This Row],[qty]]</f>
        <v>8.3333333333333339</v>
      </c>
      <c r="G6697">
        <f t="shared" si="1190"/>
        <v>1.6666666666666661</v>
      </c>
      <c r="H6697" t="s">
        <v>402</v>
      </c>
    </row>
    <row r="6698" spans="1:12" x14ac:dyDescent="0.25">
      <c r="A6698" s="1">
        <f t="shared" si="1184"/>
        <v>45592</v>
      </c>
      <c r="B6698" s="31">
        <f t="shared" ref="B6698:B6699" si="1191">TIME(15,40,0)</f>
        <v>0.65277777777777779</v>
      </c>
      <c r="C6698" t="str">
        <f>'Inventory as of 12th Aug 2024'!A58</f>
        <v>Safari</v>
      </c>
      <c r="D6698">
        <v>3</v>
      </c>
      <c r="E6698" s="5">
        <f>Table4[[#This Row],[qty]]*(VLOOKUP(Table4[[#This Row],[item_sold]],Table1[],5,FALSE))</f>
        <v>45</v>
      </c>
      <c r="F6698" s="5">
        <f>(VLOOKUP(Table4[[#This Row],[item_sold]],Table1[],4,FALSE))*Table4[[#This Row],[qty]]</f>
        <v>25.5</v>
      </c>
      <c r="G6698">
        <f t="shared" si="1190"/>
        <v>19.5</v>
      </c>
      <c r="H6698" t="s">
        <v>361</v>
      </c>
    </row>
    <row r="6699" spans="1:12" x14ac:dyDescent="0.25">
      <c r="A6699" s="1">
        <f t="shared" si="1184"/>
        <v>45592</v>
      </c>
      <c r="B6699" s="31">
        <f t="shared" si="1191"/>
        <v>0.65277777777777779</v>
      </c>
      <c r="C6699" t="str">
        <f>'Inventory as of 12th Aug 2024'!A246</f>
        <v>300ml water</v>
      </c>
      <c r="D6699">
        <v>1</v>
      </c>
      <c r="E6699" s="5">
        <f>Table4[[#This Row],[qty]]*(VLOOKUP(Table4[[#This Row],[item_sold]],Table1[],5,FALSE))</f>
        <v>30</v>
      </c>
      <c r="F6699" s="5">
        <f>(VLOOKUP(Table4[[#This Row],[item_sold]],Table1[],4,FALSE))*Table4[[#This Row],[qty]]</f>
        <v>12.5</v>
      </c>
      <c r="G6699">
        <f t="shared" si="1190"/>
        <v>17.5</v>
      </c>
      <c r="H6699" t="s">
        <v>430</v>
      </c>
      <c r="I6699" t="s">
        <v>391</v>
      </c>
    </row>
    <row r="6700" spans="1:12" x14ac:dyDescent="0.25">
      <c r="A6700" s="1">
        <f t="shared" si="1184"/>
        <v>45592</v>
      </c>
      <c r="B6700" s="31">
        <f>TIME(15,50,0)</f>
        <v>0.65972222222222221</v>
      </c>
      <c r="C6700" t="str">
        <f>'Inventory as of 12th Aug 2024'!A153</f>
        <v>mosquito stick</v>
      </c>
      <c r="D6700">
        <v>2</v>
      </c>
      <c r="E6700" s="5">
        <f>Table4[[#This Row],[qty]]*(VLOOKUP(Table4[[#This Row],[item_sold]],Table1[],5,FALSE))</f>
        <v>20</v>
      </c>
      <c r="F6700" s="5">
        <f>(VLOOKUP(Table4[[#This Row],[item_sold]],Table1[],4,FALSE))*Table4[[#This Row],[qty]]</f>
        <v>18</v>
      </c>
      <c r="G6700">
        <f t="shared" si="1190"/>
        <v>2</v>
      </c>
      <c r="H6700" t="s">
        <v>430</v>
      </c>
      <c r="I6700" t="s">
        <v>591</v>
      </c>
      <c r="J6700" t="s">
        <v>591</v>
      </c>
      <c r="K6700">
        <v>20</v>
      </c>
      <c r="L6700" t="s">
        <v>247</v>
      </c>
    </row>
    <row r="6701" spans="1:12" x14ac:dyDescent="0.25">
      <c r="A6701" s="1">
        <f t="shared" si="1184"/>
        <v>45592</v>
      </c>
      <c r="B6701" s="31">
        <f>TIME(16,49,0)</f>
        <v>0.7006944444444444</v>
      </c>
      <c r="C6701" t="str">
        <f>'Inventory as of 12th Aug 2024'!A58</f>
        <v>Safari</v>
      </c>
      <c r="D6701">
        <v>7</v>
      </c>
      <c r="E6701" s="5">
        <f>Table4[[#This Row],[qty]]*(VLOOKUP(Table4[[#This Row],[item_sold]],Table1[],5,FALSE))</f>
        <v>105</v>
      </c>
      <c r="F6701" s="5">
        <f>(VLOOKUP(Table4[[#This Row],[item_sold]],Table1[],4,FALSE))*Table4[[#This Row],[qty]]</f>
        <v>59.5</v>
      </c>
      <c r="G6701">
        <f t="shared" si="1190"/>
        <v>45.5</v>
      </c>
      <c r="H6701" t="s">
        <v>430</v>
      </c>
      <c r="I6701" t="s">
        <v>391</v>
      </c>
    </row>
    <row r="6702" spans="1:12" x14ac:dyDescent="0.25">
      <c r="A6702" s="1">
        <f t="shared" si="1184"/>
        <v>45592</v>
      </c>
      <c r="B6702" s="31">
        <f>TIME(16,55,0)</f>
        <v>0.70486111111111116</v>
      </c>
      <c r="C6702" t="str">
        <f>'Inventory as of 12th Aug 2024'!A16</f>
        <v>Mt kenya milk 500ml</v>
      </c>
      <c r="D6702">
        <v>3</v>
      </c>
      <c r="E6702" s="5">
        <f>Table4[[#This Row],[qty]]*(VLOOKUP(Table4[[#This Row],[item_sold]],Table1[],5,FALSE))</f>
        <v>195</v>
      </c>
      <c r="F6702" s="5">
        <f>(VLOOKUP(Table4[[#This Row],[item_sold]],Table1[],4,FALSE))*Table4[[#This Row],[qty]]</f>
        <v>145</v>
      </c>
      <c r="G6702">
        <f t="shared" si="1190"/>
        <v>50</v>
      </c>
      <c r="H6702" t="s">
        <v>361</v>
      </c>
    </row>
    <row r="6703" spans="1:12" x14ac:dyDescent="0.25">
      <c r="A6703" s="1">
        <f t="shared" si="1184"/>
        <v>45592</v>
      </c>
      <c r="B6703" s="31">
        <f t="shared" ref="B6703" si="1192">TIME(16,55,0)</f>
        <v>0.70486111111111116</v>
      </c>
      <c r="C6703" t="str">
        <f>'Inventory as of 12th Aug 2024'!A33</f>
        <v>BB Bread 400g</v>
      </c>
      <c r="D6703">
        <v>2</v>
      </c>
      <c r="E6703" s="5">
        <f>Table4[[#This Row],[qty]]*(VLOOKUP(Table4[[#This Row],[item_sold]],Table1[],5,FALSE))</f>
        <v>130</v>
      </c>
      <c r="F6703" s="5">
        <f>(VLOOKUP(Table4[[#This Row],[item_sold]],Table1[],4,FALSE))*Table4[[#This Row],[qty]]</f>
        <v>120</v>
      </c>
      <c r="G6703">
        <f t="shared" si="1190"/>
        <v>10</v>
      </c>
      <c r="H6703" t="s">
        <v>361</v>
      </c>
    </row>
    <row r="6704" spans="1:12" x14ac:dyDescent="0.25">
      <c r="A6704" s="1">
        <f t="shared" si="1184"/>
        <v>45592</v>
      </c>
      <c r="B6704" s="31">
        <f>TIME(17,9,0)</f>
        <v>0.71458333333333324</v>
      </c>
      <c r="C6704" t="str">
        <f>'Inventory as of 12th Aug 2024'!A58</f>
        <v>Safari</v>
      </c>
      <c r="D6704">
        <v>3</v>
      </c>
      <c r="E6704" s="5">
        <f>Table4[[#This Row],[qty]]*(VLOOKUP(Table4[[#This Row],[item_sold]],Table1[],5,FALSE))</f>
        <v>45</v>
      </c>
      <c r="F6704" s="5">
        <f>(VLOOKUP(Table4[[#This Row],[item_sold]],Table1[],4,FALSE))*Table4[[#This Row],[qty]]</f>
        <v>25.5</v>
      </c>
      <c r="G6704">
        <f t="shared" si="1190"/>
        <v>19.5</v>
      </c>
      <c r="H6704" t="s">
        <v>430</v>
      </c>
      <c r="I6704" t="s">
        <v>622</v>
      </c>
    </row>
    <row r="6705" spans="1:12" x14ac:dyDescent="0.25">
      <c r="A6705" s="1">
        <f t="shared" si="1184"/>
        <v>45592</v>
      </c>
      <c r="B6705" s="31">
        <f>TIME(17,17,0)</f>
        <v>0.72013888888888899</v>
      </c>
      <c r="C6705" t="str">
        <f>'Inventory as of 12th Aug 2024'!A182</f>
        <v>T.Heat Potato crisps salted 25g</v>
      </c>
      <c r="D6705">
        <v>3</v>
      </c>
      <c r="E6705" s="5">
        <f>Table4[[#This Row],[qty]]*(VLOOKUP(Table4[[#This Row],[item_sold]],Table1[],5,FALSE))</f>
        <v>90</v>
      </c>
      <c r="F6705" s="5">
        <f>(VLOOKUP(Table4[[#This Row],[item_sold]],Table1[],4,FALSE))*Table4[[#This Row],[qty]]</f>
        <v>68.75</v>
      </c>
      <c r="G6705">
        <f t="shared" si="1190"/>
        <v>21.25</v>
      </c>
      <c r="H6705" t="s">
        <v>430</v>
      </c>
      <c r="I6705" t="s">
        <v>456</v>
      </c>
    </row>
    <row r="6706" spans="1:12" x14ac:dyDescent="0.25">
      <c r="A6706" s="1">
        <f t="shared" si="1184"/>
        <v>45592</v>
      </c>
      <c r="B6706" s="31">
        <f t="shared" ref="B6706:B6708" si="1193">TIME(17,17,0)</f>
        <v>0.72013888888888899</v>
      </c>
      <c r="C6706" t="str">
        <f>'Inventory as of 12th Aug 2024'!A181</f>
        <v>Tamu Tamu Red</v>
      </c>
      <c r="D6706">
        <v>1</v>
      </c>
      <c r="E6706" s="5">
        <f>Table4[[#This Row],[qty]]*(VLOOKUP(Table4[[#This Row],[item_sold]],Table1[],5,FALSE))</f>
        <v>15</v>
      </c>
      <c r="F6706" s="5">
        <f>(VLOOKUP(Table4[[#This Row],[item_sold]],Table1[],4,FALSE))*Table4[[#This Row],[qty]]</f>
        <v>8.6</v>
      </c>
      <c r="G6706">
        <f t="shared" si="1190"/>
        <v>6.4</v>
      </c>
      <c r="H6706" t="s">
        <v>430</v>
      </c>
      <c r="I6706" t="s">
        <v>456</v>
      </c>
    </row>
    <row r="6707" spans="1:12" x14ac:dyDescent="0.25">
      <c r="A6707" s="1">
        <f t="shared" si="1184"/>
        <v>45592</v>
      </c>
      <c r="B6707" s="31">
        <f t="shared" si="1193"/>
        <v>0.72013888888888899</v>
      </c>
      <c r="C6707" t="str">
        <f>'Inventory as of 12th Aug 2024'!A240</f>
        <v>Bigboss</v>
      </c>
      <c r="D6707">
        <v>2</v>
      </c>
      <c r="E6707" s="5">
        <f>Table4[[#This Row],[qty]]*(VLOOKUP(Table4[[#This Row],[item_sold]],Table1[],5,FALSE))</f>
        <v>10</v>
      </c>
      <c r="F6707" s="5">
        <f>(VLOOKUP(Table4[[#This Row],[item_sold]],Table1[],4,FALSE))*Table4[[#This Row],[qty]]</f>
        <v>7</v>
      </c>
      <c r="G6707">
        <f t="shared" si="1190"/>
        <v>3</v>
      </c>
      <c r="H6707" t="s">
        <v>430</v>
      </c>
      <c r="I6707" t="s">
        <v>456</v>
      </c>
    </row>
    <row r="6708" spans="1:12" x14ac:dyDescent="0.25">
      <c r="A6708" s="1">
        <f t="shared" si="1184"/>
        <v>45592</v>
      </c>
      <c r="B6708" s="31">
        <f t="shared" si="1193"/>
        <v>0.72013888888888899</v>
      </c>
      <c r="C6708" t="str">
        <f>'Inventory as of 12th Aug 2024'!A230</f>
        <v>Fresh Blue</v>
      </c>
      <c r="D6708">
        <v>1</v>
      </c>
      <c r="E6708" s="5">
        <f>Table4[[#This Row],[qty]]*(VLOOKUP(Table4[[#This Row],[item_sold]],Table1[],5,FALSE))</f>
        <v>10</v>
      </c>
      <c r="F6708" s="5">
        <f>(VLOOKUP(Table4[[#This Row],[item_sold]],Table1[],4,FALSE))*Table4[[#This Row],[qty]]</f>
        <v>5</v>
      </c>
      <c r="G6708">
        <f t="shared" si="1190"/>
        <v>5</v>
      </c>
      <c r="H6708" t="s">
        <v>430</v>
      </c>
      <c r="I6708" t="s">
        <v>456</v>
      </c>
      <c r="J6708" t="s">
        <v>456</v>
      </c>
      <c r="K6708">
        <v>475</v>
      </c>
      <c r="L6708" t="s">
        <v>361</v>
      </c>
    </row>
    <row r="6709" spans="1:12" x14ac:dyDescent="0.25">
      <c r="A6709" s="1">
        <f t="shared" si="1184"/>
        <v>45592</v>
      </c>
      <c r="B6709" s="31">
        <f>TIME(17,58,0)</f>
        <v>0.74861111111111101</v>
      </c>
      <c r="C6709" t="str">
        <f>'Inventory as of 12th Aug 2024'!A242</f>
        <v>Icepop</v>
      </c>
      <c r="D6709">
        <v>2</v>
      </c>
      <c r="E6709" s="5">
        <f>Table4[[#This Row],[qty]]*(VLOOKUP(Table4[[#This Row],[item_sold]],Table1[],5,FALSE))</f>
        <v>30</v>
      </c>
      <c r="F6709" s="5">
        <f>(VLOOKUP(Table4[[#This Row],[item_sold]],Table1[],4,FALSE))*Table4[[#This Row],[qty]]</f>
        <v>15</v>
      </c>
      <c r="G6709">
        <f t="shared" si="1190"/>
        <v>15</v>
      </c>
      <c r="H6709" t="s">
        <v>430</v>
      </c>
      <c r="I6709" t="s">
        <v>431</v>
      </c>
    </row>
    <row r="6710" spans="1:12" x14ac:dyDescent="0.25">
      <c r="A6710" s="1">
        <f t="shared" si="1184"/>
        <v>45592</v>
      </c>
      <c r="B6710" s="31">
        <f t="shared" ref="B6710" si="1194">TIME(17,58,0)</f>
        <v>0.74861111111111101</v>
      </c>
      <c r="C6710" t="str">
        <f>'Inventory as of 12th Aug 2024'!A33</f>
        <v>BB Bread 400g</v>
      </c>
      <c r="D6710">
        <v>1</v>
      </c>
      <c r="E6710" s="5">
        <f>Table4[[#This Row],[qty]]*(VLOOKUP(Table4[[#This Row],[item_sold]],Table1[],5,FALSE))</f>
        <v>65</v>
      </c>
      <c r="F6710" s="5">
        <f>(VLOOKUP(Table4[[#This Row],[item_sold]],Table1[],4,FALSE))*Table4[[#This Row],[qty]]</f>
        <v>60</v>
      </c>
      <c r="G6710">
        <f t="shared" si="1190"/>
        <v>5</v>
      </c>
      <c r="H6710" t="s">
        <v>402</v>
      </c>
    </row>
    <row r="6711" spans="1:12" x14ac:dyDescent="0.25">
      <c r="A6711" s="1">
        <f t="shared" si="1184"/>
        <v>45592</v>
      </c>
      <c r="B6711" s="31">
        <f>TIME(18,36,0)</f>
        <v>0.77500000000000002</v>
      </c>
      <c r="C6711" s="40" t="str">
        <f>'Inventory as of 12th Aug 2024'!A76</f>
        <v>Rina 1ltr</v>
      </c>
      <c r="D6711">
        <v>1</v>
      </c>
      <c r="E6711" s="5">
        <f>Table4[[#This Row],[qty]]*(VLOOKUP(Table4[[#This Row],[item_sold]],Table1[],5,FALSE))</f>
        <v>350</v>
      </c>
      <c r="F6711" s="5">
        <f>(VLOOKUP(Table4[[#This Row],[item_sold]],Table1[],4,FALSE))*Table4[[#This Row],[qty]]</f>
        <v>290</v>
      </c>
      <c r="G6711">
        <f t="shared" si="1190"/>
        <v>60</v>
      </c>
      <c r="H6711" t="s">
        <v>430</v>
      </c>
      <c r="I6711" t="s">
        <v>456</v>
      </c>
    </row>
    <row r="6712" spans="1:12" x14ac:dyDescent="0.25">
      <c r="A6712" s="1">
        <f t="shared" si="1184"/>
        <v>45592</v>
      </c>
      <c r="B6712" s="31">
        <f>TIME(18,40,0)</f>
        <v>0.77777777777777779</v>
      </c>
      <c r="C6712" t="str">
        <f>'Inventory as of 12th Aug 2024'!A76</f>
        <v>Rina 1ltr</v>
      </c>
      <c r="D6712">
        <v>1</v>
      </c>
      <c r="E6712" s="5">
        <f>Table4[[#This Row],[qty]]*(VLOOKUP(Table4[[#This Row],[item_sold]],Table1[],5,FALSE))</f>
        <v>350</v>
      </c>
      <c r="F6712" s="5">
        <f>(VLOOKUP(Table4[[#This Row],[item_sold]],Table1[],4,FALSE))*Table4[[#This Row],[qty]]</f>
        <v>290</v>
      </c>
      <c r="G6712">
        <f t="shared" si="1190"/>
        <v>60</v>
      </c>
      <c r="H6712" t="s">
        <v>402</v>
      </c>
    </row>
    <row r="6713" spans="1:12" x14ac:dyDescent="0.25">
      <c r="A6713" s="1">
        <f t="shared" si="1184"/>
        <v>45592</v>
      </c>
      <c r="B6713" s="31">
        <f>TIME(18,40,0)</f>
        <v>0.77777777777777779</v>
      </c>
      <c r="C6713" t="str">
        <f>'Inventory as of 12th Aug 2024'!A90</f>
        <v>Onion</v>
      </c>
      <c r="D6713">
        <v>6</v>
      </c>
      <c r="E6713" s="5">
        <f>Table4[[#This Row],[qty]]*(VLOOKUP(Table4[[#This Row],[item_sold]],Table1[],5,FALSE))</f>
        <v>60</v>
      </c>
      <c r="F6713" s="5">
        <f>(VLOOKUP(Table4[[#This Row],[item_sold]],Table1[],4,FALSE))*Table4[[#This Row],[qty]]</f>
        <v>48</v>
      </c>
      <c r="G6713">
        <f t="shared" si="1190"/>
        <v>12</v>
      </c>
      <c r="H6713" t="s">
        <v>402</v>
      </c>
    </row>
    <row r="6714" spans="1:12" x14ac:dyDescent="0.25">
      <c r="A6714" s="1">
        <f t="shared" si="1184"/>
        <v>45592</v>
      </c>
      <c r="B6714" s="31">
        <f>TIME(18,51,0)</f>
        <v>0.78541666666666676</v>
      </c>
      <c r="C6714" t="str">
        <f>'Inventory as of 12th Aug 2024'!A242</f>
        <v>Icepop</v>
      </c>
      <c r="D6714">
        <v>2</v>
      </c>
      <c r="E6714" s="5">
        <f>Table4[[#This Row],[qty]]*(VLOOKUP(Table4[[#This Row],[item_sold]],Table1[],5,FALSE))</f>
        <v>30</v>
      </c>
      <c r="F6714" s="5">
        <f>(VLOOKUP(Table4[[#This Row],[item_sold]],Table1[],4,FALSE))*Table4[[#This Row],[qty]]</f>
        <v>15</v>
      </c>
      <c r="G6714">
        <f t="shared" si="1190"/>
        <v>15</v>
      </c>
      <c r="H6714" t="s">
        <v>361</v>
      </c>
    </row>
    <row r="6715" spans="1:12" x14ac:dyDescent="0.25">
      <c r="A6715" s="1">
        <f t="shared" si="1184"/>
        <v>45592</v>
      </c>
      <c r="B6715" s="31">
        <f>TIME(19,4,0)</f>
        <v>0.7944444444444444</v>
      </c>
      <c r="C6715" t="str">
        <f>'Inventory as of 12th Aug 2024'!A5</f>
        <v>Airtel 20 Credit</v>
      </c>
      <c r="D6715">
        <v>1</v>
      </c>
      <c r="E6715" s="5">
        <f>Table4[[#This Row],[qty]]*(VLOOKUP(Table4[[#This Row],[item_sold]],Table1[],5,FALSE))</f>
        <v>20</v>
      </c>
      <c r="F6715" s="5">
        <f>(VLOOKUP(Table4[[#This Row],[item_sold]],Table1[],4,FALSE))*Table4[[#This Row],[qty]]</f>
        <v>18</v>
      </c>
      <c r="G6715">
        <f t="shared" si="1190"/>
        <v>2</v>
      </c>
      <c r="H6715" t="s">
        <v>402</v>
      </c>
    </row>
    <row r="6716" spans="1:12" x14ac:dyDescent="0.25">
      <c r="A6716" s="1">
        <f t="shared" si="1184"/>
        <v>45592</v>
      </c>
      <c r="B6716" s="31">
        <f>TIME(19,5,0)</f>
        <v>0.79513888888888884</v>
      </c>
      <c r="C6716" t="str">
        <f>'Inventory as of 12th Aug 2024'!A136</f>
        <v>Poa Pekee Tissue</v>
      </c>
      <c r="D6716">
        <v>1</v>
      </c>
      <c r="E6716" s="5">
        <f>Table4[[#This Row],[qty]]*(VLOOKUP(Table4[[#This Row],[item_sold]],Table1[],5,FALSE))</f>
        <v>30</v>
      </c>
      <c r="F6716" s="5">
        <f>(VLOOKUP(Table4[[#This Row],[item_sold]],Table1[],4,FALSE))*Table4[[#This Row],[qty]]</f>
        <v>13.333333333333334</v>
      </c>
      <c r="G6716">
        <f t="shared" si="1190"/>
        <v>16.666666666666664</v>
      </c>
      <c r="H6716" t="s">
        <v>361</v>
      </c>
    </row>
    <row r="6717" spans="1:12" x14ac:dyDescent="0.25">
      <c r="A6717" s="1">
        <f t="shared" si="1184"/>
        <v>45592</v>
      </c>
      <c r="B6717" s="31">
        <f>TIME(19,12,0)</f>
        <v>0.79999999999999993</v>
      </c>
      <c r="C6717" t="str">
        <f>'Inventory as of 12th Aug 2024'!A58</f>
        <v>Safari</v>
      </c>
      <c r="D6717">
        <v>1</v>
      </c>
      <c r="E6717" s="5">
        <f>Table4[[#This Row],[qty]]*(VLOOKUP(Table4[[#This Row],[item_sold]],Table1[],5,FALSE))</f>
        <v>15</v>
      </c>
      <c r="F6717" s="5">
        <f>(VLOOKUP(Table4[[#This Row],[item_sold]],Table1[],4,FALSE))*Table4[[#This Row],[qty]]</f>
        <v>8.5</v>
      </c>
      <c r="G6717">
        <f t="shared" si="1190"/>
        <v>6.5</v>
      </c>
      <c r="H6717" t="s">
        <v>402</v>
      </c>
    </row>
    <row r="6718" spans="1:12" x14ac:dyDescent="0.25">
      <c r="A6718" s="1">
        <f t="shared" si="1184"/>
        <v>45592</v>
      </c>
      <c r="B6718" s="31">
        <f>TIME(19,13,0)</f>
        <v>0.80069444444444438</v>
      </c>
      <c r="C6718" t="str">
        <f>'Inventory as of 12th Aug 2024'!A58</f>
        <v>Safari</v>
      </c>
      <c r="D6718">
        <v>3</v>
      </c>
      <c r="E6718" s="5">
        <f>Table4[[#This Row],[qty]]*(VLOOKUP(Table4[[#This Row],[item_sold]],Table1[],5,FALSE))</f>
        <v>45</v>
      </c>
      <c r="F6718" s="5">
        <f>(VLOOKUP(Table4[[#This Row],[item_sold]],Table1[],4,FALSE))*Table4[[#This Row],[qty]]</f>
        <v>25.5</v>
      </c>
      <c r="G6718">
        <f t="shared" si="1190"/>
        <v>19.5</v>
      </c>
      <c r="H6718" t="s">
        <v>430</v>
      </c>
      <c r="I6718" t="s">
        <v>391</v>
      </c>
    </row>
    <row r="6719" spans="1:12" x14ac:dyDescent="0.25">
      <c r="A6719" s="1">
        <f t="shared" si="1184"/>
        <v>45592</v>
      </c>
      <c r="B6719" s="31">
        <f t="shared" ref="B6719" si="1195">TIME(19,13,0)</f>
        <v>0.80069444444444438</v>
      </c>
      <c r="C6719" t="str">
        <f>'Inventory as of 12th Aug 2024'!A131</f>
        <v>Zycet (cetrizine)</v>
      </c>
      <c r="D6719">
        <v>1</v>
      </c>
      <c r="E6719" s="5">
        <f>Table4[[#This Row],[qty]]*(VLOOKUP(Table4[[#This Row],[item_sold]],Table1[],5,FALSE))</f>
        <v>15</v>
      </c>
      <c r="F6719" s="5">
        <f>(VLOOKUP(Table4[[#This Row],[item_sold]],Table1[],4,FALSE))*Table4[[#This Row],[qty]]</f>
        <v>8</v>
      </c>
      <c r="G6719">
        <f t="shared" si="1190"/>
        <v>7</v>
      </c>
      <c r="H6719" t="s">
        <v>430</v>
      </c>
      <c r="I6719" t="s">
        <v>391</v>
      </c>
    </row>
    <row r="6720" spans="1:12" x14ac:dyDescent="0.25">
      <c r="A6720" s="1">
        <f t="shared" ref="A6720:A6729" si="1196">DATE(2024,10,27)</f>
        <v>45592</v>
      </c>
      <c r="B6720" s="31">
        <f>TIME(19,14,0)</f>
        <v>0.80138888888888893</v>
      </c>
      <c r="C6720" t="str">
        <f>'Inventory as of 12th Aug 2024'!A45</f>
        <v>Ajab 1kg</v>
      </c>
      <c r="D6720">
        <v>1</v>
      </c>
      <c r="E6720" s="5">
        <f>Table4[[#This Row],[qty]]*(VLOOKUP(Table4[[#This Row],[item_sold]],Table1[],5,FALSE))</f>
        <v>120</v>
      </c>
      <c r="F6720" s="5">
        <f>(VLOOKUP(Table4[[#This Row],[item_sold]],Table1[],4,FALSE))*Table4[[#This Row],[qty]]</f>
        <v>87.5</v>
      </c>
      <c r="G6720">
        <f t="shared" si="1190"/>
        <v>32.5</v>
      </c>
      <c r="H6720" t="s">
        <v>361</v>
      </c>
    </row>
    <row r="6721" spans="1:12" x14ac:dyDescent="0.25">
      <c r="A6721" s="1">
        <f t="shared" si="1196"/>
        <v>45592</v>
      </c>
      <c r="B6721" s="31">
        <f>TIME(19,15,0)</f>
        <v>0.80208333333333337</v>
      </c>
      <c r="C6721" t="str">
        <f>'Inventory as of 12th Aug 2024'!A38</f>
        <v>AVC Led bulb</v>
      </c>
      <c r="D6721">
        <v>1</v>
      </c>
      <c r="E6721" s="5">
        <f>Table4[[#This Row],[qty]]*(VLOOKUP(Table4[[#This Row],[item_sold]],Table1[],5,FALSE))</f>
        <v>100</v>
      </c>
      <c r="F6721" s="5">
        <f>(VLOOKUP(Table4[[#This Row],[item_sold]],Table1[],4,FALSE))*Table4[[#This Row],[qty]]</f>
        <v>69</v>
      </c>
      <c r="G6721">
        <f t="shared" si="1190"/>
        <v>31</v>
      </c>
      <c r="H6721" t="s">
        <v>430</v>
      </c>
      <c r="I6721" s="25"/>
    </row>
    <row r="6722" spans="1:12" x14ac:dyDescent="0.25">
      <c r="A6722" s="1">
        <f t="shared" si="1196"/>
        <v>45592</v>
      </c>
      <c r="B6722" s="31">
        <f>TIME(19,44,0)</f>
        <v>0.8222222222222223</v>
      </c>
      <c r="C6722" t="str">
        <f>'Inventory as of 12th Aug 2024'!A206</f>
        <v>soda 500ml plastic</v>
      </c>
      <c r="D6722">
        <v>1</v>
      </c>
      <c r="E6722" s="5">
        <f>Table4[[#This Row],[qty]]*(VLOOKUP(Table4[[#This Row],[item_sold]],Table1[],5,FALSE))</f>
        <v>70</v>
      </c>
      <c r="F6722" s="5">
        <f>(VLOOKUP(Table4[[#This Row],[item_sold]],Table1[],4,FALSE))*Table4[[#This Row],[qty]]</f>
        <v>60.416666666666664</v>
      </c>
      <c r="G6722">
        <f t="shared" si="1190"/>
        <v>9.5833333333333357</v>
      </c>
      <c r="H6722" t="s">
        <v>361</v>
      </c>
    </row>
    <row r="6723" spans="1:12" x14ac:dyDescent="0.25">
      <c r="A6723" s="1">
        <f t="shared" si="1196"/>
        <v>45592</v>
      </c>
      <c r="B6723" s="31">
        <f>TIME(20,5,0)</f>
        <v>0.83680555555555547</v>
      </c>
      <c r="C6723" t="str">
        <f>'Inventory as of 12th Aug 2024'!A193</f>
        <v>Ginger Bisquit</v>
      </c>
      <c r="D6723">
        <v>4</v>
      </c>
      <c r="E6723" s="5">
        <f>Table4[[#This Row],[qty]]*(VLOOKUP(Table4[[#This Row],[item_sold]],Table1[],5,FALSE))</f>
        <v>20</v>
      </c>
      <c r="F6723" s="5">
        <f>(VLOOKUP(Table4[[#This Row],[item_sold]],Table1[],4,FALSE))*Table4[[#This Row],[qty]]</f>
        <v>17.333333333333332</v>
      </c>
      <c r="G6723">
        <f t="shared" si="1190"/>
        <v>2.6666666666666679</v>
      </c>
      <c r="H6723" t="s">
        <v>402</v>
      </c>
    </row>
    <row r="6724" spans="1:12" x14ac:dyDescent="0.25">
      <c r="A6724" s="1">
        <f t="shared" si="1196"/>
        <v>45592</v>
      </c>
      <c r="B6724" s="31">
        <f>TIME(20,17,0)</f>
        <v>0.84513888888888899</v>
      </c>
      <c r="C6724" t="str">
        <f>'Inventory as of 12th Aug 2024'!A75</f>
        <v>Cooking Oil Measured</v>
      </c>
      <c r="D6724">
        <v>0.25</v>
      </c>
      <c r="E6724" s="5">
        <f>Table4[[#This Row],[qty]]*(VLOOKUP(Table4[[#This Row],[item_sold]],Table1[],5,FALSE))</f>
        <v>70</v>
      </c>
      <c r="F6724" s="5">
        <f>(VLOOKUP(Table4[[#This Row],[item_sold]],Table1[],4,FALSE))*Table4[[#This Row],[qty]]</f>
        <v>50</v>
      </c>
      <c r="G6724">
        <f t="shared" si="1190"/>
        <v>20</v>
      </c>
      <c r="H6724" t="s">
        <v>361</v>
      </c>
    </row>
    <row r="6725" spans="1:12" x14ac:dyDescent="0.25">
      <c r="A6725" s="1">
        <f t="shared" si="1196"/>
        <v>45592</v>
      </c>
      <c r="B6725" s="31">
        <f t="shared" ref="B6725" si="1197">TIME(20,17,0)</f>
        <v>0.84513888888888899</v>
      </c>
      <c r="C6725" t="str">
        <f>'Inventory as of 12th Aug 2024'!A120</f>
        <v>Maramoja</v>
      </c>
      <c r="D6725">
        <v>1</v>
      </c>
      <c r="E6725" s="5">
        <f>Table4[[#This Row],[qty]]*(VLOOKUP(Table4[[#This Row],[item_sold]],Table1[],5,FALSE))</f>
        <v>10</v>
      </c>
      <c r="F6725" s="5">
        <f>(VLOOKUP(Table4[[#This Row],[item_sold]],Table1[],4,FALSE))*Table4[[#This Row],[qty]]</f>
        <v>7</v>
      </c>
      <c r="G6725">
        <f t="shared" si="1190"/>
        <v>3</v>
      </c>
      <c r="H6725" t="s">
        <v>402</v>
      </c>
    </row>
    <row r="6726" spans="1:12" x14ac:dyDescent="0.25">
      <c r="A6726" s="1">
        <f t="shared" si="1196"/>
        <v>45592</v>
      </c>
      <c r="B6726" s="31">
        <f>TIME(20,27,0)</f>
        <v>0.8520833333333333</v>
      </c>
      <c r="C6726" t="str">
        <f>'Inventory as of 12th Aug 2024'!A139</f>
        <v>Sunny girl pad</v>
      </c>
      <c r="D6726">
        <v>1</v>
      </c>
      <c r="E6726" s="5">
        <f>Table4[[#This Row],[qty]]*(VLOOKUP(Table4[[#This Row],[item_sold]],Table1[],5,FALSE))</f>
        <v>70</v>
      </c>
      <c r="F6726" s="5">
        <f>(VLOOKUP(Table4[[#This Row],[item_sold]],Table1[],4,FALSE))*Table4[[#This Row],[qty]]</f>
        <v>56.666666666666664</v>
      </c>
      <c r="G6726">
        <f t="shared" si="1190"/>
        <v>13.333333333333336</v>
      </c>
      <c r="H6726" t="s">
        <v>430</v>
      </c>
      <c r="I6726" t="s">
        <v>456</v>
      </c>
      <c r="J6726" t="s">
        <v>456</v>
      </c>
      <c r="K6726">
        <v>500</v>
      </c>
      <c r="L6726" t="s">
        <v>361</v>
      </c>
    </row>
    <row r="6727" spans="1:12" x14ac:dyDescent="0.25">
      <c r="A6727" s="1">
        <f t="shared" si="1196"/>
        <v>45592</v>
      </c>
      <c r="B6727" s="31">
        <f>TIME(20,29,0)</f>
        <v>0.8534722222222223</v>
      </c>
      <c r="C6727" t="str">
        <f>'Inventory as of 12th Aug 2024'!A211</f>
        <v>predator</v>
      </c>
      <c r="D6727">
        <v>1</v>
      </c>
      <c r="E6727" s="5">
        <f>Table4[[#This Row],[qty]]*(VLOOKUP(Table4[[#This Row],[item_sold]],Table1[],5,FALSE))</f>
        <v>70</v>
      </c>
      <c r="F6727" s="5">
        <f>(VLOOKUP(Table4[[#This Row],[item_sold]],Table1[],4,FALSE))*Table4[[#This Row],[qty]]</f>
        <v>54.166666666666664</v>
      </c>
      <c r="G6727">
        <f t="shared" si="1190"/>
        <v>15.833333333333336</v>
      </c>
      <c r="H6727" t="s">
        <v>361</v>
      </c>
    </row>
    <row r="6728" spans="1:12" x14ac:dyDescent="0.25">
      <c r="A6728" s="1">
        <f t="shared" si="1196"/>
        <v>45592</v>
      </c>
      <c r="B6728" s="31">
        <f>TIME(20,40,0)</f>
        <v>0.86111111111111116</v>
      </c>
      <c r="C6728" t="str">
        <f>'Inventory as of 12th Aug 2024'!A149</f>
        <v>Arimis small</v>
      </c>
      <c r="D6728">
        <v>1</v>
      </c>
      <c r="E6728" s="5">
        <f>Table4[[#This Row],[qty]]*(VLOOKUP(Table4[[#This Row],[item_sold]],Table1[],5,FALSE))</f>
        <v>35</v>
      </c>
      <c r="F6728" s="5">
        <f>(VLOOKUP(Table4[[#This Row],[item_sold]],Table1[],4,FALSE))*Table4[[#This Row],[qty]]</f>
        <v>23.333333333333332</v>
      </c>
      <c r="G6728">
        <f t="shared" si="1190"/>
        <v>11.666666666666668</v>
      </c>
      <c r="H6728" t="s">
        <v>361</v>
      </c>
    </row>
    <row r="6729" spans="1:12" x14ac:dyDescent="0.25">
      <c r="A6729" s="1">
        <f t="shared" si="1196"/>
        <v>45592</v>
      </c>
      <c r="B6729" s="31">
        <f>TIME(20,40,0)</f>
        <v>0.86111111111111116</v>
      </c>
      <c r="C6729" t="str">
        <f>'Inventory as of 12th Aug 2024'!A235</f>
        <v>Cough drops</v>
      </c>
      <c r="D6729">
        <v>1</v>
      </c>
      <c r="E6729" s="5">
        <f>Table4[[#This Row],[qty]]*(VLOOKUP(Table4[[#This Row],[item_sold]],Table1[],5,FALSE))</f>
        <v>5</v>
      </c>
      <c r="F6729" s="5">
        <f>(VLOOKUP(Table4[[#This Row],[item_sold]],Table1[],4,FALSE))*Table4[[#This Row],[qty]]</f>
        <v>4</v>
      </c>
      <c r="G6729">
        <f t="shared" si="1190"/>
        <v>1</v>
      </c>
      <c r="H6729" t="s">
        <v>361</v>
      </c>
    </row>
    <row r="6730" spans="1:12" x14ac:dyDescent="0.25">
      <c r="A6730" s="1">
        <f>DATE(2024,10,28)</f>
        <v>45593</v>
      </c>
      <c r="B6730" s="31">
        <f>TIME(7,50,0)</f>
        <v>0.3263888888888889</v>
      </c>
      <c r="C6730" t="str">
        <f>'Inventory as of 12th Aug 2024'!A58</f>
        <v>Safari</v>
      </c>
      <c r="D6730">
        <v>1</v>
      </c>
      <c r="E6730" s="5">
        <f>Table4[[#This Row],[qty]]*(VLOOKUP(Table4[[#This Row],[item_sold]],Table1[],5,FALSE))</f>
        <v>15</v>
      </c>
      <c r="F6730" s="5">
        <f>(VLOOKUP(Table4[[#This Row],[item_sold]],Table1[],4,FALSE))*Table4[[#This Row],[qty]]</f>
        <v>8.5</v>
      </c>
      <c r="G6730">
        <f t="shared" si="1190"/>
        <v>6.5</v>
      </c>
      <c r="H6730" t="s">
        <v>402</v>
      </c>
    </row>
    <row r="6731" spans="1:12" x14ac:dyDescent="0.25">
      <c r="A6731" s="1">
        <f t="shared" ref="A6731:A6794" si="1198">DATE(2024,10,28)</f>
        <v>45593</v>
      </c>
      <c r="B6731" s="31">
        <f>TIME(7,55,0)</f>
        <v>0.3298611111111111</v>
      </c>
      <c r="C6731" t="str">
        <f>'Inventory as of 12th Aug 2024'!A31</f>
        <v>Drinking Chocolate 20g</v>
      </c>
      <c r="D6731">
        <v>1</v>
      </c>
      <c r="E6731" s="5">
        <f>Table4[[#This Row],[qty]]*(VLOOKUP(Table4[[#This Row],[item_sold]],Table1[],5,FALSE))</f>
        <v>20</v>
      </c>
      <c r="F6731" s="5">
        <f>(VLOOKUP(Table4[[#This Row],[item_sold]],Table1[],4,FALSE))*Table4[[#This Row],[qty]]</f>
        <v>10.416666666666666</v>
      </c>
      <c r="G6731">
        <f t="shared" si="1190"/>
        <v>9.5833333333333339</v>
      </c>
      <c r="H6731" t="s">
        <v>361</v>
      </c>
    </row>
    <row r="6732" spans="1:12" x14ac:dyDescent="0.25">
      <c r="A6732" s="1">
        <f t="shared" si="1198"/>
        <v>45593</v>
      </c>
      <c r="B6732" s="31">
        <f t="shared" ref="B6732:B6733" si="1199">TIME(7,55,0)</f>
        <v>0.3298611111111111</v>
      </c>
      <c r="C6732" t="str">
        <f>'Inventory as of 12th Aug 2024'!A234</f>
        <v>Bigdaddy</v>
      </c>
      <c r="D6732">
        <v>1</v>
      </c>
      <c r="E6732" s="5">
        <f>Table4[[#This Row],[qty]]*(VLOOKUP(Table4[[#This Row],[item_sold]],Table1[],5,FALSE))</f>
        <v>10</v>
      </c>
      <c r="F6732" s="5">
        <f>(VLOOKUP(Table4[[#This Row],[item_sold]],Table1[],4,FALSE))*Table4[[#This Row],[qty]]</f>
        <v>6</v>
      </c>
      <c r="G6732">
        <f t="shared" si="1190"/>
        <v>4</v>
      </c>
      <c r="H6732" t="s">
        <v>361</v>
      </c>
      <c r="J6732" t="s">
        <v>623</v>
      </c>
      <c r="K6732">
        <v>40</v>
      </c>
      <c r="L6732" t="s">
        <v>361</v>
      </c>
    </row>
    <row r="6733" spans="1:12" x14ac:dyDescent="0.25">
      <c r="A6733" s="1">
        <f t="shared" si="1198"/>
        <v>45593</v>
      </c>
      <c r="B6733" s="31">
        <f t="shared" si="1199"/>
        <v>0.3298611111111111</v>
      </c>
      <c r="C6733" t="str">
        <f>'Inventory as of 12th Aug 2024'!A33</f>
        <v>BB Bread 400g</v>
      </c>
      <c r="D6733">
        <v>2</v>
      </c>
      <c r="E6733" s="5">
        <f>Table4[[#This Row],[qty]]*(VLOOKUP(Table4[[#This Row],[item_sold]],Table1[],5,FALSE))</f>
        <v>130</v>
      </c>
      <c r="F6733" s="5">
        <f>(VLOOKUP(Table4[[#This Row],[item_sold]],Table1[],4,FALSE))*Table4[[#This Row],[qty]]</f>
        <v>120</v>
      </c>
      <c r="G6733">
        <f t="shared" si="1190"/>
        <v>10</v>
      </c>
      <c r="H6733" t="s">
        <v>430</v>
      </c>
      <c r="I6733" t="s">
        <v>394</v>
      </c>
    </row>
    <row r="6734" spans="1:12" x14ac:dyDescent="0.25">
      <c r="A6734" s="1">
        <f t="shared" si="1198"/>
        <v>45593</v>
      </c>
      <c r="B6734" s="31">
        <f>TIME(9,22,0)</f>
        <v>0.39027777777777778</v>
      </c>
      <c r="C6734" t="str">
        <f>'Inventory as of 12th Aug 2024'!A5</f>
        <v>Airtel 20 Credit</v>
      </c>
      <c r="D6734">
        <v>1</v>
      </c>
      <c r="E6734" s="5">
        <f>Table4[[#This Row],[qty]]*(VLOOKUP(Table4[[#This Row],[item_sold]],Table1[],5,FALSE))</f>
        <v>20</v>
      </c>
      <c r="F6734" s="5">
        <f>(VLOOKUP(Table4[[#This Row],[item_sold]],Table1[],4,FALSE))*Table4[[#This Row],[qty]]</f>
        <v>18</v>
      </c>
      <c r="G6734">
        <f t="shared" si="1190"/>
        <v>2</v>
      </c>
      <c r="H6734" t="s">
        <v>361</v>
      </c>
    </row>
    <row r="6735" spans="1:12" x14ac:dyDescent="0.25">
      <c r="A6735" s="1">
        <f t="shared" si="1198"/>
        <v>45593</v>
      </c>
      <c r="B6735" s="31">
        <f t="shared" ref="B6735:B6737" si="1200">TIME(9,22,0)</f>
        <v>0.39027777777777778</v>
      </c>
      <c r="C6735" t="str">
        <f>'Inventory as of 12th Aug 2024'!A6</f>
        <v>Airtel 10 Credit</v>
      </c>
      <c r="D6735">
        <v>1</v>
      </c>
      <c r="E6735" s="5">
        <f>Table4[[#This Row],[qty]]*(VLOOKUP(Table4[[#This Row],[item_sold]],Table1[],5,FALSE))</f>
        <v>10</v>
      </c>
      <c r="F6735" s="5">
        <f>(VLOOKUP(Table4[[#This Row],[item_sold]],Table1[],4,FALSE))*Table4[[#This Row],[qty]]</f>
        <v>9</v>
      </c>
      <c r="G6735">
        <f t="shared" si="1190"/>
        <v>1</v>
      </c>
      <c r="H6735" t="s">
        <v>247</v>
      </c>
    </row>
    <row r="6736" spans="1:12" x14ac:dyDescent="0.25">
      <c r="A6736" s="1">
        <f t="shared" si="1198"/>
        <v>45593</v>
      </c>
      <c r="B6736" s="31">
        <f t="shared" si="1200"/>
        <v>0.39027777777777778</v>
      </c>
      <c r="C6736" t="str">
        <f>'Inventory as of 12th Aug 2024'!A211</f>
        <v>predator</v>
      </c>
      <c r="D6736">
        <v>1</v>
      </c>
      <c r="E6736" s="5">
        <f>Table4[[#This Row],[qty]]*(VLOOKUP(Table4[[#This Row],[item_sold]],Table1[],5,FALSE))</f>
        <v>70</v>
      </c>
      <c r="F6736" s="5">
        <f>(VLOOKUP(Table4[[#This Row],[item_sold]],Table1[],4,FALSE))*Table4[[#This Row],[qty]]</f>
        <v>54.166666666666664</v>
      </c>
      <c r="G6736">
        <f t="shared" si="1190"/>
        <v>15.833333333333336</v>
      </c>
      <c r="H6736" t="s">
        <v>247</v>
      </c>
    </row>
    <row r="6737" spans="1:9" x14ac:dyDescent="0.25">
      <c r="A6737" s="1">
        <f t="shared" si="1198"/>
        <v>45593</v>
      </c>
      <c r="B6737" s="31">
        <f t="shared" si="1200"/>
        <v>0.39027777777777778</v>
      </c>
      <c r="C6737" t="str">
        <f>'Inventory as of 12th Aug 2024'!A271</f>
        <v>Star Cream Bisquit</v>
      </c>
      <c r="D6737">
        <v>6</v>
      </c>
      <c r="E6737" s="5">
        <f>Table4[[#This Row],[qty]]*(VLOOKUP(Table4[[#This Row],[item_sold]],Table1[],5,FALSE))</f>
        <v>30</v>
      </c>
      <c r="F6737" s="5">
        <f>(VLOOKUP(Table4[[#This Row],[item_sold]],Table1[],4,FALSE))*Table4[[#This Row],[qty]]</f>
        <v>25.4</v>
      </c>
      <c r="G6737">
        <f t="shared" si="1190"/>
        <v>4.6000000000000014</v>
      </c>
      <c r="H6737" t="s">
        <v>361</v>
      </c>
    </row>
    <row r="6738" spans="1:9" x14ac:dyDescent="0.25">
      <c r="A6738" s="1">
        <f t="shared" si="1198"/>
        <v>45593</v>
      </c>
      <c r="B6738" s="31">
        <f>TIME(10,29,0)</f>
        <v>0.4368055555555555</v>
      </c>
      <c r="C6738" t="str">
        <f>'Inventory as of 12th Aug 2024'!A5</f>
        <v>Airtel 20 Credit</v>
      </c>
      <c r="D6738">
        <v>1</v>
      </c>
      <c r="E6738" s="5">
        <f>Table4[[#This Row],[qty]]*(VLOOKUP(Table4[[#This Row],[item_sold]],Table1[],5,FALSE))</f>
        <v>20</v>
      </c>
      <c r="F6738" s="5">
        <f>(VLOOKUP(Table4[[#This Row],[item_sold]],Table1[],4,FALSE))*Table4[[#This Row],[qty]]</f>
        <v>18</v>
      </c>
      <c r="G6738">
        <f t="shared" si="1190"/>
        <v>2</v>
      </c>
      <c r="H6738" t="s">
        <v>361</v>
      </c>
    </row>
    <row r="6739" spans="1:9" x14ac:dyDescent="0.25">
      <c r="A6739" s="1">
        <f t="shared" si="1198"/>
        <v>45593</v>
      </c>
      <c r="B6739" s="31">
        <f>TIME(10,59,0)</f>
        <v>0.45763888888888887</v>
      </c>
      <c r="C6739" t="str">
        <f>'Inventory as of 12th Aug 2024'!A33</f>
        <v>BB Bread 400g</v>
      </c>
      <c r="D6739">
        <v>1</v>
      </c>
      <c r="E6739" s="5">
        <f>Table4[[#This Row],[qty]]*(VLOOKUP(Table4[[#This Row],[item_sold]],Table1[],5,FALSE))</f>
        <v>65</v>
      </c>
      <c r="F6739" s="5">
        <f>(VLOOKUP(Table4[[#This Row],[item_sold]],Table1[],4,FALSE))*Table4[[#This Row],[qty]]</f>
        <v>60</v>
      </c>
      <c r="G6739">
        <f t="shared" si="1190"/>
        <v>5</v>
      </c>
      <c r="H6739" t="s">
        <v>361</v>
      </c>
    </row>
    <row r="6740" spans="1:9" x14ac:dyDescent="0.25">
      <c r="A6740" s="1">
        <f t="shared" si="1198"/>
        <v>45593</v>
      </c>
      <c r="B6740" s="31">
        <f t="shared" ref="B6740:B6744" si="1201">TIME(10,59,0)</f>
        <v>0.45763888888888887</v>
      </c>
      <c r="C6740" t="str">
        <f>'Inventory as of 12th Aug 2024'!A271</f>
        <v>Star Cream Bisquit</v>
      </c>
      <c r="D6740">
        <v>2</v>
      </c>
      <c r="E6740" s="5">
        <f>Table4[[#This Row],[qty]]*(VLOOKUP(Table4[[#This Row],[item_sold]],Table1[],5,FALSE))</f>
        <v>10</v>
      </c>
      <c r="F6740" s="5">
        <f>(VLOOKUP(Table4[[#This Row],[item_sold]],Table1[],4,FALSE))*Table4[[#This Row],[qty]]</f>
        <v>8.4666666666666668</v>
      </c>
      <c r="G6740">
        <f t="shared" ref="G6740:G6803" si="1202">E6740-F6740</f>
        <v>1.5333333333333332</v>
      </c>
      <c r="H6740" t="s">
        <v>361</v>
      </c>
    </row>
    <row r="6741" spans="1:9" x14ac:dyDescent="0.25">
      <c r="A6741" s="1">
        <f t="shared" si="1198"/>
        <v>45593</v>
      </c>
      <c r="B6741" s="31">
        <f t="shared" si="1201"/>
        <v>0.45763888888888887</v>
      </c>
      <c r="C6741" t="str">
        <f>'Inventory as of 12th Aug 2024'!A58</f>
        <v>Safari</v>
      </c>
      <c r="D6741">
        <v>1</v>
      </c>
      <c r="E6741" s="5">
        <f>Table4[[#This Row],[qty]]*(VLOOKUP(Table4[[#This Row],[item_sold]],Table1[],5,FALSE))</f>
        <v>15</v>
      </c>
      <c r="F6741" s="5">
        <f>(VLOOKUP(Table4[[#This Row],[item_sold]],Table1[],4,FALSE))*Table4[[#This Row],[qty]]</f>
        <v>8.5</v>
      </c>
      <c r="G6741">
        <f t="shared" si="1202"/>
        <v>6.5</v>
      </c>
      <c r="H6741" t="s">
        <v>402</v>
      </c>
    </row>
    <row r="6742" spans="1:9" x14ac:dyDescent="0.25">
      <c r="A6742" s="1">
        <f t="shared" si="1198"/>
        <v>45593</v>
      </c>
      <c r="B6742" s="31">
        <f t="shared" si="1201"/>
        <v>0.45763888888888887</v>
      </c>
      <c r="C6742" t="str">
        <f>'Inventory as of 12th Aug 2024'!A207</f>
        <v>soda 350ml plastic</v>
      </c>
      <c r="D6742">
        <v>1</v>
      </c>
      <c r="E6742" s="5">
        <f>Table4[[#This Row],[qty]]*(VLOOKUP(Table4[[#This Row],[item_sold]],Table1[],5,FALSE))</f>
        <v>50</v>
      </c>
      <c r="F6742" s="5">
        <f>(VLOOKUP(Table4[[#This Row],[item_sold]],Table1[],4,FALSE))*Table4[[#This Row],[qty]]</f>
        <v>41.666666666666664</v>
      </c>
      <c r="G6742">
        <f t="shared" si="1202"/>
        <v>8.3333333333333357</v>
      </c>
      <c r="H6742" t="s">
        <v>402</v>
      </c>
    </row>
    <row r="6743" spans="1:9" x14ac:dyDescent="0.25">
      <c r="A6743" s="1">
        <f t="shared" si="1198"/>
        <v>45593</v>
      </c>
      <c r="B6743" s="31">
        <f t="shared" si="1201"/>
        <v>0.45763888888888887</v>
      </c>
      <c r="C6743" t="str">
        <f>'Inventory as of 12th Aug 2024'!A177</f>
        <v>Ringoz Barbeque</v>
      </c>
      <c r="D6743">
        <v>3</v>
      </c>
      <c r="E6743" s="5">
        <f>Table4[[#This Row],[qty]]*(VLOOKUP(Table4[[#This Row],[item_sold]],Table1[],5,FALSE))</f>
        <v>45</v>
      </c>
      <c r="F6743" s="5">
        <f>(VLOOKUP(Table4[[#This Row],[item_sold]],Table1[],4,FALSE))*Table4[[#This Row],[qty]]</f>
        <v>25.799999999999997</v>
      </c>
      <c r="G6743">
        <f t="shared" si="1202"/>
        <v>19.200000000000003</v>
      </c>
      <c r="H6743" t="s">
        <v>402</v>
      </c>
    </row>
    <row r="6744" spans="1:9" x14ac:dyDescent="0.25">
      <c r="A6744" s="1">
        <f t="shared" si="1198"/>
        <v>45593</v>
      </c>
      <c r="B6744" s="31">
        <f t="shared" si="1201"/>
        <v>0.45763888888888887</v>
      </c>
      <c r="C6744" t="str">
        <f>'Inventory as of 12th Aug 2024'!A58</f>
        <v>Safari</v>
      </c>
      <c r="D6744">
        <v>4</v>
      </c>
      <c r="E6744" s="5">
        <f>Table4[[#This Row],[qty]]*(VLOOKUP(Table4[[#This Row],[item_sold]],Table1[],5,FALSE))</f>
        <v>60</v>
      </c>
      <c r="F6744" s="5">
        <f>(VLOOKUP(Table4[[#This Row],[item_sold]],Table1[],4,FALSE))*Table4[[#This Row],[qty]]</f>
        <v>34</v>
      </c>
      <c r="G6744">
        <f t="shared" si="1202"/>
        <v>26</v>
      </c>
      <c r="H6744" t="s">
        <v>430</v>
      </c>
      <c r="I6744" t="s">
        <v>622</v>
      </c>
    </row>
    <row r="6745" spans="1:9" x14ac:dyDescent="0.25">
      <c r="A6745" s="1">
        <f t="shared" si="1198"/>
        <v>45593</v>
      </c>
      <c r="B6745" s="31">
        <f>TIME(11,48,0)</f>
        <v>0.4916666666666667</v>
      </c>
      <c r="C6745" t="str">
        <f>'Inventory as of 12th Aug 2024'!A71</f>
        <v>Sugar 1/4 kg</v>
      </c>
      <c r="D6745">
        <v>1</v>
      </c>
      <c r="E6745" s="5">
        <f>Table4[[#This Row],[qty]]*(VLOOKUP(Table4[[#This Row],[item_sold]],Table1[],5,FALSE))</f>
        <v>45</v>
      </c>
      <c r="F6745" s="5">
        <f>(VLOOKUP(Table4[[#This Row],[item_sold]],Table1[],4,FALSE))*Table4[[#This Row],[qty]]</f>
        <v>30</v>
      </c>
      <c r="G6745">
        <f t="shared" si="1202"/>
        <v>15</v>
      </c>
      <c r="H6745" t="s">
        <v>361</v>
      </c>
    </row>
    <row r="6746" spans="1:9" x14ac:dyDescent="0.25">
      <c r="A6746" s="1">
        <f t="shared" si="1198"/>
        <v>45593</v>
      </c>
      <c r="B6746" s="31">
        <f t="shared" ref="B6746:B6752" si="1203">TIME(11,48,0)</f>
        <v>0.4916666666666667</v>
      </c>
      <c r="C6746" t="str">
        <f>'Inventory as of 12th Aug 2024'!A68</f>
        <v>Royco cubes</v>
      </c>
      <c r="D6746">
        <v>1</v>
      </c>
      <c r="E6746" s="5">
        <f>Table4[[#This Row],[qty]]*(VLOOKUP(Table4[[#This Row],[item_sold]],Table1[],5,FALSE))</f>
        <v>5</v>
      </c>
      <c r="F6746" s="5">
        <f>(VLOOKUP(Table4[[#This Row],[item_sold]],Table1[],4,FALSE))*Table4[[#This Row],[qty]]</f>
        <v>3</v>
      </c>
      <c r="G6746">
        <f t="shared" si="1202"/>
        <v>2</v>
      </c>
      <c r="H6746" t="s">
        <v>361</v>
      </c>
    </row>
    <row r="6747" spans="1:9" x14ac:dyDescent="0.25">
      <c r="A6747" s="1">
        <f t="shared" si="1198"/>
        <v>45593</v>
      </c>
      <c r="B6747" s="31">
        <f t="shared" si="1203"/>
        <v>0.4916666666666667</v>
      </c>
      <c r="C6747" t="str">
        <f>'Inventory as of 12th Aug 2024'!A75</f>
        <v>Cooking Oil Measured</v>
      </c>
      <c r="D6747">
        <v>0.25</v>
      </c>
      <c r="E6747" s="5">
        <f>Table4[[#This Row],[qty]]*(VLOOKUP(Table4[[#This Row],[item_sold]],Table1[],5,FALSE))</f>
        <v>70</v>
      </c>
      <c r="F6747" s="5">
        <f>(VLOOKUP(Table4[[#This Row],[item_sold]],Table1[],4,FALSE))*Table4[[#This Row],[qty]]</f>
        <v>50</v>
      </c>
      <c r="G6747">
        <f t="shared" si="1202"/>
        <v>20</v>
      </c>
      <c r="H6747" t="s">
        <v>402</v>
      </c>
    </row>
    <row r="6748" spans="1:9" x14ac:dyDescent="0.25">
      <c r="A6748" s="1">
        <f t="shared" si="1198"/>
        <v>45593</v>
      </c>
      <c r="B6748" s="31">
        <f t="shared" si="1203"/>
        <v>0.4916666666666667</v>
      </c>
      <c r="C6748" t="str">
        <f>'Inventory as of 12th Aug 2024'!A57</f>
        <v>Sportsman</v>
      </c>
      <c r="D6748">
        <v>1</v>
      </c>
      <c r="E6748" s="5">
        <f>Table4[[#This Row],[qty]]*(VLOOKUP(Table4[[#This Row],[item_sold]],Table1[],5,FALSE))</f>
        <v>20</v>
      </c>
      <c r="F6748" s="5">
        <f>(VLOOKUP(Table4[[#This Row],[item_sold]],Table1[],4,FALSE))*Table4[[#This Row],[qty]]</f>
        <v>13</v>
      </c>
      <c r="G6748">
        <f t="shared" si="1202"/>
        <v>7</v>
      </c>
      <c r="H6748" t="s">
        <v>402</v>
      </c>
    </row>
    <row r="6749" spans="1:9" x14ac:dyDescent="0.25">
      <c r="A6749" s="1">
        <f t="shared" si="1198"/>
        <v>45593</v>
      </c>
      <c r="B6749" s="31">
        <f t="shared" si="1203"/>
        <v>0.4916666666666667</v>
      </c>
      <c r="C6749" t="str">
        <f>'Inventory as of 12th Aug 2024'!A221</f>
        <v>Rasor Blade</v>
      </c>
      <c r="D6749">
        <v>1</v>
      </c>
      <c r="E6749" s="5">
        <f>Table4[[#This Row],[qty]]*(VLOOKUP(Table4[[#This Row],[item_sold]],Table1[],5,FALSE))</f>
        <v>5</v>
      </c>
      <c r="F6749" s="5">
        <f>(VLOOKUP(Table4[[#This Row],[item_sold]],Table1[],4,FALSE))*Table4[[#This Row],[qty]]</f>
        <v>2</v>
      </c>
      <c r="G6749">
        <f t="shared" si="1202"/>
        <v>3</v>
      </c>
      <c r="H6749" t="s">
        <v>402</v>
      </c>
    </row>
    <row r="6750" spans="1:9" x14ac:dyDescent="0.25">
      <c r="A6750" s="1">
        <f t="shared" si="1198"/>
        <v>45593</v>
      </c>
      <c r="B6750" s="31">
        <f t="shared" si="1203"/>
        <v>0.4916666666666667</v>
      </c>
      <c r="C6750" t="str">
        <f>'Inventory as of 12th Aug 2024'!A58</f>
        <v>Safari</v>
      </c>
      <c r="D6750">
        <v>1</v>
      </c>
      <c r="E6750" s="5">
        <f>Table4[[#This Row],[qty]]*(VLOOKUP(Table4[[#This Row],[item_sold]],Table1[],5,FALSE))</f>
        <v>15</v>
      </c>
      <c r="F6750" s="5">
        <f>(VLOOKUP(Table4[[#This Row],[item_sold]],Table1[],4,FALSE))*Table4[[#This Row],[qty]]</f>
        <v>8.5</v>
      </c>
      <c r="G6750">
        <f t="shared" si="1202"/>
        <v>6.5</v>
      </c>
      <c r="H6750" t="s">
        <v>402</v>
      </c>
    </row>
    <row r="6751" spans="1:9" x14ac:dyDescent="0.25">
      <c r="A6751" s="1">
        <f t="shared" si="1198"/>
        <v>45593</v>
      </c>
      <c r="B6751" s="31">
        <f t="shared" si="1203"/>
        <v>0.4916666666666667</v>
      </c>
      <c r="C6751" t="str">
        <f>'Inventory as of 12th Aug 2024'!A10</f>
        <v>Mt Kenya milk 200ml</v>
      </c>
      <c r="D6751">
        <v>2</v>
      </c>
      <c r="E6751" s="5">
        <f>Table4[[#This Row],[qty]]*(VLOOKUP(Table4[[#This Row],[item_sold]],Table1[],5,FALSE))</f>
        <v>70</v>
      </c>
      <c r="F6751" s="5">
        <f>(VLOOKUP(Table4[[#This Row],[item_sold]],Table1[],4,FALSE))*Table4[[#This Row],[qty]]</f>
        <v>48.571428571428569</v>
      </c>
      <c r="G6751">
        <f t="shared" si="1202"/>
        <v>21.428571428571431</v>
      </c>
      <c r="H6751" t="s">
        <v>402</v>
      </c>
    </row>
    <row r="6752" spans="1:9" x14ac:dyDescent="0.25">
      <c r="A6752" s="1">
        <f t="shared" si="1198"/>
        <v>45593</v>
      </c>
      <c r="B6752" s="31">
        <f t="shared" si="1203"/>
        <v>0.4916666666666667</v>
      </c>
      <c r="C6752" t="str">
        <f>'Inventory as of 12th Aug 2024'!A37</f>
        <v>Festive Bread 400g</v>
      </c>
      <c r="D6752">
        <v>1</v>
      </c>
      <c r="E6752" s="5">
        <f>Table4[[#This Row],[qty]]*(VLOOKUP(Table4[[#This Row],[item_sold]],Table1[],5,FALSE))</f>
        <v>65</v>
      </c>
      <c r="F6752" s="5">
        <f>(VLOOKUP(Table4[[#This Row],[item_sold]],Table1[],4,FALSE))*Table4[[#This Row],[qty]]</f>
        <v>60</v>
      </c>
      <c r="G6752">
        <f t="shared" si="1202"/>
        <v>5</v>
      </c>
      <c r="H6752" t="s">
        <v>402</v>
      </c>
    </row>
    <row r="6753" spans="1:8" x14ac:dyDescent="0.25">
      <c r="A6753" s="1">
        <f t="shared" si="1198"/>
        <v>45593</v>
      </c>
      <c r="B6753" s="31">
        <f>TIME(13,48,0)</f>
        <v>0.57500000000000007</v>
      </c>
      <c r="C6753" t="str">
        <f>'Inventory as of 12th Aug 2024'!A92</f>
        <v>Banana</v>
      </c>
      <c r="D6753">
        <v>1</v>
      </c>
      <c r="E6753" s="5">
        <f>Table4[[#This Row],[qty]]*(VLOOKUP(Table4[[#This Row],[item_sold]],Table1[],5,FALSE))</f>
        <v>10</v>
      </c>
      <c r="F6753" s="5">
        <f>(VLOOKUP(Table4[[#This Row],[item_sold]],Table1[],4,FALSE))*Table4[[#This Row],[qty]]</f>
        <v>8.3333333333333339</v>
      </c>
      <c r="G6753">
        <f t="shared" si="1202"/>
        <v>1.6666666666666661</v>
      </c>
      <c r="H6753" t="s">
        <v>361</v>
      </c>
    </row>
    <row r="6754" spans="1:8" x14ac:dyDescent="0.25">
      <c r="A6754" s="1">
        <f t="shared" si="1198"/>
        <v>45593</v>
      </c>
      <c r="B6754" s="31">
        <f t="shared" ref="B6754:B6756" si="1204">TIME(13,48,0)</f>
        <v>0.57500000000000007</v>
      </c>
      <c r="C6754" t="str">
        <f>'Inventory as of 12th Aug 2024'!A92</f>
        <v>Banana</v>
      </c>
      <c r="D6754">
        <v>3</v>
      </c>
      <c r="E6754" s="5">
        <f>Table4[[#This Row],[qty]]*(VLOOKUP(Table4[[#This Row],[item_sold]],Table1[],5,FALSE))</f>
        <v>30</v>
      </c>
      <c r="F6754" s="5">
        <f>(VLOOKUP(Table4[[#This Row],[item_sold]],Table1[],4,FALSE))*Table4[[#This Row],[qty]]</f>
        <v>25</v>
      </c>
      <c r="G6754">
        <f t="shared" si="1202"/>
        <v>5</v>
      </c>
      <c r="H6754" t="s">
        <v>361</v>
      </c>
    </row>
    <row r="6755" spans="1:8" x14ac:dyDescent="0.25">
      <c r="A6755" s="1">
        <f t="shared" si="1198"/>
        <v>45593</v>
      </c>
      <c r="B6755" s="31">
        <f t="shared" si="1204"/>
        <v>0.57500000000000007</v>
      </c>
      <c r="C6755" t="str">
        <f>'Inventory as of 12th Aug 2024'!A213</f>
        <v>soda 500ml glass</v>
      </c>
      <c r="D6755">
        <v>2</v>
      </c>
      <c r="E6755" s="5">
        <f>Table4[[#This Row],[qty]]*(VLOOKUP(Table4[[#This Row],[item_sold]],Table1[],5,FALSE))</f>
        <v>110</v>
      </c>
      <c r="F6755" s="5">
        <f>(VLOOKUP(Table4[[#This Row],[item_sold]],Table1[],4,FALSE))*Table4[[#This Row],[qty]]</f>
        <v>100</v>
      </c>
      <c r="G6755">
        <f t="shared" si="1202"/>
        <v>10</v>
      </c>
      <c r="H6755" t="s">
        <v>361</v>
      </c>
    </row>
    <row r="6756" spans="1:8" x14ac:dyDescent="0.25">
      <c r="A6756" s="1">
        <f t="shared" si="1198"/>
        <v>45593</v>
      </c>
      <c r="B6756" s="31">
        <f t="shared" si="1204"/>
        <v>0.57500000000000007</v>
      </c>
      <c r="C6756" t="str">
        <f>'Inventory as of 12th Aug 2024'!A232</f>
        <v>coo</v>
      </c>
      <c r="D6756">
        <v>6</v>
      </c>
      <c r="E6756" s="5">
        <f>Table4[[#This Row],[qty]]*(VLOOKUP(Table4[[#This Row],[item_sold]],Table1[],5,FALSE))</f>
        <v>15</v>
      </c>
      <c r="F6756" s="5">
        <f>(VLOOKUP(Table4[[#This Row],[item_sold]],Table1[],4,FALSE))*Table4[[#This Row],[qty]]</f>
        <v>7.1999999999999993</v>
      </c>
      <c r="G6756">
        <f t="shared" si="1202"/>
        <v>7.8000000000000007</v>
      </c>
      <c r="H6756" t="s">
        <v>361</v>
      </c>
    </row>
    <row r="6757" spans="1:8" x14ac:dyDescent="0.25">
      <c r="A6757" s="1">
        <f t="shared" si="1198"/>
        <v>45593</v>
      </c>
      <c r="B6757" s="31">
        <f>TIME(13,46,0)</f>
        <v>0.57361111111111118</v>
      </c>
      <c r="C6757" t="str">
        <f>'Inventory as of 12th Aug 2024'!A68</f>
        <v>Royco cubes</v>
      </c>
      <c r="D6757">
        <v>2</v>
      </c>
      <c r="E6757" s="5">
        <f>Table4[[#This Row],[qty]]*(VLOOKUP(Table4[[#This Row],[item_sold]],Table1[],5,FALSE))</f>
        <v>10</v>
      </c>
      <c r="F6757" s="5">
        <f>(VLOOKUP(Table4[[#This Row],[item_sold]],Table1[],4,FALSE))*Table4[[#This Row],[qty]]</f>
        <v>6</v>
      </c>
      <c r="G6757">
        <f t="shared" si="1202"/>
        <v>4</v>
      </c>
      <c r="H6757" t="s">
        <v>361</v>
      </c>
    </row>
    <row r="6758" spans="1:8" x14ac:dyDescent="0.25">
      <c r="A6758" s="1">
        <f t="shared" si="1198"/>
        <v>45593</v>
      </c>
      <c r="B6758" s="31">
        <f>TIME(13,53,0)</f>
        <v>0.57847222222222217</v>
      </c>
      <c r="C6758" t="str">
        <f>'Inventory as of 12th Aug 2024'!A37</f>
        <v>Festive Bread 400g</v>
      </c>
      <c r="D6758">
        <v>1</v>
      </c>
      <c r="E6758" s="5">
        <f>Table4[[#This Row],[qty]]*(VLOOKUP(Table4[[#This Row],[item_sold]],Table1[],5,FALSE))</f>
        <v>65</v>
      </c>
      <c r="F6758" s="5">
        <f>(VLOOKUP(Table4[[#This Row],[item_sold]],Table1[],4,FALSE))*Table4[[#This Row],[qty]]</f>
        <v>60</v>
      </c>
      <c r="G6758">
        <f t="shared" si="1202"/>
        <v>5</v>
      </c>
      <c r="H6758" t="s">
        <v>361</v>
      </c>
    </row>
    <row r="6759" spans="1:8" x14ac:dyDescent="0.25">
      <c r="A6759" s="1">
        <f t="shared" si="1198"/>
        <v>45593</v>
      </c>
      <c r="B6759" s="31">
        <f t="shared" ref="B6759:B6764" si="1205">TIME(13,53,0)</f>
        <v>0.57847222222222217</v>
      </c>
      <c r="C6759" t="str">
        <f>'Inventory as of 12th Aug 2024'!A8</f>
        <v>eggs</v>
      </c>
      <c r="D6759">
        <v>3</v>
      </c>
      <c r="E6759" s="5">
        <f>Table4[[#This Row],[qty]]*(VLOOKUP(Table4[[#This Row],[item_sold]],Table1[],5,FALSE))</f>
        <v>60</v>
      </c>
      <c r="F6759" s="5">
        <f>(VLOOKUP(Table4[[#This Row],[item_sold]],Table1[],4,FALSE))*Table4[[#This Row],[qty]]</f>
        <v>43</v>
      </c>
      <c r="G6759">
        <f t="shared" si="1202"/>
        <v>17</v>
      </c>
      <c r="H6759" t="s">
        <v>361</v>
      </c>
    </row>
    <row r="6760" spans="1:8" x14ac:dyDescent="0.25">
      <c r="A6760" s="1">
        <f t="shared" si="1198"/>
        <v>45593</v>
      </c>
      <c r="B6760" s="31">
        <f t="shared" si="1205"/>
        <v>0.57847222222222217</v>
      </c>
      <c r="C6760" t="str">
        <f>'Inventory as of 12th Aug 2024'!A10</f>
        <v>Mt Kenya milk 200ml</v>
      </c>
      <c r="D6760">
        <v>1</v>
      </c>
      <c r="E6760" s="5">
        <f>Table4[[#This Row],[qty]]*(VLOOKUP(Table4[[#This Row],[item_sold]],Table1[],5,FALSE))</f>
        <v>35</v>
      </c>
      <c r="F6760" s="5">
        <f>(VLOOKUP(Table4[[#This Row],[item_sold]],Table1[],4,FALSE))*Table4[[#This Row],[qty]]</f>
        <v>24.285714285714285</v>
      </c>
      <c r="G6760">
        <f t="shared" si="1202"/>
        <v>10.714285714285715</v>
      </c>
      <c r="H6760" t="s">
        <v>402</v>
      </c>
    </row>
    <row r="6761" spans="1:8" x14ac:dyDescent="0.25">
      <c r="A6761" s="1">
        <f t="shared" si="1198"/>
        <v>45593</v>
      </c>
      <c r="B6761" s="31">
        <f t="shared" si="1205"/>
        <v>0.57847222222222217</v>
      </c>
      <c r="C6761" t="str">
        <f>'Inventory as of 12th Aug 2024'!A5</f>
        <v>Airtel 20 Credit</v>
      </c>
      <c r="D6761">
        <v>1</v>
      </c>
      <c r="E6761" s="5">
        <f>Table4[[#This Row],[qty]]*(VLOOKUP(Table4[[#This Row],[item_sold]],Table1[],5,FALSE))</f>
        <v>20</v>
      </c>
      <c r="F6761" s="5">
        <f>(VLOOKUP(Table4[[#This Row],[item_sold]],Table1[],4,FALSE))*Table4[[#This Row],[qty]]</f>
        <v>18</v>
      </c>
      <c r="G6761">
        <f t="shared" si="1202"/>
        <v>2</v>
      </c>
      <c r="H6761" t="s">
        <v>402</v>
      </c>
    </row>
    <row r="6762" spans="1:8" x14ac:dyDescent="0.25">
      <c r="A6762" s="1">
        <f t="shared" si="1198"/>
        <v>45593</v>
      </c>
      <c r="B6762" s="31">
        <f t="shared" si="1205"/>
        <v>0.57847222222222217</v>
      </c>
      <c r="C6762" t="str">
        <f>'Inventory as of 12th Aug 2024'!A242</f>
        <v>Icepop</v>
      </c>
      <c r="D6762">
        <v>1</v>
      </c>
      <c r="E6762" s="5">
        <f>Table4[[#This Row],[qty]]*(VLOOKUP(Table4[[#This Row],[item_sold]],Table1[],5,FALSE))</f>
        <v>15</v>
      </c>
      <c r="F6762" s="5">
        <f>(VLOOKUP(Table4[[#This Row],[item_sold]],Table1[],4,FALSE))*Table4[[#This Row],[qty]]</f>
        <v>7.5</v>
      </c>
      <c r="G6762">
        <f t="shared" si="1202"/>
        <v>7.5</v>
      </c>
      <c r="H6762" t="s">
        <v>402</v>
      </c>
    </row>
    <row r="6763" spans="1:8" x14ac:dyDescent="0.25">
      <c r="A6763" s="1">
        <f t="shared" si="1198"/>
        <v>45593</v>
      </c>
      <c r="B6763" s="31">
        <f t="shared" si="1205"/>
        <v>0.57847222222222217</v>
      </c>
      <c r="C6763" t="str">
        <f>'Inventory as of 12th Aug 2024'!A234</f>
        <v>Bigdaddy</v>
      </c>
      <c r="D6763">
        <v>1</v>
      </c>
      <c r="E6763" s="5">
        <f>Table4[[#This Row],[qty]]*(VLOOKUP(Table4[[#This Row],[item_sold]],Table1[],5,FALSE))</f>
        <v>10</v>
      </c>
      <c r="F6763" s="5">
        <f>(VLOOKUP(Table4[[#This Row],[item_sold]],Table1[],4,FALSE))*Table4[[#This Row],[qty]]</f>
        <v>6</v>
      </c>
      <c r="G6763">
        <f t="shared" si="1202"/>
        <v>4</v>
      </c>
      <c r="H6763" t="s">
        <v>402</v>
      </c>
    </row>
    <row r="6764" spans="1:8" x14ac:dyDescent="0.25">
      <c r="A6764" s="1">
        <f t="shared" si="1198"/>
        <v>45593</v>
      </c>
      <c r="B6764" s="31">
        <f t="shared" si="1205"/>
        <v>0.57847222222222217</v>
      </c>
      <c r="C6764" t="str">
        <f>'Inventory as of 12th Aug 2024'!A233</f>
        <v>Lollipop</v>
      </c>
      <c r="D6764">
        <v>1</v>
      </c>
      <c r="E6764" s="5">
        <f>Table4[[#This Row],[qty]]*(VLOOKUP(Table4[[#This Row],[item_sold]],Table1[],5,FALSE))</f>
        <v>5</v>
      </c>
      <c r="F6764" s="5">
        <f>(VLOOKUP(Table4[[#This Row],[item_sold]],Table1[],4,FALSE))*Table4[[#This Row],[qty]]</f>
        <v>2.4</v>
      </c>
      <c r="G6764">
        <f t="shared" si="1202"/>
        <v>2.6</v>
      </c>
      <c r="H6764" t="s">
        <v>402</v>
      </c>
    </row>
    <row r="6765" spans="1:8" x14ac:dyDescent="0.25">
      <c r="A6765" s="1">
        <f t="shared" si="1198"/>
        <v>45593</v>
      </c>
      <c r="B6765" s="31">
        <f>TIME(14,24,0)</f>
        <v>0.6</v>
      </c>
      <c r="C6765" t="str">
        <f>'Inventory as of 12th Aug 2024'!A16</f>
        <v>Mt kenya milk 500ml</v>
      </c>
      <c r="D6765">
        <v>1</v>
      </c>
      <c r="E6765" s="5">
        <f>Table4[[#This Row],[qty]]*(VLOOKUP(Table4[[#This Row],[item_sold]],Table1[],5,FALSE))</f>
        <v>65</v>
      </c>
      <c r="F6765" s="5">
        <f>(VLOOKUP(Table4[[#This Row],[item_sold]],Table1[],4,FALSE))*Table4[[#This Row],[qty]]</f>
        <v>48.333333333333336</v>
      </c>
      <c r="G6765">
        <f t="shared" si="1202"/>
        <v>16.666666666666664</v>
      </c>
      <c r="H6765" t="s">
        <v>361</v>
      </c>
    </row>
    <row r="6766" spans="1:8" x14ac:dyDescent="0.25">
      <c r="A6766" s="1">
        <f t="shared" si="1198"/>
        <v>45593</v>
      </c>
      <c r="B6766" s="31">
        <f t="shared" ref="B6766" si="1206">TIME(14,24,0)</f>
        <v>0.6</v>
      </c>
      <c r="C6766" t="str">
        <f>'Inventory as of 12th Aug 2024'!A37</f>
        <v>Festive Bread 400g</v>
      </c>
      <c r="D6766">
        <v>1</v>
      </c>
      <c r="E6766" s="5">
        <f>Table4[[#This Row],[qty]]*(VLOOKUP(Table4[[#This Row],[item_sold]],Table1[],5,FALSE))</f>
        <v>65</v>
      </c>
      <c r="F6766" s="5">
        <f>(VLOOKUP(Table4[[#This Row],[item_sold]],Table1[],4,FALSE))*Table4[[#This Row],[qty]]</f>
        <v>60</v>
      </c>
      <c r="G6766">
        <f t="shared" si="1202"/>
        <v>5</v>
      </c>
      <c r="H6766" t="s">
        <v>361</v>
      </c>
    </row>
    <row r="6767" spans="1:8" x14ac:dyDescent="0.25">
      <c r="A6767" s="1">
        <f t="shared" si="1198"/>
        <v>45593</v>
      </c>
      <c r="B6767" s="31">
        <f>TIME(15,3,0)</f>
        <v>0.62708333333333333</v>
      </c>
      <c r="C6767" t="str">
        <f>'Inventory as of 12th Aug 2024'!A239</f>
        <v>Gumballs</v>
      </c>
      <c r="D6767">
        <v>10</v>
      </c>
      <c r="E6767" s="5">
        <f>Table4[[#This Row],[qty]]*(VLOOKUP(Table4[[#This Row],[item_sold]],Table1[],5,FALSE))</f>
        <v>10</v>
      </c>
      <c r="F6767" s="5">
        <f>(VLOOKUP(Table4[[#This Row],[item_sold]],Table1[],4,FALSE))*Table4[[#This Row],[qty]]</f>
        <v>7</v>
      </c>
      <c r="G6767">
        <f t="shared" si="1202"/>
        <v>3</v>
      </c>
      <c r="H6767" t="s">
        <v>402</v>
      </c>
    </row>
    <row r="6768" spans="1:8" x14ac:dyDescent="0.25">
      <c r="A6768" s="1">
        <f t="shared" si="1198"/>
        <v>45593</v>
      </c>
      <c r="B6768" s="31">
        <f>TIME(15,30,0)</f>
        <v>0.64583333333333337</v>
      </c>
      <c r="C6768" t="str">
        <f>'Inventory as of 12th Aug 2024'!A234</f>
        <v>Bigdaddy</v>
      </c>
      <c r="D6768">
        <v>1</v>
      </c>
      <c r="E6768" s="5">
        <f>Table4[[#This Row],[qty]]*(VLOOKUP(Table4[[#This Row],[item_sold]],Table1[],5,FALSE))</f>
        <v>10</v>
      </c>
      <c r="F6768" s="5">
        <f>(VLOOKUP(Table4[[#This Row],[item_sold]],Table1[],4,FALSE))*Table4[[#This Row],[qty]]</f>
        <v>6</v>
      </c>
      <c r="G6768">
        <f t="shared" si="1202"/>
        <v>4</v>
      </c>
      <c r="H6768" t="s">
        <v>402</v>
      </c>
    </row>
    <row r="6769" spans="1:12" x14ac:dyDescent="0.25">
      <c r="A6769" s="1">
        <f t="shared" si="1198"/>
        <v>45593</v>
      </c>
      <c r="B6769" s="31">
        <f>TIME(15,35,0)</f>
        <v>0.64930555555555558</v>
      </c>
      <c r="C6769" t="str">
        <f>'Inventory as of 12th Aug 2024'!A42</f>
        <v>Indomie chicken</v>
      </c>
      <c r="D6769">
        <v>2</v>
      </c>
      <c r="E6769" s="5">
        <f>Table4[[#This Row],[qty]]*(VLOOKUP(Table4[[#This Row],[item_sold]],Table1[],5,FALSE))</f>
        <v>100</v>
      </c>
      <c r="F6769" s="5">
        <f>(VLOOKUP(Table4[[#This Row],[item_sold]],Table1[],4,FALSE))*Table4[[#This Row],[qty]]</f>
        <v>75</v>
      </c>
      <c r="G6769">
        <f t="shared" si="1202"/>
        <v>25</v>
      </c>
      <c r="H6769" t="s">
        <v>361</v>
      </c>
    </row>
    <row r="6770" spans="1:12" x14ac:dyDescent="0.25">
      <c r="A6770" s="1">
        <f t="shared" si="1198"/>
        <v>45593</v>
      </c>
      <c r="B6770" s="31">
        <f t="shared" ref="B6770:B6772" si="1207">TIME(15,35,0)</f>
        <v>0.64930555555555558</v>
      </c>
      <c r="C6770" t="str">
        <f>'Inventory as of 12th Aug 2024'!A264</f>
        <v>Afia 1ltr</v>
      </c>
      <c r="D6770">
        <v>1</v>
      </c>
      <c r="E6770" s="5">
        <f>Table4[[#This Row],[qty]]*(VLOOKUP(Table4[[#This Row],[item_sold]],Table1[],5,FALSE))</f>
        <v>150</v>
      </c>
      <c r="F6770" s="5">
        <f>(VLOOKUP(Table4[[#This Row],[item_sold]],Table1[],4,FALSE))*Table4[[#This Row],[qty]]</f>
        <v>120.83333333333333</v>
      </c>
      <c r="G6770">
        <f t="shared" si="1202"/>
        <v>29.166666666666671</v>
      </c>
      <c r="H6770" t="s">
        <v>361</v>
      </c>
    </row>
    <row r="6771" spans="1:12" x14ac:dyDescent="0.25">
      <c r="A6771" s="1">
        <f t="shared" si="1198"/>
        <v>45593</v>
      </c>
      <c r="B6771" s="31">
        <f t="shared" si="1207"/>
        <v>0.64930555555555558</v>
      </c>
      <c r="C6771" t="str">
        <f>'Inventory as of 12th Aug 2024'!A129</f>
        <v>Eno</v>
      </c>
      <c r="D6771">
        <v>1</v>
      </c>
      <c r="E6771" s="5">
        <f>Table4[[#This Row],[qty]]*(VLOOKUP(Table4[[#This Row],[item_sold]],Table1[],5,FALSE))</f>
        <v>20</v>
      </c>
      <c r="F6771" s="5">
        <f>(VLOOKUP(Table4[[#This Row],[item_sold]],Table1[],4,FALSE))*Table4[[#This Row],[qty]]</f>
        <v>11</v>
      </c>
      <c r="G6771">
        <f t="shared" si="1202"/>
        <v>9</v>
      </c>
      <c r="H6771" t="s">
        <v>402</v>
      </c>
    </row>
    <row r="6772" spans="1:12" x14ac:dyDescent="0.25">
      <c r="A6772" s="1">
        <f t="shared" si="1198"/>
        <v>45593</v>
      </c>
      <c r="B6772" s="31">
        <f t="shared" si="1207"/>
        <v>0.64930555555555558</v>
      </c>
      <c r="C6772" t="str">
        <f>'Inventory as of 12th Aug 2024'!A120</f>
        <v>Maramoja</v>
      </c>
      <c r="D6772">
        <v>1</v>
      </c>
      <c r="E6772" s="5">
        <f>Table4[[#This Row],[qty]]*(VLOOKUP(Table4[[#This Row],[item_sold]],Table1[],5,FALSE))</f>
        <v>10</v>
      </c>
      <c r="F6772" s="5">
        <f>(VLOOKUP(Table4[[#This Row],[item_sold]],Table1[],4,FALSE))*Table4[[#This Row],[qty]]</f>
        <v>7</v>
      </c>
      <c r="G6772">
        <f t="shared" si="1202"/>
        <v>3</v>
      </c>
      <c r="H6772" t="s">
        <v>402</v>
      </c>
    </row>
    <row r="6773" spans="1:12" x14ac:dyDescent="0.25">
      <c r="A6773" s="1">
        <f t="shared" si="1198"/>
        <v>45593</v>
      </c>
      <c r="B6773" s="31">
        <f>TIME(16,48,0)</f>
        <v>0.70000000000000007</v>
      </c>
      <c r="C6773" t="str">
        <f>'Inventory as of 12th Aug 2024'!A207</f>
        <v>soda 350ml plastic</v>
      </c>
      <c r="D6773">
        <v>1</v>
      </c>
      <c r="E6773" s="5">
        <f>Table4[[#This Row],[qty]]*(VLOOKUP(Table4[[#This Row],[item_sold]],Table1[],5,FALSE))</f>
        <v>50</v>
      </c>
      <c r="F6773" s="5">
        <f>(VLOOKUP(Table4[[#This Row],[item_sold]],Table1[],4,FALSE))*Table4[[#This Row],[qty]]</f>
        <v>41.666666666666664</v>
      </c>
      <c r="G6773">
        <f t="shared" si="1202"/>
        <v>8.3333333333333357</v>
      </c>
      <c r="H6773" t="s">
        <v>402</v>
      </c>
      <c r="J6773" t="s">
        <v>591</v>
      </c>
      <c r="K6773">
        <v>10</v>
      </c>
      <c r="L6773" t="s">
        <v>247</v>
      </c>
    </row>
    <row r="6774" spans="1:12" x14ac:dyDescent="0.25">
      <c r="A6774" s="1">
        <f t="shared" si="1198"/>
        <v>45593</v>
      </c>
      <c r="B6774" s="31">
        <f>TIME(17,6,0)</f>
        <v>0.71250000000000002</v>
      </c>
      <c r="C6774" t="str">
        <f>'Inventory as of 12th Aug 2024'!A82</f>
        <v>ariel 10g</v>
      </c>
      <c r="D6774">
        <v>2</v>
      </c>
      <c r="E6774" s="5">
        <f>Table4[[#This Row],[qty]]*(VLOOKUP(Table4[[#This Row],[item_sold]],Table1[],5,FALSE))</f>
        <v>30</v>
      </c>
      <c r="F6774" s="5">
        <f>(VLOOKUP(Table4[[#This Row],[item_sold]],Table1[],4,FALSE))*Table4[[#This Row],[qty]]</f>
        <v>18.333333333333332</v>
      </c>
      <c r="G6774">
        <f t="shared" si="1202"/>
        <v>11.666666666666668</v>
      </c>
      <c r="H6774" t="s">
        <v>402</v>
      </c>
    </row>
    <row r="6775" spans="1:12" x14ac:dyDescent="0.25">
      <c r="A6775" s="1">
        <f t="shared" si="1198"/>
        <v>45593</v>
      </c>
      <c r="B6775" s="31">
        <f>TIME(17,58,0)</f>
        <v>0.74861111111111101</v>
      </c>
      <c r="C6775" t="str">
        <f>'Inventory as of 12th Aug 2024'!A266</f>
        <v>Zenta Bar Soap</v>
      </c>
      <c r="D6775">
        <v>0.2</v>
      </c>
      <c r="E6775" s="5">
        <f>Table4[[#This Row],[qty]]*(VLOOKUP(Table4[[#This Row],[item_sold]],Table1[],5,FALSE))</f>
        <v>50</v>
      </c>
      <c r="F6775" s="5">
        <f>(VLOOKUP(Table4[[#This Row],[item_sold]],Table1[],4,FALSE))*Table4[[#This Row],[qty]]</f>
        <v>32</v>
      </c>
      <c r="G6775">
        <f t="shared" si="1202"/>
        <v>18</v>
      </c>
      <c r="H6775" t="s">
        <v>361</v>
      </c>
    </row>
    <row r="6776" spans="1:12" x14ac:dyDescent="0.25">
      <c r="A6776" s="1">
        <f t="shared" si="1198"/>
        <v>45593</v>
      </c>
      <c r="B6776" s="31">
        <f t="shared" ref="B6776:B6779" si="1208">TIME(17,58,0)</f>
        <v>0.74861111111111101</v>
      </c>
      <c r="C6776" t="str">
        <f>'Inventory as of 12th Aug 2024'!A149</f>
        <v>Arimis small</v>
      </c>
      <c r="D6776">
        <v>1</v>
      </c>
      <c r="E6776" s="5">
        <f>Table4[[#This Row],[qty]]*(VLOOKUP(Table4[[#This Row],[item_sold]],Table1[],5,FALSE))</f>
        <v>35</v>
      </c>
      <c r="F6776" s="5">
        <f>(VLOOKUP(Table4[[#This Row],[item_sold]],Table1[],4,FALSE))*Table4[[#This Row],[qty]]</f>
        <v>23.333333333333332</v>
      </c>
      <c r="G6776">
        <f t="shared" si="1202"/>
        <v>11.666666666666668</v>
      </c>
      <c r="H6776" t="s">
        <v>361</v>
      </c>
    </row>
    <row r="6777" spans="1:12" x14ac:dyDescent="0.25">
      <c r="A6777" s="1">
        <f t="shared" si="1198"/>
        <v>45593</v>
      </c>
      <c r="B6777" s="31">
        <f t="shared" si="1208"/>
        <v>0.74861111111111101</v>
      </c>
      <c r="C6777" t="str">
        <f>'Inventory as of 12th Aug 2024'!A58</f>
        <v>Safari</v>
      </c>
      <c r="D6777">
        <v>1</v>
      </c>
      <c r="E6777" s="5">
        <f>Table4[[#This Row],[qty]]*(VLOOKUP(Table4[[#This Row],[item_sold]],Table1[],5,FALSE))</f>
        <v>15</v>
      </c>
      <c r="F6777" s="5">
        <f>(VLOOKUP(Table4[[#This Row],[item_sold]],Table1[],4,FALSE))*Table4[[#This Row],[qty]]</f>
        <v>8.5</v>
      </c>
      <c r="G6777">
        <f t="shared" si="1202"/>
        <v>6.5</v>
      </c>
      <c r="H6777" t="s">
        <v>361</v>
      </c>
    </row>
    <row r="6778" spans="1:12" x14ac:dyDescent="0.25">
      <c r="A6778" s="1">
        <f t="shared" si="1198"/>
        <v>45593</v>
      </c>
      <c r="B6778" s="31">
        <f t="shared" si="1208"/>
        <v>0.74861111111111101</v>
      </c>
      <c r="C6778" t="str">
        <f>'Inventory as of 12th Aug 2024'!A16</f>
        <v>Mt kenya milk 500ml</v>
      </c>
      <c r="D6778">
        <v>1</v>
      </c>
      <c r="E6778" s="5">
        <f>Table4[[#This Row],[qty]]*(VLOOKUP(Table4[[#This Row],[item_sold]],Table1[],5,FALSE))</f>
        <v>65</v>
      </c>
      <c r="F6778" s="5">
        <f>(VLOOKUP(Table4[[#This Row],[item_sold]],Table1[],4,FALSE))*Table4[[#This Row],[qty]]</f>
        <v>48.333333333333336</v>
      </c>
      <c r="G6778">
        <f t="shared" si="1202"/>
        <v>16.666666666666664</v>
      </c>
      <c r="H6778" t="s">
        <v>402</v>
      </c>
    </row>
    <row r="6779" spans="1:12" x14ac:dyDescent="0.25">
      <c r="A6779" s="1">
        <f t="shared" si="1198"/>
        <v>45593</v>
      </c>
      <c r="B6779" s="31">
        <f t="shared" si="1208"/>
        <v>0.74861111111111101</v>
      </c>
      <c r="C6779" t="str">
        <f>'Inventory as of 12th Aug 2024'!A97</f>
        <v>Garlic</v>
      </c>
      <c r="D6779">
        <v>1</v>
      </c>
      <c r="E6779" s="5">
        <f>Table4[[#This Row],[qty]]*(VLOOKUP(Table4[[#This Row],[item_sold]],Table1[],5,FALSE))</f>
        <v>30</v>
      </c>
      <c r="F6779" s="5">
        <f>(VLOOKUP(Table4[[#This Row],[item_sold]],Table1[],4,FALSE))*Table4[[#This Row],[qty]]</f>
        <v>20</v>
      </c>
      <c r="G6779">
        <f t="shared" si="1202"/>
        <v>10</v>
      </c>
      <c r="H6779" t="s">
        <v>402</v>
      </c>
    </row>
    <row r="6780" spans="1:12" x14ac:dyDescent="0.25">
      <c r="A6780" s="1">
        <f t="shared" si="1198"/>
        <v>45593</v>
      </c>
      <c r="B6780" s="31">
        <f>TIME(18,25,0)</f>
        <v>0.76736111111111116</v>
      </c>
      <c r="C6780" t="str">
        <f>'Inventory as of 12th Aug 2024'!A153</f>
        <v>mosquito stick</v>
      </c>
      <c r="D6780">
        <v>1</v>
      </c>
      <c r="E6780" s="5">
        <f>Table4[[#This Row],[qty]]*(VLOOKUP(Table4[[#This Row],[item_sold]],Table1[],5,FALSE))</f>
        <v>10</v>
      </c>
      <c r="F6780" s="5">
        <f>(VLOOKUP(Table4[[#This Row],[item_sold]],Table1[],4,FALSE))*Table4[[#This Row],[qty]]</f>
        <v>9</v>
      </c>
      <c r="G6780">
        <f t="shared" si="1202"/>
        <v>1</v>
      </c>
      <c r="H6780" t="s">
        <v>361</v>
      </c>
    </row>
    <row r="6781" spans="1:12" x14ac:dyDescent="0.25">
      <c r="A6781" s="1">
        <f t="shared" si="1198"/>
        <v>45593</v>
      </c>
      <c r="B6781" s="31">
        <f t="shared" ref="B6781" si="1209">TIME(18,25,0)</f>
        <v>0.76736111111111116</v>
      </c>
      <c r="C6781" t="str">
        <f>'Inventory as of 12th Aug 2024'!A58</f>
        <v>Safari</v>
      </c>
      <c r="D6781">
        <v>2</v>
      </c>
      <c r="E6781" s="5">
        <f>Table4[[#This Row],[qty]]*(VLOOKUP(Table4[[#This Row],[item_sold]],Table1[],5,FALSE))</f>
        <v>30</v>
      </c>
      <c r="F6781" s="5">
        <f>(VLOOKUP(Table4[[#This Row],[item_sold]],Table1[],4,FALSE))*Table4[[#This Row],[qty]]</f>
        <v>17</v>
      </c>
      <c r="G6781">
        <f t="shared" si="1202"/>
        <v>13</v>
      </c>
      <c r="H6781" t="s">
        <v>361</v>
      </c>
    </row>
    <row r="6782" spans="1:12" x14ac:dyDescent="0.25">
      <c r="A6782" s="1">
        <f t="shared" si="1198"/>
        <v>45593</v>
      </c>
      <c r="B6782" s="31">
        <f>TIME(18,45,0)</f>
        <v>0.78125</v>
      </c>
      <c r="C6782" t="str">
        <f>'Inventory as of 12th Aug 2024'!A37</f>
        <v>Festive Bread 400g</v>
      </c>
      <c r="D6782">
        <v>1</v>
      </c>
      <c r="E6782" s="5">
        <f>Table4[[#This Row],[qty]]*(VLOOKUP(Table4[[#This Row],[item_sold]],Table1[],5,FALSE))</f>
        <v>65</v>
      </c>
      <c r="F6782" s="5">
        <f>(VLOOKUP(Table4[[#This Row],[item_sold]],Table1[],4,FALSE))*Table4[[#This Row],[qty]]</f>
        <v>60</v>
      </c>
      <c r="G6782">
        <f t="shared" si="1202"/>
        <v>5</v>
      </c>
      <c r="H6782" t="s">
        <v>247</v>
      </c>
    </row>
    <row r="6783" spans="1:12" x14ac:dyDescent="0.25">
      <c r="A6783" s="1">
        <f t="shared" si="1198"/>
        <v>45593</v>
      </c>
      <c r="B6783" s="31">
        <f t="shared" ref="B6783" si="1210">TIME(18,45,0)</f>
        <v>0.78125</v>
      </c>
      <c r="C6783" t="str">
        <f>'Inventory as of 12th Aug 2024'!A16</f>
        <v>Mt kenya milk 500ml</v>
      </c>
      <c r="D6783">
        <v>2</v>
      </c>
      <c r="E6783" s="5">
        <f>Table4[[#This Row],[qty]]*(VLOOKUP(Table4[[#This Row],[item_sold]],Table1[],5,FALSE))</f>
        <v>130</v>
      </c>
      <c r="F6783" s="5">
        <f>(VLOOKUP(Table4[[#This Row],[item_sold]],Table1[],4,FALSE))*Table4[[#This Row],[qty]]</f>
        <v>96.666666666666671</v>
      </c>
      <c r="G6783">
        <f t="shared" si="1202"/>
        <v>33.333333333333329</v>
      </c>
      <c r="H6783" t="s">
        <v>247</v>
      </c>
      <c r="J6783" t="s">
        <v>451</v>
      </c>
      <c r="K6783">
        <v>295</v>
      </c>
      <c r="L6783" t="s">
        <v>247</v>
      </c>
    </row>
    <row r="6784" spans="1:12" x14ac:dyDescent="0.25">
      <c r="A6784" s="1">
        <f t="shared" si="1198"/>
        <v>45593</v>
      </c>
      <c r="B6784" s="31">
        <f>TIME(18,47,0)</f>
        <v>0.78263888888888899</v>
      </c>
      <c r="C6784" t="str">
        <f>'Inventory as of 12th Aug 2024'!A242</f>
        <v>Icepop</v>
      </c>
      <c r="D6784">
        <v>4</v>
      </c>
      <c r="E6784" s="5">
        <f>Table4[[#This Row],[qty]]*(VLOOKUP(Table4[[#This Row],[item_sold]],Table1[],5,FALSE))</f>
        <v>60</v>
      </c>
      <c r="F6784" s="5">
        <f>(VLOOKUP(Table4[[#This Row],[item_sold]],Table1[],4,FALSE))*Table4[[#This Row],[qty]]</f>
        <v>30</v>
      </c>
      <c r="G6784">
        <f t="shared" si="1202"/>
        <v>30</v>
      </c>
      <c r="H6784" t="s">
        <v>361</v>
      </c>
    </row>
    <row r="6785" spans="1:9" x14ac:dyDescent="0.25">
      <c r="A6785" s="1">
        <f t="shared" si="1198"/>
        <v>45593</v>
      </c>
      <c r="B6785" s="31">
        <f>TIME(18,48,0)</f>
        <v>0.78333333333333333</v>
      </c>
      <c r="C6785" t="str">
        <f>'Inventory as of 12th Aug 2024'!A211</f>
        <v>predator</v>
      </c>
      <c r="D6785">
        <v>1</v>
      </c>
      <c r="E6785" s="5">
        <f>Table4[[#This Row],[qty]]*(VLOOKUP(Table4[[#This Row],[item_sold]],Table1[],5,FALSE))</f>
        <v>70</v>
      </c>
      <c r="F6785" s="5">
        <f>(VLOOKUP(Table4[[#This Row],[item_sold]],Table1[],4,FALSE))*Table4[[#This Row],[qty]]</f>
        <v>54.166666666666664</v>
      </c>
      <c r="G6785">
        <f t="shared" si="1202"/>
        <v>15.833333333333336</v>
      </c>
      <c r="H6785" t="s">
        <v>361</v>
      </c>
    </row>
    <row r="6786" spans="1:9" x14ac:dyDescent="0.25">
      <c r="A6786" s="1">
        <f t="shared" si="1198"/>
        <v>45593</v>
      </c>
      <c r="B6786" s="31">
        <f>TIME(18,52,0)</f>
        <v>0.78611111111111109</v>
      </c>
      <c r="C6786" t="str">
        <f>'Inventory as of 12th Aug 2024'!A47</f>
        <v>Pembe 2kg</v>
      </c>
      <c r="D6786">
        <v>1</v>
      </c>
      <c r="E6786" s="5">
        <f>Table4[[#This Row],[qty]]*(VLOOKUP(Table4[[#This Row],[item_sold]],Table1[],5,FALSE))</f>
        <v>160</v>
      </c>
      <c r="F6786" s="5">
        <f>(VLOOKUP(Table4[[#This Row],[item_sold]],Table1[],4,FALSE))*Table4[[#This Row],[qty]]</f>
        <v>123.33333333333333</v>
      </c>
      <c r="G6786">
        <f t="shared" si="1202"/>
        <v>36.666666666666671</v>
      </c>
      <c r="H6786" t="s">
        <v>361</v>
      </c>
    </row>
    <row r="6787" spans="1:9" x14ac:dyDescent="0.25">
      <c r="A6787" s="1">
        <f t="shared" si="1198"/>
        <v>45593</v>
      </c>
      <c r="B6787" s="31">
        <f t="shared" ref="B6787:B6792" si="1211">TIME(18,52,0)</f>
        <v>0.78611111111111109</v>
      </c>
      <c r="C6787" t="str">
        <f>'Inventory as of 12th Aug 2024'!A16</f>
        <v>Mt kenya milk 500ml</v>
      </c>
      <c r="D6787">
        <v>1</v>
      </c>
      <c r="E6787" s="5">
        <f>Table4[[#This Row],[qty]]*(VLOOKUP(Table4[[#This Row],[item_sold]],Table1[],5,FALSE))</f>
        <v>65</v>
      </c>
      <c r="F6787" s="5">
        <f>(VLOOKUP(Table4[[#This Row],[item_sold]],Table1[],4,FALSE))*Table4[[#This Row],[qty]]</f>
        <v>48.333333333333336</v>
      </c>
      <c r="G6787">
        <f t="shared" si="1202"/>
        <v>16.666666666666664</v>
      </c>
      <c r="H6787" t="s">
        <v>361</v>
      </c>
    </row>
    <row r="6788" spans="1:9" x14ac:dyDescent="0.25">
      <c r="A6788" s="1">
        <f t="shared" si="1198"/>
        <v>45593</v>
      </c>
      <c r="B6788" s="31">
        <f t="shared" si="1211"/>
        <v>0.78611111111111109</v>
      </c>
      <c r="C6788" t="str">
        <f>'Inventory as of 12th Aug 2024'!A16</f>
        <v>Mt kenya milk 500ml</v>
      </c>
      <c r="D6788">
        <v>1</v>
      </c>
      <c r="E6788" s="5">
        <f>Table4[[#This Row],[qty]]*(VLOOKUP(Table4[[#This Row],[item_sold]],Table1[],5,FALSE))</f>
        <v>65</v>
      </c>
      <c r="F6788" s="5">
        <f>(VLOOKUP(Table4[[#This Row],[item_sold]],Table1[],4,FALSE))*Table4[[#This Row],[qty]]</f>
        <v>48.333333333333336</v>
      </c>
      <c r="G6788">
        <f t="shared" si="1202"/>
        <v>16.666666666666664</v>
      </c>
      <c r="H6788" t="s">
        <v>402</v>
      </c>
    </row>
    <row r="6789" spans="1:9" x14ac:dyDescent="0.25">
      <c r="A6789" s="1">
        <f t="shared" si="1198"/>
        <v>45593</v>
      </c>
      <c r="B6789" s="31">
        <f t="shared" si="1211"/>
        <v>0.78611111111111109</v>
      </c>
      <c r="C6789" t="str">
        <f>'Inventory as of 12th Aug 2024'!A7</f>
        <v>Airtel 50 Credit</v>
      </c>
      <c r="D6789">
        <v>1</v>
      </c>
      <c r="E6789" s="5">
        <f>Table4[[#This Row],[qty]]*(VLOOKUP(Table4[[#This Row],[item_sold]],Table1[],5,FALSE))</f>
        <v>50</v>
      </c>
      <c r="F6789" s="5">
        <f>(VLOOKUP(Table4[[#This Row],[item_sold]],Table1[],4,FALSE))*Table4[[#This Row],[qty]]</f>
        <v>47</v>
      </c>
      <c r="G6789">
        <f t="shared" si="1202"/>
        <v>3</v>
      </c>
      <c r="H6789" t="s">
        <v>361</v>
      </c>
    </row>
    <row r="6790" spans="1:9" x14ac:dyDescent="0.25">
      <c r="A6790" s="1">
        <f t="shared" si="1198"/>
        <v>45593</v>
      </c>
      <c r="B6790" s="31">
        <f t="shared" si="1211"/>
        <v>0.78611111111111109</v>
      </c>
      <c r="C6790" t="str">
        <f>'Inventory as of 12th Aug 2024'!A207</f>
        <v>soda 350ml plastic</v>
      </c>
      <c r="D6790">
        <v>1</v>
      </c>
      <c r="E6790" s="5">
        <f>Table4[[#This Row],[qty]]*(VLOOKUP(Table4[[#This Row],[item_sold]],Table1[],5,FALSE))</f>
        <v>50</v>
      </c>
      <c r="F6790" s="5">
        <f>(VLOOKUP(Table4[[#This Row],[item_sold]],Table1[],4,FALSE))*Table4[[#This Row],[qty]]</f>
        <v>41.666666666666664</v>
      </c>
      <c r="G6790">
        <f t="shared" si="1202"/>
        <v>8.3333333333333357</v>
      </c>
      <c r="H6790" t="s">
        <v>402</v>
      </c>
    </row>
    <row r="6791" spans="1:9" x14ac:dyDescent="0.25">
      <c r="A6791" s="1">
        <f t="shared" si="1198"/>
        <v>45593</v>
      </c>
      <c r="B6791" s="31">
        <f t="shared" si="1211"/>
        <v>0.78611111111111109</v>
      </c>
      <c r="C6791" t="str">
        <f>'Inventory as of 12th Aug 2024'!A234</f>
        <v>Bigdaddy</v>
      </c>
      <c r="D6791">
        <v>2</v>
      </c>
      <c r="E6791" s="5">
        <f>Table4[[#This Row],[qty]]*(VLOOKUP(Table4[[#This Row],[item_sold]],Table1[],5,FALSE))</f>
        <v>20</v>
      </c>
      <c r="F6791" s="5">
        <f>(VLOOKUP(Table4[[#This Row],[item_sold]],Table1[],4,FALSE))*Table4[[#This Row],[qty]]</f>
        <v>12</v>
      </c>
      <c r="G6791">
        <f t="shared" si="1202"/>
        <v>8</v>
      </c>
      <c r="H6791" t="s">
        <v>402</v>
      </c>
    </row>
    <row r="6792" spans="1:9" x14ac:dyDescent="0.25">
      <c r="A6792" s="1">
        <f t="shared" si="1198"/>
        <v>45593</v>
      </c>
      <c r="B6792" s="31">
        <f t="shared" si="1211"/>
        <v>0.78611111111111109</v>
      </c>
      <c r="C6792" t="str">
        <f>'Inventory as of 12th Aug 2024'!A33</f>
        <v>BB Bread 400g</v>
      </c>
      <c r="D6792">
        <v>1</v>
      </c>
      <c r="E6792" s="5">
        <f>Table4[[#This Row],[qty]]*(VLOOKUP(Table4[[#This Row],[item_sold]],Table1[],5,FALSE))</f>
        <v>65</v>
      </c>
      <c r="F6792" s="5">
        <f>(VLOOKUP(Table4[[#This Row],[item_sold]],Table1[],4,FALSE))*Table4[[#This Row],[qty]]</f>
        <v>60</v>
      </c>
      <c r="G6792">
        <f t="shared" si="1202"/>
        <v>5</v>
      </c>
      <c r="H6792" t="s">
        <v>402</v>
      </c>
    </row>
    <row r="6793" spans="1:9" x14ac:dyDescent="0.25">
      <c r="A6793" s="1">
        <f t="shared" si="1198"/>
        <v>45593</v>
      </c>
      <c r="B6793" s="31">
        <f>TIME(19,46,0)</f>
        <v>0.82361111111111107</v>
      </c>
      <c r="C6793" t="str">
        <f>'Inventory as of 12th Aug 2024'!A244</f>
        <v>5ltrs water</v>
      </c>
      <c r="D6793">
        <v>1</v>
      </c>
      <c r="E6793" s="5">
        <f>Table4[[#This Row],[qty]]*(VLOOKUP(Table4[[#This Row],[item_sold]],Table1[],5,FALSE))</f>
        <v>120</v>
      </c>
      <c r="F6793" s="5">
        <f>(VLOOKUP(Table4[[#This Row],[item_sold]],Table1[],4,FALSE))*Table4[[#This Row],[qty]]</f>
        <v>75</v>
      </c>
      <c r="G6793">
        <f t="shared" si="1202"/>
        <v>45</v>
      </c>
      <c r="H6793" t="s">
        <v>430</v>
      </c>
      <c r="I6793" t="s">
        <v>591</v>
      </c>
    </row>
    <row r="6794" spans="1:9" x14ac:dyDescent="0.25">
      <c r="A6794" s="1">
        <f t="shared" si="1198"/>
        <v>45593</v>
      </c>
      <c r="B6794" s="31">
        <f>TIME(19,56,0)</f>
        <v>0.8305555555555556</v>
      </c>
      <c r="C6794" t="str">
        <f>'Inventory as of 12th Aug 2024'!A92</f>
        <v>Banana</v>
      </c>
      <c r="D6794">
        <v>2</v>
      </c>
      <c r="E6794" s="5">
        <f>Table4[[#This Row],[qty]]*(VLOOKUP(Table4[[#This Row],[item_sold]],Table1[],5,FALSE))</f>
        <v>20</v>
      </c>
      <c r="F6794" s="5">
        <f>(VLOOKUP(Table4[[#This Row],[item_sold]],Table1[],4,FALSE))*Table4[[#This Row],[qty]]</f>
        <v>16.666666666666668</v>
      </c>
      <c r="G6794">
        <f t="shared" si="1202"/>
        <v>3.3333333333333321</v>
      </c>
      <c r="H6794" t="s">
        <v>361</v>
      </c>
    </row>
    <row r="6795" spans="1:9" x14ac:dyDescent="0.25">
      <c r="A6795" s="1">
        <f t="shared" ref="A6795:A6806" si="1212">DATE(2024,10,28)</f>
        <v>45593</v>
      </c>
      <c r="B6795" s="31">
        <f t="shared" ref="B6795:B6796" si="1213">TIME(19,56,0)</f>
        <v>0.8305555555555556</v>
      </c>
      <c r="C6795" t="str">
        <f>'Inventory as of 12th Aug 2024'!A141</f>
        <v>Colgate 35g</v>
      </c>
      <c r="D6795">
        <v>1</v>
      </c>
      <c r="E6795" s="5">
        <f>Table4[[#This Row],[qty]]*(VLOOKUP(Table4[[#This Row],[item_sold]],Table1[],5,FALSE))</f>
        <v>80</v>
      </c>
      <c r="F6795" s="5">
        <f>(VLOOKUP(Table4[[#This Row],[item_sold]],Table1[],4,FALSE))*Table4[[#This Row],[qty]]</f>
        <v>62.5</v>
      </c>
      <c r="G6795">
        <f t="shared" si="1202"/>
        <v>17.5</v>
      </c>
      <c r="H6795" t="s">
        <v>361</v>
      </c>
    </row>
    <row r="6796" spans="1:9" x14ac:dyDescent="0.25">
      <c r="A6796" s="1">
        <f t="shared" si="1212"/>
        <v>45593</v>
      </c>
      <c r="B6796" s="31">
        <f t="shared" si="1213"/>
        <v>0.8305555555555556</v>
      </c>
      <c r="C6796" t="str">
        <f>'Inventory as of 12th Aug 2024'!A17</f>
        <v>Brookside milk 500ml</v>
      </c>
      <c r="D6796">
        <v>1</v>
      </c>
      <c r="E6796" s="5">
        <f>Table4[[#This Row],[qty]]*(VLOOKUP(Table4[[#This Row],[item_sold]],Table1[],5,FALSE))</f>
        <v>70</v>
      </c>
      <c r="F6796" s="5">
        <f>(VLOOKUP(Table4[[#This Row],[item_sold]],Table1[],4,FALSE))*Table4[[#This Row],[qty]]</f>
        <v>59</v>
      </c>
      <c r="G6796">
        <f t="shared" si="1202"/>
        <v>11</v>
      </c>
      <c r="H6796" t="s">
        <v>361</v>
      </c>
    </row>
    <row r="6797" spans="1:9" x14ac:dyDescent="0.25">
      <c r="A6797" s="1">
        <f t="shared" si="1212"/>
        <v>45593</v>
      </c>
      <c r="B6797" s="31">
        <f>TIME(20,10,0)</f>
        <v>0.84027777777777779</v>
      </c>
      <c r="C6797" t="str">
        <f>'Inventory as of 12th Aug 2024'!A120</f>
        <v>Maramoja</v>
      </c>
      <c r="D6797">
        <v>2</v>
      </c>
      <c r="E6797" s="5">
        <f>Table4[[#This Row],[qty]]*(VLOOKUP(Table4[[#This Row],[item_sold]],Table1[],5,FALSE))</f>
        <v>20</v>
      </c>
      <c r="F6797" s="5">
        <f>(VLOOKUP(Table4[[#This Row],[item_sold]],Table1[],4,FALSE))*Table4[[#This Row],[qty]]</f>
        <v>14</v>
      </c>
      <c r="G6797">
        <f t="shared" si="1202"/>
        <v>6</v>
      </c>
      <c r="H6797" t="s">
        <v>361</v>
      </c>
    </row>
    <row r="6798" spans="1:9" x14ac:dyDescent="0.25">
      <c r="A6798" s="1">
        <f t="shared" si="1212"/>
        <v>45593</v>
      </c>
      <c r="B6798" s="31">
        <f>TIME(20,14,0)</f>
        <v>0.84305555555555556</v>
      </c>
      <c r="C6798" t="str">
        <f>'Inventory as of 12th Aug 2024'!A83</f>
        <v>omo 75g</v>
      </c>
      <c r="D6798">
        <v>1</v>
      </c>
      <c r="E6798" s="5">
        <f>Table4[[#This Row],[qty]]*(VLOOKUP(Table4[[#This Row],[item_sold]],Table1[],5,FALSE))</f>
        <v>35</v>
      </c>
      <c r="F6798" s="5">
        <f>(VLOOKUP(Table4[[#This Row],[item_sold]],Table1[],4,FALSE))*Table4[[#This Row],[qty]]</f>
        <v>27.5</v>
      </c>
      <c r="G6798">
        <f t="shared" si="1202"/>
        <v>7.5</v>
      </c>
      <c r="H6798" t="s">
        <v>361</v>
      </c>
    </row>
    <row r="6799" spans="1:9" x14ac:dyDescent="0.25">
      <c r="A6799" s="1">
        <f t="shared" si="1212"/>
        <v>45593</v>
      </c>
      <c r="B6799" s="31">
        <f t="shared" ref="B6799" si="1214">TIME(20,14,0)</f>
        <v>0.84305555555555556</v>
      </c>
      <c r="C6799" t="str">
        <f>'Inventory as of 12th Aug 2024'!A92</f>
        <v>Banana</v>
      </c>
      <c r="D6799">
        <v>2</v>
      </c>
      <c r="E6799" s="5">
        <f>Table4[[#This Row],[qty]]*(VLOOKUP(Table4[[#This Row],[item_sold]],Table1[],5,FALSE))</f>
        <v>20</v>
      </c>
      <c r="F6799" s="5">
        <f>(VLOOKUP(Table4[[#This Row],[item_sold]],Table1[],4,FALSE))*Table4[[#This Row],[qty]]</f>
        <v>16.666666666666668</v>
      </c>
      <c r="G6799">
        <f t="shared" si="1202"/>
        <v>3.3333333333333321</v>
      </c>
      <c r="H6799" t="s">
        <v>361</v>
      </c>
    </row>
    <row r="6800" spans="1:9" x14ac:dyDescent="0.25">
      <c r="A6800" s="1">
        <f t="shared" si="1212"/>
        <v>45593</v>
      </c>
      <c r="B6800" s="31">
        <f>TIME(20,33,0)</f>
        <v>0.85625000000000007</v>
      </c>
      <c r="C6800" t="str">
        <f>'Inventory as of 12th Aug 2024'!A83</f>
        <v>omo 75g</v>
      </c>
      <c r="D6800">
        <v>1</v>
      </c>
      <c r="E6800" s="5">
        <f>Table4[[#This Row],[qty]]*(VLOOKUP(Table4[[#This Row],[item_sold]],Table1[],5,FALSE))</f>
        <v>35</v>
      </c>
      <c r="F6800" s="5">
        <f>(VLOOKUP(Table4[[#This Row],[item_sold]],Table1[],4,FALSE))*Table4[[#This Row],[qty]]</f>
        <v>27.5</v>
      </c>
      <c r="G6800">
        <f t="shared" si="1202"/>
        <v>7.5</v>
      </c>
      <c r="H6800" t="s">
        <v>402</v>
      </c>
    </row>
    <row r="6801" spans="1:12" x14ac:dyDescent="0.25">
      <c r="A6801" s="1">
        <f t="shared" si="1212"/>
        <v>45593</v>
      </c>
      <c r="B6801" s="31">
        <f t="shared" ref="B6801:B6802" si="1215">TIME(20,33,0)</f>
        <v>0.85625000000000007</v>
      </c>
      <c r="C6801" t="str">
        <f>'Inventory as of 12th Aug 2024'!A107</f>
        <v>Match Box</v>
      </c>
      <c r="D6801">
        <v>1</v>
      </c>
      <c r="E6801" s="5">
        <f>Table4[[#This Row],[qty]]*(VLOOKUP(Table4[[#This Row],[item_sold]],Table1[],5,FALSE))</f>
        <v>5</v>
      </c>
      <c r="F6801" s="5">
        <f>(VLOOKUP(Table4[[#This Row],[item_sold]],Table1[],4,FALSE))*Table4[[#This Row],[qty]]</f>
        <v>2.3611111111111112</v>
      </c>
      <c r="G6801">
        <f t="shared" si="1202"/>
        <v>2.6388888888888888</v>
      </c>
      <c r="H6801" t="s">
        <v>361</v>
      </c>
    </row>
    <row r="6802" spans="1:12" x14ac:dyDescent="0.25">
      <c r="A6802" s="1">
        <f t="shared" si="1212"/>
        <v>45593</v>
      </c>
      <c r="B6802" s="31">
        <f t="shared" si="1215"/>
        <v>0.85625000000000007</v>
      </c>
      <c r="C6802" t="str">
        <f>'Inventory as of 12th Aug 2024'!A86</f>
        <v>Downy sunrise fresh</v>
      </c>
      <c r="D6802">
        <v>1</v>
      </c>
      <c r="E6802" s="5">
        <f>Table4[[#This Row],[qty]]*(VLOOKUP(Table4[[#This Row],[item_sold]],Table1[],5,FALSE))</f>
        <v>20</v>
      </c>
      <c r="F6802" s="5">
        <f>(VLOOKUP(Table4[[#This Row],[item_sold]],Table1[],4,FALSE))*Table4[[#This Row],[qty]]</f>
        <v>17.333333333333332</v>
      </c>
      <c r="G6802">
        <f t="shared" si="1202"/>
        <v>2.6666666666666679</v>
      </c>
      <c r="H6802" t="s">
        <v>361</v>
      </c>
    </row>
    <row r="6803" spans="1:12" x14ac:dyDescent="0.25">
      <c r="A6803" s="1">
        <f t="shared" si="1212"/>
        <v>45593</v>
      </c>
      <c r="B6803" s="31">
        <f>TIME(20,37,0)</f>
        <v>0.85902777777777783</v>
      </c>
      <c r="C6803" t="str">
        <f>'Inventory as of 12th Aug 2024'!A120</f>
        <v>Maramoja</v>
      </c>
      <c r="D6803">
        <v>2</v>
      </c>
      <c r="E6803" s="5">
        <f>Table4[[#This Row],[qty]]*(VLOOKUP(Table4[[#This Row],[item_sold]],Table1[],5,FALSE))</f>
        <v>20</v>
      </c>
      <c r="F6803" s="5">
        <f>(VLOOKUP(Table4[[#This Row],[item_sold]],Table1[],4,FALSE))*Table4[[#This Row],[qty]]</f>
        <v>14</v>
      </c>
      <c r="G6803">
        <f t="shared" si="1202"/>
        <v>6</v>
      </c>
      <c r="H6803" t="s">
        <v>361</v>
      </c>
    </row>
    <row r="6804" spans="1:12" x14ac:dyDescent="0.25">
      <c r="A6804" s="1">
        <f t="shared" si="1212"/>
        <v>45593</v>
      </c>
      <c r="B6804" s="31">
        <f t="shared" ref="B6804:B6806" si="1216">TIME(20,37,0)</f>
        <v>0.85902777777777783</v>
      </c>
      <c r="C6804" t="str">
        <f>'Inventory as of 12th Aug 2024'!A179</f>
        <v>Bitez</v>
      </c>
      <c r="D6804">
        <v>2</v>
      </c>
      <c r="E6804" s="5">
        <f>Table4[[#This Row],[qty]]*(VLOOKUP(Table4[[#This Row],[item_sold]],Table1[],5,FALSE))</f>
        <v>30</v>
      </c>
      <c r="F6804" s="5">
        <f>(VLOOKUP(Table4[[#This Row],[item_sold]],Table1[],4,FALSE))*Table4[[#This Row],[qty]]</f>
        <v>17.600000000000001</v>
      </c>
      <c r="G6804">
        <f t="shared" ref="G6804:G6867" si="1217">E6804-F6804</f>
        <v>12.399999999999999</v>
      </c>
      <c r="H6804" t="s">
        <v>361</v>
      </c>
    </row>
    <row r="6805" spans="1:12" x14ac:dyDescent="0.25">
      <c r="A6805" s="1">
        <f t="shared" si="1212"/>
        <v>45593</v>
      </c>
      <c r="B6805" s="31">
        <f t="shared" si="1216"/>
        <v>0.85902777777777783</v>
      </c>
      <c r="C6805" t="str">
        <f>'Inventory as of 12th Aug 2024'!A16</f>
        <v>Mt kenya milk 500ml</v>
      </c>
      <c r="D6805">
        <v>2</v>
      </c>
      <c r="E6805" s="5">
        <f>Table4[[#This Row],[qty]]*(VLOOKUP(Table4[[#This Row],[item_sold]],Table1[],5,FALSE))</f>
        <v>130</v>
      </c>
      <c r="F6805" s="5">
        <f>(VLOOKUP(Table4[[#This Row],[item_sold]],Table1[],4,FALSE))*Table4[[#This Row],[qty]]</f>
        <v>96.666666666666671</v>
      </c>
      <c r="G6805">
        <f t="shared" si="1217"/>
        <v>33.333333333333329</v>
      </c>
      <c r="H6805" t="s">
        <v>361</v>
      </c>
    </row>
    <row r="6806" spans="1:12" x14ac:dyDescent="0.25">
      <c r="A6806" s="1">
        <f t="shared" si="1212"/>
        <v>45593</v>
      </c>
      <c r="B6806" s="31">
        <f t="shared" si="1216"/>
        <v>0.85902777777777783</v>
      </c>
      <c r="C6806" t="str">
        <f>'Inventory as of 12th Aug 2024'!A8</f>
        <v>eggs</v>
      </c>
      <c r="D6806">
        <v>5</v>
      </c>
      <c r="E6806" s="5">
        <f>Table4[[#This Row],[qty]]*(VLOOKUP(Table4[[#This Row],[item_sold]],Table1[],5,FALSE))</f>
        <v>100</v>
      </c>
      <c r="F6806" s="5">
        <f>(VLOOKUP(Table4[[#This Row],[item_sold]],Table1[],4,FALSE))*Table4[[#This Row],[qty]]</f>
        <v>71.666666666666671</v>
      </c>
      <c r="G6806">
        <f t="shared" si="1217"/>
        <v>28.333333333333329</v>
      </c>
      <c r="H6806" t="s">
        <v>361</v>
      </c>
      <c r="J6806" t="s">
        <v>404</v>
      </c>
      <c r="K6806">
        <v>800</v>
      </c>
      <c r="L6806" t="s">
        <v>361</v>
      </c>
    </row>
    <row r="6807" spans="1:12" x14ac:dyDescent="0.25">
      <c r="A6807" s="1">
        <f>DATE(2024,10,29)</f>
        <v>45594</v>
      </c>
      <c r="B6807" s="31">
        <f>TIME(6,42,0)</f>
        <v>0.27916666666666667</v>
      </c>
      <c r="C6807" t="str">
        <f>'Inventory as of 12th Aug 2024'!A58</f>
        <v>Safari</v>
      </c>
      <c r="D6807">
        <v>20</v>
      </c>
      <c r="E6807" s="5">
        <f>Table4[[#This Row],[qty]]*(VLOOKUP(Table4[[#This Row],[item_sold]],Table1[],5,FALSE))</f>
        <v>300</v>
      </c>
      <c r="F6807" s="5">
        <f>(VLOOKUP(Table4[[#This Row],[item_sold]],Table1[],4,FALSE))*Table4[[#This Row],[qty]]</f>
        <v>170</v>
      </c>
      <c r="G6807">
        <f t="shared" si="1217"/>
        <v>130</v>
      </c>
      <c r="H6807" t="s">
        <v>430</v>
      </c>
      <c r="J6807" t="s">
        <v>622</v>
      </c>
      <c r="K6807">
        <v>400</v>
      </c>
      <c r="L6807" t="s">
        <v>361</v>
      </c>
    </row>
    <row r="6808" spans="1:12" x14ac:dyDescent="0.25">
      <c r="A6808" s="1">
        <f t="shared" ref="A6808:A6871" si="1218">DATE(2024,10,29)</f>
        <v>45594</v>
      </c>
      <c r="B6808" s="31">
        <f>TIME(6,42,0)</f>
        <v>0.27916666666666667</v>
      </c>
      <c r="C6808" t="str">
        <f>'Inventory as of 12th Aug 2024'!A107</f>
        <v>Match Box</v>
      </c>
      <c r="D6808">
        <v>1</v>
      </c>
      <c r="E6808" s="5">
        <f>Table4[[#This Row],[qty]]*(VLOOKUP(Table4[[#This Row],[item_sold]],Table1[],5,FALSE))</f>
        <v>5</v>
      </c>
      <c r="F6808" s="5">
        <f>(VLOOKUP(Table4[[#This Row],[item_sold]],Table1[],4,FALSE))*Table4[[#This Row],[qty]]</f>
        <v>2.3611111111111112</v>
      </c>
      <c r="G6808">
        <f t="shared" si="1217"/>
        <v>2.6388888888888888</v>
      </c>
      <c r="H6808" t="s">
        <v>402</v>
      </c>
    </row>
    <row r="6809" spans="1:12" x14ac:dyDescent="0.25">
      <c r="A6809" s="1">
        <f t="shared" si="1218"/>
        <v>45594</v>
      </c>
      <c r="B6809" s="31">
        <f>TIME(7,16,0)</f>
        <v>0.30277777777777776</v>
      </c>
      <c r="C6809" t="str">
        <f>'Inventory as of 12th Aug 2024'!A58</f>
        <v>Safari</v>
      </c>
      <c r="D6809">
        <v>1</v>
      </c>
      <c r="E6809" s="5">
        <f>Table4[[#This Row],[qty]]*(VLOOKUP(Table4[[#This Row],[item_sold]],Table1[],5,FALSE))</f>
        <v>15</v>
      </c>
      <c r="F6809" s="5">
        <f>(VLOOKUP(Table4[[#This Row],[item_sold]],Table1[],4,FALSE))*Table4[[#This Row],[qty]]</f>
        <v>8.5</v>
      </c>
      <c r="G6809">
        <f t="shared" si="1217"/>
        <v>6.5</v>
      </c>
      <c r="H6809" t="s">
        <v>361</v>
      </c>
    </row>
    <row r="6810" spans="1:12" x14ac:dyDescent="0.25">
      <c r="A6810" s="1">
        <f t="shared" si="1218"/>
        <v>45594</v>
      </c>
      <c r="B6810" s="31">
        <f t="shared" ref="B6810:B6813" si="1219">TIME(7,16,0)</f>
        <v>0.30277777777777776</v>
      </c>
      <c r="C6810" t="str">
        <f>'Inventory as of 12th Aug 2024'!A186</f>
        <v>Glucose 50g</v>
      </c>
      <c r="D6810">
        <v>1</v>
      </c>
      <c r="E6810" s="5">
        <f>Table4[[#This Row],[qty]]*(VLOOKUP(Table4[[#This Row],[item_sold]],Table1[],5,FALSE))</f>
        <v>30</v>
      </c>
      <c r="F6810" s="5">
        <f>(VLOOKUP(Table4[[#This Row],[item_sold]],Table1[],4,FALSE))*Table4[[#This Row],[qty]]</f>
        <v>15.833333333333334</v>
      </c>
      <c r="G6810">
        <f t="shared" si="1217"/>
        <v>14.166666666666666</v>
      </c>
      <c r="H6810" t="s">
        <v>430</v>
      </c>
      <c r="I6810" t="s">
        <v>385</v>
      </c>
    </row>
    <row r="6811" spans="1:12" x14ac:dyDescent="0.25">
      <c r="A6811" s="1">
        <f t="shared" si="1218"/>
        <v>45594</v>
      </c>
      <c r="B6811" s="31">
        <f t="shared" si="1219"/>
        <v>0.30277777777777776</v>
      </c>
      <c r="C6811" t="str">
        <f>'Inventory as of 12th Aug 2024'!A221</f>
        <v>Rasor Blade</v>
      </c>
      <c r="D6811">
        <v>1</v>
      </c>
      <c r="E6811" s="5">
        <f>Table4[[#This Row],[qty]]*(VLOOKUP(Table4[[#This Row],[item_sold]],Table1[],5,FALSE))</f>
        <v>5</v>
      </c>
      <c r="F6811" s="5">
        <f>(VLOOKUP(Table4[[#This Row],[item_sold]],Table1[],4,FALSE))*Table4[[#This Row],[qty]]</f>
        <v>2</v>
      </c>
      <c r="G6811">
        <f t="shared" si="1217"/>
        <v>3</v>
      </c>
      <c r="H6811" t="s">
        <v>402</v>
      </c>
    </row>
    <row r="6812" spans="1:12" x14ac:dyDescent="0.25">
      <c r="A6812" s="1">
        <f t="shared" si="1218"/>
        <v>45594</v>
      </c>
      <c r="B6812" s="31">
        <f t="shared" si="1219"/>
        <v>0.30277777777777776</v>
      </c>
      <c r="C6812" t="str">
        <f>'Inventory as of 12th Aug 2024'!A37</f>
        <v>Festive Bread 400g</v>
      </c>
      <c r="D6812">
        <v>1</v>
      </c>
      <c r="E6812" s="5">
        <f>Table4[[#This Row],[qty]]*(VLOOKUP(Table4[[#This Row],[item_sold]],Table1[],5,FALSE))</f>
        <v>65</v>
      </c>
      <c r="F6812" s="5">
        <f>(VLOOKUP(Table4[[#This Row],[item_sold]],Table1[],4,FALSE))*Table4[[#This Row],[qty]]</f>
        <v>60</v>
      </c>
      <c r="G6812">
        <f t="shared" si="1217"/>
        <v>5</v>
      </c>
      <c r="H6812" t="s">
        <v>402</v>
      </c>
    </row>
    <row r="6813" spans="1:12" x14ac:dyDescent="0.25">
      <c r="A6813" s="1">
        <f t="shared" si="1218"/>
        <v>45594</v>
      </c>
      <c r="B6813" s="31">
        <f t="shared" si="1219"/>
        <v>0.30277777777777776</v>
      </c>
      <c r="C6813" t="str">
        <f>'Inventory as of 12th Aug 2024'!A33</f>
        <v>BB Bread 400g</v>
      </c>
      <c r="D6813">
        <v>1</v>
      </c>
      <c r="E6813" s="5">
        <f>Table4[[#This Row],[qty]]*(VLOOKUP(Table4[[#This Row],[item_sold]],Table1[],5,FALSE))</f>
        <v>65</v>
      </c>
      <c r="F6813" s="5">
        <f>(VLOOKUP(Table4[[#This Row],[item_sold]],Table1[],4,FALSE))*Table4[[#This Row],[qty]]</f>
        <v>60</v>
      </c>
      <c r="G6813">
        <f t="shared" si="1217"/>
        <v>5</v>
      </c>
      <c r="H6813" t="s">
        <v>430</v>
      </c>
      <c r="I6813" t="s">
        <v>390</v>
      </c>
    </row>
    <row r="6814" spans="1:12" x14ac:dyDescent="0.25">
      <c r="A6814" s="1">
        <f t="shared" si="1218"/>
        <v>45594</v>
      </c>
      <c r="B6814" s="31">
        <f>TIME(8,32,0)</f>
        <v>0.35555555555555557</v>
      </c>
      <c r="C6814" t="str">
        <f>'Inventory as of 12th Aug 2024'!A8</f>
        <v>eggs</v>
      </c>
      <c r="D6814">
        <v>10</v>
      </c>
      <c r="E6814" s="5">
        <f>Table4[[#This Row],[qty]]*(VLOOKUP(Table4[[#This Row],[item_sold]],Table1[],5,FALSE))</f>
        <v>200</v>
      </c>
      <c r="F6814" s="5">
        <f>(VLOOKUP(Table4[[#This Row],[item_sold]],Table1[],4,FALSE))*Table4[[#This Row],[qty]]</f>
        <v>143.33333333333334</v>
      </c>
      <c r="G6814">
        <f t="shared" si="1217"/>
        <v>56.666666666666657</v>
      </c>
      <c r="H6814" t="s">
        <v>361</v>
      </c>
    </row>
    <row r="6815" spans="1:12" x14ac:dyDescent="0.25">
      <c r="A6815" s="1">
        <f t="shared" si="1218"/>
        <v>45594</v>
      </c>
      <c r="B6815" s="31">
        <f t="shared" ref="B6815:B6816" si="1220">TIME(8,32,0)</f>
        <v>0.35555555555555557</v>
      </c>
      <c r="C6815" t="str">
        <f>'Inventory as of 12th Aug 2024'!A81</f>
        <v>ariel 75g</v>
      </c>
      <c r="D6815">
        <v>1</v>
      </c>
      <c r="E6815" s="5">
        <f>Table4[[#This Row],[qty]]*(VLOOKUP(Table4[[#This Row],[item_sold]],Table1[],5,FALSE))</f>
        <v>35</v>
      </c>
      <c r="F6815" s="5">
        <f>(VLOOKUP(Table4[[#This Row],[item_sold]],Table1[],4,FALSE))*Table4[[#This Row],[qty]]</f>
        <v>27.5</v>
      </c>
      <c r="G6815">
        <f t="shared" si="1217"/>
        <v>7.5</v>
      </c>
      <c r="H6815" t="s">
        <v>361</v>
      </c>
    </row>
    <row r="6816" spans="1:12" x14ac:dyDescent="0.25">
      <c r="A6816" s="1">
        <f t="shared" si="1218"/>
        <v>45594</v>
      </c>
      <c r="B6816" s="31">
        <f t="shared" si="1220"/>
        <v>0.35555555555555557</v>
      </c>
      <c r="C6816" t="str">
        <f>'Inventory as of 12th Aug 2024'!A82</f>
        <v>ariel 10g</v>
      </c>
      <c r="D6816">
        <v>1</v>
      </c>
      <c r="E6816" s="5">
        <f>Table4[[#This Row],[qty]]*(VLOOKUP(Table4[[#This Row],[item_sold]],Table1[],5,FALSE))</f>
        <v>15</v>
      </c>
      <c r="F6816" s="5">
        <f>(VLOOKUP(Table4[[#This Row],[item_sold]],Table1[],4,FALSE))*Table4[[#This Row],[qty]]</f>
        <v>9.1666666666666661</v>
      </c>
      <c r="G6816">
        <f t="shared" si="1217"/>
        <v>5.8333333333333339</v>
      </c>
      <c r="H6816" t="s">
        <v>361</v>
      </c>
    </row>
    <row r="6817" spans="1:12" x14ac:dyDescent="0.25">
      <c r="A6817" s="1">
        <f t="shared" si="1218"/>
        <v>45594</v>
      </c>
      <c r="B6817" s="31">
        <f>TIME(9,16,0)</f>
        <v>0.38611111111111113</v>
      </c>
      <c r="C6817" t="str">
        <f>'Inventory as of 12th Aug 2024'!A136</f>
        <v>Poa Pekee Tissue</v>
      </c>
      <c r="D6817">
        <v>2</v>
      </c>
      <c r="E6817" s="5">
        <f>Table4[[#This Row],[qty]]*(VLOOKUP(Table4[[#This Row],[item_sold]],Table1[],5,FALSE))</f>
        <v>60</v>
      </c>
      <c r="F6817" s="5">
        <f>(VLOOKUP(Table4[[#This Row],[item_sold]],Table1[],4,FALSE))*Table4[[#This Row],[qty]]</f>
        <v>26.666666666666668</v>
      </c>
      <c r="G6817">
        <f t="shared" si="1217"/>
        <v>33.333333333333329</v>
      </c>
      <c r="H6817" t="s">
        <v>402</v>
      </c>
    </row>
    <row r="6818" spans="1:12" x14ac:dyDescent="0.25">
      <c r="A6818" s="1">
        <f t="shared" si="1218"/>
        <v>45594</v>
      </c>
      <c r="B6818" s="31">
        <f t="shared" ref="B6818" si="1221">TIME(9,16,0)</f>
        <v>0.38611111111111113</v>
      </c>
      <c r="C6818" t="str">
        <f>'Inventory as of 12th Aug 2024'!A16</f>
        <v>Mt kenya milk 500ml</v>
      </c>
      <c r="D6818">
        <v>1</v>
      </c>
      <c r="E6818" s="5">
        <f>Table4[[#This Row],[qty]]*(VLOOKUP(Table4[[#This Row],[item_sold]],Table1[],5,FALSE))</f>
        <v>65</v>
      </c>
      <c r="F6818" s="5">
        <f>(VLOOKUP(Table4[[#This Row],[item_sold]],Table1[],4,FALSE))*Table4[[#This Row],[qty]]</f>
        <v>48.333333333333336</v>
      </c>
      <c r="G6818">
        <f t="shared" si="1217"/>
        <v>16.666666666666664</v>
      </c>
      <c r="H6818" t="s">
        <v>430</v>
      </c>
      <c r="I6818" t="s">
        <v>412</v>
      </c>
      <c r="J6818" t="s">
        <v>412</v>
      </c>
      <c r="K6818">
        <v>50</v>
      </c>
      <c r="L6818" t="s">
        <v>247</v>
      </c>
    </row>
    <row r="6819" spans="1:12" x14ac:dyDescent="0.25">
      <c r="A6819" s="1">
        <f t="shared" si="1218"/>
        <v>45594</v>
      </c>
      <c r="B6819" s="31">
        <f>TIME(9,39,0)</f>
        <v>0.40208333333333335</v>
      </c>
      <c r="C6819" t="str">
        <f>'Inventory as of 12th Aug 2024'!A8</f>
        <v>eggs</v>
      </c>
      <c r="D6819">
        <v>4</v>
      </c>
      <c r="E6819" s="5">
        <f>Table4[[#This Row],[qty]]*(VLOOKUP(Table4[[#This Row],[item_sold]],Table1[],5,FALSE))</f>
        <v>80</v>
      </c>
      <c r="F6819" s="5">
        <f>(VLOOKUP(Table4[[#This Row],[item_sold]],Table1[],4,FALSE))*Table4[[#This Row],[qty]]</f>
        <v>57.333333333333336</v>
      </c>
      <c r="G6819">
        <f t="shared" si="1217"/>
        <v>22.666666666666664</v>
      </c>
      <c r="H6819" t="s">
        <v>361</v>
      </c>
    </row>
    <row r="6820" spans="1:12" x14ac:dyDescent="0.25">
      <c r="A6820" s="1">
        <f t="shared" si="1218"/>
        <v>45594</v>
      </c>
      <c r="B6820" s="31">
        <f t="shared" ref="B6820:B6821" si="1222">TIME(9,39,0)</f>
        <v>0.40208333333333335</v>
      </c>
      <c r="C6820" t="str">
        <f>'Inventory as of 12th Aug 2024'!A213</f>
        <v>soda 500ml glass</v>
      </c>
      <c r="D6820">
        <v>1</v>
      </c>
      <c r="E6820" s="5">
        <f>Table4[[#This Row],[qty]]*(VLOOKUP(Table4[[#This Row],[item_sold]],Table1[],5,FALSE))</f>
        <v>55</v>
      </c>
      <c r="F6820" s="5">
        <f>(VLOOKUP(Table4[[#This Row],[item_sold]],Table1[],4,FALSE))*Table4[[#This Row],[qty]]</f>
        <v>50</v>
      </c>
      <c r="G6820">
        <f t="shared" si="1217"/>
        <v>5</v>
      </c>
      <c r="H6820" t="s">
        <v>361</v>
      </c>
    </row>
    <row r="6821" spans="1:12" x14ac:dyDescent="0.25">
      <c r="A6821" s="1">
        <f t="shared" si="1218"/>
        <v>45594</v>
      </c>
      <c r="B6821" s="31">
        <f t="shared" si="1222"/>
        <v>0.40208333333333335</v>
      </c>
      <c r="C6821" t="str">
        <f>'Inventory as of 12th Aug 2024'!A58</f>
        <v>Safari</v>
      </c>
      <c r="D6821">
        <v>1</v>
      </c>
      <c r="E6821" s="5">
        <f>Table4[[#This Row],[qty]]*(VLOOKUP(Table4[[#This Row],[item_sold]],Table1[],5,FALSE))</f>
        <v>15</v>
      </c>
      <c r="F6821" s="5">
        <f>(VLOOKUP(Table4[[#This Row],[item_sold]],Table1[],4,FALSE))*Table4[[#This Row],[qty]]</f>
        <v>8.5</v>
      </c>
      <c r="G6821">
        <f t="shared" si="1217"/>
        <v>6.5</v>
      </c>
      <c r="H6821" t="s">
        <v>402</v>
      </c>
    </row>
    <row r="6822" spans="1:12" x14ac:dyDescent="0.25">
      <c r="A6822" s="1">
        <f t="shared" si="1218"/>
        <v>45594</v>
      </c>
      <c r="B6822" s="31">
        <f>TIME(9,48,0)</f>
        <v>0.40833333333333338</v>
      </c>
      <c r="C6822" t="str">
        <f>'Inventory as of 12th Aug 2024'!A33</f>
        <v>BB Bread 400g</v>
      </c>
      <c r="D6822">
        <v>2</v>
      </c>
      <c r="E6822" s="5">
        <f>Table4[[#This Row],[qty]]*(VLOOKUP(Table4[[#This Row],[item_sold]],Table1[],5,FALSE))</f>
        <v>130</v>
      </c>
      <c r="F6822" s="5">
        <f>(VLOOKUP(Table4[[#This Row],[item_sold]],Table1[],4,FALSE))*Table4[[#This Row],[qty]]</f>
        <v>120</v>
      </c>
      <c r="G6822">
        <f t="shared" si="1217"/>
        <v>10</v>
      </c>
      <c r="H6822" t="s">
        <v>361</v>
      </c>
      <c r="J6822" t="s">
        <v>394</v>
      </c>
      <c r="K6822">
        <v>130</v>
      </c>
      <c r="L6822" t="s">
        <v>361</v>
      </c>
    </row>
    <row r="6823" spans="1:12" x14ac:dyDescent="0.25">
      <c r="A6823" s="1">
        <f t="shared" si="1218"/>
        <v>45594</v>
      </c>
      <c r="B6823" s="31">
        <f t="shared" ref="B6823" si="1223">TIME(9,48,0)</f>
        <v>0.40833333333333338</v>
      </c>
      <c r="C6823" t="str">
        <f>'Inventory as of 12th Aug 2024'!A16</f>
        <v>Mt kenya milk 500ml</v>
      </c>
      <c r="D6823">
        <v>1</v>
      </c>
      <c r="E6823" s="5">
        <f>Table4[[#This Row],[qty]]*(VLOOKUP(Table4[[#This Row],[item_sold]],Table1[],5,FALSE))</f>
        <v>65</v>
      </c>
      <c r="F6823" s="5">
        <f>(VLOOKUP(Table4[[#This Row],[item_sold]],Table1[],4,FALSE))*Table4[[#This Row],[qty]]</f>
        <v>48.333333333333336</v>
      </c>
      <c r="G6823">
        <f t="shared" si="1217"/>
        <v>16.666666666666664</v>
      </c>
      <c r="H6823" t="s">
        <v>430</v>
      </c>
      <c r="I6823" t="s">
        <v>385</v>
      </c>
    </row>
    <row r="6824" spans="1:12" x14ac:dyDescent="0.25">
      <c r="A6824" s="1">
        <f t="shared" si="1218"/>
        <v>45594</v>
      </c>
      <c r="B6824" s="31">
        <f>TIME(10,3,0)</f>
        <v>0.41875000000000001</v>
      </c>
      <c r="C6824" t="str">
        <f>'Inventory as of 12th Aug 2024'!A135</f>
        <v>Bella Tissue</v>
      </c>
      <c r="D6824">
        <v>1</v>
      </c>
      <c r="E6824" s="5">
        <f>Table4[[#This Row],[qty]]*(VLOOKUP(Table4[[#This Row],[item_sold]],Table1[],5,FALSE))</f>
        <v>50</v>
      </c>
      <c r="F6824" s="5">
        <f>(VLOOKUP(Table4[[#This Row],[item_sold]],Table1[],4,FALSE))*Table4[[#This Row],[qty]]</f>
        <v>35</v>
      </c>
      <c r="G6824">
        <f t="shared" si="1217"/>
        <v>15</v>
      </c>
      <c r="H6824" t="s">
        <v>361</v>
      </c>
    </row>
    <row r="6825" spans="1:12" x14ac:dyDescent="0.25">
      <c r="A6825" s="1">
        <f t="shared" si="1218"/>
        <v>45594</v>
      </c>
      <c r="B6825" s="31">
        <f>TIME(11,24,0)</f>
        <v>0.47500000000000003</v>
      </c>
      <c r="C6825" t="str">
        <f>'Inventory as of 12th Aug 2024'!A151</f>
        <v>Arimis big</v>
      </c>
      <c r="D6825">
        <v>1</v>
      </c>
      <c r="E6825" s="5">
        <f>Table4[[#This Row],[qty]]*(VLOOKUP(Table4[[#This Row],[item_sold]],Table1[],5,FALSE))</f>
        <v>60</v>
      </c>
      <c r="F6825" s="5">
        <f>(VLOOKUP(Table4[[#This Row],[item_sold]],Table1[],4,FALSE))*Table4[[#This Row],[qty]]</f>
        <v>45.833333333333336</v>
      </c>
      <c r="G6825">
        <f t="shared" si="1217"/>
        <v>14.166666666666664</v>
      </c>
      <c r="H6825" t="s">
        <v>361</v>
      </c>
    </row>
    <row r="6826" spans="1:12" x14ac:dyDescent="0.25">
      <c r="A6826" s="1">
        <f t="shared" si="1218"/>
        <v>45594</v>
      </c>
      <c r="B6826" s="31">
        <f t="shared" ref="B6826:B6830" si="1224">TIME(11,24,0)</f>
        <v>0.47500000000000003</v>
      </c>
      <c r="C6826" t="str">
        <f>'Inventory as of 12th Aug 2024'!A179</f>
        <v>Bitez</v>
      </c>
      <c r="D6826">
        <v>2</v>
      </c>
      <c r="E6826" s="5">
        <f>Table4[[#This Row],[qty]]*(VLOOKUP(Table4[[#This Row],[item_sold]],Table1[],5,FALSE))</f>
        <v>30</v>
      </c>
      <c r="F6826" s="5">
        <f>(VLOOKUP(Table4[[#This Row],[item_sold]],Table1[],4,FALSE))*Table4[[#This Row],[qty]]</f>
        <v>17.600000000000001</v>
      </c>
      <c r="G6826">
        <f t="shared" si="1217"/>
        <v>12.399999999999999</v>
      </c>
      <c r="H6826" t="s">
        <v>402</v>
      </c>
    </row>
    <row r="6827" spans="1:12" x14ac:dyDescent="0.25">
      <c r="A6827" s="1">
        <f t="shared" si="1218"/>
        <v>45594</v>
      </c>
      <c r="B6827" s="31">
        <f t="shared" si="1224"/>
        <v>0.47500000000000003</v>
      </c>
      <c r="C6827" t="str">
        <f>'Inventory as of 12th Aug 2024'!A177</f>
        <v>Ringoz Barbeque</v>
      </c>
      <c r="D6827">
        <v>2</v>
      </c>
      <c r="E6827" s="5">
        <f>Table4[[#This Row],[qty]]*(VLOOKUP(Table4[[#This Row],[item_sold]],Table1[],5,FALSE))</f>
        <v>30</v>
      </c>
      <c r="F6827" s="5">
        <f>(VLOOKUP(Table4[[#This Row],[item_sold]],Table1[],4,FALSE))*Table4[[#This Row],[qty]]</f>
        <v>17.2</v>
      </c>
      <c r="G6827">
        <f t="shared" si="1217"/>
        <v>12.8</v>
      </c>
      <c r="H6827" t="s">
        <v>402</v>
      </c>
    </row>
    <row r="6828" spans="1:12" x14ac:dyDescent="0.25">
      <c r="A6828" s="1">
        <f t="shared" si="1218"/>
        <v>45594</v>
      </c>
      <c r="B6828" s="31">
        <f t="shared" si="1224"/>
        <v>0.47500000000000003</v>
      </c>
      <c r="C6828" t="str">
        <f>'Inventory as of 12th Aug 2024'!A271</f>
        <v>Star Cream Bisquit</v>
      </c>
      <c r="D6828">
        <v>2</v>
      </c>
      <c r="E6828" s="5">
        <f>Table4[[#This Row],[qty]]*(VLOOKUP(Table4[[#This Row],[item_sold]],Table1[],5,FALSE))</f>
        <v>10</v>
      </c>
      <c r="F6828" s="5">
        <f>(VLOOKUP(Table4[[#This Row],[item_sold]],Table1[],4,FALSE))*Table4[[#This Row],[qty]]</f>
        <v>8.4666666666666668</v>
      </c>
      <c r="G6828">
        <f t="shared" si="1217"/>
        <v>1.5333333333333332</v>
      </c>
      <c r="H6828" t="s">
        <v>402</v>
      </c>
    </row>
    <row r="6829" spans="1:12" x14ac:dyDescent="0.25">
      <c r="A6829" s="1">
        <f t="shared" si="1218"/>
        <v>45594</v>
      </c>
      <c r="B6829" s="31">
        <f t="shared" si="1224"/>
        <v>0.47500000000000003</v>
      </c>
      <c r="C6829" t="str">
        <f>'Inventory as of 12th Aug 2024'!A5</f>
        <v>Airtel 20 Credit</v>
      </c>
      <c r="D6829">
        <v>1</v>
      </c>
      <c r="E6829" s="5">
        <f>Table4[[#This Row],[qty]]*(VLOOKUP(Table4[[#This Row],[item_sold]],Table1[],5,FALSE))</f>
        <v>20</v>
      </c>
      <c r="F6829" s="5">
        <f>(VLOOKUP(Table4[[#This Row],[item_sold]],Table1[],4,FALSE))*Table4[[#This Row],[qty]]</f>
        <v>18</v>
      </c>
      <c r="G6829">
        <f t="shared" si="1217"/>
        <v>2</v>
      </c>
      <c r="H6829" t="s">
        <v>402</v>
      </c>
    </row>
    <row r="6830" spans="1:12" x14ac:dyDescent="0.25">
      <c r="A6830" s="1">
        <f t="shared" si="1218"/>
        <v>45594</v>
      </c>
      <c r="B6830" s="31">
        <f t="shared" si="1224"/>
        <v>0.47500000000000003</v>
      </c>
      <c r="C6830" t="str">
        <f>'Inventory as of 12th Aug 2024'!A6</f>
        <v>Airtel 10 Credit</v>
      </c>
      <c r="D6830">
        <v>1</v>
      </c>
      <c r="E6830" s="5">
        <f>Table4[[#This Row],[qty]]*(VLOOKUP(Table4[[#This Row],[item_sold]],Table1[],5,FALSE))</f>
        <v>10</v>
      </c>
      <c r="F6830" s="5">
        <f>(VLOOKUP(Table4[[#This Row],[item_sold]],Table1[],4,FALSE))*Table4[[#This Row],[qty]]</f>
        <v>9</v>
      </c>
      <c r="G6830">
        <f t="shared" si="1217"/>
        <v>1</v>
      </c>
      <c r="H6830" t="s">
        <v>361</v>
      </c>
    </row>
    <row r="6831" spans="1:12" x14ac:dyDescent="0.25">
      <c r="A6831" s="1">
        <f t="shared" si="1218"/>
        <v>45594</v>
      </c>
      <c r="B6831" s="31">
        <f>TIME(12,26,0)</f>
        <v>0.5180555555555556</v>
      </c>
      <c r="C6831" t="str">
        <f>'Inventory as of 12th Aug 2024'!A8</f>
        <v>eggs</v>
      </c>
      <c r="D6831">
        <v>2</v>
      </c>
      <c r="E6831" s="5">
        <f>Table4[[#This Row],[qty]]*(VLOOKUP(Table4[[#This Row],[item_sold]],Table1[],5,FALSE))</f>
        <v>40</v>
      </c>
      <c r="F6831" s="5">
        <f>(VLOOKUP(Table4[[#This Row],[item_sold]],Table1[],4,FALSE))*Table4[[#This Row],[qty]]</f>
        <v>28.666666666666668</v>
      </c>
      <c r="G6831">
        <f t="shared" si="1217"/>
        <v>11.333333333333332</v>
      </c>
      <c r="H6831" t="s">
        <v>361</v>
      </c>
    </row>
    <row r="6832" spans="1:12" x14ac:dyDescent="0.25">
      <c r="A6832" s="1">
        <f t="shared" si="1218"/>
        <v>45594</v>
      </c>
      <c r="B6832" s="31">
        <f t="shared" ref="B6832:B6834" si="1225">TIME(12,26,0)</f>
        <v>0.5180555555555556</v>
      </c>
      <c r="C6832" t="str">
        <f>'Inventory as of 12th Aug 2024'!A91</f>
        <v>Tomatoes</v>
      </c>
      <c r="D6832">
        <v>2</v>
      </c>
      <c r="E6832" s="5">
        <f>Table4[[#This Row],[qty]]*(VLOOKUP(Table4[[#This Row],[item_sold]],Table1[],5,FALSE))</f>
        <v>20</v>
      </c>
      <c r="F6832" s="5">
        <f>(VLOOKUP(Table4[[#This Row],[item_sold]],Table1[],4,FALSE))*Table4[[#This Row],[qty]]</f>
        <v>10</v>
      </c>
      <c r="G6832">
        <f t="shared" si="1217"/>
        <v>10</v>
      </c>
      <c r="H6832" t="s">
        <v>361</v>
      </c>
    </row>
    <row r="6833" spans="1:9" x14ac:dyDescent="0.25">
      <c r="A6833" s="1">
        <f t="shared" si="1218"/>
        <v>45594</v>
      </c>
      <c r="B6833" s="31">
        <f t="shared" si="1225"/>
        <v>0.5180555555555556</v>
      </c>
      <c r="C6833" t="str">
        <f>'Inventory as of 12th Aug 2024'!A192</f>
        <v>Lemon Bisquit</v>
      </c>
      <c r="D6833">
        <v>1</v>
      </c>
      <c r="E6833" s="5">
        <f>Table4[[#This Row],[qty]]*(VLOOKUP(Table4[[#This Row],[item_sold]],Table1[],5,FALSE))</f>
        <v>5</v>
      </c>
      <c r="F6833" s="5">
        <f>(VLOOKUP(Table4[[#This Row],[item_sold]],Table1[],4,FALSE))*Table4[[#This Row],[qty]]</f>
        <v>4.333333333333333</v>
      </c>
      <c r="G6833">
        <f t="shared" si="1217"/>
        <v>0.66666666666666696</v>
      </c>
      <c r="H6833" t="s">
        <v>247</v>
      </c>
    </row>
    <row r="6834" spans="1:9" x14ac:dyDescent="0.25">
      <c r="A6834" s="1">
        <f t="shared" si="1218"/>
        <v>45594</v>
      </c>
      <c r="B6834" s="31">
        <f t="shared" si="1225"/>
        <v>0.5180555555555556</v>
      </c>
      <c r="C6834" t="str">
        <f>'Inventory as of 12th Aug 2024'!A58</f>
        <v>Safari</v>
      </c>
      <c r="D6834">
        <v>2</v>
      </c>
      <c r="E6834" s="5">
        <f>Table4[[#This Row],[qty]]*(VLOOKUP(Table4[[#This Row],[item_sold]],Table1[],5,FALSE))</f>
        <v>30</v>
      </c>
      <c r="F6834" s="5">
        <f>(VLOOKUP(Table4[[#This Row],[item_sold]],Table1[],4,FALSE))*Table4[[#This Row],[qty]]</f>
        <v>17</v>
      </c>
      <c r="G6834">
        <f t="shared" si="1217"/>
        <v>13</v>
      </c>
      <c r="H6834" t="s">
        <v>402</v>
      </c>
    </row>
    <row r="6835" spans="1:9" x14ac:dyDescent="0.25">
      <c r="A6835" s="1">
        <f t="shared" si="1218"/>
        <v>45594</v>
      </c>
      <c r="B6835" s="31">
        <f>TIME(12,57,0)</f>
        <v>0.5395833333333333</v>
      </c>
      <c r="C6835" t="str">
        <f>'Inventory as of 12th Aug 2024'!A88</f>
        <v>Sunlight 400g</v>
      </c>
      <c r="D6835">
        <v>1</v>
      </c>
      <c r="E6835" s="5">
        <f>Table4[[#This Row],[qty]]*(VLOOKUP(Table4[[#This Row],[item_sold]],Table1[],5,FALSE))</f>
        <v>200</v>
      </c>
      <c r="F6835" s="5">
        <f>(VLOOKUP(Table4[[#This Row],[item_sold]],Table1[],4,FALSE))*Table4[[#This Row],[qty]]</f>
        <v>145</v>
      </c>
      <c r="G6835">
        <f t="shared" si="1217"/>
        <v>55</v>
      </c>
      <c r="H6835" t="s">
        <v>430</v>
      </c>
      <c r="I6835" t="s">
        <v>385</v>
      </c>
    </row>
    <row r="6836" spans="1:9" x14ac:dyDescent="0.25">
      <c r="A6836" s="1">
        <f t="shared" si="1218"/>
        <v>45594</v>
      </c>
      <c r="B6836" s="31">
        <f>TIME(13,30,0)</f>
        <v>0.5625</v>
      </c>
      <c r="C6836" t="str">
        <f>'Inventory as of 12th Aug 2024'!A33</f>
        <v>BB Bread 400g</v>
      </c>
      <c r="D6836">
        <v>1</v>
      </c>
      <c r="E6836" s="5">
        <f>Table4[[#This Row],[qty]]*(VLOOKUP(Table4[[#This Row],[item_sold]],Table1[],5,FALSE))</f>
        <v>65</v>
      </c>
      <c r="F6836" s="5">
        <f>(VLOOKUP(Table4[[#This Row],[item_sold]],Table1[],4,FALSE))*Table4[[#This Row],[qty]]</f>
        <v>60</v>
      </c>
      <c r="G6836">
        <f t="shared" si="1217"/>
        <v>5</v>
      </c>
      <c r="H6836" t="s">
        <v>361</v>
      </c>
    </row>
    <row r="6837" spans="1:9" x14ac:dyDescent="0.25">
      <c r="A6837" s="1">
        <f t="shared" si="1218"/>
        <v>45594</v>
      </c>
      <c r="B6837" s="31">
        <f>TIME(13,32,0)</f>
        <v>0.56388888888888888</v>
      </c>
      <c r="C6837" t="str">
        <f>'Inventory as of 12th Aug 2024'!A16</f>
        <v>Mt kenya milk 500ml</v>
      </c>
      <c r="D6837">
        <v>2</v>
      </c>
      <c r="E6837" s="5">
        <f>Table4[[#This Row],[qty]]*(VLOOKUP(Table4[[#This Row],[item_sold]],Table1[],5,FALSE))</f>
        <v>130</v>
      </c>
      <c r="F6837" s="5">
        <f>(VLOOKUP(Table4[[#This Row],[item_sold]],Table1[],4,FALSE))*Table4[[#This Row],[qty]]</f>
        <v>96.666666666666671</v>
      </c>
      <c r="G6837">
        <f t="shared" si="1217"/>
        <v>33.333333333333329</v>
      </c>
      <c r="H6837" t="s">
        <v>361</v>
      </c>
    </row>
    <row r="6838" spans="1:9" x14ac:dyDescent="0.25">
      <c r="A6838" s="1">
        <f t="shared" si="1218"/>
        <v>45594</v>
      </c>
      <c r="B6838" s="31">
        <f t="shared" ref="B6838:B6842" si="1226">TIME(13,32,0)</f>
        <v>0.56388888888888888</v>
      </c>
      <c r="C6838" t="str">
        <f>'Inventory as of 12th Aug 2024'!A5</f>
        <v>Airtel 20 Credit</v>
      </c>
      <c r="D6838">
        <v>1</v>
      </c>
      <c r="E6838" s="5">
        <f>Table4[[#This Row],[qty]]*(VLOOKUP(Table4[[#This Row],[item_sold]],Table1[],5,FALSE))</f>
        <v>20</v>
      </c>
      <c r="F6838" s="5">
        <f>(VLOOKUP(Table4[[#This Row],[item_sold]],Table1[],4,FALSE))*Table4[[#This Row],[qty]]</f>
        <v>18</v>
      </c>
      <c r="G6838">
        <f t="shared" si="1217"/>
        <v>2</v>
      </c>
      <c r="H6838" t="s">
        <v>402</v>
      </c>
    </row>
    <row r="6839" spans="1:9" x14ac:dyDescent="0.25">
      <c r="A6839" s="1">
        <f t="shared" si="1218"/>
        <v>45594</v>
      </c>
      <c r="B6839" s="31">
        <f t="shared" si="1226"/>
        <v>0.56388888888888888</v>
      </c>
      <c r="C6839" t="str">
        <f>'Inventory as of 12th Aug 2024'!A6</f>
        <v>Airtel 10 Credit</v>
      </c>
      <c r="D6839">
        <v>1</v>
      </c>
      <c r="E6839" s="5">
        <f>Table4[[#This Row],[qty]]*(VLOOKUP(Table4[[#This Row],[item_sold]],Table1[],5,FALSE))</f>
        <v>10</v>
      </c>
      <c r="F6839" s="5">
        <f>(VLOOKUP(Table4[[#This Row],[item_sold]],Table1[],4,FALSE))*Table4[[#This Row],[qty]]</f>
        <v>9</v>
      </c>
      <c r="G6839">
        <f t="shared" si="1217"/>
        <v>1</v>
      </c>
      <c r="H6839" t="s">
        <v>402</v>
      </c>
    </row>
    <row r="6840" spans="1:9" x14ac:dyDescent="0.25">
      <c r="A6840" s="1">
        <f t="shared" si="1218"/>
        <v>45594</v>
      </c>
      <c r="B6840" s="31">
        <f t="shared" si="1226"/>
        <v>0.56388888888888888</v>
      </c>
      <c r="C6840" t="str">
        <f>'Inventory as of 12th Aug 2024'!A213</f>
        <v>soda 500ml glass</v>
      </c>
      <c r="D6840">
        <v>1</v>
      </c>
      <c r="E6840" s="5">
        <f>Table4[[#This Row],[qty]]*(VLOOKUP(Table4[[#This Row],[item_sold]],Table1[],5,FALSE))</f>
        <v>55</v>
      </c>
      <c r="F6840" s="5">
        <f>(VLOOKUP(Table4[[#This Row],[item_sold]],Table1[],4,FALSE))*Table4[[#This Row],[qty]]</f>
        <v>50</v>
      </c>
      <c r="G6840">
        <f t="shared" si="1217"/>
        <v>5</v>
      </c>
      <c r="H6840" t="s">
        <v>402</v>
      </c>
    </row>
    <row r="6841" spans="1:9" x14ac:dyDescent="0.25">
      <c r="A6841" s="1">
        <f t="shared" si="1218"/>
        <v>45594</v>
      </c>
      <c r="B6841" s="31">
        <f t="shared" si="1226"/>
        <v>0.56388888888888888</v>
      </c>
      <c r="C6841" t="str">
        <f>'Inventory as of 12th Aug 2024'!A16</f>
        <v>Mt kenya milk 500ml</v>
      </c>
      <c r="D6841">
        <v>1</v>
      </c>
      <c r="E6841" s="5">
        <f>Table4[[#This Row],[qty]]*(VLOOKUP(Table4[[#This Row],[item_sold]],Table1[],5,FALSE))</f>
        <v>65</v>
      </c>
      <c r="F6841" s="5">
        <f>(VLOOKUP(Table4[[#This Row],[item_sold]],Table1[],4,FALSE))*Table4[[#This Row],[qty]]</f>
        <v>48.333333333333336</v>
      </c>
      <c r="G6841">
        <f t="shared" si="1217"/>
        <v>16.666666666666664</v>
      </c>
      <c r="H6841" t="s">
        <v>430</v>
      </c>
      <c r="I6841" t="s">
        <v>590</v>
      </c>
    </row>
    <row r="6842" spans="1:9" x14ac:dyDescent="0.25">
      <c r="A6842" s="1">
        <f t="shared" si="1218"/>
        <v>45594</v>
      </c>
      <c r="B6842" s="31">
        <f t="shared" si="1226"/>
        <v>0.56388888888888888</v>
      </c>
      <c r="C6842" t="str">
        <f>'Inventory as of 12th Aug 2024'!A37</f>
        <v>Festive Bread 400g</v>
      </c>
      <c r="D6842">
        <v>1</v>
      </c>
      <c r="E6842" s="5">
        <f>Table4[[#This Row],[qty]]*(VLOOKUP(Table4[[#This Row],[item_sold]],Table1[],5,FALSE))</f>
        <v>65</v>
      </c>
      <c r="F6842" s="5">
        <f>(VLOOKUP(Table4[[#This Row],[item_sold]],Table1[],4,FALSE))*Table4[[#This Row],[qty]]</f>
        <v>60</v>
      </c>
      <c r="G6842">
        <f t="shared" si="1217"/>
        <v>5</v>
      </c>
      <c r="H6842" t="s">
        <v>430</v>
      </c>
      <c r="I6842" t="s">
        <v>590</v>
      </c>
    </row>
    <row r="6843" spans="1:9" x14ac:dyDescent="0.25">
      <c r="A6843" s="1">
        <f t="shared" si="1218"/>
        <v>45594</v>
      </c>
      <c r="B6843" s="31">
        <f>TIME(13,22,0)</f>
        <v>0.55694444444444446</v>
      </c>
      <c r="C6843" t="str">
        <f>'Inventory as of 12th Aug 2024'!A234</f>
        <v>Bigdaddy</v>
      </c>
      <c r="D6843">
        <v>2</v>
      </c>
      <c r="E6843" s="5">
        <f>Table4[[#This Row],[qty]]*(VLOOKUP(Table4[[#This Row],[item_sold]],Table1[],5,FALSE))</f>
        <v>20</v>
      </c>
      <c r="F6843" s="5">
        <f>(VLOOKUP(Table4[[#This Row],[item_sold]],Table1[],4,FALSE))*Table4[[#This Row],[qty]]</f>
        <v>12</v>
      </c>
      <c r="G6843">
        <f t="shared" si="1217"/>
        <v>8</v>
      </c>
      <c r="H6843" t="s">
        <v>361</v>
      </c>
    </row>
    <row r="6844" spans="1:9" x14ac:dyDescent="0.25">
      <c r="A6844" s="1">
        <f t="shared" si="1218"/>
        <v>45594</v>
      </c>
      <c r="B6844" s="31">
        <f>TIME(13,32,0)</f>
        <v>0.56388888888888888</v>
      </c>
      <c r="C6844" t="str">
        <f>'Inventory as of 12th Aug 2024'!A16</f>
        <v>Mt kenya milk 500ml</v>
      </c>
      <c r="D6844">
        <v>2</v>
      </c>
      <c r="E6844" s="5">
        <f>Table4[[#This Row],[qty]]*(VLOOKUP(Table4[[#This Row],[item_sold]],Table1[],5,FALSE))</f>
        <v>130</v>
      </c>
      <c r="F6844" s="5">
        <f>(VLOOKUP(Table4[[#This Row],[item_sold]],Table1[],4,FALSE))*Table4[[#This Row],[qty]]</f>
        <v>96.666666666666671</v>
      </c>
      <c r="G6844">
        <f t="shared" si="1217"/>
        <v>33.333333333333329</v>
      </c>
      <c r="H6844" t="s">
        <v>361</v>
      </c>
    </row>
    <row r="6845" spans="1:9" x14ac:dyDescent="0.25">
      <c r="A6845" s="1">
        <f t="shared" si="1218"/>
        <v>45594</v>
      </c>
      <c r="B6845" s="31">
        <f t="shared" ref="B6845:B6849" si="1227">TIME(13,32,0)</f>
        <v>0.56388888888888888</v>
      </c>
      <c r="C6845" t="str">
        <f>'Inventory as of 12th Aug 2024'!A37</f>
        <v>Festive Bread 400g</v>
      </c>
      <c r="D6845">
        <v>1</v>
      </c>
      <c r="E6845" s="5">
        <f>Table4[[#This Row],[qty]]*(VLOOKUP(Table4[[#This Row],[item_sold]],Table1[],5,FALSE))</f>
        <v>65</v>
      </c>
      <c r="F6845" s="5">
        <f>(VLOOKUP(Table4[[#This Row],[item_sold]],Table1[],4,FALSE))*Table4[[#This Row],[qty]]</f>
        <v>60</v>
      </c>
      <c r="G6845">
        <f t="shared" si="1217"/>
        <v>5</v>
      </c>
      <c r="H6845" t="s">
        <v>361</v>
      </c>
    </row>
    <row r="6846" spans="1:9" x14ac:dyDescent="0.25">
      <c r="A6846" s="1">
        <f t="shared" si="1218"/>
        <v>45594</v>
      </c>
      <c r="B6846" s="31">
        <f t="shared" si="1227"/>
        <v>0.56388888888888888</v>
      </c>
      <c r="C6846" t="str">
        <f>'Inventory as of 12th Aug 2024'!A202</f>
        <v>funtime snacks</v>
      </c>
      <c r="D6846">
        <v>3</v>
      </c>
      <c r="E6846" s="5">
        <f>Table4[[#This Row],[qty]]*(VLOOKUP(Table4[[#This Row],[item_sold]],Table1[],5,FALSE))</f>
        <v>45</v>
      </c>
      <c r="F6846" s="5">
        <f>(VLOOKUP(Table4[[#This Row],[item_sold]],Table1[],4,FALSE))*Table4[[#This Row],[qty]]</f>
        <v>27</v>
      </c>
      <c r="G6846">
        <f t="shared" si="1217"/>
        <v>18</v>
      </c>
      <c r="H6846" t="s">
        <v>430</v>
      </c>
      <c r="I6846" t="s">
        <v>428</v>
      </c>
    </row>
    <row r="6847" spans="1:9" x14ac:dyDescent="0.25">
      <c r="A6847" s="1">
        <f t="shared" si="1218"/>
        <v>45594</v>
      </c>
      <c r="B6847" s="31">
        <f t="shared" si="1227"/>
        <v>0.56388888888888888</v>
      </c>
      <c r="C6847" t="str">
        <f>'Inventory as of 12th Aug 2024'!A266</f>
        <v>Zenta Bar Soap</v>
      </c>
      <c r="D6847">
        <v>0.2</v>
      </c>
      <c r="E6847" s="5">
        <f>Table4[[#This Row],[qty]]*(VLOOKUP(Table4[[#This Row],[item_sold]],Table1[],5,FALSE))</f>
        <v>50</v>
      </c>
      <c r="F6847" s="5">
        <f>(VLOOKUP(Table4[[#This Row],[item_sold]],Table1[],4,FALSE))*Table4[[#This Row],[qty]]</f>
        <v>32</v>
      </c>
      <c r="G6847">
        <f t="shared" si="1217"/>
        <v>18</v>
      </c>
      <c r="H6847" t="s">
        <v>402</v>
      </c>
    </row>
    <row r="6848" spans="1:9" x14ac:dyDescent="0.25">
      <c r="A6848" s="1">
        <f t="shared" si="1218"/>
        <v>45594</v>
      </c>
      <c r="B6848" s="31">
        <f t="shared" si="1227"/>
        <v>0.56388888888888888</v>
      </c>
      <c r="C6848" t="str">
        <f>'Inventory as of 12th Aug 2024'!A129</f>
        <v>Eno</v>
      </c>
      <c r="D6848">
        <v>1</v>
      </c>
      <c r="E6848" s="5">
        <f>Table4[[#This Row],[qty]]*(VLOOKUP(Table4[[#This Row],[item_sold]],Table1[],5,FALSE))</f>
        <v>20</v>
      </c>
      <c r="F6848" s="5">
        <f>(VLOOKUP(Table4[[#This Row],[item_sold]],Table1[],4,FALSE))*Table4[[#This Row],[qty]]</f>
        <v>11</v>
      </c>
      <c r="G6848">
        <f t="shared" si="1217"/>
        <v>9</v>
      </c>
      <c r="H6848" t="s">
        <v>402</v>
      </c>
    </row>
    <row r="6849" spans="1:8" x14ac:dyDescent="0.25">
      <c r="A6849" s="1">
        <f t="shared" si="1218"/>
        <v>45594</v>
      </c>
      <c r="B6849" s="31">
        <f t="shared" si="1227"/>
        <v>0.56388888888888888</v>
      </c>
      <c r="C6849" t="str">
        <f>'Inventory as of 12th Aug 2024'!A58</f>
        <v>Safari</v>
      </c>
      <c r="D6849">
        <v>1</v>
      </c>
      <c r="E6849" s="5">
        <f>Table4[[#This Row],[qty]]*(VLOOKUP(Table4[[#This Row],[item_sold]],Table1[],5,FALSE))</f>
        <v>15</v>
      </c>
      <c r="F6849" s="5">
        <f>(VLOOKUP(Table4[[#This Row],[item_sold]],Table1[],4,FALSE))*Table4[[#This Row],[qty]]</f>
        <v>8.5</v>
      </c>
      <c r="G6849">
        <f t="shared" si="1217"/>
        <v>6.5</v>
      </c>
      <c r="H6849" t="s">
        <v>402</v>
      </c>
    </row>
    <row r="6850" spans="1:8" x14ac:dyDescent="0.25">
      <c r="A6850" s="1">
        <f t="shared" si="1218"/>
        <v>45594</v>
      </c>
      <c r="B6850" s="31">
        <f>TIME(13,34,0)</f>
        <v>0.56527777777777777</v>
      </c>
      <c r="C6850" t="str">
        <f>'Inventory as of 12th Aug 2024'!A242</f>
        <v>Icepop</v>
      </c>
      <c r="D6850">
        <v>1</v>
      </c>
      <c r="E6850" s="5">
        <f>Table4[[#This Row],[qty]]*(VLOOKUP(Table4[[#This Row],[item_sold]],Table1[],5,FALSE))</f>
        <v>15</v>
      </c>
      <c r="F6850" s="5">
        <f>(VLOOKUP(Table4[[#This Row],[item_sold]],Table1[],4,FALSE))*Table4[[#This Row],[qty]]</f>
        <v>7.5</v>
      </c>
      <c r="G6850">
        <f t="shared" si="1217"/>
        <v>7.5</v>
      </c>
      <c r="H6850" t="s">
        <v>402</v>
      </c>
    </row>
    <row r="6851" spans="1:8" x14ac:dyDescent="0.25">
      <c r="A6851" s="1">
        <f t="shared" si="1218"/>
        <v>45594</v>
      </c>
      <c r="B6851" s="31">
        <f t="shared" ref="B6851" si="1228">TIME(13,34,0)</f>
        <v>0.56527777777777777</v>
      </c>
      <c r="C6851" t="str">
        <f>'Inventory as of 12th Aug 2024'!A213</f>
        <v>soda 500ml glass</v>
      </c>
      <c r="D6851">
        <v>1</v>
      </c>
      <c r="E6851" s="5">
        <f>Table4[[#This Row],[qty]]*(VLOOKUP(Table4[[#This Row],[item_sold]],Table1[],5,FALSE))</f>
        <v>55</v>
      </c>
      <c r="F6851" s="5">
        <f>(VLOOKUP(Table4[[#This Row],[item_sold]],Table1[],4,FALSE))*Table4[[#This Row],[qty]]</f>
        <v>50</v>
      </c>
      <c r="G6851">
        <f t="shared" si="1217"/>
        <v>5</v>
      </c>
      <c r="H6851" t="s">
        <v>361</v>
      </c>
    </row>
    <row r="6852" spans="1:8" x14ac:dyDescent="0.25">
      <c r="A6852" s="1">
        <f t="shared" si="1218"/>
        <v>45594</v>
      </c>
      <c r="B6852" s="31">
        <f>TIME(15,30,0)</f>
        <v>0.64583333333333337</v>
      </c>
      <c r="C6852" t="str">
        <f>'Inventory as of 12th Aug 2024'!A244</f>
        <v>5ltrs water</v>
      </c>
      <c r="D6852">
        <v>1</v>
      </c>
      <c r="E6852" s="5">
        <f>Table4[[#This Row],[qty]]*(VLOOKUP(Table4[[#This Row],[item_sold]],Table1[],5,FALSE))</f>
        <v>120</v>
      </c>
      <c r="F6852" s="5">
        <f>(VLOOKUP(Table4[[#This Row],[item_sold]],Table1[],4,FALSE))*Table4[[#This Row],[qty]]</f>
        <v>75</v>
      </c>
      <c r="G6852">
        <f t="shared" si="1217"/>
        <v>45</v>
      </c>
      <c r="H6852" t="s">
        <v>361</v>
      </c>
    </row>
    <row r="6853" spans="1:8" x14ac:dyDescent="0.25">
      <c r="A6853" s="1">
        <f t="shared" si="1218"/>
        <v>45594</v>
      </c>
      <c r="B6853" s="31">
        <f t="shared" ref="B6853:B6859" si="1229">TIME(15,30,0)</f>
        <v>0.64583333333333337</v>
      </c>
      <c r="C6853" t="str">
        <f>'Inventory as of 12th Aug 2024'!A68</f>
        <v>Royco cubes</v>
      </c>
      <c r="D6853">
        <v>4</v>
      </c>
      <c r="E6853" s="5">
        <f>Table4[[#This Row],[qty]]*(VLOOKUP(Table4[[#This Row],[item_sold]],Table1[],5,FALSE))</f>
        <v>20</v>
      </c>
      <c r="F6853" s="5">
        <f>(VLOOKUP(Table4[[#This Row],[item_sold]],Table1[],4,FALSE))*Table4[[#This Row],[qty]]</f>
        <v>12</v>
      </c>
      <c r="G6853">
        <f t="shared" si="1217"/>
        <v>8</v>
      </c>
      <c r="H6853" t="s">
        <v>361</v>
      </c>
    </row>
    <row r="6854" spans="1:8" x14ac:dyDescent="0.25">
      <c r="A6854" s="1">
        <f t="shared" si="1218"/>
        <v>45594</v>
      </c>
      <c r="B6854" s="31">
        <f t="shared" si="1229"/>
        <v>0.64583333333333337</v>
      </c>
      <c r="C6854" t="str">
        <f>'Inventory as of 12th Aug 2024'!A240</f>
        <v>Bigboss</v>
      </c>
      <c r="D6854">
        <v>2</v>
      </c>
      <c r="E6854" s="5">
        <f>Table4[[#This Row],[qty]]*(VLOOKUP(Table4[[#This Row],[item_sold]],Table1[],5,FALSE))</f>
        <v>10</v>
      </c>
      <c r="F6854" s="5">
        <f>(VLOOKUP(Table4[[#This Row],[item_sold]],Table1[],4,FALSE))*Table4[[#This Row],[qty]]</f>
        <v>7</v>
      </c>
      <c r="G6854">
        <f t="shared" si="1217"/>
        <v>3</v>
      </c>
      <c r="H6854" t="s">
        <v>402</v>
      </c>
    </row>
    <row r="6855" spans="1:8" x14ac:dyDescent="0.25">
      <c r="A6855" s="1">
        <f t="shared" si="1218"/>
        <v>45594</v>
      </c>
      <c r="B6855" s="31">
        <f t="shared" si="1229"/>
        <v>0.64583333333333337</v>
      </c>
      <c r="C6855" t="str">
        <f>'Inventory as of 12th Aug 2024'!A243</f>
        <v>Ballon</v>
      </c>
      <c r="D6855">
        <v>2</v>
      </c>
      <c r="E6855" s="5">
        <f>Table4[[#This Row],[qty]]*(VLOOKUP(Table4[[#This Row],[item_sold]],Table1[],5,FALSE))</f>
        <v>20</v>
      </c>
      <c r="F6855" s="5">
        <f>(VLOOKUP(Table4[[#This Row],[item_sold]],Table1[],4,FALSE))*Table4[[#This Row],[qty]]</f>
        <v>15</v>
      </c>
      <c r="G6855">
        <f t="shared" si="1217"/>
        <v>5</v>
      </c>
      <c r="H6855" t="s">
        <v>402</v>
      </c>
    </row>
    <row r="6856" spans="1:8" x14ac:dyDescent="0.25">
      <c r="A6856" s="1">
        <f t="shared" si="1218"/>
        <v>45594</v>
      </c>
      <c r="B6856" s="31">
        <f t="shared" si="1229"/>
        <v>0.64583333333333337</v>
      </c>
      <c r="C6856" t="str">
        <f>'Inventory as of 12th Aug 2024'!A267</f>
        <v>Ting Ting</v>
      </c>
      <c r="D6856">
        <v>2</v>
      </c>
      <c r="E6856" s="5">
        <f>Table4[[#This Row],[qty]]*(VLOOKUP(Table4[[#This Row],[item_sold]],Table1[],5,FALSE))</f>
        <v>10</v>
      </c>
      <c r="F6856" s="5">
        <f>(VLOOKUP(Table4[[#This Row],[item_sold]],Table1[],4,FALSE))*Table4[[#This Row],[qty]]</f>
        <v>8.1199999999999992</v>
      </c>
      <c r="G6856">
        <f t="shared" si="1217"/>
        <v>1.8800000000000008</v>
      </c>
      <c r="H6856" t="s">
        <v>402</v>
      </c>
    </row>
    <row r="6857" spans="1:8" x14ac:dyDescent="0.25">
      <c r="A6857" s="1">
        <f t="shared" si="1218"/>
        <v>45594</v>
      </c>
      <c r="B6857" s="31">
        <f t="shared" si="1229"/>
        <v>0.64583333333333337</v>
      </c>
      <c r="C6857" t="str">
        <f>'Inventory as of 12th Aug 2024'!A185</f>
        <v>Glucose 10g</v>
      </c>
      <c r="D6857">
        <v>2</v>
      </c>
      <c r="E6857" s="5">
        <f>Table4[[#This Row],[qty]]*(VLOOKUP(Table4[[#This Row],[item_sold]],Table1[],5,FALSE))</f>
        <v>10</v>
      </c>
      <c r="F6857" s="5">
        <f>(VLOOKUP(Table4[[#This Row],[item_sold]],Table1[],4,FALSE))*Table4[[#This Row],[qty]]</f>
        <v>7.5</v>
      </c>
      <c r="G6857">
        <f t="shared" si="1217"/>
        <v>2.5</v>
      </c>
      <c r="H6857" t="s">
        <v>402</v>
      </c>
    </row>
    <row r="6858" spans="1:8" x14ac:dyDescent="0.25">
      <c r="A6858" s="1">
        <f t="shared" si="1218"/>
        <v>45594</v>
      </c>
      <c r="B6858" s="31">
        <f t="shared" si="1229"/>
        <v>0.64583333333333337</v>
      </c>
      <c r="C6858" t="str">
        <f>'Inventory as of 12th Aug 2024'!A267</f>
        <v>Ting Ting</v>
      </c>
      <c r="D6858">
        <v>1</v>
      </c>
      <c r="E6858" s="5">
        <f>Table4[[#This Row],[qty]]*(VLOOKUP(Table4[[#This Row],[item_sold]],Table1[],5,FALSE))</f>
        <v>5</v>
      </c>
      <c r="F6858" s="5">
        <f>(VLOOKUP(Table4[[#This Row],[item_sold]],Table1[],4,FALSE))*Table4[[#This Row],[qty]]</f>
        <v>4.0599999999999996</v>
      </c>
      <c r="G6858">
        <f t="shared" si="1217"/>
        <v>0.94000000000000039</v>
      </c>
      <c r="H6858" t="s">
        <v>402</v>
      </c>
    </row>
    <row r="6859" spans="1:8" x14ac:dyDescent="0.25">
      <c r="A6859" s="1">
        <f t="shared" si="1218"/>
        <v>45594</v>
      </c>
      <c r="B6859" s="31">
        <f t="shared" si="1229"/>
        <v>0.64583333333333337</v>
      </c>
      <c r="C6859" t="str">
        <f>'Inventory as of 12th Aug 2024'!A240</f>
        <v>Bigboss</v>
      </c>
      <c r="D6859">
        <v>1</v>
      </c>
      <c r="E6859" s="5">
        <f>Table4[[#This Row],[qty]]*(VLOOKUP(Table4[[#This Row],[item_sold]],Table1[],5,FALSE))</f>
        <v>5</v>
      </c>
      <c r="F6859" s="5">
        <f>(VLOOKUP(Table4[[#This Row],[item_sold]],Table1[],4,FALSE))*Table4[[#This Row],[qty]]</f>
        <v>3.5</v>
      </c>
      <c r="G6859">
        <f t="shared" si="1217"/>
        <v>1.5</v>
      </c>
      <c r="H6859" t="s">
        <v>402</v>
      </c>
    </row>
    <row r="6860" spans="1:8" x14ac:dyDescent="0.25">
      <c r="A6860" s="1">
        <f t="shared" si="1218"/>
        <v>45594</v>
      </c>
      <c r="B6860" s="31">
        <f>TIME(16,23,0)</f>
        <v>0.68263888888888891</v>
      </c>
      <c r="C6860" t="str">
        <f>'Inventory as of 12th Aug 2024'!A35</f>
        <v>Festive 600g</v>
      </c>
      <c r="D6860">
        <v>1</v>
      </c>
      <c r="E6860" s="5">
        <f>Table4[[#This Row],[qty]]*(VLOOKUP(Table4[[#This Row],[item_sold]],Table1[],5,FALSE))</f>
        <v>100</v>
      </c>
      <c r="F6860" s="5">
        <f>(VLOOKUP(Table4[[#This Row],[item_sold]],Table1[],4,FALSE))*Table4[[#This Row],[qty]]</f>
        <v>90</v>
      </c>
      <c r="G6860">
        <f t="shared" si="1217"/>
        <v>10</v>
      </c>
      <c r="H6860" t="s">
        <v>361</v>
      </c>
    </row>
    <row r="6861" spans="1:8" x14ac:dyDescent="0.25">
      <c r="A6861" s="1">
        <f t="shared" si="1218"/>
        <v>45594</v>
      </c>
      <c r="B6861" s="31">
        <f t="shared" ref="B6861" si="1230">TIME(16,23,0)</f>
        <v>0.68263888888888891</v>
      </c>
      <c r="C6861" t="str">
        <f>'Inventory as of 12th Aug 2024'!A242</f>
        <v>Icepop</v>
      </c>
      <c r="D6861">
        <v>2</v>
      </c>
      <c r="E6861" s="5">
        <f>Table4[[#This Row],[qty]]*(VLOOKUP(Table4[[#This Row],[item_sold]],Table1[],5,FALSE))</f>
        <v>30</v>
      </c>
      <c r="F6861" s="5">
        <f>(VLOOKUP(Table4[[#This Row],[item_sold]],Table1[],4,FALSE))*Table4[[#This Row],[qty]]</f>
        <v>15</v>
      </c>
      <c r="G6861">
        <f t="shared" si="1217"/>
        <v>15</v>
      </c>
      <c r="H6861" t="s">
        <v>361</v>
      </c>
    </row>
    <row r="6862" spans="1:8" x14ac:dyDescent="0.25">
      <c r="A6862" s="1">
        <f t="shared" si="1218"/>
        <v>45594</v>
      </c>
      <c r="B6862" s="31">
        <f>TIME(16,25,0)</f>
        <v>0.68402777777777779</v>
      </c>
      <c r="C6862" t="str">
        <f>'Inventory as of 12th Aug 2024'!A58</f>
        <v>Safari</v>
      </c>
      <c r="D6862">
        <v>1</v>
      </c>
      <c r="E6862" s="5">
        <f>Table4[[#This Row],[qty]]*(VLOOKUP(Table4[[#This Row],[item_sold]],Table1[],5,FALSE))</f>
        <v>15</v>
      </c>
      <c r="F6862" s="5">
        <f>(VLOOKUP(Table4[[#This Row],[item_sold]],Table1[],4,FALSE))*Table4[[#This Row],[qty]]</f>
        <v>8.5</v>
      </c>
      <c r="G6862">
        <f t="shared" si="1217"/>
        <v>6.5</v>
      </c>
      <c r="H6862" t="s">
        <v>361</v>
      </c>
    </row>
    <row r="6863" spans="1:8" x14ac:dyDescent="0.25">
      <c r="A6863" s="1">
        <f t="shared" si="1218"/>
        <v>45594</v>
      </c>
      <c r="B6863" s="31">
        <f>TIME(17,31,0)</f>
        <v>0.72986111111111107</v>
      </c>
      <c r="C6863" t="str">
        <f>'Inventory as of 12th Aug 2024'!A208</f>
        <v>minutemaid 400ml</v>
      </c>
      <c r="D6863">
        <v>1</v>
      </c>
      <c r="E6863" s="5">
        <f>Table4[[#This Row],[qty]]*(VLOOKUP(Table4[[#This Row],[item_sold]],Table1[],5,FALSE))</f>
        <v>85</v>
      </c>
      <c r="F6863" s="5">
        <f>(VLOOKUP(Table4[[#This Row],[item_sold]],Table1[],4,FALSE))*Table4[[#This Row],[qty]]</f>
        <v>62.5</v>
      </c>
      <c r="G6863">
        <f t="shared" si="1217"/>
        <v>22.5</v>
      </c>
      <c r="H6863" t="s">
        <v>361</v>
      </c>
    </row>
    <row r="6864" spans="1:8" x14ac:dyDescent="0.25">
      <c r="A6864" s="1">
        <f t="shared" si="1218"/>
        <v>45594</v>
      </c>
      <c r="B6864" s="31">
        <f>TIME(17,42,0)</f>
        <v>0.73749999999999993</v>
      </c>
      <c r="C6864" t="str">
        <f>'Inventory as of 12th Aug 2024'!A199</f>
        <v>Kdf</v>
      </c>
      <c r="D6864">
        <v>1</v>
      </c>
      <c r="E6864" s="5">
        <f>Table4[[#This Row],[qty]]*(VLOOKUP(Table4[[#This Row],[item_sold]],Table1[],5,FALSE))</f>
        <v>10</v>
      </c>
      <c r="F6864" s="5">
        <f>(VLOOKUP(Table4[[#This Row],[item_sold]],Table1[],4,FALSE))*Table4[[#This Row],[qty]]</f>
        <v>8.3333333333333339</v>
      </c>
      <c r="G6864">
        <f t="shared" si="1217"/>
        <v>1.6666666666666661</v>
      </c>
      <c r="H6864" t="s">
        <v>402</v>
      </c>
    </row>
    <row r="6865" spans="1:12" x14ac:dyDescent="0.25">
      <c r="A6865" s="1">
        <f t="shared" si="1218"/>
        <v>45594</v>
      </c>
      <c r="B6865" s="31">
        <f>TIME(18,6,0)</f>
        <v>0.75416666666666676</v>
      </c>
      <c r="C6865" t="str">
        <f>'Inventory as of 12th Aug 2024'!A214</f>
        <v>smash juice</v>
      </c>
      <c r="D6865">
        <v>1</v>
      </c>
      <c r="E6865" s="5">
        <f>Table4[[#This Row],[qty]]*(VLOOKUP(Table4[[#This Row],[item_sold]],Table1[],5,FALSE))</f>
        <v>20</v>
      </c>
      <c r="F6865" s="5">
        <f>(VLOOKUP(Table4[[#This Row],[item_sold]],Table1[],4,FALSE))*Table4[[#This Row],[qty]]</f>
        <v>15</v>
      </c>
      <c r="G6865">
        <f t="shared" si="1217"/>
        <v>5</v>
      </c>
      <c r="H6865" t="s">
        <v>361</v>
      </c>
    </row>
    <row r="6866" spans="1:12" x14ac:dyDescent="0.25">
      <c r="A6866" s="1">
        <f t="shared" si="1218"/>
        <v>45594</v>
      </c>
      <c r="B6866" s="31">
        <f t="shared" ref="B6866:B6870" si="1231">TIME(18,6,0)</f>
        <v>0.75416666666666676</v>
      </c>
      <c r="C6866" t="str">
        <f>'Inventory as of 12th Aug 2024'!A199</f>
        <v>Kdf</v>
      </c>
      <c r="D6866">
        <v>1</v>
      </c>
      <c r="E6866" s="5">
        <f>Table4[[#This Row],[qty]]*(VLOOKUP(Table4[[#This Row],[item_sold]],Table1[],5,FALSE))</f>
        <v>10</v>
      </c>
      <c r="F6866" s="5">
        <f>(VLOOKUP(Table4[[#This Row],[item_sold]],Table1[],4,FALSE))*Table4[[#This Row],[qty]]</f>
        <v>8.3333333333333339</v>
      </c>
      <c r="G6866">
        <f t="shared" si="1217"/>
        <v>1.6666666666666661</v>
      </c>
      <c r="H6866" t="s">
        <v>361</v>
      </c>
    </row>
    <row r="6867" spans="1:12" x14ac:dyDescent="0.25">
      <c r="A6867" s="1">
        <f t="shared" si="1218"/>
        <v>45594</v>
      </c>
      <c r="B6867" s="31">
        <f t="shared" si="1231"/>
        <v>0.75416666666666676</v>
      </c>
      <c r="C6867" t="str">
        <f>'Inventory as of 12th Aug 2024'!A233</f>
        <v>Lollipop</v>
      </c>
      <c r="D6867">
        <v>1</v>
      </c>
      <c r="E6867" s="5">
        <f>Table4[[#This Row],[qty]]*(VLOOKUP(Table4[[#This Row],[item_sold]],Table1[],5,FALSE))</f>
        <v>5</v>
      </c>
      <c r="F6867" s="5">
        <f>(VLOOKUP(Table4[[#This Row],[item_sold]],Table1[],4,FALSE))*Table4[[#This Row],[qty]]</f>
        <v>2.4</v>
      </c>
      <c r="G6867">
        <f t="shared" si="1217"/>
        <v>2.6</v>
      </c>
      <c r="H6867" t="s">
        <v>361</v>
      </c>
      <c r="J6867" t="s">
        <v>590</v>
      </c>
      <c r="K6867">
        <v>130</v>
      </c>
      <c r="L6867" t="s">
        <v>361</v>
      </c>
    </row>
    <row r="6868" spans="1:12" x14ac:dyDescent="0.25">
      <c r="A6868" s="1">
        <f t="shared" si="1218"/>
        <v>45594</v>
      </c>
      <c r="B6868" s="31">
        <f t="shared" si="1231"/>
        <v>0.75416666666666676</v>
      </c>
      <c r="C6868" t="str">
        <f>'Inventory as of 12th Aug 2024'!A37</f>
        <v>Festive Bread 400g</v>
      </c>
      <c r="D6868">
        <v>1</v>
      </c>
      <c r="E6868" s="5">
        <f>Table4[[#This Row],[qty]]*(VLOOKUP(Table4[[#This Row],[item_sold]],Table1[],5,FALSE))</f>
        <v>65</v>
      </c>
      <c r="F6868" s="5">
        <f>(VLOOKUP(Table4[[#This Row],[item_sold]],Table1[],4,FALSE))*Table4[[#This Row],[qty]]</f>
        <v>60</v>
      </c>
      <c r="G6868">
        <f t="shared" ref="G6868:G6931" si="1232">E6868-F6868</f>
        <v>5</v>
      </c>
      <c r="H6868" t="s">
        <v>402</v>
      </c>
      <c r="J6868" t="s">
        <v>591</v>
      </c>
      <c r="K6868">
        <v>120</v>
      </c>
      <c r="L6868" t="s">
        <v>247</v>
      </c>
    </row>
    <row r="6869" spans="1:12" x14ac:dyDescent="0.25">
      <c r="A6869" s="1">
        <f t="shared" si="1218"/>
        <v>45594</v>
      </c>
      <c r="B6869" s="31">
        <f t="shared" si="1231"/>
        <v>0.75416666666666676</v>
      </c>
      <c r="C6869" t="str">
        <f>'Inventory as of 12th Aug 2024'!A240</f>
        <v>Bigboss</v>
      </c>
      <c r="D6869">
        <v>6</v>
      </c>
      <c r="E6869" s="5">
        <f>Table4[[#This Row],[qty]]*(VLOOKUP(Table4[[#This Row],[item_sold]],Table1[],5,FALSE))</f>
        <v>30</v>
      </c>
      <c r="F6869" s="5">
        <f>(VLOOKUP(Table4[[#This Row],[item_sold]],Table1[],4,FALSE))*Table4[[#This Row],[qty]]</f>
        <v>21</v>
      </c>
      <c r="G6869">
        <f t="shared" si="1232"/>
        <v>9</v>
      </c>
      <c r="H6869" t="s">
        <v>402</v>
      </c>
    </row>
    <row r="6870" spans="1:12" x14ac:dyDescent="0.25">
      <c r="A6870" s="1">
        <f t="shared" si="1218"/>
        <v>45594</v>
      </c>
      <c r="B6870" s="31">
        <f t="shared" si="1231"/>
        <v>0.75416666666666676</v>
      </c>
      <c r="C6870" t="str">
        <f>'Inventory as of 12th Aug 2024'!A207</f>
        <v>soda 350ml plastic</v>
      </c>
      <c r="D6870">
        <v>1</v>
      </c>
      <c r="E6870" s="5">
        <f>Table4[[#This Row],[qty]]*(VLOOKUP(Table4[[#This Row],[item_sold]],Table1[],5,FALSE))</f>
        <v>50</v>
      </c>
      <c r="F6870" s="5">
        <f>(VLOOKUP(Table4[[#This Row],[item_sold]],Table1[],4,FALSE))*Table4[[#This Row],[qty]]</f>
        <v>41.666666666666664</v>
      </c>
      <c r="G6870">
        <f t="shared" si="1232"/>
        <v>8.3333333333333357</v>
      </c>
      <c r="H6870" t="s">
        <v>402</v>
      </c>
    </row>
    <row r="6871" spans="1:12" x14ac:dyDescent="0.25">
      <c r="A6871" s="1">
        <f t="shared" si="1218"/>
        <v>45594</v>
      </c>
      <c r="B6871" s="31">
        <f>TIME(18,41,0)</f>
        <v>0.77847222222222223</v>
      </c>
      <c r="C6871" t="str">
        <f>'Inventory as of 12th Aug 2024'!A83</f>
        <v>omo 75g</v>
      </c>
      <c r="D6871">
        <v>2</v>
      </c>
      <c r="E6871" s="5">
        <f>Table4[[#This Row],[qty]]*(VLOOKUP(Table4[[#This Row],[item_sold]],Table1[],5,FALSE))</f>
        <v>70</v>
      </c>
      <c r="F6871" s="5">
        <f>(VLOOKUP(Table4[[#This Row],[item_sold]],Table1[],4,FALSE))*Table4[[#This Row],[qty]]</f>
        <v>55</v>
      </c>
      <c r="G6871">
        <f t="shared" si="1232"/>
        <v>15</v>
      </c>
      <c r="H6871" t="s">
        <v>430</v>
      </c>
      <c r="I6871" t="s">
        <v>394</v>
      </c>
    </row>
    <row r="6872" spans="1:12" x14ac:dyDescent="0.25">
      <c r="A6872" s="1">
        <f t="shared" ref="A6872:A6888" si="1233">DATE(2024,10,29)</f>
        <v>45594</v>
      </c>
      <c r="B6872" s="31">
        <f t="shared" ref="B6872" si="1234">TIME(18,41,0)</f>
        <v>0.77847222222222223</v>
      </c>
      <c r="C6872" t="str">
        <f>'Inventory as of 12th Aug 2024'!A266</f>
        <v>Zenta Bar Soap</v>
      </c>
      <c r="D6872">
        <v>1</v>
      </c>
      <c r="E6872" s="5">
        <f>Table4[[#This Row],[qty]]*(VLOOKUP(Table4[[#This Row],[item_sold]],Table1[],5,FALSE))</f>
        <v>250</v>
      </c>
      <c r="F6872" s="5">
        <f>(VLOOKUP(Table4[[#This Row],[item_sold]],Table1[],4,FALSE))*Table4[[#This Row],[qty]]</f>
        <v>160</v>
      </c>
      <c r="G6872">
        <f t="shared" si="1232"/>
        <v>90</v>
      </c>
      <c r="H6872" t="s">
        <v>430</v>
      </c>
      <c r="I6872" t="s">
        <v>394</v>
      </c>
    </row>
    <row r="6873" spans="1:12" x14ac:dyDescent="0.25">
      <c r="A6873" s="1">
        <f t="shared" si="1233"/>
        <v>45594</v>
      </c>
      <c r="B6873" s="31">
        <f>TIME(18,48,0)</f>
        <v>0.78333333333333333</v>
      </c>
      <c r="C6873" t="str">
        <f>'Inventory as of 12th Aug 2024'!A146</f>
        <v>Black Shampoo</v>
      </c>
      <c r="D6873">
        <v>3</v>
      </c>
      <c r="E6873" s="5">
        <f>Table4[[#This Row],[qty]]*(VLOOKUP(Table4[[#This Row],[item_sold]],Table1[],5,FALSE))</f>
        <v>150</v>
      </c>
      <c r="F6873" s="5">
        <f>(VLOOKUP(Table4[[#This Row],[item_sold]],Table1[],4,FALSE))*Table4[[#This Row],[qty]]</f>
        <v>84</v>
      </c>
      <c r="G6873">
        <f t="shared" si="1232"/>
        <v>66</v>
      </c>
      <c r="H6873" t="s">
        <v>361</v>
      </c>
    </row>
    <row r="6874" spans="1:12" x14ac:dyDescent="0.25">
      <c r="A6874" s="1">
        <f t="shared" si="1233"/>
        <v>45594</v>
      </c>
      <c r="B6874" s="31">
        <f t="shared" ref="B6874" si="1235">TIME(18,48,0)</f>
        <v>0.78333333333333333</v>
      </c>
      <c r="C6874" t="str">
        <f>'Inventory as of 12th Aug 2024'!A199</f>
        <v>Kdf</v>
      </c>
      <c r="D6874">
        <v>2</v>
      </c>
      <c r="E6874" s="5">
        <f>Table4[[#This Row],[qty]]*(VLOOKUP(Table4[[#This Row],[item_sold]],Table1[],5,FALSE))</f>
        <v>20</v>
      </c>
      <c r="F6874" s="5">
        <f>(VLOOKUP(Table4[[#This Row],[item_sold]],Table1[],4,FALSE))*Table4[[#This Row],[qty]]</f>
        <v>16.666666666666668</v>
      </c>
      <c r="G6874">
        <f t="shared" si="1232"/>
        <v>3.3333333333333321</v>
      </c>
      <c r="H6874" t="s">
        <v>402</v>
      </c>
    </row>
    <row r="6875" spans="1:12" x14ac:dyDescent="0.25">
      <c r="A6875" s="1">
        <f t="shared" si="1233"/>
        <v>45594</v>
      </c>
      <c r="B6875" s="31">
        <f>TIME(19,1,0)</f>
        <v>0.79236111111111107</v>
      </c>
      <c r="C6875" t="str">
        <f>'Inventory as of 12th Aug 2024'!A58</f>
        <v>Safari</v>
      </c>
      <c r="D6875">
        <v>1</v>
      </c>
      <c r="E6875" s="5">
        <f>Table4[[#This Row],[qty]]*(VLOOKUP(Table4[[#This Row],[item_sold]],Table1[],5,FALSE))</f>
        <v>15</v>
      </c>
      <c r="F6875" s="5">
        <f>(VLOOKUP(Table4[[#This Row],[item_sold]],Table1[],4,FALSE))*Table4[[#This Row],[qty]]</f>
        <v>8.5</v>
      </c>
      <c r="G6875">
        <f t="shared" si="1232"/>
        <v>6.5</v>
      </c>
      <c r="H6875" t="s">
        <v>361</v>
      </c>
    </row>
    <row r="6876" spans="1:12" x14ac:dyDescent="0.25">
      <c r="A6876" s="1">
        <f t="shared" si="1233"/>
        <v>45594</v>
      </c>
      <c r="B6876" s="31">
        <f>TIME(19,10,0)</f>
        <v>0.79861111111111116</v>
      </c>
      <c r="C6876" t="str">
        <f>'Inventory as of 12th Aug 2024'!A16</f>
        <v>Mt kenya milk 500ml</v>
      </c>
      <c r="D6876">
        <v>1</v>
      </c>
      <c r="E6876" s="5">
        <f>Table4[[#This Row],[qty]]*(VLOOKUP(Table4[[#This Row],[item_sold]],Table1[],5,FALSE))</f>
        <v>65</v>
      </c>
      <c r="F6876" s="5">
        <f>(VLOOKUP(Table4[[#This Row],[item_sold]],Table1[],4,FALSE))*Table4[[#This Row],[qty]]</f>
        <v>48.333333333333336</v>
      </c>
      <c r="G6876">
        <f t="shared" si="1232"/>
        <v>16.666666666666664</v>
      </c>
      <c r="H6876" t="s">
        <v>402</v>
      </c>
    </row>
    <row r="6877" spans="1:12" x14ac:dyDescent="0.25">
      <c r="A6877" s="1">
        <f t="shared" si="1233"/>
        <v>45594</v>
      </c>
      <c r="B6877" s="31">
        <f>TIME(19,55,0)</f>
        <v>0.82986111111111116</v>
      </c>
      <c r="C6877" t="str">
        <f>'Inventory as of 12th Aug 2024'!A61</f>
        <v>kensalt 500g</v>
      </c>
      <c r="D6877">
        <v>1</v>
      </c>
      <c r="E6877" s="5">
        <f>Table4[[#This Row],[qty]]*(VLOOKUP(Table4[[#This Row],[item_sold]],Table1[],5,FALSE))</f>
        <v>25</v>
      </c>
      <c r="F6877" s="5">
        <f>(VLOOKUP(Table4[[#This Row],[item_sold]],Table1[],4,FALSE))*Table4[[#This Row],[qty]]</f>
        <v>14</v>
      </c>
      <c r="G6877">
        <f t="shared" si="1232"/>
        <v>11</v>
      </c>
      <c r="H6877" t="s">
        <v>402</v>
      </c>
    </row>
    <row r="6878" spans="1:12" x14ac:dyDescent="0.25">
      <c r="A6878" s="1">
        <f t="shared" si="1233"/>
        <v>45594</v>
      </c>
      <c r="B6878" s="31">
        <f>TIME(20,3,0)</f>
        <v>0.8354166666666667</v>
      </c>
      <c r="C6878" t="str">
        <f>'Inventory as of 12th Aug 2024'!A12</f>
        <v>Kienyeji  Eggs</v>
      </c>
      <c r="D6878">
        <v>3</v>
      </c>
      <c r="E6878" s="5">
        <f>Table4[[#This Row],[qty]]*(VLOOKUP(Table4[[#This Row],[item_sold]],Table1[],5,FALSE))</f>
        <v>90</v>
      </c>
      <c r="F6878" s="5">
        <f>(VLOOKUP(Table4[[#This Row],[item_sold]],Table1[],4,FALSE))*Table4[[#This Row],[qty]]</f>
        <v>60</v>
      </c>
      <c r="G6878">
        <f t="shared" si="1232"/>
        <v>30</v>
      </c>
      <c r="H6878" t="s">
        <v>361</v>
      </c>
    </row>
    <row r="6879" spans="1:12" x14ac:dyDescent="0.25">
      <c r="A6879" s="1">
        <f t="shared" si="1233"/>
        <v>45594</v>
      </c>
      <c r="B6879" s="31">
        <f>TIME(16,21,0)</f>
        <v>0.68125000000000002</v>
      </c>
      <c r="C6879" t="str">
        <f>'Inventory as of 12th Aug 2024'!A211</f>
        <v>predator</v>
      </c>
      <c r="D6879">
        <v>1</v>
      </c>
      <c r="E6879" s="5">
        <f>Table4[[#This Row],[qty]]*(VLOOKUP(Table4[[#This Row],[item_sold]],Table1[],5,FALSE))</f>
        <v>70</v>
      </c>
      <c r="F6879" s="5">
        <f>(VLOOKUP(Table4[[#This Row],[item_sold]],Table1[],4,FALSE))*Table4[[#This Row],[qty]]</f>
        <v>54.166666666666664</v>
      </c>
      <c r="G6879">
        <f t="shared" si="1232"/>
        <v>15.833333333333336</v>
      </c>
      <c r="H6879" t="s">
        <v>361</v>
      </c>
    </row>
    <row r="6880" spans="1:12" x14ac:dyDescent="0.25">
      <c r="A6880" s="1">
        <f t="shared" si="1233"/>
        <v>45594</v>
      </c>
      <c r="B6880" s="31">
        <f t="shared" ref="B6880:B6882" si="1236">TIME(16,21,0)</f>
        <v>0.68125000000000002</v>
      </c>
      <c r="C6880" t="str">
        <f>'Inventory as of 12th Aug 2024'!A199</f>
        <v>Kdf</v>
      </c>
      <c r="D6880">
        <v>1</v>
      </c>
      <c r="E6880" s="5">
        <f>Table4[[#This Row],[qty]]*(VLOOKUP(Table4[[#This Row],[item_sold]],Table1[],5,FALSE))</f>
        <v>10</v>
      </c>
      <c r="F6880" s="5">
        <f>(VLOOKUP(Table4[[#This Row],[item_sold]],Table1[],4,FALSE))*Table4[[#This Row],[qty]]</f>
        <v>8.3333333333333339</v>
      </c>
      <c r="G6880">
        <f t="shared" si="1232"/>
        <v>1.6666666666666661</v>
      </c>
      <c r="H6880" t="s">
        <v>247</v>
      </c>
    </row>
    <row r="6881" spans="1:9" x14ac:dyDescent="0.25">
      <c r="A6881" s="1">
        <f t="shared" si="1233"/>
        <v>45594</v>
      </c>
      <c r="B6881" s="31">
        <f t="shared" si="1236"/>
        <v>0.68125000000000002</v>
      </c>
      <c r="C6881" t="str">
        <f>'Inventory as of 12th Aug 2024'!A120</f>
        <v>Maramoja</v>
      </c>
      <c r="D6881">
        <v>1</v>
      </c>
      <c r="E6881" s="5">
        <f>Table4[[#This Row],[qty]]*(VLOOKUP(Table4[[#This Row],[item_sold]],Table1[],5,FALSE))</f>
        <v>10</v>
      </c>
      <c r="F6881" s="5">
        <f>(VLOOKUP(Table4[[#This Row],[item_sold]],Table1[],4,FALSE))*Table4[[#This Row],[qty]]</f>
        <v>7</v>
      </c>
      <c r="G6881">
        <f t="shared" si="1232"/>
        <v>3</v>
      </c>
      <c r="H6881" t="s">
        <v>247</v>
      </c>
    </row>
    <row r="6882" spans="1:9" x14ac:dyDescent="0.25">
      <c r="A6882" s="1">
        <f t="shared" si="1233"/>
        <v>45594</v>
      </c>
      <c r="B6882" s="31">
        <f t="shared" si="1236"/>
        <v>0.68125000000000002</v>
      </c>
      <c r="C6882" t="str">
        <f>'Inventory as of 12th Aug 2024'!A186</f>
        <v>Glucose 50g</v>
      </c>
      <c r="D6882">
        <v>1</v>
      </c>
      <c r="E6882" s="5">
        <f>Table4[[#This Row],[qty]]*(VLOOKUP(Table4[[#This Row],[item_sold]],Table1[],5,FALSE))</f>
        <v>30</v>
      </c>
      <c r="F6882" s="5">
        <f>(VLOOKUP(Table4[[#This Row],[item_sold]],Table1[],4,FALSE))*Table4[[#This Row],[qty]]</f>
        <v>15.833333333333334</v>
      </c>
      <c r="G6882">
        <f t="shared" si="1232"/>
        <v>14.166666666666666</v>
      </c>
      <c r="H6882" t="s">
        <v>430</v>
      </c>
      <c r="I6882" t="s">
        <v>385</v>
      </c>
    </row>
    <row r="6883" spans="1:9" x14ac:dyDescent="0.25">
      <c r="A6883" s="1">
        <f t="shared" si="1233"/>
        <v>45594</v>
      </c>
      <c r="B6883" s="31">
        <f>TIME(20,15,0)</f>
        <v>0.84375</v>
      </c>
      <c r="C6883" t="str">
        <f>'Inventory as of 12th Aug 2024'!A58</f>
        <v>Safari</v>
      </c>
      <c r="D6883">
        <v>1</v>
      </c>
      <c r="E6883" s="5">
        <f>Table4[[#This Row],[qty]]*(VLOOKUP(Table4[[#This Row],[item_sold]],Table1[],5,FALSE))</f>
        <v>15</v>
      </c>
      <c r="F6883" s="5">
        <f>(VLOOKUP(Table4[[#This Row],[item_sold]],Table1[],4,FALSE))*Table4[[#This Row],[qty]]</f>
        <v>8.5</v>
      </c>
      <c r="G6883">
        <f t="shared" si="1232"/>
        <v>6.5</v>
      </c>
      <c r="H6883" t="s">
        <v>361</v>
      </c>
    </row>
    <row r="6884" spans="1:9" x14ac:dyDescent="0.25">
      <c r="A6884" s="1">
        <f t="shared" si="1233"/>
        <v>45594</v>
      </c>
      <c r="B6884" s="31">
        <f>TIME(20,20,0)</f>
        <v>0.84722222222222221</v>
      </c>
      <c r="C6884" t="str">
        <f>'Inventory as of 12th Aug 2024'!A123</f>
        <v>Kaluma Pain Balm Small</v>
      </c>
      <c r="D6884">
        <v>1</v>
      </c>
      <c r="E6884" s="5">
        <f>Table4[[#This Row],[qty]]*(VLOOKUP(Table4[[#This Row],[item_sold]],Table1[],5,FALSE))</f>
        <v>30</v>
      </c>
      <c r="F6884" s="5">
        <f>(VLOOKUP(Table4[[#This Row],[item_sold]],Table1[],4,FALSE))*Table4[[#This Row],[qty]]</f>
        <v>23.333333333333332</v>
      </c>
      <c r="G6884">
        <f t="shared" si="1232"/>
        <v>6.6666666666666679</v>
      </c>
      <c r="H6884" t="s">
        <v>361</v>
      </c>
    </row>
    <row r="6885" spans="1:9" x14ac:dyDescent="0.25">
      <c r="A6885" s="1">
        <f t="shared" si="1233"/>
        <v>45594</v>
      </c>
      <c r="B6885" s="31">
        <f t="shared" ref="B6885:B6888" si="1237">TIME(20,20,0)</f>
        <v>0.84722222222222221</v>
      </c>
      <c r="C6885" t="str">
        <f>'Inventory as of 12th Aug 2024'!A8</f>
        <v>eggs</v>
      </c>
      <c r="D6885">
        <v>6</v>
      </c>
      <c r="E6885" s="5">
        <f>Table4[[#This Row],[qty]]*(VLOOKUP(Table4[[#This Row],[item_sold]],Table1[],5,FALSE))</f>
        <v>120</v>
      </c>
      <c r="F6885" s="5">
        <f>(VLOOKUP(Table4[[#This Row],[item_sold]],Table1[],4,FALSE))*Table4[[#This Row],[qty]]</f>
        <v>86</v>
      </c>
      <c r="G6885">
        <f t="shared" si="1232"/>
        <v>34</v>
      </c>
      <c r="H6885" t="s">
        <v>430</v>
      </c>
      <c r="I6885" t="s">
        <v>456</v>
      </c>
    </row>
    <row r="6886" spans="1:9" x14ac:dyDescent="0.25">
      <c r="A6886" s="1">
        <f t="shared" si="1233"/>
        <v>45594</v>
      </c>
      <c r="B6886" s="31">
        <f t="shared" si="1237"/>
        <v>0.84722222222222221</v>
      </c>
      <c r="C6886" t="str">
        <f>'Inventory as of 12th Aug 2024'!A16</f>
        <v>Mt kenya milk 500ml</v>
      </c>
      <c r="D6886">
        <v>1</v>
      </c>
      <c r="E6886" s="5">
        <f>Table4[[#This Row],[qty]]*(VLOOKUP(Table4[[#This Row],[item_sold]],Table1[],5,FALSE))</f>
        <v>65</v>
      </c>
      <c r="F6886" s="5">
        <f>(VLOOKUP(Table4[[#This Row],[item_sold]],Table1[],4,FALSE))*Table4[[#This Row],[qty]]</f>
        <v>48.333333333333336</v>
      </c>
      <c r="G6886">
        <f t="shared" si="1232"/>
        <v>16.666666666666664</v>
      </c>
      <c r="H6886" t="s">
        <v>430</v>
      </c>
      <c r="I6886" t="s">
        <v>455</v>
      </c>
    </row>
    <row r="6887" spans="1:9" x14ac:dyDescent="0.25">
      <c r="A6887" s="1">
        <f t="shared" si="1233"/>
        <v>45594</v>
      </c>
      <c r="B6887" s="31">
        <f t="shared" si="1237"/>
        <v>0.84722222222222221</v>
      </c>
      <c r="C6887" t="str">
        <f>'Inventory as of 12th Aug 2024'!A91</f>
        <v>Tomatoes</v>
      </c>
      <c r="D6887">
        <v>4</v>
      </c>
      <c r="E6887" s="5">
        <f>Table4[[#This Row],[qty]]*(VLOOKUP(Table4[[#This Row],[item_sold]],Table1[],5,FALSE))</f>
        <v>40</v>
      </c>
      <c r="F6887" s="5">
        <f>(VLOOKUP(Table4[[#This Row],[item_sold]],Table1[],4,FALSE))*Table4[[#This Row],[qty]]</f>
        <v>20</v>
      </c>
      <c r="G6887">
        <f t="shared" si="1232"/>
        <v>20</v>
      </c>
      <c r="H6887" t="s">
        <v>361</v>
      </c>
    </row>
    <row r="6888" spans="1:9" x14ac:dyDescent="0.25">
      <c r="A6888" s="1">
        <f t="shared" si="1233"/>
        <v>45594</v>
      </c>
      <c r="B6888" s="31">
        <f t="shared" si="1237"/>
        <v>0.84722222222222221</v>
      </c>
      <c r="C6888" t="str">
        <f>'Inventory as of 12th Aug 2024'!A16</f>
        <v>Mt kenya milk 500ml</v>
      </c>
      <c r="D6888">
        <v>1</v>
      </c>
      <c r="E6888" s="5">
        <f>Table4[[#This Row],[qty]]*(VLOOKUP(Table4[[#This Row],[item_sold]],Table1[],5,FALSE))</f>
        <v>65</v>
      </c>
      <c r="F6888" s="5">
        <f>(VLOOKUP(Table4[[#This Row],[item_sold]],Table1[],4,FALSE))*Table4[[#This Row],[qty]]</f>
        <v>48.333333333333336</v>
      </c>
      <c r="G6888">
        <f t="shared" si="1232"/>
        <v>16.666666666666664</v>
      </c>
      <c r="H6888" t="s">
        <v>430</v>
      </c>
      <c r="I6888" t="s">
        <v>451</v>
      </c>
    </row>
    <row r="6889" spans="1:9" x14ac:dyDescent="0.25">
      <c r="A6889" s="1">
        <f>DATE(2024,10,30)</f>
        <v>45595</v>
      </c>
      <c r="B6889" s="31">
        <f>TIME(7,39,0)</f>
        <v>0.31875000000000003</v>
      </c>
      <c r="C6889" t="str">
        <f>'Inventory as of 12th Aug 2024'!A28</f>
        <v>Fahari Tea 15g</v>
      </c>
      <c r="D6889">
        <v>1</v>
      </c>
      <c r="E6889" s="5">
        <f>Table4[[#This Row],[qty]]*(VLOOKUP(Table4[[#This Row],[item_sold]],Table1[],5,FALSE))</f>
        <v>15</v>
      </c>
      <c r="F6889" s="5">
        <f>(VLOOKUP(Table4[[#This Row],[item_sold]],Table1[],4,FALSE))*Table4[[#This Row],[qty]]</f>
        <v>9.1666666666666661</v>
      </c>
      <c r="G6889">
        <f t="shared" si="1232"/>
        <v>5.8333333333333339</v>
      </c>
      <c r="H6889" t="s">
        <v>402</v>
      </c>
    </row>
    <row r="6890" spans="1:9" x14ac:dyDescent="0.25">
      <c r="A6890" s="1">
        <f t="shared" ref="A6890:A6953" si="1238">DATE(2024,10,30)</f>
        <v>45595</v>
      </c>
      <c r="B6890" s="31">
        <f t="shared" ref="B6890" si="1239">TIME(7,39,0)</f>
        <v>0.31875000000000003</v>
      </c>
      <c r="C6890" t="str">
        <f>'Inventory as of 12th Aug 2024'!A37</f>
        <v>Festive Bread 400g</v>
      </c>
      <c r="D6890">
        <v>1</v>
      </c>
      <c r="E6890" s="5">
        <f>Table4[[#This Row],[qty]]*(VLOOKUP(Table4[[#This Row],[item_sold]],Table1[],5,FALSE))</f>
        <v>65</v>
      </c>
      <c r="F6890" s="5">
        <f>(VLOOKUP(Table4[[#This Row],[item_sold]],Table1[],4,FALSE))*Table4[[#This Row],[qty]]</f>
        <v>60</v>
      </c>
      <c r="G6890">
        <f t="shared" si="1232"/>
        <v>5</v>
      </c>
      <c r="H6890" t="s">
        <v>402</v>
      </c>
    </row>
    <row r="6891" spans="1:9" x14ac:dyDescent="0.25">
      <c r="A6891" s="1">
        <f t="shared" si="1238"/>
        <v>45595</v>
      </c>
      <c r="B6891" s="31">
        <f>TIME(7,51,0)</f>
        <v>0.32708333333333334</v>
      </c>
      <c r="C6891" t="str">
        <f>'Inventory as of 12th Aug 2024'!A16</f>
        <v>Mt kenya milk 500ml</v>
      </c>
      <c r="D6891">
        <v>1</v>
      </c>
      <c r="E6891" s="5">
        <f>Table4[[#This Row],[qty]]*(VLOOKUP(Table4[[#This Row],[item_sold]],Table1[],5,FALSE))</f>
        <v>65</v>
      </c>
      <c r="F6891" s="5">
        <f>(VLOOKUP(Table4[[#This Row],[item_sold]],Table1[],4,FALSE))*Table4[[#This Row],[qty]]</f>
        <v>48.333333333333336</v>
      </c>
      <c r="G6891">
        <f t="shared" si="1232"/>
        <v>16.666666666666664</v>
      </c>
      <c r="H6891" t="s">
        <v>402</v>
      </c>
    </row>
    <row r="6892" spans="1:9" x14ac:dyDescent="0.25">
      <c r="A6892" s="1">
        <f t="shared" si="1238"/>
        <v>45595</v>
      </c>
      <c r="B6892" s="31">
        <f>TIME(8,53,0)</f>
        <v>0.37013888888888885</v>
      </c>
      <c r="C6892" t="str">
        <f>'Inventory as of 12th Aug 2024'!A31</f>
        <v>Drinking Chocolate 20g</v>
      </c>
      <c r="D6892">
        <v>1</v>
      </c>
      <c r="E6892" s="5">
        <f>Table4[[#This Row],[qty]]*(VLOOKUP(Table4[[#This Row],[item_sold]],Table1[],5,FALSE))</f>
        <v>20</v>
      </c>
      <c r="F6892" s="5">
        <f>(VLOOKUP(Table4[[#This Row],[item_sold]],Table1[],4,FALSE))*Table4[[#This Row],[qty]]</f>
        <v>10.416666666666666</v>
      </c>
      <c r="G6892">
        <f t="shared" si="1232"/>
        <v>9.5833333333333339</v>
      </c>
      <c r="H6892" t="s">
        <v>430</v>
      </c>
      <c r="I6892" t="s">
        <v>613</v>
      </c>
    </row>
    <row r="6893" spans="1:9" x14ac:dyDescent="0.25">
      <c r="A6893" s="1">
        <f t="shared" si="1238"/>
        <v>45595</v>
      </c>
      <c r="B6893" s="31">
        <f>TIME(8,59,0)</f>
        <v>0.3743055555555555</v>
      </c>
      <c r="C6893" t="str">
        <f>'Inventory as of 12th Aug 2024'!A33</f>
        <v>BB Bread 400g</v>
      </c>
      <c r="D6893">
        <v>1</v>
      </c>
      <c r="E6893" s="5">
        <f>Table4[[#This Row],[qty]]*(VLOOKUP(Table4[[#This Row],[item_sold]],Table1[],5,FALSE))</f>
        <v>65</v>
      </c>
      <c r="F6893" s="5">
        <f>(VLOOKUP(Table4[[#This Row],[item_sold]],Table1[],4,FALSE))*Table4[[#This Row],[qty]]</f>
        <v>60</v>
      </c>
      <c r="G6893">
        <f t="shared" si="1232"/>
        <v>5</v>
      </c>
      <c r="H6893" t="s">
        <v>361</v>
      </c>
    </row>
    <row r="6894" spans="1:9" x14ac:dyDescent="0.25">
      <c r="A6894" s="1">
        <f t="shared" si="1238"/>
        <v>45595</v>
      </c>
      <c r="B6894" s="31">
        <f>TIME(9,17,0)</f>
        <v>0.38680555555555557</v>
      </c>
      <c r="C6894" t="str">
        <f>'Inventory as of 12th Aug 2024'!A16</f>
        <v>Mt kenya milk 500ml</v>
      </c>
      <c r="D6894">
        <v>1</v>
      </c>
      <c r="E6894" s="5">
        <f>Table4[[#This Row],[qty]]*(VLOOKUP(Table4[[#This Row],[item_sold]],Table1[],5,FALSE))</f>
        <v>65</v>
      </c>
      <c r="F6894" s="5">
        <f>(VLOOKUP(Table4[[#This Row],[item_sold]],Table1[],4,FALSE))*Table4[[#This Row],[qty]]</f>
        <v>48.333333333333336</v>
      </c>
      <c r="G6894">
        <f t="shared" si="1232"/>
        <v>16.666666666666664</v>
      </c>
      <c r="H6894" t="s">
        <v>430</v>
      </c>
      <c r="I6894" t="s">
        <v>390</v>
      </c>
    </row>
    <row r="6895" spans="1:9" x14ac:dyDescent="0.25">
      <c r="A6895" s="1">
        <f t="shared" si="1238"/>
        <v>45595</v>
      </c>
      <c r="B6895" s="31">
        <f t="shared" ref="B6895" si="1240">TIME(9,17,0)</f>
        <v>0.38680555555555557</v>
      </c>
      <c r="C6895" t="str">
        <f>'Inventory as of 12th Aug 2024'!A33</f>
        <v>BB Bread 400g</v>
      </c>
      <c r="D6895">
        <v>1</v>
      </c>
      <c r="E6895" s="5">
        <f>Table4[[#This Row],[qty]]*(VLOOKUP(Table4[[#This Row],[item_sold]],Table1[],5,FALSE))</f>
        <v>65</v>
      </c>
      <c r="F6895" s="5">
        <f>(VLOOKUP(Table4[[#This Row],[item_sold]],Table1[],4,FALSE))*Table4[[#This Row],[qty]]</f>
        <v>60</v>
      </c>
      <c r="G6895">
        <f t="shared" si="1232"/>
        <v>5</v>
      </c>
      <c r="H6895" t="s">
        <v>430</v>
      </c>
      <c r="I6895" t="s">
        <v>390</v>
      </c>
    </row>
    <row r="6896" spans="1:9" x14ac:dyDescent="0.25">
      <c r="A6896" s="1">
        <f t="shared" si="1238"/>
        <v>45595</v>
      </c>
      <c r="B6896" s="31">
        <f>TIME(9,28,0)</f>
        <v>0.39444444444444443</v>
      </c>
      <c r="C6896" t="str">
        <f>'Inventory as of 12th Aug 2024'!A109</f>
        <v>Lighter</v>
      </c>
      <c r="D6896">
        <v>1</v>
      </c>
      <c r="E6896" s="5">
        <f>Table4[[#This Row],[qty]]*(VLOOKUP(Table4[[#This Row],[item_sold]],Table1[],5,FALSE))</f>
        <v>30</v>
      </c>
      <c r="F6896" s="5">
        <f>(VLOOKUP(Table4[[#This Row],[item_sold]],Table1[],4,FALSE))*Table4[[#This Row],[qty]]</f>
        <v>15</v>
      </c>
      <c r="G6896">
        <f t="shared" si="1232"/>
        <v>15</v>
      </c>
      <c r="H6896" t="s">
        <v>402</v>
      </c>
    </row>
    <row r="6897" spans="1:12" x14ac:dyDescent="0.25">
      <c r="A6897" s="1">
        <f t="shared" si="1238"/>
        <v>45595</v>
      </c>
      <c r="B6897" s="31">
        <f t="shared" ref="B6897:B6906" si="1241">TIME(9,28,0)</f>
        <v>0.39444444444444443</v>
      </c>
      <c r="C6897" t="str">
        <f>'Inventory as of 12th Aug 2024'!A57</f>
        <v>Sportsman</v>
      </c>
      <c r="D6897">
        <v>1</v>
      </c>
      <c r="E6897" s="5">
        <f>Table4[[#This Row],[qty]]*(VLOOKUP(Table4[[#This Row],[item_sold]],Table1[],5,FALSE))</f>
        <v>20</v>
      </c>
      <c r="F6897" s="5">
        <f>(VLOOKUP(Table4[[#This Row],[item_sold]],Table1[],4,FALSE))*Table4[[#This Row],[qty]]</f>
        <v>13</v>
      </c>
      <c r="G6897">
        <f t="shared" si="1232"/>
        <v>7</v>
      </c>
      <c r="H6897" t="s">
        <v>402</v>
      </c>
    </row>
    <row r="6898" spans="1:12" x14ac:dyDescent="0.25">
      <c r="A6898" s="1">
        <f t="shared" si="1238"/>
        <v>45595</v>
      </c>
      <c r="B6898" s="31">
        <f t="shared" si="1241"/>
        <v>0.39444444444444443</v>
      </c>
      <c r="C6898" t="str">
        <f>'Inventory as of 12th Aug 2024'!A37</f>
        <v>Festive Bread 400g</v>
      </c>
      <c r="D6898">
        <v>1</v>
      </c>
      <c r="E6898" s="5">
        <f>Table4[[#This Row],[qty]]*(VLOOKUP(Table4[[#This Row],[item_sold]],Table1[],5,FALSE))</f>
        <v>65</v>
      </c>
      <c r="F6898" s="5">
        <f>(VLOOKUP(Table4[[#This Row],[item_sold]],Table1[],4,FALSE))*Table4[[#This Row],[qty]]</f>
        <v>60</v>
      </c>
      <c r="G6898">
        <f t="shared" si="1232"/>
        <v>5</v>
      </c>
      <c r="H6898" t="s">
        <v>402</v>
      </c>
    </row>
    <row r="6899" spans="1:12" x14ac:dyDescent="0.25">
      <c r="A6899" s="1">
        <f t="shared" si="1238"/>
        <v>45595</v>
      </c>
      <c r="B6899" s="31">
        <f t="shared" si="1241"/>
        <v>0.39444444444444443</v>
      </c>
      <c r="C6899" t="str">
        <f>'Inventory as of 12th Aug 2024'!A240</f>
        <v>Bigboss</v>
      </c>
      <c r="D6899">
        <v>1</v>
      </c>
      <c r="E6899" s="5">
        <f>Table4[[#This Row],[qty]]*(VLOOKUP(Table4[[#This Row],[item_sold]],Table1[],5,FALSE))</f>
        <v>5</v>
      </c>
      <c r="F6899" s="5">
        <f>(VLOOKUP(Table4[[#This Row],[item_sold]],Table1[],4,FALSE))*Table4[[#This Row],[qty]]</f>
        <v>3.5</v>
      </c>
      <c r="G6899">
        <f t="shared" si="1232"/>
        <v>1.5</v>
      </c>
      <c r="H6899" t="s">
        <v>402</v>
      </c>
    </row>
    <row r="6900" spans="1:12" x14ac:dyDescent="0.25">
      <c r="A6900" s="1">
        <f t="shared" si="1238"/>
        <v>45595</v>
      </c>
      <c r="B6900" s="31">
        <f t="shared" si="1241"/>
        <v>0.39444444444444443</v>
      </c>
      <c r="C6900" t="str">
        <f>'Inventory as of 12th Aug 2024'!A266</f>
        <v>Zenta Bar Soap</v>
      </c>
      <c r="D6900">
        <v>0.2</v>
      </c>
      <c r="E6900" s="5">
        <f>Table4[[#This Row],[qty]]*(VLOOKUP(Table4[[#This Row],[item_sold]],Table1[],5,FALSE))</f>
        <v>50</v>
      </c>
      <c r="F6900" s="5">
        <f>(VLOOKUP(Table4[[#This Row],[item_sold]],Table1[],4,FALSE))*Table4[[#This Row],[qty]]</f>
        <v>32</v>
      </c>
      <c r="G6900">
        <f t="shared" si="1232"/>
        <v>18</v>
      </c>
      <c r="H6900" t="s">
        <v>402</v>
      </c>
    </row>
    <row r="6901" spans="1:12" x14ac:dyDescent="0.25">
      <c r="A6901" s="1">
        <f t="shared" si="1238"/>
        <v>45595</v>
      </c>
      <c r="B6901" s="31">
        <f t="shared" si="1241"/>
        <v>0.39444444444444443</v>
      </c>
      <c r="C6901" t="str">
        <f>'Inventory as of 12th Aug 2024'!A58</f>
        <v>Safari</v>
      </c>
      <c r="D6901">
        <v>1</v>
      </c>
      <c r="E6901" s="5">
        <f>Table4[[#This Row],[qty]]*(VLOOKUP(Table4[[#This Row],[item_sold]],Table1[],5,FALSE))</f>
        <v>15</v>
      </c>
      <c r="F6901" s="5">
        <f>(VLOOKUP(Table4[[#This Row],[item_sold]],Table1[],4,FALSE))*Table4[[#This Row],[qty]]</f>
        <v>8.5</v>
      </c>
      <c r="G6901">
        <f t="shared" si="1232"/>
        <v>6.5</v>
      </c>
      <c r="H6901" t="s">
        <v>402</v>
      </c>
    </row>
    <row r="6902" spans="1:12" x14ac:dyDescent="0.25">
      <c r="A6902" s="1">
        <f t="shared" si="1238"/>
        <v>45595</v>
      </c>
      <c r="B6902" s="31">
        <f t="shared" si="1241"/>
        <v>0.39444444444444443</v>
      </c>
      <c r="C6902" t="str">
        <f>'Inventory as of 12th Aug 2024'!A78</f>
        <v>Toss 500g</v>
      </c>
      <c r="D6902">
        <v>1</v>
      </c>
      <c r="E6902" s="5">
        <f>Table4[[#This Row],[qty]]*(VLOOKUP(Table4[[#This Row],[item_sold]],Table1[],5,FALSE))</f>
        <v>250</v>
      </c>
      <c r="F6902" s="5">
        <f>(VLOOKUP(Table4[[#This Row],[item_sold]],Table1[],4,FALSE))*Table4[[#This Row],[qty]]</f>
        <v>175</v>
      </c>
      <c r="G6902">
        <f t="shared" si="1232"/>
        <v>75</v>
      </c>
      <c r="H6902" t="s">
        <v>430</v>
      </c>
      <c r="I6902" t="s">
        <v>390</v>
      </c>
    </row>
    <row r="6903" spans="1:12" x14ac:dyDescent="0.25">
      <c r="A6903" s="1">
        <f t="shared" si="1238"/>
        <v>45595</v>
      </c>
      <c r="B6903" s="31">
        <f t="shared" si="1241"/>
        <v>0.39444444444444443</v>
      </c>
      <c r="C6903" t="str">
        <f>'Inventory as of 12th Aug 2024'!A85</f>
        <v>Downy lavender</v>
      </c>
      <c r="D6903">
        <v>2</v>
      </c>
      <c r="E6903" s="5">
        <f>Table4[[#This Row],[qty]]*(VLOOKUP(Table4[[#This Row],[item_sold]],Table1[],5,FALSE))</f>
        <v>40</v>
      </c>
      <c r="F6903" s="5">
        <f>(VLOOKUP(Table4[[#This Row],[item_sold]],Table1[],4,FALSE))*Table4[[#This Row],[qty]]</f>
        <v>34.666666666666664</v>
      </c>
      <c r="G6903">
        <f t="shared" si="1232"/>
        <v>5.3333333333333357</v>
      </c>
      <c r="H6903" t="s">
        <v>430</v>
      </c>
      <c r="I6903" t="s">
        <v>390</v>
      </c>
    </row>
    <row r="6904" spans="1:12" x14ac:dyDescent="0.25">
      <c r="A6904" s="1">
        <f t="shared" si="1238"/>
        <v>45595</v>
      </c>
      <c r="B6904" s="31">
        <f t="shared" si="1241"/>
        <v>0.39444444444444443</v>
      </c>
      <c r="C6904" t="str">
        <f>'Inventory as of 12th Aug 2024'!A37</f>
        <v>Festive Bread 400g</v>
      </c>
      <c r="D6904">
        <v>1</v>
      </c>
      <c r="E6904" s="5">
        <f>Table4[[#This Row],[qty]]*(VLOOKUP(Table4[[#This Row],[item_sold]],Table1[],5,FALSE))</f>
        <v>65</v>
      </c>
      <c r="F6904" s="5">
        <f>(VLOOKUP(Table4[[#This Row],[item_sold]],Table1[],4,FALSE))*Table4[[#This Row],[qty]]</f>
        <v>60</v>
      </c>
      <c r="G6904">
        <f t="shared" si="1232"/>
        <v>5</v>
      </c>
      <c r="H6904" t="s">
        <v>430</v>
      </c>
      <c r="I6904" t="s">
        <v>390</v>
      </c>
    </row>
    <row r="6905" spans="1:12" x14ac:dyDescent="0.25">
      <c r="A6905" s="1">
        <f t="shared" si="1238"/>
        <v>45595</v>
      </c>
      <c r="B6905" s="31">
        <f t="shared" si="1241"/>
        <v>0.39444444444444443</v>
      </c>
      <c r="C6905" t="str">
        <f>'Inventory as of 12th Aug 2024'!A7</f>
        <v>Airtel 50 Credit</v>
      </c>
      <c r="D6905">
        <v>1</v>
      </c>
      <c r="E6905" s="5">
        <f>Table4[[#This Row],[qty]]*(VLOOKUP(Table4[[#This Row],[item_sold]],Table1[],5,FALSE))</f>
        <v>50</v>
      </c>
      <c r="F6905" s="5">
        <f>(VLOOKUP(Table4[[#This Row],[item_sold]],Table1[],4,FALSE))*Table4[[#This Row],[qty]]</f>
        <v>47</v>
      </c>
      <c r="G6905">
        <f t="shared" si="1232"/>
        <v>3</v>
      </c>
      <c r="H6905" t="s">
        <v>430</v>
      </c>
      <c r="I6905" t="s">
        <v>588</v>
      </c>
      <c r="J6905" t="s">
        <v>588</v>
      </c>
      <c r="K6905">
        <v>30</v>
      </c>
      <c r="L6905" t="s">
        <v>247</v>
      </c>
    </row>
    <row r="6906" spans="1:12" x14ac:dyDescent="0.25">
      <c r="A6906" s="1">
        <f t="shared" si="1238"/>
        <v>45595</v>
      </c>
      <c r="B6906" s="31">
        <f t="shared" si="1241"/>
        <v>0.39444444444444443</v>
      </c>
      <c r="C6906" t="str">
        <f>'Inventory as of 12th Aug 2024'!A42</f>
        <v>Indomie chicken</v>
      </c>
      <c r="D6906">
        <v>2</v>
      </c>
      <c r="E6906" s="5">
        <f>Table4[[#This Row],[qty]]*(VLOOKUP(Table4[[#This Row],[item_sold]],Table1[],5,FALSE))</f>
        <v>100</v>
      </c>
      <c r="F6906" s="5">
        <f>(VLOOKUP(Table4[[#This Row],[item_sold]],Table1[],4,FALSE))*Table4[[#This Row],[qty]]</f>
        <v>75</v>
      </c>
      <c r="G6906">
        <f t="shared" si="1232"/>
        <v>25</v>
      </c>
      <c r="H6906" t="s">
        <v>402</v>
      </c>
    </row>
    <row r="6907" spans="1:12" x14ac:dyDescent="0.25">
      <c r="A6907" s="1">
        <f t="shared" si="1238"/>
        <v>45595</v>
      </c>
      <c r="B6907" s="31">
        <f>TIME(12,33,0)</f>
        <v>0.5229166666666667</v>
      </c>
      <c r="C6907" t="str">
        <f>'Inventory as of 12th Aug 2024'!A58</f>
        <v>Safari</v>
      </c>
      <c r="D6907">
        <v>1</v>
      </c>
      <c r="E6907" s="5">
        <f>Table4[[#This Row],[qty]]*(VLOOKUP(Table4[[#This Row],[item_sold]],Table1[],5,FALSE))</f>
        <v>15</v>
      </c>
      <c r="F6907" s="5">
        <f>(VLOOKUP(Table4[[#This Row],[item_sold]],Table1[],4,FALSE))*Table4[[#This Row],[qty]]</f>
        <v>8.5</v>
      </c>
      <c r="G6907">
        <f t="shared" si="1232"/>
        <v>6.5</v>
      </c>
      <c r="H6907" t="s">
        <v>402</v>
      </c>
    </row>
    <row r="6908" spans="1:12" x14ac:dyDescent="0.25">
      <c r="A6908" s="1">
        <f t="shared" si="1238"/>
        <v>45595</v>
      </c>
      <c r="B6908" s="31">
        <f>TIME(12,35,0)</f>
        <v>0.52430555555555558</v>
      </c>
      <c r="C6908" t="str">
        <f>'Inventory as of 12th Aug 2024'!A91</f>
        <v>Tomatoes</v>
      </c>
      <c r="D6908">
        <v>2</v>
      </c>
      <c r="E6908" s="5">
        <f>Table4[[#This Row],[qty]]*(VLOOKUP(Table4[[#This Row],[item_sold]],Table1[],5,FALSE))</f>
        <v>20</v>
      </c>
      <c r="F6908" s="5">
        <f>(VLOOKUP(Table4[[#This Row],[item_sold]],Table1[],4,FALSE))*Table4[[#This Row],[qty]]</f>
        <v>10</v>
      </c>
      <c r="G6908">
        <f t="shared" si="1232"/>
        <v>10</v>
      </c>
      <c r="H6908" t="s">
        <v>430</v>
      </c>
      <c r="I6908" t="s">
        <v>591</v>
      </c>
    </row>
    <row r="6909" spans="1:12" x14ac:dyDescent="0.25">
      <c r="A6909" s="1">
        <f t="shared" si="1238"/>
        <v>45595</v>
      </c>
      <c r="B6909" s="31">
        <f t="shared" ref="B6909:B6913" si="1242">TIME(12,35,0)</f>
        <v>0.52430555555555558</v>
      </c>
      <c r="C6909" t="str">
        <f>'Inventory as of 12th Aug 2024'!A50</f>
        <v>Pishori rice</v>
      </c>
      <c r="D6909">
        <v>0.5</v>
      </c>
      <c r="E6909" s="5">
        <f>Table4[[#This Row],[qty]]*(VLOOKUP(Table4[[#This Row],[item_sold]],Table1[],5,FALSE))</f>
        <v>110</v>
      </c>
      <c r="F6909" s="5">
        <f>(VLOOKUP(Table4[[#This Row],[item_sold]],Table1[],4,FALSE))*Table4[[#This Row],[qty]]</f>
        <v>90</v>
      </c>
      <c r="G6909">
        <f t="shared" si="1232"/>
        <v>20</v>
      </c>
      <c r="H6909" t="s">
        <v>361</v>
      </c>
    </row>
    <row r="6910" spans="1:12" x14ac:dyDescent="0.25">
      <c r="A6910" s="1">
        <f t="shared" si="1238"/>
        <v>45595</v>
      </c>
      <c r="B6910" s="31">
        <f t="shared" si="1242"/>
        <v>0.52430555555555558</v>
      </c>
      <c r="C6910" t="str">
        <f>'Inventory as of 12th Aug 2024'!A10</f>
        <v>Mt Kenya milk 200ml</v>
      </c>
      <c r="D6910">
        <v>1</v>
      </c>
      <c r="E6910" s="5">
        <f>Table4[[#This Row],[qty]]*(VLOOKUP(Table4[[#This Row],[item_sold]],Table1[],5,FALSE))</f>
        <v>35</v>
      </c>
      <c r="F6910" s="5">
        <f>(VLOOKUP(Table4[[#This Row],[item_sold]],Table1[],4,FALSE))*Table4[[#This Row],[qty]]</f>
        <v>24.285714285714285</v>
      </c>
      <c r="G6910">
        <f t="shared" si="1232"/>
        <v>10.714285714285715</v>
      </c>
      <c r="H6910" t="s">
        <v>402</v>
      </c>
    </row>
    <row r="6911" spans="1:12" x14ac:dyDescent="0.25">
      <c r="A6911" s="1">
        <f t="shared" si="1238"/>
        <v>45595</v>
      </c>
      <c r="B6911" s="31">
        <f t="shared" si="1242"/>
        <v>0.52430555555555558</v>
      </c>
      <c r="C6911" t="str">
        <f>'Inventory as of 12th Aug 2024'!A16</f>
        <v>Mt kenya milk 500ml</v>
      </c>
      <c r="D6911">
        <v>1</v>
      </c>
      <c r="E6911" s="5">
        <f>Table4[[#This Row],[qty]]*(VLOOKUP(Table4[[#This Row],[item_sold]],Table1[],5,FALSE))</f>
        <v>65</v>
      </c>
      <c r="F6911" s="5">
        <f>(VLOOKUP(Table4[[#This Row],[item_sold]],Table1[],4,FALSE))*Table4[[#This Row],[qty]]</f>
        <v>48.333333333333336</v>
      </c>
      <c r="G6911">
        <f t="shared" si="1232"/>
        <v>16.666666666666664</v>
      </c>
      <c r="H6911" t="s">
        <v>402</v>
      </c>
    </row>
    <row r="6912" spans="1:12" x14ac:dyDescent="0.25">
      <c r="A6912" s="1">
        <f t="shared" si="1238"/>
        <v>45595</v>
      </c>
      <c r="B6912" s="31">
        <f t="shared" si="1242"/>
        <v>0.52430555555555558</v>
      </c>
      <c r="C6912" t="str">
        <f>'Inventory as of 12th Aug 2024'!A199</f>
        <v>Kdf</v>
      </c>
      <c r="D6912">
        <v>2</v>
      </c>
      <c r="E6912" s="5">
        <f>Table4[[#This Row],[qty]]*(VLOOKUP(Table4[[#This Row],[item_sold]],Table1[],5,FALSE))</f>
        <v>20</v>
      </c>
      <c r="F6912" s="5">
        <f>(VLOOKUP(Table4[[#This Row],[item_sold]],Table1[],4,FALSE))*Table4[[#This Row],[qty]]</f>
        <v>16.666666666666668</v>
      </c>
      <c r="G6912">
        <f t="shared" si="1232"/>
        <v>3.3333333333333321</v>
      </c>
      <c r="H6912" t="s">
        <v>402</v>
      </c>
    </row>
    <row r="6913" spans="1:12" x14ac:dyDescent="0.25">
      <c r="A6913" s="1">
        <f t="shared" si="1238"/>
        <v>45595</v>
      </c>
      <c r="B6913" s="31">
        <f t="shared" si="1242"/>
        <v>0.52430555555555558</v>
      </c>
      <c r="C6913" t="str">
        <f>'Inventory as of 12th Aug 2024'!A191</f>
        <v>Nuvita Bisquit</v>
      </c>
      <c r="D6913">
        <v>1</v>
      </c>
      <c r="E6913" s="5">
        <f>Table4[[#This Row],[qty]]*(VLOOKUP(Table4[[#This Row],[item_sold]],Table1[],5,FALSE))</f>
        <v>5</v>
      </c>
      <c r="F6913" s="5">
        <f>(VLOOKUP(Table4[[#This Row],[item_sold]],Table1[],4,FALSE))*Table4[[#This Row],[qty]]</f>
        <v>4.166666666666667</v>
      </c>
      <c r="G6913">
        <f t="shared" si="1232"/>
        <v>0.83333333333333304</v>
      </c>
      <c r="H6913" t="s">
        <v>402</v>
      </c>
    </row>
    <row r="6914" spans="1:12" x14ac:dyDescent="0.25">
      <c r="A6914" s="1">
        <f t="shared" si="1238"/>
        <v>45595</v>
      </c>
      <c r="B6914" s="31">
        <f>TIME(13,38,0)</f>
        <v>0.56805555555555554</v>
      </c>
      <c r="C6914" t="str">
        <f>'Inventory as of 12th Aug 2024'!A8</f>
        <v>eggs</v>
      </c>
      <c r="D6914">
        <v>5</v>
      </c>
      <c r="E6914" s="5">
        <f>Table4[[#This Row],[qty]]*(VLOOKUP(Table4[[#This Row],[item_sold]],Table1[],5,FALSE))</f>
        <v>100</v>
      </c>
      <c r="F6914" s="5">
        <f>(VLOOKUP(Table4[[#This Row],[item_sold]],Table1[],4,FALSE))*Table4[[#This Row],[qty]]</f>
        <v>71.666666666666671</v>
      </c>
      <c r="G6914">
        <f t="shared" si="1232"/>
        <v>28.333333333333329</v>
      </c>
      <c r="H6914" s="25" t="s">
        <v>361</v>
      </c>
    </row>
    <row r="6915" spans="1:12" x14ac:dyDescent="0.25">
      <c r="A6915" s="1">
        <f t="shared" si="1238"/>
        <v>45595</v>
      </c>
      <c r="B6915" s="31">
        <f>TIME(13,22,0)</f>
        <v>0.55694444444444446</v>
      </c>
      <c r="C6915" t="str">
        <f>'Inventory as of 12th Aug 2024'!A199</f>
        <v>Kdf</v>
      </c>
      <c r="D6915">
        <v>3</v>
      </c>
      <c r="E6915" s="5">
        <f>Table4[[#This Row],[qty]]*(VLOOKUP(Table4[[#This Row],[item_sold]],Table1[],5,FALSE))</f>
        <v>30</v>
      </c>
      <c r="F6915" s="5">
        <f>(VLOOKUP(Table4[[#This Row],[item_sold]],Table1[],4,FALSE))*Table4[[#This Row],[qty]]</f>
        <v>25</v>
      </c>
      <c r="G6915">
        <f t="shared" si="1232"/>
        <v>5</v>
      </c>
      <c r="H6915" t="s">
        <v>361</v>
      </c>
    </row>
    <row r="6916" spans="1:12" x14ac:dyDescent="0.25">
      <c r="A6916" s="1">
        <f t="shared" si="1238"/>
        <v>45595</v>
      </c>
      <c r="B6916" s="31">
        <f>TIME(13,23,0)</f>
        <v>0.55763888888888891</v>
      </c>
      <c r="C6916" t="str">
        <f>'Inventory as of 12th Aug 2024'!A16</f>
        <v>Mt kenya milk 500ml</v>
      </c>
      <c r="D6916">
        <v>1</v>
      </c>
      <c r="E6916" s="5">
        <f>Table4[[#This Row],[qty]]*(VLOOKUP(Table4[[#This Row],[item_sold]],Table1[],5,FALSE))</f>
        <v>65</v>
      </c>
      <c r="F6916" s="5">
        <f>(VLOOKUP(Table4[[#This Row],[item_sold]],Table1[],4,FALSE))*Table4[[#This Row],[qty]]</f>
        <v>48.333333333333336</v>
      </c>
      <c r="G6916">
        <f t="shared" si="1232"/>
        <v>16.666666666666664</v>
      </c>
      <c r="H6916" t="s">
        <v>361</v>
      </c>
      <c r="J6916" t="s">
        <v>591</v>
      </c>
      <c r="K6916">
        <v>20</v>
      </c>
      <c r="L6916" t="s">
        <v>361</v>
      </c>
    </row>
    <row r="6917" spans="1:12" x14ac:dyDescent="0.25">
      <c r="A6917" s="1">
        <f t="shared" si="1238"/>
        <v>45595</v>
      </c>
      <c r="B6917" s="31">
        <f>TIME(13,36,0)</f>
        <v>0.56666666666666665</v>
      </c>
      <c r="C6917" t="str">
        <f>'Inventory as of 12th Aug 2024'!A60</f>
        <v>kensalt 200g</v>
      </c>
      <c r="D6917">
        <v>1</v>
      </c>
      <c r="E6917" s="5">
        <f>Table4[[#This Row],[qty]]*(VLOOKUP(Table4[[#This Row],[item_sold]],Table1[],5,FALSE))</f>
        <v>15</v>
      </c>
      <c r="F6917" s="5">
        <f>(VLOOKUP(Table4[[#This Row],[item_sold]],Table1[],4,FALSE))*Table4[[#This Row],[qty]]</f>
        <v>5.5</v>
      </c>
      <c r="G6917">
        <f t="shared" si="1232"/>
        <v>9.5</v>
      </c>
      <c r="H6917" t="s">
        <v>402</v>
      </c>
    </row>
    <row r="6918" spans="1:12" x14ac:dyDescent="0.25">
      <c r="A6918" s="1">
        <f t="shared" si="1238"/>
        <v>45595</v>
      </c>
      <c r="B6918" s="31">
        <f>TIME(13,57,0)</f>
        <v>0.58124999999999993</v>
      </c>
      <c r="C6918" t="str">
        <f>'Inventory as of 12th Aug 2024'!A212</f>
        <v>soda 300ml glass</v>
      </c>
      <c r="D6918">
        <v>1</v>
      </c>
      <c r="E6918" s="5">
        <f>Table4[[#This Row],[qty]]*(VLOOKUP(Table4[[#This Row],[item_sold]],Table1[],5,FALSE))</f>
        <v>40</v>
      </c>
      <c r="F6918" s="5">
        <f>(VLOOKUP(Table4[[#This Row],[item_sold]],Table1[],4,FALSE))*Table4[[#This Row],[qty]]</f>
        <v>32.5</v>
      </c>
      <c r="G6918">
        <f t="shared" si="1232"/>
        <v>7.5</v>
      </c>
      <c r="H6918" t="s">
        <v>361</v>
      </c>
    </row>
    <row r="6919" spans="1:12" x14ac:dyDescent="0.25">
      <c r="A6919" s="1">
        <f t="shared" si="1238"/>
        <v>45595</v>
      </c>
      <c r="B6919" s="31">
        <f t="shared" ref="B6919:B6920" si="1243">TIME(13,57,0)</f>
        <v>0.58124999999999993</v>
      </c>
      <c r="C6919" t="str">
        <f>'Inventory as of 12th Aug 2024'!A199</f>
        <v>Kdf</v>
      </c>
      <c r="D6919">
        <v>2</v>
      </c>
      <c r="E6919" s="5">
        <f>Table4[[#This Row],[qty]]*(VLOOKUP(Table4[[#This Row],[item_sold]],Table1[],5,FALSE))</f>
        <v>20</v>
      </c>
      <c r="F6919" s="5">
        <f>(VLOOKUP(Table4[[#This Row],[item_sold]],Table1[],4,FALSE))*Table4[[#This Row],[qty]]</f>
        <v>16.666666666666668</v>
      </c>
      <c r="G6919">
        <f t="shared" si="1232"/>
        <v>3.3333333333333321</v>
      </c>
      <c r="H6919" t="s">
        <v>402</v>
      </c>
    </row>
    <row r="6920" spans="1:12" x14ac:dyDescent="0.25">
      <c r="A6920" s="1">
        <f t="shared" si="1238"/>
        <v>45595</v>
      </c>
      <c r="B6920" s="31">
        <f t="shared" si="1243"/>
        <v>0.58124999999999993</v>
      </c>
      <c r="C6920" t="str">
        <f>'Inventory as of 12th Aug 2024'!A193</f>
        <v>Ginger Bisquit</v>
      </c>
      <c r="D6920">
        <v>2</v>
      </c>
      <c r="E6920" s="5">
        <f>Table4[[#This Row],[qty]]*(VLOOKUP(Table4[[#This Row],[item_sold]],Table1[],5,FALSE))</f>
        <v>10</v>
      </c>
      <c r="F6920" s="5">
        <f>(VLOOKUP(Table4[[#This Row],[item_sold]],Table1[],4,FALSE))*Table4[[#This Row],[qty]]</f>
        <v>8.6666666666666661</v>
      </c>
      <c r="G6920">
        <f t="shared" si="1232"/>
        <v>1.3333333333333339</v>
      </c>
      <c r="H6920" t="s">
        <v>402</v>
      </c>
    </row>
    <row r="6921" spans="1:12" x14ac:dyDescent="0.25">
      <c r="A6921" s="1">
        <f t="shared" si="1238"/>
        <v>45595</v>
      </c>
      <c r="B6921" s="31">
        <f>TIME(13,37,0)</f>
        <v>0.56736111111111109</v>
      </c>
      <c r="C6921" t="str">
        <f>'Inventory as of 12th Aug 2024'!A42</f>
        <v>Indomie chicken</v>
      </c>
      <c r="D6921">
        <v>4</v>
      </c>
      <c r="E6921" s="5">
        <f>Table4[[#This Row],[qty]]*(VLOOKUP(Table4[[#This Row],[item_sold]],Table1[],5,FALSE))</f>
        <v>200</v>
      </c>
      <c r="F6921" s="5">
        <f>(VLOOKUP(Table4[[#This Row],[item_sold]],Table1[],4,FALSE))*Table4[[#This Row],[qty]]</f>
        <v>150</v>
      </c>
      <c r="G6921">
        <f t="shared" si="1232"/>
        <v>50</v>
      </c>
      <c r="H6921" t="s">
        <v>361</v>
      </c>
      <c r="J6921" t="s">
        <v>394</v>
      </c>
      <c r="K6921">
        <v>20</v>
      </c>
      <c r="L6921" t="s">
        <v>361</v>
      </c>
    </row>
    <row r="6922" spans="1:12" x14ac:dyDescent="0.25">
      <c r="A6922" s="1">
        <f t="shared" si="1238"/>
        <v>45595</v>
      </c>
      <c r="B6922" s="31">
        <f>TIME(14,35,0)</f>
        <v>0.60763888888888895</v>
      </c>
      <c r="C6922" t="str">
        <f>'Inventory as of 12th Aug 2024'!A182</f>
        <v>T.Heat Potato crisps salted 25g</v>
      </c>
      <c r="D6922">
        <v>1</v>
      </c>
      <c r="E6922" s="5">
        <f>Table4[[#This Row],[qty]]*(VLOOKUP(Table4[[#This Row],[item_sold]],Table1[],5,FALSE))</f>
        <v>30</v>
      </c>
      <c r="F6922" s="5">
        <f>(VLOOKUP(Table4[[#This Row],[item_sold]],Table1[],4,FALSE))*Table4[[#This Row],[qty]]</f>
        <v>22.916666666666668</v>
      </c>
      <c r="G6922">
        <f t="shared" si="1232"/>
        <v>7.0833333333333321</v>
      </c>
      <c r="H6922" t="s">
        <v>402</v>
      </c>
    </row>
    <row r="6923" spans="1:12" x14ac:dyDescent="0.25">
      <c r="A6923" s="1">
        <f t="shared" si="1238"/>
        <v>45595</v>
      </c>
      <c r="B6923" s="31">
        <f t="shared" ref="B6923:B6925" si="1244">TIME(14,35,0)</f>
        <v>0.60763888888888895</v>
      </c>
      <c r="C6923" t="str">
        <f>'Inventory as of 12th Aug 2024'!A231</f>
        <v>Patco</v>
      </c>
      <c r="D6923">
        <v>8</v>
      </c>
      <c r="E6923" s="5">
        <f>Table4[[#This Row],[qty]]*(VLOOKUP(Table4[[#This Row],[item_sold]],Table1[],5,FALSE))</f>
        <v>20</v>
      </c>
      <c r="F6923" s="5">
        <f>(VLOOKUP(Table4[[#This Row],[item_sold]],Table1[],4,FALSE))*Table4[[#This Row],[qty]]</f>
        <v>9.6</v>
      </c>
      <c r="G6923">
        <f t="shared" si="1232"/>
        <v>10.4</v>
      </c>
      <c r="H6923" t="s">
        <v>402</v>
      </c>
    </row>
    <row r="6924" spans="1:12" x14ac:dyDescent="0.25">
      <c r="A6924" s="1">
        <f t="shared" si="1238"/>
        <v>45595</v>
      </c>
      <c r="B6924" s="31">
        <f t="shared" si="1244"/>
        <v>0.60763888888888895</v>
      </c>
      <c r="C6924" t="str">
        <f>'Inventory as of 12th Aug 2024'!A246</f>
        <v>300ml water</v>
      </c>
      <c r="D6924">
        <v>1</v>
      </c>
      <c r="E6924" s="5">
        <f>Table4[[#This Row],[qty]]*(VLOOKUP(Table4[[#This Row],[item_sold]],Table1[],5,FALSE))</f>
        <v>30</v>
      </c>
      <c r="F6924" s="5">
        <f>(VLOOKUP(Table4[[#This Row],[item_sold]],Table1[],4,FALSE))*Table4[[#This Row],[qty]]</f>
        <v>12.5</v>
      </c>
      <c r="G6924">
        <f t="shared" si="1232"/>
        <v>17.5</v>
      </c>
      <c r="H6924" t="s">
        <v>402</v>
      </c>
    </row>
    <row r="6925" spans="1:12" x14ac:dyDescent="0.25">
      <c r="A6925" s="1">
        <f t="shared" si="1238"/>
        <v>45595</v>
      </c>
      <c r="B6925" s="31">
        <f t="shared" si="1244"/>
        <v>0.60763888888888895</v>
      </c>
      <c r="C6925" t="str">
        <f>'Inventory as of 12th Aug 2024'!A6</f>
        <v>Airtel 10 Credit</v>
      </c>
      <c r="D6925">
        <v>1</v>
      </c>
      <c r="E6925" s="5">
        <f>Table4[[#This Row],[qty]]*(VLOOKUP(Table4[[#This Row],[item_sold]],Table1[],5,FALSE))</f>
        <v>10</v>
      </c>
      <c r="F6925" s="5">
        <f>(VLOOKUP(Table4[[#This Row],[item_sold]],Table1[],4,FALSE))*Table4[[#This Row],[qty]]</f>
        <v>9</v>
      </c>
      <c r="G6925">
        <f t="shared" si="1232"/>
        <v>1</v>
      </c>
      <c r="H6925" t="s">
        <v>361</v>
      </c>
    </row>
    <row r="6926" spans="1:12" x14ac:dyDescent="0.25">
      <c r="A6926" s="1">
        <f t="shared" si="1238"/>
        <v>45595</v>
      </c>
      <c r="B6926" s="31">
        <f>TIME(15,48,0)</f>
        <v>0.65833333333333333</v>
      </c>
      <c r="C6926" t="str">
        <f>'Inventory as of 12th Aug 2024'!A270</f>
        <v>Milk Bisquit</v>
      </c>
      <c r="D6926">
        <v>2</v>
      </c>
      <c r="E6926" s="5">
        <f>Table4[[#This Row],[qty]]*(VLOOKUP(Table4[[#This Row],[item_sold]],Table1[],5,FALSE))</f>
        <v>10</v>
      </c>
      <c r="F6926" s="5">
        <f>(VLOOKUP(Table4[[#This Row],[item_sold]],Table1[],4,FALSE))*Table4[[#This Row],[qty]]</f>
        <v>8.3333333333333339</v>
      </c>
      <c r="G6926">
        <f t="shared" si="1232"/>
        <v>1.6666666666666661</v>
      </c>
      <c r="H6926" t="s">
        <v>402</v>
      </c>
    </row>
    <row r="6927" spans="1:12" x14ac:dyDescent="0.25">
      <c r="A6927" s="1">
        <f t="shared" si="1238"/>
        <v>45595</v>
      </c>
      <c r="B6927" s="31">
        <f t="shared" ref="B6927:B6930" si="1245">TIME(15,48,0)</f>
        <v>0.65833333333333333</v>
      </c>
      <c r="C6927" t="str">
        <f>'Inventory as of 12th Aug 2024'!A240</f>
        <v>Bigboss</v>
      </c>
      <c r="D6927">
        <v>1</v>
      </c>
      <c r="E6927" s="5">
        <f>Table4[[#This Row],[qty]]*(VLOOKUP(Table4[[#This Row],[item_sold]],Table1[],5,FALSE))</f>
        <v>5</v>
      </c>
      <c r="F6927" s="5">
        <f>(VLOOKUP(Table4[[#This Row],[item_sold]],Table1[],4,FALSE))*Table4[[#This Row],[qty]]</f>
        <v>3.5</v>
      </c>
      <c r="G6927">
        <f t="shared" si="1232"/>
        <v>1.5</v>
      </c>
      <c r="H6927" t="s">
        <v>402</v>
      </c>
    </row>
    <row r="6928" spans="1:12" x14ac:dyDescent="0.25">
      <c r="A6928" s="1">
        <f t="shared" si="1238"/>
        <v>45595</v>
      </c>
      <c r="B6928" s="31">
        <f t="shared" si="1245"/>
        <v>0.65833333333333333</v>
      </c>
      <c r="C6928" t="str">
        <f>'Inventory as of 12th Aug 2024'!A199</f>
        <v>Kdf</v>
      </c>
      <c r="D6928">
        <v>1</v>
      </c>
      <c r="E6928" s="5">
        <f>Table4[[#This Row],[qty]]*(VLOOKUP(Table4[[#This Row],[item_sold]],Table1[],5,FALSE))</f>
        <v>10</v>
      </c>
      <c r="F6928" s="5">
        <f>(VLOOKUP(Table4[[#This Row],[item_sold]],Table1[],4,FALSE))*Table4[[#This Row],[qty]]</f>
        <v>8.3333333333333339</v>
      </c>
      <c r="G6928">
        <f t="shared" si="1232"/>
        <v>1.6666666666666661</v>
      </c>
      <c r="H6928" t="s">
        <v>402</v>
      </c>
    </row>
    <row r="6929" spans="1:9" x14ac:dyDescent="0.25">
      <c r="A6929" s="1">
        <f t="shared" si="1238"/>
        <v>45595</v>
      </c>
      <c r="B6929" s="31">
        <f t="shared" si="1245"/>
        <v>0.65833333333333333</v>
      </c>
      <c r="C6929" t="str">
        <f>'Inventory as of 12th Aug 2024'!A10</f>
        <v>Mt Kenya milk 200ml</v>
      </c>
      <c r="D6929">
        <v>1</v>
      </c>
      <c r="E6929" s="5">
        <f>Table4[[#This Row],[qty]]*(VLOOKUP(Table4[[#This Row],[item_sold]],Table1[],5,FALSE))</f>
        <v>35</v>
      </c>
      <c r="F6929" s="5">
        <f>(VLOOKUP(Table4[[#This Row],[item_sold]],Table1[],4,FALSE))*Table4[[#This Row],[qty]]</f>
        <v>24.285714285714285</v>
      </c>
      <c r="G6929">
        <f t="shared" si="1232"/>
        <v>10.714285714285715</v>
      </c>
      <c r="H6929" t="s">
        <v>402</v>
      </c>
    </row>
    <row r="6930" spans="1:9" x14ac:dyDescent="0.25">
      <c r="A6930" s="1">
        <f t="shared" si="1238"/>
        <v>45595</v>
      </c>
      <c r="B6930" s="31">
        <f t="shared" si="1245"/>
        <v>0.65833333333333333</v>
      </c>
      <c r="C6930" t="str">
        <f>'Inventory as of 12th Aug 2024'!A41</f>
        <v>Indomie beef</v>
      </c>
      <c r="D6930">
        <v>1</v>
      </c>
      <c r="E6930" s="5">
        <f>Table4[[#This Row],[qty]]*(VLOOKUP(Table4[[#This Row],[item_sold]],Table1[],5,FALSE))</f>
        <v>50</v>
      </c>
      <c r="F6930" s="5">
        <f>(VLOOKUP(Table4[[#This Row],[item_sold]],Table1[],4,FALSE))*Table4[[#This Row],[qty]]</f>
        <v>38</v>
      </c>
      <c r="G6930">
        <f t="shared" si="1232"/>
        <v>12</v>
      </c>
      <c r="H6930" t="s">
        <v>402</v>
      </c>
    </row>
    <row r="6931" spans="1:9" x14ac:dyDescent="0.25">
      <c r="A6931" s="1">
        <f t="shared" si="1238"/>
        <v>45595</v>
      </c>
      <c r="B6931" s="31">
        <f>TIME(16,5,0)</f>
        <v>0.67013888888888884</v>
      </c>
      <c r="C6931" t="str">
        <f>'Inventory as of 12th Aug 2024'!A8</f>
        <v>eggs</v>
      </c>
      <c r="D6931">
        <v>3</v>
      </c>
      <c r="E6931" s="5">
        <f>Table4[[#This Row],[qty]]*(VLOOKUP(Table4[[#This Row],[item_sold]],Table1[],5,FALSE))</f>
        <v>60</v>
      </c>
      <c r="F6931" s="5">
        <f>(VLOOKUP(Table4[[#This Row],[item_sold]],Table1[],4,FALSE))*Table4[[#This Row],[qty]]</f>
        <v>43</v>
      </c>
      <c r="G6931">
        <f t="shared" si="1232"/>
        <v>17</v>
      </c>
      <c r="H6931" t="s">
        <v>402</v>
      </c>
    </row>
    <row r="6932" spans="1:9" x14ac:dyDescent="0.25">
      <c r="A6932" s="1">
        <f t="shared" si="1238"/>
        <v>45595</v>
      </c>
      <c r="B6932" s="31">
        <f t="shared" ref="B6932:B6935" si="1246">TIME(16,5,0)</f>
        <v>0.67013888888888884</v>
      </c>
      <c r="C6932" t="str">
        <f>'Inventory as of 12th Aug 2024'!A234</f>
        <v>Bigdaddy</v>
      </c>
      <c r="D6932">
        <v>1</v>
      </c>
      <c r="E6932" s="5">
        <f>Table4[[#This Row],[qty]]*(VLOOKUP(Table4[[#This Row],[item_sold]],Table1[],5,FALSE))</f>
        <v>10</v>
      </c>
      <c r="F6932" s="5">
        <f>(VLOOKUP(Table4[[#This Row],[item_sold]],Table1[],4,FALSE))*Table4[[#This Row],[qty]]</f>
        <v>6</v>
      </c>
      <c r="G6932">
        <f t="shared" ref="G6932:G6995" si="1247">E6932-F6932</f>
        <v>4</v>
      </c>
      <c r="H6932" t="s">
        <v>402</v>
      </c>
    </row>
    <row r="6933" spans="1:9" x14ac:dyDescent="0.25">
      <c r="A6933" s="1">
        <f t="shared" si="1238"/>
        <v>45595</v>
      </c>
      <c r="B6933" s="31">
        <f t="shared" si="1246"/>
        <v>0.67013888888888884</v>
      </c>
      <c r="C6933" t="str">
        <f>'Inventory as of 12th Aug 2024'!A242</f>
        <v>Icepop</v>
      </c>
      <c r="D6933">
        <v>1</v>
      </c>
      <c r="E6933" s="5">
        <f>Table4[[#This Row],[qty]]*(VLOOKUP(Table4[[#This Row],[item_sold]],Table1[],5,FALSE))</f>
        <v>15</v>
      </c>
      <c r="F6933" s="5">
        <f>(VLOOKUP(Table4[[#This Row],[item_sold]],Table1[],4,FALSE))*Table4[[#This Row],[qty]]</f>
        <v>7.5</v>
      </c>
      <c r="G6933">
        <f t="shared" si="1247"/>
        <v>7.5</v>
      </c>
      <c r="H6933" t="s">
        <v>402</v>
      </c>
    </row>
    <row r="6934" spans="1:9" x14ac:dyDescent="0.25">
      <c r="A6934" s="1">
        <f t="shared" si="1238"/>
        <v>45595</v>
      </c>
      <c r="B6934" s="31">
        <f t="shared" si="1246"/>
        <v>0.67013888888888884</v>
      </c>
      <c r="C6934" t="str">
        <f>'Inventory as of 12th Aug 2024'!A179</f>
        <v>Bitez</v>
      </c>
      <c r="D6934">
        <v>1</v>
      </c>
      <c r="E6934" s="5">
        <f>Table4[[#This Row],[qty]]*(VLOOKUP(Table4[[#This Row],[item_sold]],Table1[],5,FALSE))</f>
        <v>15</v>
      </c>
      <c r="F6934" s="5">
        <f>(VLOOKUP(Table4[[#This Row],[item_sold]],Table1[],4,FALSE))*Table4[[#This Row],[qty]]</f>
        <v>8.8000000000000007</v>
      </c>
      <c r="G6934">
        <f t="shared" si="1247"/>
        <v>6.1999999999999993</v>
      </c>
      <c r="H6934" t="s">
        <v>402</v>
      </c>
    </row>
    <row r="6935" spans="1:9" x14ac:dyDescent="0.25">
      <c r="A6935" s="1">
        <f t="shared" si="1238"/>
        <v>45595</v>
      </c>
      <c r="B6935" s="31">
        <f t="shared" si="1246"/>
        <v>0.67013888888888884</v>
      </c>
      <c r="C6935" t="str">
        <f>'Inventory as of 12th Aug 2024'!A213</f>
        <v>soda 500ml glass</v>
      </c>
      <c r="D6935">
        <v>1</v>
      </c>
      <c r="E6935" s="5">
        <f>Table4[[#This Row],[qty]]*(VLOOKUP(Table4[[#This Row],[item_sold]],Table1[],5,FALSE))</f>
        <v>55</v>
      </c>
      <c r="F6935" s="5">
        <f>(VLOOKUP(Table4[[#This Row],[item_sold]],Table1[],4,FALSE))*Table4[[#This Row],[qty]]</f>
        <v>50</v>
      </c>
      <c r="G6935">
        <f t="shared" si="1247"/>
        <v>5</v>
      </c>
      <c r="H6935" t="s">
        <v>430</v>
      </c>
      <c r="I6935" t="s">
        <v>419</v>
      </c>
    </row>
    <row r="6936" spans="1:9" x14ac:dyDescent="0.25">
      <c r="A6936" s="1">
        <f t="shared" si="1238"/>
        <v>45595</v>
      </c>
      <c r="B6936" s="31">
        <f>TIME(16,36,0)</f>
        <v>0.69166666666666676</v>
      </c>
      <c r="C6936" t="str">
        <f>'Inventory as of 12th Aug 2024'!A240</f>
        <v>Bigboss</v>
      </c>
      <c r="D6936">
        <v>4</v>
      </c>
      <c r="E6936" s="5">
        <f>Table4[[#This Row],[qty]]*(VLOOKUP(Table4[[#This Row],[item_sold]],Table1[],5,FALSE))</f>
        <v>20</v>
      </c>
      <c r="F6936" s="5">
        <f>(VLOOKUP(Table4[[#This Row],[item_sold]],Table1[],4,FALSE))*Table4[[#This Row],[qty]]</f>
        <v>14</v>
      </c>
      <c r="G6936">
        <f t="shared" si="1247"/>
        <v>6</v>
      </c>
      <c r="H6936" t="s">
        <v>402</v>
      </c>
    </row>
    <row r="6937" spans="1:9" x14ac:dyDescent="0.25">
      <c r="A6937" s="1">
        <f t="shared" si="1238"/>
        <v>45595</v>
      </c>
      <c r="B6937" s="31">
        <f t="shared" ref="B6937" si="1248">TIME(16,36,0)</f>
        <v>0.69166666666666676</v>
      </c>
      <c r="C6937" t="str">
        <f>'Inventory as of 12th Aug 2024'!A234</f>
        <v>Bigdaddy</v>
      </c>
      <c r="D6937">
        <v>1</v>
      </c>
      <c r="E6937" s="5">
        <f>Table4[[#This Row],[qty]]*(VLOOKUP(Table4[[#This Row],[item_sold]],Table1[],5,FALSE))</f>
        <v>10</v>
      </c>
      <c r="F6937" s="5">
        <f>(VLOOKUP(Table4[[#This Row],[item_sold]],Table1[],4,FALSE))*Table4[[#This Row],[qty]]</f>
        <v>6</v>
      </c>
      <c r="G6937">
        <f t="shared" si="1247"/>
        <v>4</v>
      </c>
      <c r="H6937" t="s">
        <v>402</v>
      </c>
    </row>
    <row r="6938" spans="1:9" x14ac:dyDescent="0.25">
      <c r="A6938" s="1">
        <f t="shared" si="1238"/>
        <v>45595</v>
      </c>
      <c r="B6938" s="31">
        <f>TIME(16,37,0)</f>
        <v>0.69236111111111109</v>
      </c>
      <c r="C6938" t="str">
        <f>'Inventory as of 12th Aug 2024'!A10</f>
        <v>Mt Kenya milk 200ml</v>
      </c>
      <c r="D6938">
        <v>1</v>
      </c>
      <c r="E6938" s="5">
        <f>Table4[[#This Row],[qty]]*(VLOOKUP(Table4[[#This Row],[item_sold]],Table1[],5,FALSE))</f>
        <v>35</v>
      </c>
      <c r="F6938" s="5">
        <f>(VLOOKUP(Table4[[#This Row],[item_sold]],Table1[],4,FALSE))*Table4[[#This Row],[qty]]</f>
        <v>24.285714285714285</v>
      </c>
      <c r="G6938">
        <f t="shared" si="1247"/>
        <v>10.714285714285715</v>
      </c>
      <c r="H6938" t="s">
        <v>430</v>
      </c>
      <c r="I6938" t="s">
        <v>415</v>
      </c>
    </row>
    <row r="6939" spans="1:9" x14ac:dyDescent="0.25">
      <c r="A6939" s="1">
        <f t="shared" si="1238"/>
        <v>45595</v>
      </c>
      <c r="B6939" s="31">
        <f t="shared" ref="B6939:B6940" si="1249">TIME(16,37,0)</f>
        <v>0.69236111111111109</v>
      </c>
      <c r="C6939" t="str">
        <f>'Inventory as of 12th Aug 2024'!A231</f>
        <v>Patco</v>
      </c>
      <c r="D6939">
        <v>4</v>
      </c>
      <c r="E6939" s="5">
        <f>Table4[[#This Row],[qty]]*(VLOOKUP(Table4[[#This Row],[item_sold]],Table1[],5,FALSE))</f>
        <v>10</v>
      </c>
      <c r="F6939" s="5">
        <f>(VLOOKUP(Table4[[#This Row],[item_sold]],Table1[],4,FALSE))*Table4[[#This Row],[qty]]</f>
        <v>4.8</v>
      </c>
      <c r="G6939">
        <f t="shared" si="1247"/>
        <v>5.2</v>
      </c>
      <c r="H6939" t="s">
        <v>402</v>
      </c>
    </row>
    <row r="6940" spans="1:9" x14ac:dyDescent="0.25">
      <c r="A6940" s="1">
        <f t="shared" si="1238"/>
        <v>45595</v>
      </c>
      <c r="B6940" s="31">
        <f t="shared" si="1249"/>
        <v>0.69236111111111109</v>
      </c>
      <c r="C6940" t="str">
        <f>'Inventory as of 12th Aug 2024'!A233</f>
        <v>Lollipop</v>
      </c>
      <c r="D6940">
        <v>2</v>
      </c>
      <c r="E6940" s="5">
        <f>Table4[[#This Row],[qty]]*(VLOOKUP(Table4[[#This Row],[item_sold]],Table1[],5,FALSE))</f>
        <v>10</v>
      </c>
      <c r="F6940" s="5">
        <f>(VLOOKUP(Table4[[#This Row],[item_sold]],Table1[],4,FALSE))*Table4[[#This Row],[qty]]</f>
        <v>4.8</v>
      </c>
      <c r="G6940">
        <f t="shared" si="1247"/>
        <v>5.2</v>
      </c>
      <c r="H6940" t="s">
        <v>402</v>
      </c>
    </row>
    <row r="6941" spans="1:9" x14ac:dyDescent="0.25">
      <c r="A6941" s="1">
        <f t="shared" si="1238"/>
        <v>45595</v>
      </c>
      <c r="B6941" s="31">
        <f>TIME(16,49,0)</f>
        <v>0.7006944444444444</v>
      </c>
      <c r="C6941" t="str">
        <f>'Inventory as of 12th Aug 2024'!A185</f>
        <v>Glucose 10g</v>
      </c>
      <c r="D6941">
        <v>2</v>
      </c>
      <c r="E6941" s="5">
        <f>Table4[[#This Row],[qty]]*(VLOOKUP(Table4[[#This Row],[item_sold]],Table1[],5,FALSE))</f>
        <v>10</v>
      </c>
      <c r="F6941" s="5">
        <f>(VLOOKUP(Table4[[#This Row],[item_sold]],Table1[],4,FALSE))*Table4[[#This Row],[qty]]</f>
        <v>7.5</v>
      </c>
      <c r="G6941">
        <f t="shared" si="1247"/>
        <v>2.5</v>
      </c>
      <c r="H6941" t="s">
        <v>402</v>
      </c>
    </row>
    <row r="6942" spans="1:9" x14ac:dyDescent="0.25">
      <c r="A6942" s="1">
        <f t="shared" si="1238"/>
        <v>45595</v>
      </c>
      <c r="B6942" s="31">
        <f>TIME(17,4,0)</f>
        <v>0.71111111111111114</v>
      </c>
      <c r="C6942" t="str">
        <f>'Inventory as of 12th Aug 2024'!A58</f>
        <v>Safari</v>
      </c>
      <c r="D6942">
        <v>1</v>
      </c>
      <c r="E6942" s="5">
        <f>Table4[[#This Row],[qty]]*(VLOOKUP(Table4[[#This Row],[item_sold]],Table1[],5,FALSE))</f>
        <v>15</v>
      </c>
      <c r="F6942" s="5">
        <f>(VLOOKUP(Table4[[#This Row],[item_sold]],Table1[],4,FALSE))*Table4[[#This Row],[qty]]</f>
        <v>8.5</v>
      </c>
      <c r="G6942">
        <f t="shared" si="1247"/>
        <v>6.5</v>
      </c>
      <c r="H6942" s="25" t="s">
        <v>402</v>
      </c>
    </row>
    <row r="6943" spans="1:9" x14ac:dyDescent="0.25">
      <c r="A6943" s="1">
        <f t="shared" si="1238"/>
        <v>45595</v>
      </c>
      <c r="B6943" s="31">
        <f t="shared" ref="B6943:B6948" si="1250">TIME(17,4,0)</f>
        <v>0.71111111111111114</v>
      </c>
      <c r="C6943" t="str">
        <f>'Inventory as of 12th Aug 2024'!A242</f>
        <v>Icepop</v>
      </c>
      <c r="D6943">
        <v>2</v>
      </c>
      <c r="E6943" s="5">
        <f>Table4[[#This Row],[qty]]*(VLOOKUP(Table4[[#This Row],[item_sold]],Table1[],5,FALSE))</f>
        <v>30</v>
      </c>
      <c r="F6943" s="5">
        <f>(VLOOKUP(Table4[[#This Row],[item_sold]],Table1[],4,FALSE))*Table4[[#This Row],[qty]]</f>
        <v>15</v>
      </c>
      <c r="G6943">
        <f t="shared" si="1247"/>
        <v>15</v>
      </c>
      <c r="H6943" t="s">
        <v>402</v>
      </c>
    </row>
    <row r="6944" spans="1:9" x14ac:dyDescent="0.25">
      <c r="A6944" s="1">
        <f t="shared" si="1238"/>
        <v>45595</v>
      </c>
      <c r="B6944" s="31">
        <f t="shared" si="1250"/>
        <v>0.71111111111111114</v>
      </c>
      <c r="C6944" t="str">
        <f>'Inventory as of 12th Aug 2024'!A37</f>
        <v>Festive Bread 400g</v>
      </c>
      <c r="D6944">
        <v>1</v>
      </c>
      <c r="E6944" s="5">
        <f>Table4[[#This Row],[qty]]*(VLOOKUP(Table4[[#This Row],[item_sold]],Table1[],5,FALSE))</f>
        <v>65</v>
      </c>
      <c r="F6944" s="5">
        <f>(VLOOKUP(Table4[[#This Row],[item_sold]],Table1[],4,FALSE))*Table4[[#This Row],[qty]]</f>
        <v>60</v>
      </c>
      <c r="G6944">
        <f t="shared" si="1247"/>
        <v>5</v>
      </c>
      <c r="H6944" t="s">
        <v>402</v>
      </c>
    </row>
    <row r="6945" spans="1:8" x14ac:dyDescent="0.25">
      <c r="A6945" s="1">
        <f t="shared" si="1238"/>
        <v>45595</v>
      </c>
      <c r="B6945" s="31">
        <f t="shared" si="1250"/>
        <v>0.71111111111111114</v>
      </c>
      <c r="C6945" t="str">
        <f>'Inventory as of 12th Aug 2024'!A179</f>
        <v>Bitez</v>
      </c>
      <c r="D6945">
        <v>4</v>
      </c>
      <c r="E6945" s="5">
        <f>Table4[[#This Row],[qty]]*(VLOOKUP(Table4[[#This Row],[item_sold]],Table1[],5,FALSE))</f>
        <v>60</v>
      </c>
      <c r="F6945" s="5">
        <f>(VLOOKUP(Table4[[#This Row],[item_sold]],Table1[],4,FALSE))*Table4[[#This Row],[qty]]</f>
        <v>35.200000000000003</v>
      </c>
      <c r="G6945">
        <f t="shared" si="1247"/>
        <v>24.799999999999997</v>
      </c>
      <c r="H6945" t="s">
        <v>402</v>
      </c>
    </row>
    <row r="6946" spans="1:8" x14ac:dyDescent="0.25">
      <c r="A6946" s="1">
        <f t="shared" si="1238"/>
        <v>45595</v>
      </c>
      <c r="B6946" s="31">
        <f t="shared" si="1250"/>
        <v>0.71111111111111114</v>
      </c>
      <c r="C6946" t="str">
        <f>'Inventory as of 12th Aug 2024'!A270</f>
        <v>Milk Bisquit</v>
      </c>
      <c r="D6946">
        <v>1</v>
      </c>
      <c r="E6946" s="5">
        <f>Table4[[#This Row],[qty]]*(VLOOKUP(Table4[[#This Row],[item_sold]],Table1[],5,FALSE))</f>
        <v>5</v>
      </c>
      <c r="F6946" s="5">
        <f>(VLOOKUP(Table4[[#This Row],[item_sold]],Table1[],4,FALSE))*Table4[[#This Row],[qty]]</f>
        <v>4.166666666666667</v>
      </c>
      <c r="G6946">
        <f t="shared" si="1247"/>
        <v>0.83333333333333304</v>
      </c>
      <c r="H6946" t="s">
        <v>402</v>
      </c>
    </row>
    <row r="6947" spans="1:8" x14ac:dyDescent="0.25">
      <c r="A6947" s="1">
        <f t="shared" si="1238"/>
        <v>45595</v>
      </c>
      <c r="B6947" s="31">
        <f t="shared" si="1250"/>
        <v>0.71111111111111114</v>
      </c>
      <c r="C6947" t="str">
        <f>'Inventory as of 12th Aug 2024'!A232</f>
        <v>coo</v>
      </c>
      <c r="D6947">
        <v>2</v>
      </c>
      <c r="E6947" s="5">
        <f>Table4[[#This Row],[qty]]*(VLOOKUP(Table4[[#This Row],[item_sold]],Table1[],5,FALSE))</f>
        <v>5</v>
      </c>
      <c r="F6947" s="5">
        <f>(VLOOKUP(Table4[[#This Row],[item_sold]],Table1[],4,FALSE))*Table4[[#This Row],[qty]]</f>
        <v>2.4</v>
      </c>
      <c r="G6947">
        <f t="shared" si="1247"/>
        <v>2.6</v>
      </c>
      <c r="H6947" t="s">
        <v>402</v>
      </c>
    </row>
    <row r="6948" spans="1:8" x14ac:dyDescent="0.25">
      <c r="A6948" s="1">
        <f t="shared" si="1238"/>
        <v>45595</v>
      </c>
      <c r="B6948" s="31">
        <f t="shared" si="1250"/>
        <v>0.71111111111111114</v>
      </c>
      <c r="C6948" t="str">
        <f>'Inventory as of 12th Aug 2024'!A234</f>
        <v>Bigdaddy</v>
      </c>
      <c r="D6948">
        <v>1</v>
      </c>
      <c r="E6948" s="5">
        <f>Table4[[#This Row],[qty]]*(VLOOKUP(Table4[[#This Row],[item_sold]],Table1[],5,FALSE))</f>
        <v>10</v>
      </c>
      <c r="F6948" s="5">
        <f>(VLOOKUP(Table4[[#This Row],[item_sold]],Table1[],4,FALSE))*Table4[[#This Row],[qty]]</f>
        <v>6</v>
      </c>
      <c r="G6948">
        <f t="shared" si="1247"/>
        <v>4</v>
      </c>
      <c r="H6948" t="s">
        <v>402</v>
      </c>
    </row>
    <row r="6949" spans="1:8" x14ac:dyDescent="0.25">
      <c r="A6949" s="1">
        <f t="shared" si="1238"/>
        <v>45595</v>
      </c>
      <c r="B6949" s="31">
        <f>TIME(17,45,0)</f>
        <v>0.73958333333333337</v>
      </c>
      <c r="C6949" t="str">
        <f>'Inventory as of 12th Aug 2024'!A8</f>
        <v>eggs</v>
      </c>
      <c r="D6949">
        <v>6</v>
      </c>
      <c r="E6949" s="5">
        <f>Table4[[#This Row],[qty]]*(VLOOKUP(Table4[[#This Row],[item_sold]],Table1[],5,FALSE))</f>
        <v>120</v>
      </c>
      <c r="F6949" s="5">
        <f>(VLOOKUP(Table4[[#This Row],[item_sold]],Table1[],4,FALSE))*Table4[[#This Row],[qty]]</f>
        <v>86</v>
      </c>
      <c r="G6949">
        <f t="shared" si="1247"/>
        <v>34</v>
      </c>
      <c r="H6949" t="s">
        <v>361</v>
      </c>
    </row>
    <row r="6950" spans="1:8" x14ac:dyDescent="0.25">
      <c r="A6950" s="1">
        <f t="shared" si="1238"/>
        <v>45595</v>
      </c>
      <c r="B6950" s="31">
        <f t="shared" ref="B6950:B6955" si="1251">TIME(17,45,0)</f>
        <v>0.73958333333333337</v>
      </c>
      <c r="C6950" t="str">
        <f>'Inventory as of 12th Aug 2024'!A37</f>
        <v>Festive Bread 400g</v>
      </c>
      <c r="D6950">
        <v>2</v>
      </c>
      <c r="E6950" s="5">
        <f>Table4[[#This Row],[qty]]*(VLOOKUP(Table4[[#This Row],[item_sold]],Table1[],5,FALSE))</f>
        <v>130</v>
      </c>
      <c r="F6950" s="5">
        <f>(VLOOKUP(Table4[[#This Row],[item_sold]],Table1[],4,FALSE))*Table4[[#This Row],[qty]]</f>
        <v>120</v>
      </c>
      <c r="G6950">
        <f t="shared" si="1247"/>
        <v>10</v>
      </c>
      <c r="H6950" t="s">
        <v>361</v>
      </c>
    </row>
    <row r="6951" spans="1:8" x14ac:dyDescent="0.25">
      <c r="A6951" s="1">
        <f t="shared" si="1238"/>
        <v>45595</v>
      </c>
      <c r="B6951" s="31">
        <f t="shared" si="1251"/>
        <v>0.73958333333333337</v>
      </c>
      <c r="C6951" t="str">
        <f>'Inventory as of 12th Aug 2024'!A211</f>
        <v>predator</v>
      </c>
      <c r="D6951">
        <v>1</v>
      </c>
      <c r="E6951" s="5">
        <f>Table4[[#This Row],[qty]]*(VLOOKUP(Table4[[#This Row],[item_sold]],Table1[],5,FALSE))</f>
        <v>70</v>
      </c>
      <c r="F6951" s="5">
        <f>(VLOOKUP(Table4[[#This Row],[item_sold]],Table1[],4,FALSE))*Table4[[#This Row],[qty]]</f>
        <v>54.166666666666664</v>
      </c>
      <c r="G6951">
        <f t="shared" si="1247"/>
        <v>15.833333333333336</v>
      </c>
      <c r="H6951" t="s">
        <v>594</v>
      </c>
    </row>
    <row r="6952" spans="1:8" x14ac:dyDescent="0.25">
      <c r="A6952" s="1">
        <f t="shared" si="1238"/>
        <v>45595</v>
      </c>
      <c r="B6952" s="31">
        <f t="shared" si="1251"/>
        <v>0.73958333333333337</v>
      </c>
      <c r="C6952" t="str">
        <f>'Inventory as of 12th Aug 2024'!A10</f>
        <v>Mt Kenya milk 200ml</v>
      </c>
      <c r="D6952">
        <v>1</v>
      </c>
      <c r="E6952" s="5">
        <f>Table4[[#This Row],[qty]]*(VLOOKUP(Table4[[#This Row],[item_sold]],Table1[],5,FALSE))</f>
        <v>35</v>
      </c>
      <c r="F6952" s="5">
        <f>(VLOOKUP(Table4[[#This Row],[item_sold]],Table1[],4,FALSE))*Table4[[#This Row],[qty]]</f>
        <v>24.285714285714285</v>
      </c>
      <c r="G6952">
        <f t="shared" si="1247"/>
        <v>10.714285714285715</v>
      </c>
      <c r="H6952" t="s">
        <v>402</v>
      </c>
    </row>
    <row r="6953" spans="1:8" x14ac:dyDescent="0.25">
      <c r="A6953" s="1">
        <f t="shared" si="1238"/>
        <v>45595</v>
      </c>
      <c r="B6953" s="31">
        <f t="shared" si="1251"/>
        <v>0.73958333333333337</v>
      </c>
      <c r="C6953" t="str">
        <f>'Inventory as of 12th Aug 2024'!A199</f>
        <v>Kdf</v>
      </c>
      <c r="D6953">
        <v>2</v>
      </c>
      <c r="E6953" s="5">
        <f>Table4[[#This Row],[qty]]*(VLOOKUP(Table4[[#This Row],[item_sold]],Table1[],5,FALSE))</f>
        <v>20</v>
      </c>
      <c r="F6953" s="5">
        <f>(VLOOKUP(Table4[[#This Row],[item_sold]],Table1[],4,FALSE))*Table4[[#This Row],[qty]]</f>
        <v>16.666666666666668</v>
      </c>
      <c r="G6953">
        <f t="shared" si="1247"/>
        <v>3.3333333333333321</v>
      </c>
      <c r="H6953" t="s">
        <v>402</v>
      </c>
    </row>
    <row r="6954" spans="1:8" x14ac:dyDescent="0.25">
      <c r="A6954" s="1">
        <f t="shared" ref="A6954:A6977" si="1252">DATE(2024,10,30)</f>
        <v>45595</v>
      </c>
      <c r="B6954" s="31">
        <f t="shared" si="1251"/>
        <v>0.73958333333333337</v>
      </c>
      <c r="C6954" t="str">
        <f>'Inventory as of 12th Aug 2024'!A199</f>
        <v>Kdf</v>
      </c>
      <c r="D6954">
        <v>3</v>
      </c>
      <c r="E6954" s="5">
        <f>Table4[[#This Row],[qty]]*(VLOOKUP(Table4[[#This Row],[item_sold]],Table1[],5,FALSE))</f>
        <v>30</v>
      </c>
      <c r="F6954" s="5">
        <f>(VLOOKUP(Table4[[#This Row],[item_sold]],Table1[],4,FALSE))*Table4[[#This Row],[qty]]</f>
        <v>25</v>
      </c>
      <c r="G6954">
        <f t="shared" si="1247"/>
        <v>5</v>
      </c>
      <c r="H6954" t="s">
        <v>402</v>
      </c>
    </row>
    <row r="6955" spans="1:8" x14ac:dyDescent="0.25">
      <c r="A6955" s="1">
        <f t="shared" si="1252"/>
        <v>45595</v>
      </c>
      <c r="B6955" s="31">
        <f t="shared" si="1251"/>
        <v>0.73958333333333337</v>
      </c>
      <c r="C6955" t="str">
        <f>'Inventory as of 12th Aug 2024'!A207</f>
        <v>soda 350ml plastic</v>
      </c>
      <c r="D6955">
        <v>2</v>
      </c>
      <c r="E6955" s="5">
        <f>Table4[[#This Row],[qty]]*(VLOOKUP(Table4[[#This Row],[item_sold]],Table1[],5,FALSE))</f>
        <v>100</v>
      </c>
      <c r="F6955" s="5">
        <f>(VLOOKUP(Table4[[#This Row],[item_sold]],Table1[],4,FALSE))*Table4[[#This Row],[qty]]</f>
        <v>83.333333333333329</v>
      </c>
      <c r="G6955">
        <f t="shared" si="1247"/>
        <v>16.666666666666671</v>
      </c>
      <c r="H6955" t="s">
        <v>402</v>
      </c>
    </row>
    <row r="6956" spans="1:8" x14ac:dyDescent="0.25">
      <c r="A6956" s="1">
        <f t="shared" si="1252"/>
        <v>45595</v>
      </c>
      <c r="B6956" s="31">
        <f>TIME(18,21,0)</f>
        <v>0.76458333333333339</v>
      </c>
      <c r="C6956" t="str">
        <f>'Inventory as of 12th Aug 2024'!A8</f>
        <v>eggs</v>
      </c>
      <c r="D6956">
        <v>4</v>
      </c>
      <c r="E6956" s="5">
        <f>Table4[[#This Row],[qty]]*(VLOOKUP(Table4[[#This Row],[item_sold]],Table1[],5,FALSE))</f>
        <v>80</v>
      </c>
      <c r="F6956" s="5">
        <f>(VLOOKUP(Table4[[#This Row],[item_sold]],Table1[],4,FALSE))*Table4[[#This Row],[qty]]</f>
        <v>57.333333333333336</v>
      </c>
      <c r="G6956">
        <f t="shared" si="1247"/>
        <v>22.666666666666664</v>
      </c>
      <c r="H6956" t="s">
        <v>361</v>
      </c>
    </row>
    <row r="6957" spans="1:8" x14ac:dyDescent="0.25">
      <c r="A6957" s="1">
        <f t="shared" si="1252"/>
        <v>45595</v>
      </c>
      <c r="B6957" s="31">
        <f t="shared" ref="B6957:B6958" si="1253">TIME(18,21,0)</f>
        <v>0.76458333333333339</v>
      </c>
      <c r="C6957" t="str">
        <f>'Inventory as of 12th Aug 2024'!A92</f>
        <v>Banana</v>
      </c>
      <c r="D6957">
        <v>2</v>
      </c>
      <c r="E6957" s="5">
        <f>Table4[[#This Row],[qty]]*(VLOOKUP(Table4[[#This Row],[item_sold]],Table1[],5,FALSE))</f>
        <v>20</v>
      </c>
      <c r="F6957" s="5">
        <f>(VLOOKUP(Table4[[#This Row],[item_sold]],Table1[],4,FALSE))*Table4[[#This Row],[qty]]</f>
        <v>16.666666666666668</v>
      </c>
      <c r="G6957">
        <f t="shared" si="1247"/>
        <v>3.3333333333333321</v>
      </c>
      <c r="H6957" t="s">
        <v>402</v>
      </c>
    </row>
    <row r="6958" spans="1:8" x14ac:dyDescent="0.25">
      <c r="A6958" s="1">
        <f t="shared" si="1252"/>
        <v>45595</v>
      </c>
      <c r="B6958" s="31">
        <f t="shared" si="1253"/>
        <v>0.76458333333333339</v>
      </c>
      <c r="C6958" t="str">
        <f>'Inventory as of 12th Aug 2024'!A199</f>
        <v>Kdf</v>
      </c>
      <c r="D6958">
        <v>3</v>
      </c>
      <c r="E6958" s="5">
        <f>Table4[[#This Row],[qty]]*(VLOOKUP(Table4[[#This Row],[item_sold]],Table1[],5,FALSE))</f>
        <v>30</v>
      </c>
      <c r="F6958" s="5">
        <f>(VLOOKUP(Table4[[#This Row],[item_sold]],Table1[],4,FALSE))*Table4[[#This Row],[qty]]</f>
        <v>25</v>
      </c>
      <c r="G6958">
        <f t="shared" si="1247"/>
        <v>5</v>
      </c>
      <c r="H6958" t="s">
        <v>402</v>
      </c>
    </row>
    <row r="6959" spans="1:8" x14ac:dyDescent="0.25">
      <c r="A6959" s="1">
        <f t="shared" si="1252"/>
        <v>45595</v>
      </c>
      <c r="B6959" s="31">
        <f>TIME(18,30,0)</f>
        <v>0.77083333333333337</v>
      </c>
      <c r="C6959" t="str">
        <f>'Inventory as of 12th Aug 2024'!A242</f>
        <v>Icepop</v>
      </c>
      <c r="D6959">
        <v>2</v>
      </c>
      <c r="E6959" s="5">
        <f>Table4[[#This Row],[qty]]*(VLOOKUP(Table4[[#This Row],[item_sold]],Table1[],5,FALSE))</f>
        <v>30</v>
      </c>
      <c r="F6959" s="5">
        <f>(VLOOKUP(Table4[[#This Row],[item_sold]],Table1[],4,FALSE))*Table4[[#This Row],[qty]]</f>
        <v>15</v>
      </c>
      <c r="G6959">
        <f t="shared" si="1247"/>
        <v>15</v>
      </c>
      <c r="H6959" t="s">
        <v>361</v>
      </c>
    </row>
    <row r="6960" spans="1:8" x14ac:dyDescent="0.25">
      <c r="A6960" s="1">
        <f t="shared" si="1252"/>
        <v>45595</v>
      </c>
      <c r="B6960" s="31">
        <f t="shared" ref="B6960:B6961" si="1254">TIME(18,30,0)</f>
        <v>0.77083333333333337</v>
      </c>
      <c r="C6960" t="str">
        <f>'Inventory as of 12th Aug 2024'!A179</f>
        <v>Bitez</v>
      </c>
      <c r="D6960">
        <v>1</v>
      </c>
      <c r="E6960" s="5">
        <f>Table4[[#This Row],[qty]]*(VLOOKUP(Table4[[#This Row],[item_sold]],Table1[],5,FALSE))</f>
        <v>15</v>
      </c>
      <c r="F6960" s="5">
        <f>(VLOOKUP(Table4[[#This Row],[item_sold]],Table1[],4,FALSE))*Table4[[#This Row],[qty]]</f>
        <v>8.8000000000000007</v>
      </c>
      <c r="G6960">
        <f t="shared" si="1247"/>
        <v>6.1999999999999993</v>
      </c>
      <c r="H6960" t="s">
        <v>402</v>
      </c>
    </row>
    <row r="6961" spans="1:12" x14ac:dyDescent="0.25">
      <c r="A6961" s="1">
        <f t="shared" si="1252"/>
        <v>45595</v>
      </c>
      <c r="B6961" s="31">
        <f t="shared" si="1254"/>
        <v>0.77083333333333337</v>
      </c>
      <c r="C6961" t="str">
        <f>'Inventory as of 12th Aug 2024'!A231</f>
        <v>Patco</v>
      </c>
      <c r="D6961">
        <v>2</v>
      </c>
      <c r="E6961" s="5">
        <f>Table4[[#This Row],[qty]]*(VLOOKUP(Table4[[#This Row],[item_sold]],Table1[],5,FALSE))</f>
        <v>5</v>
      </c>
      <c r="F6961" s="5">
        <f>(VLOOKUP(Table4[[#This Row],[item_sold]],Table1[],4,FALSE))*Table4[[#This Row],[qty]]</f>
        <v>2.4</v>
      </c>
      <c r="G6961">
        <f t="shared" si="1247"/>
        <v>2.6</v>
      </c>
      <c r="H6961" t="s">
        <v>402</v>
      </c>
    </row>
    <row r="6962" spans="1:12" x14ac:dyDescent="0.25">
      <c r="A6962" s="1">
        <f t="shared" si="1252"/>
        <v>45595</v>
      </c>
      <c r="B6962" s="31">
        <f>TIME(18,51,0)</f>
        <v>0.78541666666666676</v>
      </c>
      <c r="C6962" t="str">
        <f>'Inventory as of 12th Aug 2024'!A256</f>
        <v>Family bisquit</v>
      </c>
      <c r="D6962">
        <v>1</v>
      </c>
      <c r="E6962" s="5">
        <f>Table4[[#This Row],[qty]]*(VLOOKUP(Table4[[#This Row],[item_sold]],Table1[],5,FALSE))</f>
        <v>35</v>
      </c>
      <c r="F6962" s="5">
        <f>(VLOOKUP(Table4[[#This Row],[item_sold]],Table1[],4,FALSE))*Table4[[#This Row],[qty]]</f>
        <v>23.333333333333332</v>
      </c>
      <c r="G6962">
        <f t="shared" si="1247"/>
        <v>11.666666666666668</v>
      </c>
      <c r="H6962" t="s">
        <v>361</v>
      </c>
    </row>
    <row r="6963" spans="1:12" x14ac:dyDescent="0.25">
      <c r="A6963" s="1">
        <f t="shared" si="1252"/>
        <v>45595</v>
      </c>
      <c r="B6963" s="31">
        <f t="shared" ref="B6963:B6966" si="1255">TIME(18,51,0)</f>
        <v>0.78541666666666676</v>
      </c>
      <c r="C6963" t="str">
        <f>'Inventory as of 12th Aug 2024'!A120</f>
        <v>Maramoja</v>
      </c>
      <c r="D6963">
        <v>2</v>
      </c>
      <c r="E6963" s="5">
        <f>Table4[[#This Row],[qty]]*(VLOOKUP(Table4[[#This Row],[item_sold]],Table1[],5,FALSE))</f>
        <v>20</v>
      </c>
      <c r="F6963" s="5">
        <f>(VLOOKUP(Table4[[#This Row],[item_sold]],Table1[],4,FALSE))*Table4[[#This Row],[qty]]</f>
        <v>14</v>
      </c>
      <c r="G6963">
        <f t="shared" si="1247"/>
        <v>6</v>
      </c>
      <c r="H6963" t="s">
        <v>402</v>
      </c>
    </row>
    <row r="6964" spans="1:12" x14ac:dyDescent="0.25">
      <c r="A6964" s="1">
        <f t="shared" si="1252"/>
        <v>45595</v>
      </c>
      <c r="B6964" s="31">
        <f t="shared" si="1255"/>
        <v>0.78541666666666676</v>
      </c>
      <c r="C6964" t="str">
        <f>'Inventory as of 12th Aug 2024'!A92</f>
        <v>Banana</v>
      </c>
      <c r="D6964">
        <v>1</v>
      </c>
      <c r="E6964" s="5">
        <f>Table4[[#This Row],[qty]]*(VLOOKUP(Table4[[#This Row],[item_sold]],Table1[],5,FALSE))</f>
        <v>10</v>
      </c>
      <c r="F6964" s="5">
        <f>(VLOOKUP(Table4[[#This Row],[item_sold]],Table1[],4,FALSE))*Table4[[#This Row],[qty]]</f>
        <v>8.3333333333333339</v>
      </c>
      <c r="G6964">
        <f t="shared" si="1247"/>
        <v>1.6666666666666661</v>
      </c>
      <c r="H6964" t="s">
        <v>402</v>
      </c>
    </row>
    <row r="6965" spans="1:12" x14ac:dyDescent="0.25">
      <c r="A6965" s="1">
        <f t="shared" si="1252"/>
        <v>45595</v>
      </c>
      <c r="B6965" s="31">
        <f t="shared" si="1255"/>
        <v>0.78541666666666676</v>
      </c>
      <c r="C6965" t="str">
        <f>'Inventory as of 12th Aug 2024'!A212</f>
        <v>soda 300ml glass</v>
      </c>
      <c r="D6965">
        <v>1</v>
      </c>
      <c r="E6965" s="5">
        <f>Table4[[#This Row],[qty]]*(VLOOKUP(Table4[[#This Row],[item_sold]],Table1[],5,FALSE))</f>
        <v>40</v>
      </c>
      <c r="F6965" s="5">
        <f>(VLOOKUP(Table4[[#This Row],[item_sold]],Table1[],4,FALSE))*Table4[[#This Row],[qty]]</f>
        <v>32.5</v>
      </c>
      <c r="G6965">
        <f t="shared" si="1247"/>
        <v>7.5</v>
      </c>
      <c r="H6965" t="s">
        <v>402</v>
      </c>
    </row>
    <row r="6966" spans="1:12" x14ac:dyDescent="0.25">
      <c r="A6966" s="1">
        <f t="shared" si="1252"/>
        <v>45595</v>
      </c>
      <c r="B6966" s="31">
        <f t="shared" si="1255"/>
        <v>0.78541666666666676</v>
      </c>
      <c r="C6966" t="str">
        <f>'Inventory as of 12th Aug 2024'!A199</f>
        <v>Kdf</v>
      </c>
      <c r="D6966">
        <v>2</v>
      </c>
      <c r="E6966" s="5">
        <f>Table4[[#This Row],[qty]]*(VLOOKUP(Table4[[#This Row],[item_sold]],Table1[],5,FALSE))</f>
        <v>20</v>
      </c>
      <c r="F6966" s="5">
        <f>(VLOOKUP(Table4[[#This Row],[item_sold]],Table1[],4,FALSE))*Table4[[#This Row],[qty]]</f>
        <v>16.666666666666668</v>
      </c>
      <c r="G6966">
        <f t="shared" si="1247"/>
        <v>3.3333333333333321</v>
      </c>
      <c r="H6966" t="s">
        <v>402</v>
      </c>
    </row>
    <row r="6967" spans="1:12" x14ac:dyDescent="0.25">
      <c r="A6967" s="1">
        <f t="shared" si="1252"/>
        <v>45595</v>
      </c>
      <c r="B6967" s="31">
        <f>TIME(19,7,0)</f>
        <v>0.79652777777777783</v>
      </c>
      <c r="C6967" t="str">
        <f>'Inventory as of 12th Aug 2024'!A29</f>
        <v>Fahari Tea 50g</v>
      </c>
      <c r="D6967">
        <v>1</v>
      </c>
      <c r="E6967" s="5">
        <f>Table4[[#This Row],[qty]]*(VLOOKUP(Table4[[#This Row],[item_sold]],Table1[],5,FALSE))</f>
        <v>30</v>
      </c>
      <c r="F6967" s="5">
        <f>(VLOOKUP(Table4[[#This Row],[item_sold]],Table1[],4,FALSE))*Table4[[#This Row],[qty]]</f>
        <v>17.5</v>
      </c>
      <c r="G6967">
        <f t="shared" si="1247"/>
        <v>12.5</v>
      </c>
      <c r="H6967" t="s">
        <v>361</v>
      </c>
    </row>
    <row r="6968" spans="1:12" x14ac:dyDescent="0.25">
      <c r="A6968" s="1">
        <f t="shared" si="1252"/>
        <v>45595</v>
      </c>
      <c r="B6968" s="31">
        <f t="shared" ref="B6968:B6969" si="1256">TIME(19,7,0)</f>
        <v>0.79652777777777783</v>
      </c>
      <c r="C6968" t="str">
        <f>'Inventory as of 12th Aug 2024'!A33</f>
        <v>BB Bread 400g</v>
      </c>
      <c r="D6968">
        <v>1</v>
      </c>
      <c r="E6968" s="5">
        <f>Table4[[#This Row],[qty]]*(VLOOKUP(Table4[[#This Row],[item_sold]],Table1[],5,FALSE))</f>
        <v>65</v>
      </c>
      <c r="F6968" s="5">
        <f>(VLOOKUP(Table4[[#This Row],[item_sold]],Table1[],4,FALSE))*Table4[[#This Row],[qty]]</f>
        <v>60</v>
      </c>
      <c r="G6968">
        <f t="shared" si="1247"/>
        <v>5</v>
      </c>
      <c r="H6968" t="s">
        <v>361</v>
      </c>
    </row>
    <row r="6969" spans="1:12" x14ac:dyDescent="0.25">
      <c r="A6969" s="1">
        <f t="shared" si="1252"/>
        <v>45595</v>
      </c>
      <c r="B6969" s="31">
        <f t="shared" si="1256"/>
        <v>0.79652777777777783</v>
      </c>
      <c r="C6969" t="str">
        <f>'Inventory as of 12th Aug 2024'!A71</f>
        <v>Sugar 1/4 kg</v>
      </c>
      <c r="D6969">
        <v>1</v>
      </c>
      <c r="E6969" s="5">
        <f>Table4[[#This Row],[qty]]*(VLOOKUP(Table4[[#This Row],[item_sold]],Table1[],5,FALSE))</f>
        <v>45</v>
      </c>
      <c r="F6969" s="5">
        <f>(VLOOKUP(Table4[[#This Row],[item_sold]],Table1[],4,FALSE))*Table4[[#This Row],[qty]]</f>
        <v>30</v>
      </c>
      <c r="G6969">
        <f t="shared" si="1247"/>
        <v>15</v>
      </c>
      <c r="H6969" t="s">
        <v>361</v>
      </c>
      <c r="J6969" t="s">
        <v>419</v>
      </c>
      <c r="K6969">
        <v>55</v>
      </c>
      <c r="L6969" t="s">
        <v>247</v>
      </c>
    </row>
    <row r="6970" spans="1:12" x14ac:dyDescent="0.25">
      <c r="A6970" s="1">
        <f t="shared" si="1252"/>
        <v>45595</v>
      </c>
      <c r="B6970" s="31">
        <f>TIME(19,8,0)</f>
        <v>0.79722222222222217</v>
      </c>
      <c r="C6970" t="str">
        <f>'Inventory as of 12th Aug 2024'!A248</f>
        <v>Soko Maize meal</v>
      </c>
      <c r="D6970">
        <v>1</v>
      </c>
      <c r="E6970" s="5">
        <f>Table4[[#This Row],[qty]]*(VLOOKUP(Table4[[#This Row],[item_sold]],Table1[],5,FALSE))</f>
        <v>160</v>
      </c>
      <c r="F6970" s="5">
        <f>(VLOOKUP(Table4[[#This Row],[item_sold]],Table1[],4,FALSE))*Table4[[#This Row],[qty]]</f>
        <v>125</v>
      </c>
      <c r="G6970">
        <f t="shared" si="1247"/>
        <v>35</v>
      </c>
      <c r="H6970" t="s">
        <v>430</v>
      </c>
      <c r="I6970" t="s">
        <v>456</v>
      </c>
    </row>
    <row r="6971" spans="1:12" x14ac:dyDescent="0.25">
      <c r="A6971" s="1">
        <f t="shared" si="1252"/>
        <v>45595</v>
      </c>
      <c r="B6971" s="31">
        <f t="shared" ref="B6971:B6972" si="1257">TIME(19,8,0)</f>
        <v>0.79722222222222217</v>
      </c>
      <c r="C6971" t="str">
        <f>'Inventory as of 12th Aug 2024'!A244</f>
        <v>5ltrs water</v>
      </c>
      <c r="D6971">
        <v>1</v>
      </c>
      <c r="E6971" s="5">
        <f>Table4[[#This Row],[qty]]*(VLOOKUP(Table4[[#This Row],[item_sold]],Table1[],5,FALSE))</f>
        <v>120</v>
      </c>
      <c r="F6971" s="5">
        <f>(VLOOKUP(Table4[[#This Row],[item_sold]],Table1[],4,FALSE))*Table4[[#This Row],[qty]]</f>
        <v>75</v>
      </c>
      <c r="G6971">
        <f t="shared" si="1247"/>
        <v>45</v>
      </c>
      <c r="H6971" t="s">
        <v>430</v>
      </c>
      <c r="I6971" t="s">
        <v>456</v>
      </c>
    </row>
    <row r="6972" spans="1:12" x14ac:dyDescent="0.25">
      <c r="A6972" s="1">
        <f t="shared" si="1252"/>
        <v>45595</v>
      </c>
      <c r="B6972" s="31">
        <f t="shared" si="1257"/>
        <v>0.79722222222222217</v>
      </c>
      <c r="C6972" t="str">
        <f>'Inventory as of 12th Aug 2024'!A58</f>
        <v>Safari</v>
      </c>
      <c r="D6972">
        <v>1</v>
      </c>
      <c r="E6972" s="5">
        <f>Table4[[#This Row],[qty]]*(VLOOKUP(Table4[[#This Row],[item_sold]],Table1[],5,FALSE))</f>
        <v>15</v>
      </c>
      <c r="F6972" s="5">
        <f>(VLOOKUP(Table4[[#This Row],[item_sold]],Table1[],4,FALSE))*Table4[[#This Row],[qty]]</f>
        <v>8.5</v>
      </c>
      <c r="G6972">
        <f t="shared" si="1247"/>
        <v>6.5</v>
      </c>
      <c r="H6972" t="s">
        <v>402</v>
      </c>
    </row>
    <row r="6973" spans="1:12" x14ac:dyDescent="0.25">
      <c r="A6973" s="1">
        <f t="shared" si="1252"/>
        <v>45595</v>
      </c>
      <c r="B6973" s="31">
        <f>TIME(20,29,0)</f>
        <v>0.8534722222222223</v>
      </c>
      <c r="C6973" t="str">
        <f>'Inventory as of 12th Aug 2024'!A8</f>
        <v>eggs</v>
      </c>
      <c r="D6973">
        <v>6</v>
      </c>
      <c r="E6973" s="5">
        <f>Table4[[#This Row],[qty]]*(VLOOKUP(Table4[[#This Row],[item_sold]],Table1[],5,FALSE))</f>
        <v>120</v>
      </c>
      <c r="F6973" s="5">
        <f>(VLOOKUP(Table4[[#This Row],[item_sold]],Table1[],4,FALSE))*Table4[[#This Row],[qty]]</f>
        <v>86</v>
      </c>
      <c r="G6973">
        <f t="shared" si="1247"/>
        <v>34</v>
      </c>
      <c r="H6973" t="s">
        <v>361</v>
      </c>
    </row>
    <row r="6974" spans="1:12" x14ac:dyDescent="0.25">
      <c r="A6974" s="1">
        <f t="shared" si="1252"/>
        <v>45595</v>
      </c>
      <c r="B6974" s="31">
        <f t="shared" ref="B6974:B6975" si="1258">TIME(20,29,0)</f>
        <v>0.8534722222222223</v>
      </c>
      <c r="C6974" t="str">
        <f>'Inventory as of 12th Aug 2024'!A37</f>
        <v>Festive Bread 400g</v>
      </c>
      <c r="D6974">
        <v>1</v>
      </c>
      <c r="E6974" s="5">
        <f>Table4[[#This Row],[qty]]*(VLOOKUP(Table4[[#This Row],[item_sold]],Table1[],5,FALSE))</f>
        <v>65</v>
      </c>
      <c r="F6974" s="5">
        <f>(VLOOKUP(Table4[[#This Row],[item_sold]],Table1[],4,FALSE))*Table4[[#This Row],[qty]]</f>
        <v>60</v>
      </c>
      <c r="G6974">
        <f t="shared" si="1247"/>
        <v>5</v>
      </c>
      <c r="H6974" t="s">
        <v>361</v>
      </c>
    </row>
    <row r="6975" spans="1:12" x14ac:dyDescent="0.25">
      <c r="A6975" s="1">
        <f t="shared" si="1252"/>
        <v>45595</v>
      </c>
      <c r="B6975" s="31">
        <f t="shared" si="1258"/>
        <v>0.8534722222222223</v>
      </c>
      <c r="C6975" t="str">
        <f>'Inventory as of 12th Aug 2024'!A206</f>
        <v>soda 500ml plastic</v>
      </c>
      <c r="D6975">
        <v>1</v>
      </c>
      <c r="E6975" s="5">
        <f>Table4[[#This Row],[qty]]*(VLOOKUP(Table4[[#This Row],[item_sold]],Table1[],5,FALSE))</f>
        <v>70</v>
      </c>
      <c r="F6975" s="5">
        <f>(VLOOKUP(Table4[[#This Row],[item_sold]],Table1[],4,FALSE))*Table4[[#This Row],[qty]]</f>
        <v>60.416666666666664</v>
      </c>
      <c r="G6975">
        <f t="shared" si="1247"/>
        <v>9.5833333333333357</v>
      </c>
      <c r="H6975" t="s">
        <v>361</v>
      </c>
    </row>
    <row r="6976" spans="1:12" x14ac:dyDescent="0.25">
      <c r="A6976" s="1">
        <f t="shared" si="1252"/>
        <v>45595</v>
      </c>
      <c r="B6976" s="31">
        <f>TIME(20,30,0)</f>
        <v>0.85416666666666663</v>
      </c>
      <c r="C6976" t="str">
        <f>'Inventory as of 12th Aug 2024'!A68</f>
        <v>Royco cubes</v>
      </c>
      <c r="D6976">
        <v>2</v>
      </c>
      <c r="E6976" s="5">
        <f>Table4[[#This Row],[qty]]*(VLOOKUP(Table4[[#This Row],[item_sold]],Table1[],5,FALSE))</f>
        <v>10</v>
      </c>
      <c r="F6976" s="5">
        <f>(VLOOKUP(Table4[[#This Row],[item_sold]],Table1[],4,FALSE))*Table4[[#This Row],[qty]]</f>
        <v>6</v>
      </c>
      <c r="G6976">
        <f t="shared" si="1247"/>
        <v>4</v>
      </c>
      <c r="H6976" t="s">
        <v>361</v>
      </c>
    </row>
    <row r="6977" spans="1:12" x14ac:dyDescent="0.25">
      <c r="A6977" s="1">
        <f t="shared" si="1252"/>
        <v>45595</v>
      </c>
      <c r="B6977" s="31">
        <f>TIME(20,30,0)</f>
        <v>0.85416666666666663</v>
      </c>
      <c r="C6977" t="str">
        <f>'Inventory as of 12th Aug 2024'!A71</f>
        <v>Sugar 1/4 kg</v>
      </c>
      <c r="D6977">
        <v>1</v>
      </c>
      <c r="E6977" s="5">
        <f>Table4[[#This Row],[qty]]*(VLOOKUP(Table4[[#This Row],[item_sold]],Table1[],5,FALSE))</f>
        <v>45</v>
      </c>
      <c r="F6977" s="5">
        <f>(VLOOKUP(Table4[[#This Row],[item_sold]],Table1[],4,FALSE))*Table4[[#This Row],[qty]]</f>
        <v>30</v>
      </c>
      <c r="G6977">
        <f t="shared" si="1247"/>
        <v>15</v>
      </c>
      <c r="H6977" s="25" t="s">
        <v>402</v>
      </c>
    </row>
    <row r="6978" spans="1:12" x14ac:dyDescent="0.25">
      <c r="A6978" s="1">
        <f>DATE(2024,10,31)</f>
        <v>45596</v>
      </c>
      <c r="B6978" s="31">
        <f>TIME(7,13,0)</f>
        <v>0.30069444444444443</v>
      </c>
      <c r="C6978" t="str">
        <f>'Inventory as of 12th Aug 2024'!A92</f>
        <v>Banana</v>
      </c>
      <c r="D6978">
        <v>2</v>
      </c>
      <c r="E6978" s="5">
        <f>Table4[[#This Row],[qty]]*(VLOOKUP(Table4[[#This Row],[item_sold]],Table1[],5,FALSE))</f>
        <v>20</v>
      </c>
      <c r="F6978" s="5">
        <f>(VLOOKUP(Table4[[#This Row],[item_sold]],Table1[],4,FALSE))*Table4[[#This Row],[qty]]</f>
        <v>16.666666666666668</v>
      </c>
      <c r="G6978">
        <f t="shared" si="1247"/>
        <v>3.3333333333333321</v>
      </c>
      <c r="H6978" t="s">
        <v>402</v>
      </c>
    </row>
    <row r="6979" spans="1:12" x14ac:dyDescent="0.25">
      <c r="A6979" s="1">
        <f t="shared" ref="A6979:A7042" si="1259">DATE(2024,10,31)</f>
        <v>45596</v>
      </c>
      <c r="B6979" s="31">
        <f t="shared" ref="B6979:B6981" si="1260">TIME(7,13,0)</f>
        <v>0.30069444444444443</v>
      </c>
      <c r="C6979" t="str">
        <f>'Inventory as of 12th Aug 2024'!A7</f>
        <v>Airtel 50 Credit</v>
      </c>
      <c r="D6979">
        <v>1</v>
      </c>
      <c r="E6979" s="5">
        <f>Table4[[#This Row],[qty]]*(VLOOKUP(Table4[[#This Row],[item_sold]],Table1[],5,FALSE))</f>
        <v>50</v>
      </c>
      <c r="F6979" s="5">
        <f>(VLOOKUP(Table4[[#This Row],[item_sold]],Table1[],4,FALSE))*Table4[[#This Row],[qty]]</f>
        <v>47</v>
      </c>
      <c r="G6979">
        <f t="shared" si="1247"/>
        <v>3</v>
      </c>
      <c r="H6979" t="s">
        <v>361</v>
      </c>
    </row>
    <row r="6980" spans="1:12" x14ac:dyDescent="0.25">
      <c r="A6980" s="1">
        <f t="shared" si="1259"/>
        <v>45596</v>
      </c>
      <c r="B6980" s="31">
        <f t="shared" si="1260"/>
        <v>0.30069444444444443</v>
      </c>
      <c r="C6980" t="str">
        <f>'Inventory as of 12th Aug 2024'!A58</f>
        <v>Safari</v>
      </c>
      <c r="D6980">
        <v>1</v>
      </c>
      <c r="E6980" s="5">
        <f>Table4[[#This Row],[qty]]*(VLOOKUP(Table4[[#This Row],[item_sold]],Table1[],5,FALSE))</f>
        <v>15</v>
      </c>
      <c r="F6980" s="5">
        <f>(VLOOKUP(Table4[[#This Row],[item_sold]],Table1[],4,FALSE))*Table4[[#This Row],[qty]]</f>
        <v>8.5</v>
      </c>
      <c r="G6980">
        <f t="shared" si="1247"/>
        <v>6.5</v>
      </c>
      <c r="H6980" t="s">
        <v>402</v>
      </c>
    </row>
    <row r="6981" spans="1:12" x14ac:dyDescent="0.25">
      <c r="A6981" s="1">
        <f t="shared" si="1259"/>
        <v>45596</v>
      </c>
      <c r="B6981" s="31">
        <f t="shared" si="1260"/>
        <v>0.30069444444444443</v>
      </c>
      <c r="C6981" t="str">
        <f>'Inventory as of 12th Aug 2024'!A238</f>
        <v>Tropical</v>
      </c>
      <c r="D6981">
        <v>2</v>
      </c>
      <c r="E6981" s="5">
        <f>Table4[[#This Row],[qty]]*(VLOOKUP(Table4[[#This Row],[item_sold]],Table1[],5,FALSE))</f>
        <v>10</v>
      </c>
      <c r="F6981" s="5">
        <f>(VLOOKUP(Table4[[#This Row],[item_sold]],Table1[],4,FALSE))*Table4[[#This Row],[qty]]</f>
        <v>3</v>
      </c>
      <c r="G6981">
        <f t="shared" si="1247"/>
        <v>7</v>
      </c>
      <c r="H6981" t="s">
        <v>402</v>
      </c>
    </row>
    <row r="6982" spans="1:12" x14ac:dyDescent="0.25">
      <c r="A6982" s="1">
        <f t="shared" si="1259"/>
        <v>45596</v>
      </c>
      <c r="B6982" s="31">
        <f>TIME(7,31,0)</f>
        <v>0.31319444444444444</v>
      </c>
      <c r="C6982" t="str">
        <f>'Inventory as of 12th Aug 2024'!A37</f>
        <v>Festive Bread 400g</v>
      </c>
      <c r="D6982">
        <v>1</v>
      </c>
      <c r="E6982" s="5">
        <f>Table4[[#This Row],[qty]]*(VLOOKUP(Table4[[#This Row],[item_sold]],Table1[],5,FALSE))</f>
        <v>65</v>
      </c>
      <c r="F6982" s="5">
        <f>(VLOOKUP(Table4[[#This Row],[item_sold]],Table1[],4,FALSE))*Table4[[#This Row],[qty]]</f>
        <v>60</v>
      </c>
      <c r="G6982">
        <f t="shared" si="1247"/>
        <v>5</v>
      </c>
      <c r="H6982" t="s">
        <v>430</v>
      </c>
      <c r="I6982" t="s">
        <v>390</v>
      </c>
    </row>
    <row r="6983" spans="1:12" x14ac:dyDescent="0.25">
      <c r="A6983" s="1">
        <f t="shared" si="1259"/>
        <v>45596</v>
      </c>
      <c r="B6983" s="31">
        <f t="shared" ref="B6983:B6986" si="1261">TIME(7,31,0)</f>
        <v>0.31319444444444444</v>
      </c>
      <c r="C6983" t="str">
        <f>'Inventory as of 12th Aug 2024'!A16</f>
        <v>Mt kenya milk 500ml</v>
      </c>
      <c r="D6983">
        <v>1</v>
      </c>
      <c r="E6983" s="5">
        <f>Table4[[#This Row],[qty]]*(VLOOKUP(Table4[[#This Row],[item_sold]],Table1[],5,FALSE))</f>
        <v>65</v>
      </c>
      <c r="F6983" s="5">
        <f>(VLOOKUP(Table4[[#This Row],[item_sold]],Table1[],4,FALSE))*Table4[[#This Row],[qty]]</f>
        <v>48.333333333333336</v>
      </c>
      <c r="G6983">
        <f t="shared" si="1247"/>
        <v>16.666666666666664</v>
      </c>
      <c r="H6983" t="s">
        <v>402</v>
      </c>
    </row>
    <row r="6984" spans="1:12" x14ac:dyDescent="0.25">
      <c r="A6984" s="1">
        <f t="shared" si="1259"/>
        <v>45596</v>
      </c>
      <c r="B6984" s="31">
        <f t="shared" si="1261"/>
        <v>0.31319444444444444</v>
      </c>
      <c r="C6984" t="str">
        <f>'Inventory as of 12th Aug 2024'!A33</f>
        <v>BB Bread 400g</v>
      </c>
      <c r="D6984">
        <v>1</v>
      </c>
      <c r="E6984" s="5">
        <f>Table4[[#This Row],[qty]]*(VLOOKUP(Table4[[#This Row],[item_sold]],Table1[],5,FALSE))</f>
        <v>65</v>
      </c>
      <c r="F6984" s="5">
        <f>(VLOOKUP(Table4[[#This Row],[item_sold]],Table1[],4,FALSE))*Table4[[#This Row],[qty]]</f>
        <v>60</v>
      </c>
      <c r="G6984">
        <f t="shared" si="1247"/>
        <v>5</v>
      </c>
      <c r="H6984" t="s">
        <v>402</v>
      </c>
    </row>
    <row r="6985" spans="1:12" x14ac:dyDescent="0.25">
      <c r="A6985" s="1">
        <f t="shared" si="1259"/>
        <v>45596</v>
      </c>
      <c r="B6985" s="31">
        <f t="shared" si="1261"/>
        <v>0.31319444444444444</v>
      </c>
      <c r="C6985" t="str">
        <f>'Inventory as of 12th Aug 2024'!A193</f>
        <v>Ginger Bisquit</v>
      </c>
      <c r="D6985">
        <v>2</v>
      </c>
      <c r="E6985" s="5">
        <f>Table4[[#This Row],[qty]]*(VLOOKUP(Table4[[#This Row],[item_sold]],Table1[],5,FALSE))</f>
        <v>10</v>
      </c>
      <c r="F6985" s="5">
        <f>(VLOOKUP(Table4[[#This Row],[item_sold]],Table1[],4,FALSE))*Table4[[#This Row],[qty]]</f>
        <v>8.6666666666666661</v>
      </c>
      <c r="G6985">
        <f t="shared" si="1247"/>
        <v>1.3333333333333339</v>
      </c>
      <c r="H6985" t="s">
        <v>402</v>
      </c>
    </row>
    <row r="6986" spans="1:12" x14ac:dyDescent="0.25">
      <c r="A6986" s="1">
        <f t="shared" si="1259"/>
        <v>45596</v>
      </c>
      <c r="B6986" s="31">
        <f t="shared" si="1261"/>
        <v>0.31319444444444444</v>
      </c>
      <c r="C6986" t="str">
        <f>'Inventory as of 12th Aug 2024'!A107</f>
        <v>Match Box</v>
      </c>
      <c r="D6986">
        <v>1</v>
      </c>
      <c r="E6986" s="5">
        <f>Table4[[#This Row],[qty]]*(VLOOKUP(Table4[[#This Row],[item_sold]],Table1[],5,FALSE))</f>
        <v>5</v>
      </c>
      <c r="F6986" s="5">
        <f>(VLOOKUP(Table4[[#This Row],[item_sold]],Table1[],4,FALSE))*Table4[[#This Row],[qty]]</f>
        <v>2.3611111111111112</v>
      </c>
      <c r="G6986">
        <f t="shared" si="1247"/>
        <v>2.6388888888888888</v>
      </c>
      <c r="H6986" t="s">
        <v>430</v>
      </c>
      <c r="I6986" t="s">
        <v>456</v>
      </c>
    </row>
    <row r="6987" spans="1:12" x14ac:dyDescent="0.25">
      <c r="A6987" s="1">
        <f t="shared" si="1259"/>
        <v>45596</v>
      </c>
      <c r="B6987" s="31">
        <f>TIME(8,7,0)</f>
        <v>0.33819444444444446</v>
      </c>
      <c r="C6987" t="str">
        <f>'Inventory as of 12th Aug 2024'!A33</f>
        <v>BB Bread 400g</v>
      </c>
      <c r="D6987">
        <v>1</v>
      </c>
      <c r="E6987" s="5">
        <f>Table4[[#This Row],[qty]]*(VLOOKUP(Table4[[#This Row],[item_sold]],Table1[],5,FALSE))</f>
        <v>65</v>
      </c>
      <c r="F6987" s="5">
        <f>(VLOOKUP(Table4[[#This Row],[item_sold]],Table1[],4,FALSE))*Table4[[#This Row],[qty]]</f>
        <v>60</v>
      </c>
      <c r="G6987">
        <f t="shared" si="1247"/>
        <v>5</v>
      </c>
      <c r="H6987" t="s">
        <v>402</v>
      </c>
      <c r="J6987" t="s">
        <v>431</v>
      </c>
      <c r="K6987">
        <v>210</v>
      </c>
      <c r="L6987" t="s">
        <v>361</v>
      </c>
    </row>
    <row r="6988" spans="1:12" x14ac:dyDescent="0.25">
      <c r="A6988" s="1">
        <f t="shared" si="1259"/>
        <v>45596</v>
      </c>
      <c r="B6988" s="31">
        <f>TIME(8,41,0)</f>
        <v>0.36180555555555555</v>
      </c>
      <c r="C6988" t="str">
        <f>'Inventory as of 12th Aug 2024'!A238</f>
        <v>Tropical</v>
      </c>
      <c r="D6988">
        <v>4</v>
      </c>
      <c r="E6988" s="5">
        <f>Table4[[#This Row],[qty]]*(VLOOKUP(Table4[[#This Row],[item_sold]],Table1[],5,FALSE))</f>
        <v>20</v>
      </c>
      <c r="F6988" s="5">
        <f>(VLOOKUP(Table4[[#This Row],[item_sold]],Table1[],4,FALSE))*Table4[[#This Row],[qty]]</f>
        <v>6</v>
      </c>
      <c r="G6988">
        <f t="shared" si="1247"/>
        <v>14</v>
      </c>
      <c r="H6988" t="s">
        <v>361</v>
      </c>
    </row>
    <row r="6989" spans="1:12" x14ac:dyDescent="0.25">
      <c r="A6989" s="1">
        <f t="shared" si="1259"/>
        <v>45596</v>
      </c>
      <c r="B6989" s="31">
        <f t="shared" ref="B6989" si="1262">TIME(8,41,0)</f>
        <v>0.36180555555555555</v>
      </c>
      <c r="C6989" s="25"/>
      <c r="D6989">
        <v>1</v>
      </c>
      <c r="E6989" s="5" t="e">
        <f>Table4[[#This Row],[qty]]*(VLOOKUP(Table4[[#This Row],[item_sold]],Table1[],5,FALSE))</f>
        <v>#N/A</v>
      </c>
      <c r="F6989" s="5" t="e">
        <f>(VLOOKUP(Table4[[#This Row],[item_sold]],Table1[],4,FALSE))*Table4[[#This Row],[qty]]</f>
        <v>#N/A</v>
      </c>
      <c r="G6989" t="e">
        <f t="shared" si="1247"/>
        <v>#N/A</v>
      </c>
      <c r="H6989" t="s">
        <v>402</v>
      </c>
    </row>
    <row r="6990" spans="1:12" x14ac:dyDescent="0.25">
      <c r="A6990" s="1">
        <f t="shared" si="1259"/>
        <v>45596</v>
      </c>
      <c r="B6990" s="31">
        <f>TIME(9,21,0)</f>
        <v>0.38958333333333334</v>
      </c>
      <c r="C6990" t="str">
        <f>'Inventory as of 12th Aug 2024'!A90</f>
        <v>Onion</v>
      </c>
      <c r="D6990">
        <v>1</v>
      </c>
      <c r="E6990" s="5">
        <f>Table4[[#This Row],[qty]]*(VLOOKUP(Table4[[#This Row],[item_sold]],Table1[],5,FALSE))</f>
        <v>10</v>
      </c>
      <c r="F6990" s="5">
        <f>(VLOOKUP(Table4[[#This Row],[item_sold]],Table1[],4,FALSE))*Table4[[#This Row],[qty]]</f>
        <v>8</v>
      </c>
      <c r="G6990">
        <f t="shared" si="1247"/>
        <v>2</v>
      </c>
      <c r="H6990" t="s">
        <v>402</v>
      </c>
    </row>
    <row r="6991" spans="1:12" x14ac:dyDescent="0.25">
      <c r="A6991" s="1">
        <f t="shared" si="1259"/>
        <v>45596</v>
      </c>
      <c r="B6991" s="31">
        <f t="shared" ref="B6991" si="1263">TIME(9,21,0)</f>
        <v>0.38958333333333334</v>
      </c>
      <c r="C6991" t="str">
        <f>'Inventory as of 12th Aug 2024'!A8</f>
        <v>eggs</v>
      </c>
      <c r="D6991">
        <v>3</v>
      </c>
      <c r="E6991" s="5">
        <f>Table4[[#This Row],[qty]]*(VLOOKUP(Table4[[#This Row],[item_sold]],Table1[],5,FALSE))</f>
        <v>60</v>
      </c>
      <c r="F6991" s="5">
        <f>(VLOOKUP(Table4[[#This Row],[item_sold]],Table1[],4,FALSE))*Table4[[#This Row],[qty]]</f>
        <v>43</v>
      </c>
      <c r="G6991">
        <f t="shared" si="1247"/>
        <v>17</v>
      </c>
      <c r="H6991" t="s">
        <v>402</v>
      </c>
    </row>
    <row r="6992" spans="1:12" x14ac:dyDescent="0.25">
      <c r="A6992" s="1">
        <f t="shared" si="1259"/>
        <v>45596</v>
      </c>
      <c r="B6992" s="31">
        <f>TIME(9,29,0)</f>
        <v>0.39513888888888887</v>
      </c>
      <c r="C6992" t="str">
        <f>'Inventory as of 12th Aug 2024'!A33</f>
        <v>BB Bread 400g</v>
      </c>
      <c r="D6992">
        <v>1</v>
      </c>
      <c r="E6992" s="5">
        <f>Table4[[#This Row],[qty]]*(VLOOKUP(Table4[[#This Row],[item_sold]],Table1[],5,FALSE))</f>
        <v>65</v>
      </c>
      <c r="F6992" s="5">
        <f>(VLOOKUP(Table4[[#This Row],[item_sold]],Table1[],4,FALSE))*Table4[[#This Row],[qty]]</f>
        <v>60</v>
      </c>
      <c r="G6992">
        <f t="shared" si="1247"/>
        <v>5</v>
      </c>
      <c r="H6992" t="s">
        <v>430</v>
      </c>
      <c r="I6992" t="s">
        <v>624</v>
      </c>
    </row>
    <row r="6993" spans="1:12" x14ac:dyDescent="0.25">
      <c r="A6993" s="1">
        <f t="shared" si="1259"/>
        <v>45596</v>
      </c>
      <c r="B6993" s="31">
        <f t="shared" ref="B6993:B6994" si="1264">TIME(9,29,0)</f>
        <v>0.39513888888888887</v>
      </c>
      <c r="C6993" t="str">
        <f>'Inventory as of 12th Aug 2024'!A134</f>
        <v>Hanaan Tissue</v>
      </c>
      <c r="D6993">
        <v>1</v>
      </c>
      <c r="E6993" s="5">
        <f>Table4[[#This Row],[qty]]*(VLOOKUP(Table4[[#This Row],[item_sold]],Table1[],5,FALSE))</f>
        <v>55</v>
      </c>
      <c r="F6993" s="5">
        <f>(VLOOKUP(Table4[[#This Row],[item_sold]],Table1[],4,FALSE))*Table4[[#This Row],[qty]]</f>
        <v>43</v>
      </c>
      <c r="G6993">
        <f t="shared" si="1247"/>
        <v>12</v>
      </c>
      <c r="H6993" t="s">
        <v>430</v>
      </c>
      <c r="I6993" t="s">
        <v>624</v>
      </c>
    </row>
    <row r="6994" spans="1:12" x14ac:dyDescent="0.25">
      <c r="A6994" s="1">
        <f t="shared" si="1259"/>
        <v>45596</v>
      </c>
      <c r="B6994" s="31">
        <f t="shared" si="1264"/>
        <v>0.39513888888888887</v>
      </c>
      <c r="C6994" t="str">
        <f>'Inventory as of 12th Aug 2024'!A58</f>
        <v>Safari</v>
      </c>
      <c r="D6994">
        <v>1</v>
      </c>
      <c r="E6994" s="5">
        <f>Table4[[#This Row],[qty]]*(VLOOKUP(Table4[[#This Row],[item_sold]],Table1[],5,FALSE))</f>
        <v>15</v>
      </c>
      <c r="F6994" s="5">
        <f>(VLOOKUP(Table4[[#This Row],[item_sold]],Table1[],4,FALSE))*Table4[[#This Row],[qty]]</f>
        <v>8.5</v>
      </c>
      <c r="G6994">
        <f t="shared" si="1247"/>
        <v>6.5</v>
      </c>
      <c r="H6994" t="s">
        <v>402</v>
      </c>
    </row>
    <row r="6995" spans="1:12" x14ac:dyDescent="0.25">
      <c r="A6995" s="1">
        <f t="shared" si="1259"/>
        <v>45596</v>
      </c>
      <c r="B6995" s="31">
        <f>TIME(9,55,0)</f>
        <v>0.41319444444444442</v>
      </c>
      <c r="C6995" t="str">
        <f>'Inventory as of 12th Aug 2024'!A17</f>
        <v>Brookside milk 500ml</v>
      </c>
      <c r="D6995">
        <v>1</v>
      </c>
      <c r="E6995" s="5">
        <f>Table4[[#This Row],[qty]]*(VLOOKUP(Table4[[#This Row],[item_sold]],Table1[],5,FALSE))</f>
        <v>70</v>
      </c>
      <c r="F6995" s="5">
        <f>(VLOOKUP(Table4[[#This Row],[item_sold]],Table1[],4,FALSE))*Table4[[#This Row],[qty]]</f>
        <v>59</v>
      </c>
      <c r="G6995">
        <f t="shared" si="1247"/>
        <v>11</v>
      </c>
      <c r="H6995" t="s">
        <v>361</v>
      </c>
    </row>
    <row r="6996" spans="1:12" x14ac:dyDescent="0.25">
      <c r="A6996" s="1">
        <f t="shared" si="1259"/>
        <v>45596</v>
      </c>
      <c r="B6996" s="31">
        <f t="shared" ref="B6996:B6997" si="1265">TIME(9,55,0)</f>
        <v>0.41319444444444442</v>
      </c>
      <c r="C6996" t="str">
        <f>'Inventory as of 12th Aug 2024'!A9</f>
        <v>Kinangop Fresh Milk 500ml</v>
      </c>
      <c r="D6996">
        <v>1</v>
      </c>
      <c r="E6996" s="5">
        <f>Table4[[#This Row],[qty]]*(VLOOKUP(Table4[[#This Row],[item_sold]],Table1[],5,FALSE))</f>
        <v>60</v>
      </c>
      <c r="F6996" s="5">
        <f>(VLOOKUP(Table4[[#This Row],[item_sold]],Table1[],4,FALSE))*Table4[[#This Row],[qty]]</f>
        <v>55</v>
      </c>
      <c r="G6996">
        <f t="shared" ref="G6996:G7059" si="1266">E6996-F6996</f>
        <v>5</v>
      </c>
      <c r="H6996" t="s">
        <v>402</v>
      </c>
    </row>
    <row r="6997" spans="1:12" x14ac:dyDescent="0.25">
      <c r="A6997" s="1">
        <f t="shared" si="1259"/>
        <v>45596</v>
      </c>
      <c r="B6997" s="31">
        <f t="shared" si="1265"/>
        <v>0.41319444444444442</v>
      </c>
      <c r="C6997" t="str">
        <f>'Inventory as of 12th Aug 2024'!A33</f>
        <v>BB Bread 400g</v>
      </c>
      <c r="D6997">
        <v>1</v>
      </c>
      <c r="E6997" s="5">
        <f>Table4[[#This Row],[qty]]*(VLOOKUP(Table4[[#This Row],[item_sold]],Table1[],5,FALSE))</f>
        <v>65</v>
      </c>
      <c r="F6997" s="5">
        <f>(VLOOKUP(Table4[[#This Row],[item_sold]],Table1[],4,FALSE))*Table4[[#This Row],[qty]]</f>
        <v>60</v>
      </c>
      <c r="G6997">
        <f t="shared" si="1266"/>
        <v>5</v>
      </c>
      <c r="H6997" t="s">
        <v>402</v>
      </c>
      <c r="J6997" t="s">
        <v>412</v>
      </c>
      <c r="K6997">
        <v>15</v>
      </c>
      <c r="L6997" t="s">
        <v>247</v>
      </c>
    </row>
    <row r="6998" spans="1:12" x14ac:dyDescent="0.25">
      <c r="A6998" s="1">
        <f t="shared" si="1259"/>
        <v>45596</v>
      </c>
      <c r="B6998" s="31">
        <f>TIME(10,2,0)</f>
        <v>0.41805555555555557</v>
      </c>
      <c r="C6998" t="str">
        <f>'Inventory as of 12th Aug 2024'!A193</f>
        <v>Ginger Bisquit</v>
      </c>
      <c r="D6998">
        <v>1</v>
      </c>
      <c r="E6998" s="5">
        <f>Table4[[#This Row],[qty]]*(VLOOKUP(Table4[[#This Row],[item_sold]],Table1[],5,FALSE))</f>
        <v>5</v>
      </c>
      <c r="F6998" s="5">
        <f>(VLOOKUP(Table4[[#This Row],[item_sold]],Table1[],4,FALSE))*Table4[[#This Row],[qty]]</f>
        <v>4.333333333333333</v>
      </c>
      <c r="G6998">
        <f t="shared" si="1266"/>
        <v>0.66666666666666696</v>
      </c>
      <c r="H6998" t="s">
        <v>402</v>
      </c>
    </row>
    <row r="6999" spans="1:12" x14ac:dyDescent="0.25">
      <c r="A6999" s="1">
        <f t="shared" si="1259"/>
        <v>45596</v>
      </c>
      <c r="B6999" s="31">
        <f>TIME(11,52,0)</f>
        <v>0.49444444444444446</v>
      </c>
      <c r="C6999" t="str">
        <f>'Inventory as of 12th Aug 2024'!A212</f>
        <v>soda 300ml glass</v>
      </c>
      <c r="D6999">
        <v>1</v>
      </c>
      <c r="E6999" s="5">
        <f>Table4[[#This Row],[qty]]*(VLOOKUP(Table4[[#This Row],[item_sold]],Table1[],5,FALSE))</f>
        <v>40</v>
      </c>
      <c r="F6999" s="5">
        <f>(VLOOKUP(Table4[[#This Row],[item_sold]],Table1[],4,FALSE))*Table4[[#This Row],[qty]]</f>
        <v>32.5</v>
      </c>
      <c r="G6999">
        <f t="shared" si="1266"/>
        <v>7.5</v>
      </c>
      <c r="H6999" t="s">
        <v>361</v>
      </c>
    </row>
    <row r="7000" spans="1:12" x14ac:dyDescent="0.25">
      <c r="A7000" s="1">
        <f t="shared" si="1259"/>
        <v>45596</v>
      </c>
      <c r="B7000" s="31">
        <f>TIME(11,59,0)</f>
        <v>0.4993055555555555</v>
      </c>
      <c r="C7000" t="str">
        <f>'Inventory as of 12th Aug 2024'!A120</f>
        <v>Maramoja</v>
      </c>
      <c r="D7000">
        <v>1</v>
      </c>
      <c r="E7000" s="5">
        <f>Table4[[#This Row],[qty]]*(VLOOKUP(Table4[[#This Row],[item_sold]],Table1[],5,FALSE))</f>
        <v>10</v>
      </c>
      <c r="F7000" s="5">
        <f>(VLOOKUP(Table4[[#This Row],[item_sold]],Table1[],4,FALSE))*Table4[[#This Row],[qty]]</f>
        <v>7</v>
      </c>
      <c r="G7000">
        <f t="shared" si="1266"/>
        <v>3</v>
      </c>
      <c r="H7000" t="s">
        <v>402</v>
      </c>
    </row>
    <row r="7001" spans="1:12" x14ac:dyDescent="0.25">
      <c r="A7001" s="1">
        <f t="shared" si="1259"/>
        <v>45596</v>
      </c>
      <c r="B7001" s="31">
        <f t="shared" ref="B7001:B7006" si="1267">TIME(11,59,0)</f>
        <v>0.4993055555555555</v>
      </c>
      <c r="C7001" t="str">
        <f>'Inventory as of 12th Aug 2024'!A242</f>
        <v>Icepop</v>
      </c>
      <c r="D7001">
        <v>2</v>
      </c>
      <c r="E7001" s="5">
        <f>Table4[[#This Row],[qty]]*(VLOOKUP(Table4[[#This Row],[item_sold]],Table1[],5,FALSE))</f>
        <v>30</v>
      </c>
      <c r="F7001" s="5">
        <f>(VLOOKUP(Table4[[#This Row],[item_sold]],Table1[],4,FALSE))*Table4[[#This Row],[qty]]</f>
        <v>15</v>
      </c>
      <c r="G7001">
        <f t="shared" si="1266"/>
        <v>15</v>
      </c>
      <c r="H7001" t="s">
        <v>402</v>
      </c>
    </row>
    <row r="7002" spans="1:12" x14ac:dyDescent="0.25">
      <c r="A7002" s="1">
        <f t="shared" si="1259"/>
        <v>45596</v>
      </c>
      <c r="B7002" s="31">
        <f t="shared" si="1267"/>
        <v>0.4993055555555555</v>
      </c>
      <c r="C7002" t="str">
        <f>'Inventory as of 12th Aug 2024'!A179</f>
        <v>Bitez</v>
      </c>
      <c r="D7002">
        <v>2</v>
      </c>
      <c r="E7002" s="5">
        <f>Table4[[#This Row],[qty]]*(VLOOKUP(Table4[[#This Row],[item_sold]],Table1[],5,FALSE))</f>
        <v>30</v>
      </c>
      <c r="F7002" s="5">
        <f>(VLOOKUP(Table4[[#This Row],[item_sold]],Table1[],4,FALSE))*Table4[[#This Row],[qty]]</f>
        <v>17.600000000000001</v>
      </c>
      <c r="G7002">
        <f t="shared" si="1266"/>
        <v>12.399999999999999</v>
      </c>
      <c r="H7002" t="s">
        <v>402</v>
      </c>
    </row>
    <row r="7003" spans="1:12" x14ac:dyDescent="0.25">
      <c r="A7003" s="1">
        <f t="shared" si="1259"/>
        <v>45596</v>
      </c>
      <c r="B7003" s="31">
        <f t="shared" si="1267"/>
        <v>0.4993055555555555</v>
      </c>
      <c r="C7003" t="str">
        <f>'Inventory as of 12th Aug 2024'!A92</f>
        <v>Banana</v>
      </c>
      <c r="D7003">
        <v>2</v>
      </c>
      <c r="E7003" s="5">
        <f>Table4[[#This Row],[qty]]*(VLOOKUP(Table4[[#This Row],[item_sold]],Table1[],5,FALSE))</f>
        <v>20</v>
      </c>
      <c r="F7003" s="5">
        <f>(VLOOKUP(Table4[[#This Row],[item_sold]],Table1[],4,FALSE))*Table4[[#This Row],[qty]]</f>
        <v>16.666666666666668</v>
      </c>
      <c r="G7003">
        <f t="shared" si="1266"/>
        <v>3.3333333333333321</v>
      </c>
      <c r="H7003" t="s">
        <v>402</v>
      </c>
    </row>
    <row r="7004" spans="1:12" x14ac:dyDescent="0.25">
      <c r="A7004" s="1">
        <f t="shared" si="1259"/>
        <v>45596</v>
      </c>
      <c r="B7004" s="31">
        <f t="shared" si="1267"/>
        <v>0.4993055555555555</v>
      </c>
      <c r="C7004" t="str">
        <f>'Inventory as of 12th Aug 2024'!A205</f>
        <v xml:space="preserve"> soda 1.25lts</v>
      </c>
      <c r="D7004">
        <v>1</v>
      </c>
      <c r="E7004" s="5">
        <f>Table4[[#This Row],[qty]]*(VLOOKUP(Table4[[#This Row],[item_sold]],Table1[],5,FALSE))</f>
        <v>130</v>
      </c>
      <c r="F7004" s="5">
        <f>(VLOOKUP(Table4[[#This Row],[item_sold]],Table1[],4,FALSE))*Table4[[#This Row],[qty]]</f>
        <v>112.5</v>
      </c>
      <c r="G7004">
        <f t="shared" si="1266"/>
        <v>17.5</v>
      </c>
      <c r="H7004" t="s">
        <v>402</v>
      </c>
    </row>
    <row r="7005" spans="1:12" x14ac:dyDescent="0.25">
      <c r="A7005" s="1">
        <f t="shared" si="1259"/>
        <v>45596</v>
      </c>
      <c r="B7005" s="31">
        <f t="shared" si="1267"/>
        <v>0.4993055555555555</v>
      </c>
      <c r="C7005" t="str">
        <f>'Inventory as of 12th Aug 2024'!A92</f>
        <v>Banana</v>
      </c>
      <c r="D7005">
        <v>3</v>
      </c>
      <c r="E7005" s="5">
        <f>Table4[[#This Row],[qty]]*(VLOOKUP(Table4[[#This Row],[item_sold]],Table1[],5,FALSE))</f>
        <v>30</v>
      </c>
      <c r="F7005" s="5">
        <f>(VLOOKUP(Table4[[#This Row],[item_sold]],Table1[],4,FALSE))*Table4[[#This Row],[qty]]</f>
        <v>25</v>
      </c>
      <c r="G7005">
        <f t="shared" si="1266"/>
        <v>5</v>
      </c>
      <c r="H7005" t="s">
        <v>402</v>
      </c>
    </row>
    <row r="7006" spans="1:12" x14ac:dyDescent="0.25">
      <c r="A7006" s="1">
        <f t="shared" si="1259"/>
        <v>45596</v>
      </c>
      <c r="B7006" s="31">
        <f t="shared" si="1267"/>
        <v>0.4993055555555555</v>
      </c>
      <c r="C7006" t="str">
        <f>'Inventory as of 12th Aug 2024'!A177</f>
        <v>Ringoz Barbeque</v>
      </c>
      <c r="D7006">
        <v>2</v>
      </c>
      <c r="E7006" s="5">
        <f>Table4[[#This Row],[qty]]*(VLOOKUP(Table4[[#This Row],[item_sold]],Table1[],5,FALSE))</f>
        <v>30</v>
      </c>
      <c r="F7006" s="5">
        <f>(VLOOKUP(Table4[[#This Row],[item_sold]],Table1[],4,FALSE))*Table4[[#This Row],[qty]]</f>
        <v>17.2</v>
      </c>
      <c r="G7006">
        <f t="shared" si="1266"/>
        <v>12.8</v>
      </c>
      <c r="H7006" t="s">
        <v>402</v>
      </c>
    </row>
    <row r="7007" spans="1:12" x14ac:dyDescent="0.25">
      <c r="A7007" s="1">
        <f t="shared" si="1259"/>
        <v>45596</v>
      </c>
      <c r="B7007" s="31">
        <f>TIME(13,30,0)</f>
        <v>0.5625</v>
      </c>
      <c r="C7007" t="str">
        <f>'Inventory as of 12th Aug 2024'!A199</f>
        <v>Kdf</v>
      </c>
      <c r="D7007">
        <v>2</v>
      </c>
      <c r="E7007" s="5">
        <f>Table4[[#This Row],[qty]]*(VLOOKUP(Table4[[#This Row],[item_sold]],Table1[],5,FALSE))</f>
        <v>20</v>
      </c>
      <c r="F7007" s="5">
        <f>(VLOOKUP(Table4[[#This Row],[item_sold]],Table1[],4,FALSE))*Table4[[#This Row],[qty]]</f>
        <v>16.666666666666668</v>
      </c>
      <c r="G7007">
        <f t="shared" si="1266"/>
        <v>3.3333333333333321</v>
      </c>
      <c r="H7007" t="s">
        <v>361</v>
      </c>
    </row>
    <row r="7008" spans="1:12" x14ac:dyDescent="0.25">
      <c r="A7008" s="1">
        <f t="shared" si="1259"/>
        <v>45596</v>
      </c>
      <c r="B7008" s="31">
        <f t="shared" ref="B7008" si="1268">TIME(13,30,0)</f>
        <v>0.5625</v>
      </c>
      <c r="C7008" t="str">
        <f>'Inventory as of 12th Aug 2024'!A10</f>
        <v>Mt Kenya milk 200ml</v>
      </c>
      <c r="D7008">
        <v>1</v>
      </c>
      <c r="E7008" s="5">
        <f>Table4[[#This Row],[qty]]*(VLOOKUP(Table4[[#This Row],[item_sold]],Table1[],5,FALSE))</f>
        <v>35</v>
      </c>
      <c r="F7008" s="5">
        <f>(VLOOKUP(Table4[[#This Row],[item_sold]],Table1[],4,FALSE))*Table4[[#This Row],[qty]]</f>
        <v>24.285714285714285</v>
      </c>
      <c r="G7008">
        <f t="shared" si="1266"/>
        <v>10.714285714285715</v>
      </c>
      <c r="H7008" t="s">
        <v>361</v>
      </c>
    </row>
    <row r="7009" spans="1:12" x14ac:dyDescent="0.25">
      <c r="A7009" s="1">
        <f t="shared" si="1259"/>
        <v>45596</v>
      </c>
      <c r="B7009" s="31">
        <f>TIME(13,24,0)</f>
        <v>0.55833333333333335</v>
      </c>
      <c r="C7009" t="str">
        <f>'Inventory as of 12th Aug 2024'!A270</f>
        <v>Milk Bisquit</v>
      </c>
      <c r="D7009">
        <v>2</v>
      </c>
      <c r="E7009" s="5">
        <f>Table4[[#This Row],[qty]]*(VLOOKUP(Table4[[#This Row],[item_sold]],Table1[],5,FALSE))</f>
        <v>10</v>
      </c>
      <c r="F7009" s="5">
        <f>(VLOOKUP(Table4[[#This Row],[item_sold]],Table1[],4,FALSE))*Table4[[#This Row],[qty]]</f>
        <v>8.3333333333333339</v>
      </c>
      <c r="G7009">
        <f t="shared" si="1266"/>
        <v>1.6666666666666661</v>
      </c>
      <c r="H7009" t="s">
        <v>361</v>
      </c>
    </row>
    <row r="7010" spans="1:12" x14ac:dyDescent="0.25">
      <c r="A7010" s="1">
        <f t="shared" si="1259"/>
        <v>45596</v>
      </c>
      <c r="B7010" s="31">
        <f t="shared" ref="B7010" si="1269">TIME(13,24,0)</f>
        <v>0.55833333333333335</v>
      </c>
      <c r="C7010" t="str">
        <f>'Inventory as of 12th Aug 2024'!A92</f>
        <v>Banana</v>
      </c>
      <c r="D7010">
        <v>1</v>
      </c>
      <c r="E7010" s="5">
        <f>Table4[[#This Row],[qty]]*(VLOOKUP(Table4[[#This Row],[item_sold]],Table1[],5,FALSE))</f>
        <v>10</v>
      </c>
      <c r="F7010" s="5">
        <f>(VLOOKUP(Table4[[#This Row],[item_sold]],Table1[],4,FALSE))*Table4[[#This Row],[qty]]</f>
        <v>8.3333333333333339</v>
      </c>
      <c r="G7010">
        <f t="shared" si="1266"/>
        <v>1.6666666666666661</v>
      </c>
      <c r="H7010" t="s">
        <v>361</v>
      </c>
    </row>
    <row r="7011" spans="1:12" x14ac:dyDescent="0.25">
      <c r="A7011" s="1">
        <f t="shared" si="1259"/>
        <v>45596</v>
      </c>
      <c r="B7011" s="31">
        <f>TIME(13,26,0)</f>
        <v>0.55972222222222223</v>
      </c>
      <c r="C7011" t="str">
        <f>'Inventory as of 12th Aug 2024'!A92</f>
        <v>Banana</v>
      </c>
      <c r="D7011">
        <v>2</v>
      </c>
      <c r="E7011" s="5">
        <f>Table4[[#This Row],[qty]]*(VLOOKUP(Table4[[#This Row],[item_sold]],Table1[],5,FALSE))</f>
        <v>20</v>
      </c>
      <c r="F7011" s="5">
        <f>(VLOOKUP(Table4[[#This Row],[item_sold]],Table1[],4,FALSE))*Table4[[#This Row],[qty]]</f>
        <v>16.666666666666668</v>
      </c>
      <c r="G7011">
        <f t="shared" si="1266"/>
        <v>3.3333333333333321</v>
      </c>
      <c r="H7011" t="s">
        <v>361</v>
      </c>
    </row>
    <row r="7012" spans="1:12" x14ac:dyDescent="0.25">
      <c r="A7012" s="1">
        <f t="shared" si="1259"/>
        <v>45596</v>
      </c>
      <c r="B7012" s="31">
        <f t="shared" ref="B7012" si="1270">TIME(13,26,0)</f>
        <v>0.55972222222222223</v>
      </c>
      <c r="C7012" t="str">
        <f>'Inventory as of 12th Aug 2024'!A199</f>
        <v>Kdf</v>
      </c>
      <c r="D7012">
        <v>1</v>
      </c>
      <c r="E7012" s="5">
        <f>Table4[[#This Row],[qty]]*(VLOOKUP(Table4[[#This Row],[item_sold]],Table1[],5,FALSE))</f>
        <v>10</v>
      </c>
      <c r="F7012" s="5">
        <f>(VLOOKUP(Table4[[#This Row],[item_sold]],Table1[],4,FALSE))*Table4[[#This Row],[qty]]</f>
        <v>8.3333333333333339</v>
      </c>
      <c r="G7012">
        <f t="shared" si="1266"/>
        <v>1.6666666666666661</v>
      </c>
      <c r="H7012" t="s">
        <v>402</v>
      </c>
    </row>
    <row r="7013" spans="1:12" x14ac:dyDescent="0.25">
      <c r="A7013" s="1">
        <f t="shared" si="1259"/>
        <v>45596</v>
      </c>
      <c r="B7013" s="31">
        <f>TIME(13,31,0)</f>
        <v>0.56319444444444444</v>
      </c>
      <c r="C7013" t="str">
        <f>'Inventory as of 12th Aug 2024'!A58</f>
        <v>Safari</v>
      </c>
      <c r="D7013">
        <v>1</v>
      </c>
      <c r="E7013" s="5">
        <f>Table4[[#This Row],[qty]]*(VLOOKUP(Table4[[#This Row],[item_sold]],Table1[],5,FALSE))</f>
        <v>15</v>
      </c>
      <c r="F7013" s="5">
        <f>(VLOOKUP(Table4[[#This Row],[item_sold]],Table1[],4,FALSE))*Table4[[#This Row],[qty]]</f>
        <v>8.5</v>
      </c>
      <c r="G7013">
        <f t="shared" si="1266"/>
        <v>6.5</v>
      </c>
      <c r="H7013" t="s">
        <v>361</v>
      </c>
    </row>
    <row r="7014" spans="1:12" x14ac:dyDescent="0.25">
      <c r="A7014" s="1">
        <f t="shared" si="1259"/>
        <v>45596</v>
      </c>
      <c r="B7014" s="31">
        <f t="shared" ref="B7014" si="1271">TIME(13,31,0)</f>
        <v>0.56319444444444444</v>
      </c>
      <c r="C7014" t="str">
        <f>'Inventory as of 12th Aug 2024'!A192</f>
        <v>Lemon Bisquit</v>
      </c>
      <c r="D7014">
        <v>2</v>
      </c>
      <c r="E7014" s="5">
        <f>Table4[[#This Row],[qty]]*(VLOOKUP(Table4[[#This Row],[item_sold]],Table1[],5,FALSE))</f>
        <v>10</v>
      </c>
      <c r="F7014" s="5">
        <f>(VLOOKUP(Table4[[#This Row],[item_sold]],Table1[],4,FALSE))*Table4[[#This Row],[qty]]</f>
        <v>8.6666666666666661</v>
      </c>
      <c r="G7014">
        <f t="shared" si="1266"/>
        <v>1.3333333333333339</v>
      </c>
      <c r="H7014" t="s">
        <v>402</v>
      </c>
    </row>
    <row r="7015" spans="1:12" x14ac:dyDescent="0.25">
      <c r="A7015" s="1">
        <f t="shared" si="1259"/>
        <v>45596</v>
      </c>
      <c r="B7015" s="31">
        <f>TIME(13,38,0)</f>
        <v>0.56805555555555554</v>
      </c>
      <c r="C7015" t="str">
        <f>'Inventory as of 12th Aug 2024'!A3</f>
        <v>Safaricom 10 Credit</v>
      </c>
      <c r="D7015">
        <v>1</v>
      </c>
      <c r="E7015" s="5">
        <f>Table4[[#This Row],[qty]]*(VLOOKUP(Table4[[#This Row],[item_sold]],Table1[],5,FALSE))</f>
        <v>10</v>
      </c>
      <c r="F7015" s="5">
        <f>(VLOOKUP(Table4[[#This Row],[item_sold]],Table1[],4,FALSE))*Table4[[#This Row],[qty]]</f>
        <v>9</v>
      </c>
      <c r="G7015">
        <f t="shared" si="1266"/>
        <v>1</v>
      </c>
      <c r="H7015" t="s">
        <v>402</v>
      </c>
    </row>
    <row r="7016" spans="1:12" x14ac:dyDescent="0.25">
      <c r="A7016" s="1">
        <f t="shared" si="1259"/>
        <v>45596</v>
      </c>
      <c r="B7016" s="31">
        <f t="shared" ref="B7016" si="1272">TIME(13,38,0)</f>
        <v>0.56805555555555554</v>
      </c>
      <c r="C7016" t="str">
        <f>'Inventory as of 12th Aug 2024'!A8</f>
        <v>eggs</v>
      </c>
      <c r="D7016">
        <v>3</v>
      </c>
      <c r="E7016" s="5">
        <f>Table4[[#This Row],[qty]]*(VLOOKUP(Table4[[#This Row],[item_sold]],Table1[],5,FALSE))</f>
        <v>60</v>
      </c>
      <c r="F7016" s="5">
        <f>(VLOOKUP(Table4[[#This Row],[item_sold]],Table1[],4,FALSE))*Table4[[#This Row],[qty]]</f>
        <v>43</v>
      </c>
      <c r="G7016">
        <f t="shared" si="1266"/>
        <v>17</v>
      </c>
      <c r="H7016" t="s">
        <v>402</v>
      </c>
    </row>
    <row r="7017" spans="1:12" x14ac:dyDescent="0.25">
      <c r="A7017" s="1">
        <f t="shared" si="1259"/>
        <v>45596</v>
      </c>
      <c r="B7017" s="31">
        <f>TIME(14,8,0)</f>
        <v>0.58888888888888891</v>
      </c>
      <c r="C7017" t="str">
        <f>'Inventory as of 12th Aug 2024'!A5</f>
        <v>Airtel 20 Credit</v>
      </c>
      <c r="D7017">
        <v>1</v>
      </c>
      <c r="E7017" s="5">
        <f>Table4[[#This Row],[qty]]*(VLOOKUP(Table4[[#This Row],[item_sold]],Table1[],5,FALSE))</f>
        <v>20</v>
      </c>
      <c r="F7017" s="5">
        <f>(VLOOKUP(Table4[[#This Row],[item_sold]],Table1[],4,FALSE))*Table4[[#This Row],[qty]]</f>
        <v>18</v>
      </c>
      <c r="G7017">
        <f t="shared" si="1266"/>
        <v>2</v>
      </c>
      <c r="H7017" t="s">
        <v>361</v>
      </c>
    </row>
    <row r="7018" spans="1:12" x14ac:dyDescent="0.25">
      <c r="A7018" s="1">
        <f t="shared" si="1259"/>
        <v>45596</v>
      </c>
      <c r="B7018" s="31">
        <f>TIME(14,17,0)</f>
        <v>0.59513888888888888</v>
      </c>
      <c r="C7018" t="str">
        <f>'Inventory as of 12th Aug 2024'!A213</f>
        <v>soda 500ml glass</v>
      </c>
      <c r="D7018">
        <v>2</v>
      </c>
      <c r="E7018" s="5">
        <f>Table4[[#This Row],[qty]]*(VLOOKUP(Table4[[#This Row],[item_sold]],Table1[],5,FALSE))</f>
        <v>110</v>
      </c>
      <c r="F7018" s="5">
        <f>(VLOOKUP(Table4[[#This Row],[item_sold]],Table1[],4,FALSE))*Table4[[#This Row],[qty]]</f>
        <v>100</v>
      </c>
      <c r="G7018">
        <f t="shared" si="1266"/>
        <v>10</v>
      </c>
      <c r="H7018" t="s">
        <v>361</v>
      </c>
      <c r="J7018" t="s">
        <v>625</v>
      </c>
      <c r="K7018">
        <v>5</v>
      </c>
      <c r="L7018" t="s">
        <v>361</v>
      </c>
    </row>
    <row r="7019" spans="1:12" x14ac:dyDescent="0.25">
      <c r="A7019" s="1">
        <f t="shared" si="1259"/>
        <v>45596</v>
      </c>
      <c r="B7019" s="31">
        <f t="shared" ref="B7019" si="1273">TIME(14,17,0)</f>
        <v>0.59513888888888888</v>
      </c>
      <c r="C7019" t="str">
        <f>'Inventory as of 12th Aug 2024'!A37</f>
        <v>Festive Bread 400g</v>
      </c>
      <c r="D7019">
        <v>1</v>
      </c>
      <c r="E7019" s="5">
        <f>Table4[[#This Row],[qty]]*(VLOOKUP(Table4[[#This Row],[item_sold]],Table1[],5,FALSE))</f>
        <v>65</v>
      </c>
      <c r="F7019" s="5">
        <f>(VLOOKUP(Table4[[#This Row],[item_sold]],Table1[],4,FALSE))*Table4[[#This Row],[qty]]</f>
        <v>60</v>
      </c>
      <c r="G7019">
        <f t="shared" si="1266"/>
        <v>5</v>
      </c>
      <c r="H7019" t="s">
        <v>361</v>
      </c>
    </row>
    <row r="7020" spans="1:12" x14ac:dyDescent="0.25">
      <c r="A7020" s="1">
        <f t="shared" si="1259"/>
        <v>45596</v>
      </c>
      <c r="B7020" s="31">
        <f>TIME(14,19,0)</f>
        <v>0.59652777777777777</v>
      </c>
      <c r="C7020" t="str">
        <f>'Inventory as of 12th Aug 2024'!A42</f>
        <v>Indomie chicken</v>
      </c>
      <c r="D7020">
        <v>4</v>
      </c>
      <c r="E7020" s="5">
        <f>Table4[[#This Row],[qty]]*(VLOOKUP(Table4[[#This Row],[item_sold]],Table1[],5,FALSE))</f>
        <v>200</v>
      </c>
      <c r="F7020" s="5">
        <f>(VLOOKUP(Table4[[#This Row],[item_sold]],Table1[],4,FALSE))*Table4[[#This Row],[qty]]</f>
        <v>150</v>
      </c>
      <c r="G7020">
        <f t="shared" si="1266"/>
        <v>50</v>
      </c>
      <c r="H7020" t="s">
        <v>361</v>
      </c>
    </row>
    <row r="7021" spans="1:12" x14ac:dyDescent="0.25">
      <c r="A7021" s="1">
        <f t="shared" si="1259"/>
        <v>45596</v>
      </c>
      <c r="B7021" s="31">
        <f>TIME(14,45,0)</f>
        <v>0.61458333333333337</v>
      </c>
      <c r="C7021" t="str">
        <f>'Inventory as of 12th Aug 2024'!A212</f>
        <v>soda 300ml glass</v>
      </c>
      <c r="D7021">
        <v>1</v>
      </c>
      <c r="E7021" s="5">
        <f>Table4[[#This Row],[qty]]*(VLOOKUP(Table4[[#This Row],[item_sold]],Table1[],5,FALSE))</f>
        <v>40</v>
      </c>
      <c r="F7021" s="5">
        <f>(VLOOKUP(Table4[[#This Row],[item_sold]],Table1[],4,FALSE))*Table4[[#This Row],[qty]]</f>
        <v>32.5</v>
      </c>
      <c r="G7021">
        <f t="shared" si="1266"/>
        <v>7.5</v>
      </c>
      <c r="H7021" t="s">
        <v>402</v>
      </c>
    </row>
    <row r="7022" spans="1:12" x14ac:dyDescent="0.25">
      <c r="A7022" s="1">
        <f t="shared" si="1259"/>
        <v>45596</v>
      </c>
      <c r="B7022" s="31">
        <f t="shared" ref="B7022:B7023" si="1274">TIME(14,45,0)</f>
        <v>0.61458333333333337</v>
      </c>
      <c r="C7022" t="str">
        <f>'Inventory as of 12th Aug 2024'!A240</f>
        <v>Bigboss</v>
      </c>
      <c r="D7022">
        <v>1</v>
      </c>
      <c r="E7022" s="5">
        <f>Table4[[#This Row],[qty]]*(VLOOKUP(Table4[[#This Row],[item_sold]],Table1[],5,FALSE))</f>
        <v>5</v>
      </c>
      <c r="F7022" s="5">
        <f>(VLOOKUP(Table4[[#This Row],[item_sold]],Table1[],4,FALSE))*Table4[[#This Row],[qty]]</f>
        <v>3.5</v>
      </c>
      <c r="G7022">
        <f t="shared" si="1266"/>
        <v>1.5</v>
      </c>
      <c r="H7022" t="s">
        <v>402</v>
      </c>
    </row>
    <row r="7023" spans="1:12" x14ac:dyDescent="0.25">
      <c r="A7023" s="1">
        <f t="shared" si="1259"/>
        <v>45596</v>
      </c>
      <c r="B7023" s="31">
        <f t="shared" si="1274"/>
        <v>0.61458333333333337</v>
      </c>
      <c r="C7023" t="str">
        <f>'Inventory as of 12th Aug 2024'!A271</f>
        <v>Star Cream Bisquit</v>
      </c>
      <c r="D7023">
        <v>2</v>
      </c>
      <c r="E7023" s="5">
        <f>Table4[[#This Row],[qty]]*(VLOOKUP(Table4[[#This Row],[item_sold]],Table1[],5,FALSE))</f>
        <v>10</v>
      </c>
      <c r="F7023" s="5">
        <f>(VLOOKUP(Table4[[#This Row],[item_sold]],Table1[],4,FALSE))*Table4[[#This Row],[qty]]</f>
        <v>8.4666666666666668</v>
      </c>
      <c r="G7023">
        <f t="shared" si="1266"/>
        <v>1.5333333333333332</v>
      </c>
      <c r="H7023" t="s">
        <v>402</v>
      </c>
    </row>
    <row r="7024" spans="1:12" x14ac:dyDescent="0.25">
      <c r="A7024" s="1">
        <f t="shared" si="1259"/>
        <v>45596</v>
      </c>
      <c r="B7024" s="31">
        <f>TIME(15,20,0)</f>
        <v>0.63888888888888895</v>
      </c>
      <c r="C7024" t="str">
        <f>'Inventory as of 12th Aug 2024'!A213</f>
        <v>soda 500ml glass</v>
      </c>
      <c r="D7024">
        <v>1</v>
      </c>
      <c r="E7024" s="5">
        <f>Table4[[#This Row],[qty]]*(VLOOKUP(Table4[[#This Row],[item_sold]],Table1[],5,FALSE))</f>
        <v>55</v>
      </c>
      <c r="F7024" s="5">
        <f>(VLOOKUP(Table4[[#This Row],[item_sold]],Table1[],4,FALSE))*Table4[[#This Row],[qty]]</f>
        <v>50</v>
      </c>
      <c r="G7024">
        <f t="shared" si="1266"/>
        <v>5</v>
      </c>
      <c r="H7024" t="s">
        <v>361</v>
      </c>
    </row>
    <row r="7025" spans="1:11" x14ac:dyDescent="0.25">
      <c r="A7025" s="1">
        <f t="shared" si="1259"/>
        <v>45596</v>
      </c>
      <c r="B7025" s="31">
        <f>TIME(15,16,0)</f>
        <v>0.63611111111111118</v>
      </c>
      <c r="C7025" t="str">
        <f>'Inventory as of 12th Aug 2024'!A8</f>
        <v>eggs</v>
      </c>
      <c r="D7025">
        <v>3</v>
      </c>
      <c r="E7025" s="5">
        <f>Table4[[#This Row],[qty]]*(VLOOKUP(Table4[[#This Row],[item_sold]],Table1[],5,FALSE))</f>
        <v>60</v>
      </c>
      <c r="F7025" s="5">
        <f>(VLOOKUP(Table4[[#This Row],[item_sold]],Table1[],4,FALSE))*Table4[[#This Row],[qty]]</f>
        <v>43</v>
      </c>
      <c r="G7025">
        <f t="shared" si="1266"/>
        <v>17</v>
      </c>
      <c r="H7025" t="s">
        <v>361</v>
      </c>
    </row>
    <row r="7026" spans="1:11" x14ac:dyDescent="0.25">
      <c r="A7026" s="1">
        <f t="shared" si="1259"/>
        <v>45596</v>
      </c>
      <c r="B7026" s="31">
        <f t="shared" ref="B7026" si="1275">TIME(15,16,0)</f>
        <v>0.63611111111111118</v>
      </c>
      <c r="C7026" t="str">
        <f>'Inventory as of 12th Aug 2024'!A175</f>
        <v>Coconut Cakes</v>
      </c>
      <c r="D7026">
        <v>1</v>
      </c>
      <c r="E7026" s="5">
        <f>Table4[[#This Row],[qty]]*(VLOOKUP(Table4[[#This Row],[item_sold]],Table1[],5,FALSE))</f>
        <v>10</v>
      </c>
      <c r="F7026" s="5">
        <f>(VLOOKUP(Table4[[#This Row],[item_sold]],Table1[],4,FALSE))*Table4[[#This Row],[qty]]</f>
        <v>8.3333333333333339</v>
      </c>
      <c r="G7026">
        <f t="shared" si="1266"/>
        <v>1.6666666666666661</v>
      </c>
      <c r="H7026" t="s">
        <v>402</v>
      </c>
    </row>
    <row r="7027" spans="1:11" x14ac:dyDescent="0.25">
      <c r="A7027" s="1">
        <f t="shared" si="1259"/>
        <v>45596</v>
      </c>
      <c r="B7027" s="31">
        <f>TIME(15,28,0)</f>
        <v>0.64444444444444449</v>
      </c>
      <c r="C7027" t="str">
        <f>'Inventory as of 12th Aug 2024'!A41</f>
        <v>Indomie beef</v>
      </c>
      <c r="D7027">
        <v>1</v>
      </c>
      <c r="E7027" s="5">
        <f>Table4[[#This Row],[qty]]*(VLOOKUP(Table4[[#This Row],[item_sold]],Table1[],5,FALSE))</f>
        <v>50</v>
      </c>
      <c r="F7027" s="5">
        <f>(VLOOKUP(Table4[[#This Row],[item_sold]],Table1[],4,FALSE))*Table4[[#This Row],[qty]]</f>
        <v>38</v>
      </c>
      <c r="G7027">
        <f t="shared" si="1266"/>
        <v>12</v>
      </c>
      <c r="H7027" t="s">
        <v>361</v>
      </c>
    </row>
    <row r="7028" spans="1:11" x14ac:dyDescent="0.25">
      <c r="A7028" s="1">
        <f t="shared" si="1259"/>
        <v>45596</v>
      </c>
      <c r="B7028" s="31">
        <f t="shared" ref="B7028" si="1276">TIME(15,28,0)</f>
        <v>0.64444444444444449</v>
      </c>
      <c r="C7028" t="str">
        <f>'Inventory as of 12th Aug 2024'!A199</f>
        <v>Kdf</v>
      </c>
      <c r="D7028">
        <v>1</v>
      </c>
      <c r="E7028" s="5">
        <f>Table4[[#This Row],[qty]]*(VLOOKUP(Table4[[#This Row],[item_sold]],Table1[],5,FALSE))</f>
        <v>10</v>
      </c>
      <c r="F7028" s="5">
        <f>(VLOOKUP(Table4[[#This Row],[item_sold]],Table1[],4,FALSE))*Table4[[#This Row],[qty]]</f>
        <v>8.3333333333333339</v>
      </c>
      <c r="G7028">
        <f t="shared" si="1266"/>
        <v>1.6666666666666661</v>
      </c>
      <c r="H7028" t="s">
        <v>361</v>
      </c>
    </row>
    <row r="7029" spans="1:11" x14ac:dyDescent="0.25">
      <c r="A7029" s="1">
        <f t="shared" si="1259"/>
        <v>45596</v>
      </c>
      <c r="B7029" s="31">
        <f>TIME(15,51,0)</f>
        <v>0.66041666666666665</v>
      </c>
      <c r="C7029" t="str">
        <f>'Inventory as of 12th Aug 2024'!A242</f>
        <v>Icepop</v>
      </c>
      <c r="D7029">
        <v>2</v>
      </c>
      <c r="E7029" s="5">
        <f>Table4[[#This Row],[qty]]*(VLOOKUP(Table4[[#This Row],[item_sold]],Table1[],5,FALSE))</f>
        <v>30</v>
      </c>
      <c r="F7029" s="5">
        <f>(VLOOKUP(Table4[[#This Row],[item_sold]],Table1[],4,FALSE))*Table4[[#This Row],[qty]]</f>
        <v>15</v>
      </c>
      <c r="G7029">
        <f t="shared" si="1266"/>
        <v>15</v>
      </c>
      <c r="H7029" t="s">
        <v>361</v>
      </c>
    </row>
    <row r="7030" spans="1:11" x14ac:dyDescent="0.25">
      <c r="A7030" s="1">
        <f t="shared" si="1259"/>
        <v>45596</v>
      </c>
      <c r="B7030" s="31">
        <f>TIME(16,9,0)</f>
        <v>0.67291666666666661</v>
      </c>
      <c r="C7030" t="str">
        <f>'Inventory as of 12th Aug 2024'!A175</f>
        <v>Coconut Cakes</v>
      </c>
      <c r="D7030">
        <v>1</v>
      </c>
      <c r="E7030" s="5">
        <f>Table4[[#This Row],[qty]]*(VLOOKUP(Table4[[#This Row],[item_sold]],Table1[],5,FALSE))</f>
        <v>10</v>
      </c>
      <c r="F7030" s="5">
        <f>(VLOOKUP(Table4[[#This Row],[item_sold]],Table1[],4,FALSE))*Table4[[#This Row],[qty]]</f>
        <v>8.3333333333333339</v>
      </c>
      <c r="G7030">
        <f t="shared" si="1266"/>
        <v>1.6666666666666661</v>
      </c>
      <c r="H7030" t="s">
        <v>402</v>
      </c>
    </row>
    <row r="7031" spans="1:11" x14ac:dyDescent="0.25">
      <c r="A7031" s="1">
        <f t="shared" si="1259"/>
        <v>45596</v>
      </c>
      <c r="B7031" s="31">
        <f t="shared" ref="B7031:B7033" si="1277">TIME(16,9,0)</f>
        <v>0.67291666666666661</v>
      </c>
      <c r="C7031" t="str">
        <f>'Inventory as of 12th Aug 2024'!A238</f>
        <v>Tropical</v>
      </c>
      <c r="D7031">
        <v>2</v>
      </c>
      <c r="E7031" s="5">
        <f>Table4[[#This Row],[qty]]*(VLOOKUP(Table4[[#This Row],[item_sold]],Table1[],5,FALSE))</f>
        <v>10</v>
      </c>
      <c r="F7031" s="5">
        <f>(VLOOKUP(Table4[[#This Row],[item_sold]],Table1[],4,FALSE))*Table4[[#This Row],[qty]]</f>
        <v>3</v>
      </c>
      <c r="G7031">
        <f t="shared" si="1266"/>
        <v>7</v>
      </c>
      <c r="H7031" t="s">
        <v>402</v>
      </c>
    </row>
    <row r="7032" spans="1:11" x14ac:dyDescent="0.25">
      <c r="A7032" s="1">
        <f t="shared" si="1259"/>
        <v>45596</v>
      </c>
      <c r="B7032" s="31">
        <f t="shared" si="1277"/>
        <v>0.67291666666666661</v>
      </c>
      <c r="C7032" t="str">
        <f>'Inventory as of 12th Aug 2024'!A57</f>
        <v>Sportsman</v>
      </c>
      <c r="D7032">
        <v>1</v>
      </c>
      <c r="E7032" s="5">
        <f>Table4[[#This Row],[qty]]*(VLOOKUP(Table4[[#This Row],[item_sold]],Table1[],5,FALSE))</f>
        <v>20</v>
      </c>
      <c r="F7032" s="5">
        <f>(VLOOKUP(Table4[[#This Row],[item_sold]],Table1[],4,FALSE))*Table4[[#This Row],[qty]]</f>
        <v>13</v>
      </c>
      <c r="G7032">
        <f t="shared" si="1266"/>
        <v>7</v>
      </c>
      <c r="H7032" t="s">
        <v>402</v>
      </c>
    </row>
    <row r="7033" spans="1:11" x14ac:dyDescent="0.25">
      <c r="A7033" s="1">
        <f t="shared" si="1259"/>
        <v>45596</v>
      </c>
      <c r="B7033" s="31">
        <f t="shared" si="1277"/>
        <v>0.67291666666666661</v>
      </c>
      <c r="C7033" t="str">
        <f>'Inventory as of 12th Aug 2024'!A232</f>
        <v>coo</v>
      </c>
      <c r="D7033">
        <v>2</v>
      </c>
      <c r="E7033" s="5">
        <f>Table4[[#This Row],[qty]]*(VLOOKUP(Table4[[#This Row],[item_sold]],Table1[],5,FALSE))</f>
        <v>5</v>
      </c>
      <c r="F7033" s="5">
        <f>(VLOOKUP(Table4[[#This Row],[item_sold]],Table1[],4,FALSE))*Table4[[#This Row],[qty]]</f>
        <v>2.4</v>
      </c>
      <c r="G7033">
        <f t="shared" si="1266"/>
        <v>2.6</v>
      </c>
      <c r="H7033" t="s">
        <v>402</v>
      </c>
    </row>
    <row r="7034" spans="1:11" x14ac:dyDescent="0.25">
      <c r="A7034" s="1">
        <f t="shared" si="1259"/>
        <v>45596</v>
      </c>
      <c r="B7034" s="31">
        <f>TIME(17,49,0)</f>
        <v>0.74236111111111114</v>
      </c>
      <c r="C7034" t="str">
        <f>'Inventory as of 12th Aug 2024'!A270</f>
        <v>Milk Bisquit</v>
      </c>
      <c r="D7034">
        <v>1</v>
      </c>
      <c r="E7034" s="5">
        <f>Table4[[#This Row],[qty]]*(VLOOKUP(Table4[[#This Row],[item_sold]],Table1[],5,FALSE))</f>
        <v>5</v>
      </c>
      <c r="F7034" s="5">
        <f>(VLOOKUP(Table4[[#This Row],[item_sold]],Table1[],4,FALSE))*Table4[[#This Row],[qty]]</f>
        <v>4.166666666666667</v>
      </c>
      <c r="G7034">
        <f t="shared" si="1266"/>
        <v>0.83333333333333304</v>
      </c>
      <c r="H7034" t="s">
        <v>402</v>
      </c>
    </row>
    <row r="7035" spans="1:11" x14ac:dyDescent="0.25">
      <c r="A7035" s="1">
        <f t="shared" si="1259"/>
        <v>45596</v>
      </c>
      <c r="B7035" s="31">
        <f>TIME(18,5,0)</f>
        <v>0.75347222222222221</v>
      </c>
      <c r="C7035" t="str">
        <f>'Inventory as of 12th Aug 2024'!A199</f>
        <v>Kdf</v>
      </c>
      <c r="D7035">
        <v>2</v>
      </c>
      <c r="E7035" s="5">
        <f>Table4[[#This Row],[qty]]*(VLOOKUP(Table4[[#This Row],[item_sold]],Table1[],5,FALSE))</f>
        <v>20</v>
      </c>
      <c r="F7035" s="5">
        <f>(VLOOKUP(Table4[[#This Row],[item_sold]],Table1[],4,FALSE))*Table4[[#This Row],[qty]]</f>
        <v>16.666666666666668</v>
      </c>
      <c r="G7035">
        <f t="shared" si="1266"/>
        <v>3.3333333333333321</v>
      </c>
      <c r="H7035" t="s">
        <v>402</v>
      </c>
    </row>
    <row r="7036" spans="1:11" x14ac:dyDescent="0.25">
      <c r="A7036" s="1">
        <f t="shared" si="1259"/>
        <v>45596</v>
      </c>
      <c r="B7036" s="31">
        <f>TIME(18,45,0)</f>
        <v>0.78125</v>
      </c>
      <c r="C7036" t="str">
        <f>'Inventory as of 12th Aug 2024'!A242</f>
        <v>Icepop</v>
      </c>
      <c r="D7036">
        <v>2</v>
      </c>
      <c r="E7036" s="5">
        <f>Table4[[#This Row],[qty]]*(VLOOKUP(Table4[[#This Row],[item_sold]],Table1[],5,FALSE))</f>
        <v>30</v>
      </c>
      <c r="F7036" s="5">
        <f>(VLOOKUP(Table4[[#This Row],[item_sold]],Table1[],4,FALSE))*Table4[[#This Row],[qty]]</f>
        <v>15</v>
      </c>
      <c r="G7036">
        <f t="shared" si="1266"/>
        <v>15</v>
      </c>
      <c r="H7036" t="s">
        <v>361</v>
      </c>
    </row>
    <row r="7037" spans="1:11" x14ac:dyDescent="0.25">
      <c r="A7037" s="1">
        <f t="shared" si="1259"/>
        <v>45596</v>
      </c>
      <c r="B7037" s="31">
        <f>TIME(18,47,0)</f>
        <v>0.78263888888888899</v>
      </c>
      <c r="C7037" t="str">
        <f>'Inventory as of 12th Aug 2024'!A231</f>
        <v>Patco</v>
      </c>
      <c r="D7037">
        <v>2</v>
      </c>
      <c r="E7037" s="5">
        <f>Table4[[#This Row],[qty]]*(VLOOKUP(Table4[[#This Row],[item_sold]],Table1[],5,FALSE))</f>
        <v>5</v>
      </c>
      <c r="F7037" s="5">
        <f>(VLOOKUP(Table4[[#This Row],[item_sold]],Table1[],4,FALSE))*Table4[[#This Row],[qty]]</f>
        <v>2.4</v>
      </c>
      <c r="G7037">
        <f t="shared" si="1266"/>
        <v>2.6</v>
      </c>
      <c r="H7037" t="s">
        <v>361</v>
      </c>
    </row>
    <row r="7038" spans="1:11" x14ac:dyDescent="0.25">
      <c r="A7038" s="1">
        <f t="shared" si="1259"/>
        <v>45596</v>
      </c>
      <c r="B7038" s="31">
        <f t="shared" ref="B7038:B7041" si="1278">TIME(18,47,0)</f>
        <v>0.78263888888888899</v>
      </c>
      <c r="C7038" t="str">
        <f>'Inventory as of 12th Aug 2024'!A234</f>
        <v>Bigdaddy</v>
      </c>
      <c r="D7038">
        <v>1</v>
      </c>
      <c r="E7038" s="5">
        <f>Table4[[#This Row],[qty]]*(VLOOKUP(Table4[[#This Row],[item_sold]],Table1[],5,FALSE))</f>
        <v>10</v>
      </c>
      <c r="F7038" s="5">
        <f>(VLOOKUP(Table4[[#This Row],[item_sold]],Table1[],4,FALSE))*Table4[[#This Row],[qty]]</f>
        <v>6</v>
      </c>
      <c r="G7038">
        <f t="shared" si="1266"/>
        <v>4</v>
      </c>
      <c r="H7038" t="s">
        <v>361</v>
      </c>
    </row>
    <row r="7039" spans="1:11" x14ac:dyDescent="0.25">
      <c r="A7039" s="1">
        <f t="shared" si="1259"/>
        <v>45596</v>
      </c>
      <c r="B7039" s="31">
        <f t="shared" si="1278"/>
        <v>0.78263888888888899</v>
      </c>
      <c r="C7039" t="str">
        <f>'Inventory as of 12th Aug 2024'!A16</f>
        <v>Mt kenya milk 500ml</v>
      </c>
      <c r="D7039">
        <v>1</v>
      </c>
      <c r="E7039" s="5">
        <f>Table4[[#This Row],[qty]]*(VLOOKUP(Table4[[#This Row],[item_sold]],Table1[],5,FALSE))</f>
        <v>65</v>
      </c>
      <c r="F7039" s="5">
        <f>(VLOOKUP(Table4[[#This Row],[item_sold]],Table1[],4,FALSE))*Table4[[#This Row],[qty]]</f>
        <v>48.333333333333336</v>
      </c>
      <c r="G7039">
        <f t="shared" si="1266"/>
        <v>16.666666666666664</v>
      </c>
      <c r="H7039" t="s">
        <v>430</v>
      </c>
      <c r="I7039" t="s">
        <v>591</v>
      </c>
      <c r="J7039" t="s">
        <v>591</v>
      </c>
      <c r="K7039">
        <v>135</v>
      </c>
    </row>
    <row r="7040" spans="1:11" x14ac:dyDescent="0.25">
      <c r="A7040" s="1">
        <f t="shared" si="1259"/>
        <v>45596</v>
      </c>
      <c r="B7040" s="31">
        <f t="shared" si="1278"/>
        <v>0.78263888888888899</v>
      </c>
      <c r="C7040" t="str">
        <f>'Inventory as of 12th Aug 2024'!A8</f>
        <v>eggs</v>
      </c>
      <c r="D7040">
        <v>2</v>
      </c>
      <c r="E7040" s="5">
        <f>Table4[[#This Row],[qty]]*(VLOOKUP(Table4[[#This Row],[item_sold]],Table1[],5,FALSE))</f>
        <v>40</v>
      </c>
      <c r="F7040" s="5">
        <f>(VLOOKUP(Table4[[#This Row],[item_sold]],Table1[],4,FALSE))*Table4[[#This Row],[qty]]</f>
        <v>28.666666666666668</v>
      </c>
      <c r="G7040">
        <f t="shared" si="1266"/>
        <v>11.333333333333332</v>
      </c>
      <c r="H7040" t="s">
        <v>430</v>
      </c>
      <c r="I7040" t="s">
        <v>591</v>
      </c>
    </row>
    <row r="7041" spans="1:12" x14ac:dyDescent="0.25">
      <c r="A7041" s="1">
        <f t="shared" si="1259"/>
        <v>45596</v>
      </c>
      <c r="B7041" s="31">
        <f t="shared" si="1278"/>
        <v>0.78263888888888899</v>
      </c>
      <c r="C7041" t="str">
        <f>'Inventory as of 12th Aug 2024'!A91</f>
        <v>Tomatoes</v>
      </c>
      <c r="D7041">
        <v>2</v>
      </c>
      <c r="E7041" s="5">
        <f>Table4[[#This Row],[qty]]*(VLOOKUP(Table4[[#This Row],[item_sold]],Table1[],5,FALSE))</f>
        <v>20</v>
      </c>
      <c r="F7041" s="5">
        <f>(VLOOKUP(Table4[[#This Row],[item_sold]],Table1[],4,FALSE))*Table4[[#This Row],[qty]]</f>
        <v>10</v>
      </c>
      <c r="G7041">
        <f t="shared" si="1266"/>
        <v>10</v>
      </c>
      <c r="H7041" t="s">
        <v>430</v>
      </c>
      <c r="I7041" t="s">
        <v>591</v>
      </c>
    </row>
    <row r="7042" spans="1:12" x14ac:dyDescent="0.25">
      <c r="A7042" s="1">
        <f t="shared" si="1259"/>
        <v>45596</v>
      </c>
      <c r="B7042" s="31">
        <f>TIME(19,59,0)</f>
        <v>0.83263888888888893</v>
      </c>
      <c r="C7042" t="str">
        <f>'Inventory as of 12th Aug 2024'!A8</f>
        <v>eggs</v>
      </c>
      <c r="D7042">
        <v>1</v>
      </c>
      <c r="E7042" s="5">
        <f>Table4[[#This Row],[qty]]*(VLOOKUP(Table4[[#This Row],[item_sold]],Table1[],5,FALSE))</f>
        <v>20</v>
      </c>
      <c r="F7042" s="5">
        <f>(VLOOKUP(Table4[[#This Row],[item_sold]],Table1[],4,FALSE))*Table4[[#This Row],[qty]]</f>
        <v>14.333333333333334</v>
      </c>
      <c r="G7042">
        <f t="shared" si="1266"/>
        <v>5.6666666666666661</v>
      </c>
      <c r="H7042" t="s">
        <v>402</v>
      </c>
    </row>
    <row r="7043" spans="1:12" x14ac:dyDescent="0.25">
      <c r="A7043" s="1">
        <f t="shared" ref="A7043:A7056" si="1279">DATE(2024,10,31)</f>
        <v>45596</v>
      </c>
      <c r="B7043" s="31">
        <f t="shared" ref="B7043:B7049" si="1280">TIME(19,59,0)</f>
        <v>0.83263888888888893</v>
      </c>
      <c r="C7043" t="str">
        <f>'Inventory as of 12th Aug 2024'!A91</f>
        <v>Tomatoes</v>
      </c>
      <c r="D7043">
        <v>1</v>
      </c>
      <c r="E7043" s="5">
        <f>Table4[[#This Row],[qty]]*(VLOOKUP(Table4[[#This Row],[item_sold]],Table1[],5,FALSE))</f>
        <v>10</v>
      </c>
      <c r="F7043" s="5">
        <f>(VLOOKUP(Table4[[#This Row],[item_sold]],Table1[],4,FALSE))*Table4[[#This Row],[qty]]</f>
        <v>5</v>
      </c>
      <c r="G7043">
        <f t="shared" si="1266"/>
        <v>5</v>
      </c>
      <c r="H7043" t="s">
        <v>402</v>
      </c>
    </row>
    <row r="7044" spans="1:12" x14ac:dyDescent="0.25">
      <c r="A7044" s="1">
        <f t="shared" si="1279"/>
        <v>45596</v>
      </c>
      <c r="B7044" s="31">
        <f t="shared" si="1280"/>
        <v>0.83263888888888893</v>
      </c>
      <c r="C7044" t="str">
        <f>'Inventory as of 12th Aug 2024'!A183</f>
        <v>T.Heat Potato crisps Tomato 25g</v>
      </c>
      <c r="D7044">
        <v>4</v>
      </c>
      <c r="E7044" s="5">
        <f>Table4[[#This Row],[qty]]*(VLOOKUP(Table4[[#This Row],[item_sold]],Table1[],5,FALSE))</f>
        <v>120</v>
      </c>
      <c r="F7044" s="5">
        <f>(VLOOKUP(Table4[[#This Row],[item_sold]],Table1[],4,FALSE))*Table4[[#This Row],[qty]]</f>
        <v>91.666666666666671</v>
      </c>
      <c r="G7044">
        <f t="shared" si="1266"/>
        <v>28.333333333333329</v>
      </c>
      <c r="H7044" t="s">
        <v>402</v>
      </c>
    </row>
    <row r="7045" spans="1:12" x14ac:dyDescent="0.25">
      <c r="A7045" s="1">
        <f t="shared" si="1279"/>
        <v>45596</v>
      </c>
      <c r="B7045" s="31">
        <f t="shared" si="1280"/>
        <v>0.83263888888888893</v>
      </c>
      <c r="C7045" t="str">
        <f>'Inventory as of 12th Aug 2024'!A246</f>
        <v>300ml water</v>
      </c>
      <c r="D7045">
        <v>1</v>
      </c>
      <c r="E7045" s="5">
        <f>Table4[[#This Row],[qty]]*(VLOOKUP(Table4[[#This Row],[item_sold]],Table1[],5,FALSE))</f>
        <v>30</v>
      </c>
      <c r="F7045" s="5">
        <f>(VLOOKUP(Table4[[#This Row],[item_sold]],Table1[],4,FALSE))*Table4[[#This Row],[qty]]</f>
        <v>12.5</v>
      </c>
      <c r="G7045">
        <f t="shared" si="1266"/>
        <v>17.5</v>
      </c>
      <c r="H7045" t="s">
        <v>402</v>
      </c>
    </row>
    <row r="7046" spans="1:12" x14ac:dyDescent="0.25">
      <c r="A7046" s="1">
        <f t="shared" si="1279"/>
        <v>45596</v>
      </c>
      <c r="B7046" s="31">
        <f t="shared" si="1280"/>
        <v>0.83263888888888893</v>
      </c>
      <c r="C7046" t="str">
        <f>'Inventory as of 12th Aug 2024'!A202</f>
        <v>funtime snacks</v>
      </c>
      <c r="D7046">
        <v>1</v>
      </c>
      <c r="E7046" s="5">
        <f>Table4[[#This Row],[qty]]*(VLOOKUP(Table4[[#This Row],[item_sold]],Table1[],5,FALSE))</f>
        <v>15</v>
      </c>
      <c r="F7046" s="5">
        <f>(VLOOKUP(Table4[[#This Row],[item_sold]],Table1[],4,FALSE))*Table4[[#This Row],[qty]]</f>
        <v>9</v>
      </c>
      <c r="G7046">
        <f t="shared" si="1266"/>
        <v>6</v>
      </c>
      <c r="H7046" t="s">
        <v>402</v>
      </c>
    </row>
    <row r="7047" spans="1:12" x14ac:dyDescent="0.25">
      <c r="A7047" s="1">
        <f t="shared" si="1279"/>
        <v>45596</v>
      </c>
      <c r="B7047" s="31">
        <f t="shared" si="1280"/>
        <v>0.83263888888888893</v>
      </c>
      <c r="C7047" t="str">
        <f>'Inventory as of 12th Aug 2024'!A256</f>
        <v>Family bisquit</v>
      </c>
      <c r="D7047">
        <v>2</v>
      </c>
      <c r="E7047" s="5">
        <f>Table4[[#This Row],[qty]]*(VLOOKUP(Table4[[#This Row],[item_sold]],Table1[],5,FALSE))</f>
        <v>70</v>
      </c>
      <c r="F7047" s="5">
        <f>(VLOOKUP(Table4[[#This Row],[item_sold]],Table1[],4,FALSE))*Table4[[#This Row],[qty]]</f>
        <v>46.666666666666664</v>
      </c>
      <c r="G7047">
        <f t="shared" si="1266"/>
        <v>23.333333333333336</v>
      </c>
      <c r="H7047" t="s">
        <v>402</v>
      </c>
    </row>
    <row r="7048" spans="1:12" x14ac:dyDescent="0.25">
      <c r="A7048" s="1">
        <f t="shared" si="1279"/>
        <v>45596</v>
      </c>
      <c r="B7048" s="31">
        <f t="shared" si="1280"/>
        <v>0.83263888888888893</v>
      </c>
      <c r="C7048" t="str">
        <f>'Inventory as of 12th Aug 2024'!A232</f>
        <v>coo</v>
      </c>
      <c r="D7048">
        <v>4</v>
      </c>
      <c r="E7048" s="5">
        <f>Table4[[#This Row],[qty]]*(VLOOKUP(Table4[[#This Row],[item_sold]],Table1[],5,FALSE))</f>
        <v>10</v>
      </c>
      <c r="F7048" s="5">
        <f>(VLOOKUP(Table4[[#This Row],[item_sold]],Table1[],4,FALSE))*Table4[[#This Row],[qty]]</f>
        <v>4.8</v>
      </c>
      <c r="G7048">
        <f t="shared" si="1266"/>
        <v>5.2</v>
      </c>
      <c r="H7048" t="s">
        <v>402</v>
      </c>
    </row>
    <row r="7049" spans="1:12" x14ac:dyDescent="0.25">
      <c r="A7049" s="1">
        <f t="shared" si="1279"/>
        <v>45596</v>
      </c>
      <c r="B7049" s="31">
        <f t="shared" si="1280"/>
        <v>0.83263888888888893</v>
      </c>
      <c r="C7049" t="str">
        <f>'Inventory as of 12th Aug 2024'!A19</f>
        <v>Dairy Fresh v</v>
      </c>
      <c r="D7049">
        <v>1</v>
      </c>
      <c r="E7049" s="5">
        <f>Table4[[#This Row],[qty]]*(VLOOKUP(Table4[[#This Row],[item_sold]],Table1[],5,FALSE))</f>
        <v>85</v>
      </c>
      <c r="F7049" s="5">
        <f>(VLOOKUP(Table4[[#This Row],[item_sold]],Table1[],4,FALSE))*Table4[[#This Row],[qty]]</f>
        <v>75</v>
      </c>
      <c r="G7049">
        <f t="shared" si="1266"/>
        <v>10</v>
      </c>
      <c r="H7049" t="s">
        <v>402</v>
      </c>
      <c r="J7049" t="s">
        <v>456</v>
      </c>
      <c r="K7049">
        <v>570</v>
      </c>
      <c r="L7049" t="s">
        <v>247</v>
      </c>
    </row>
    <row r="7050" spans="1:12" x14ac:dyDescent="0.25">
      <c r="A7050" s="1">
        <f t="shared" si="1279"/>
        <v>45596</v>
      </c>
      <c r="B7050" s="31">
        <f>TIME(20,18,0)</f>
        <v>0.84583333333333333</v>
      </c>
      <c r="C7050" t="str">
        <f>'Inventory as of 12th Aug 2024'!A211</f>
        <v>predator</v>
      </c>
      <c r="D7050">
        <v>1</v>
      </c>
      <c r="E7050" s="5">
        <f>Table4[[#This Row],[qty]]*(VLOOKUP(Table4[[#This Row],[item_sold]],Table1[],5,FALSE))</f>
        <v>70</v>
      </c>
      <c r="F7050" s="5">
        <f>(VLOOKUP(Table4[[#This Row],[item_sold]],Table1[],4,FALSE))*Table4[[#This Row],[qty]]</f>
        <v>54.166666666666664</v>
      </c>
      <c r="G7050">
        <f t="shared" si="1266"/>
        <v>15.833333333333336</v>
      </c>
      <c r="H7050" t="s">
        <v>402</v>
      </c>
    </row>
    <row r="7051" spans="1:12" x14ac:dyDescent="0.25">
      <c r="A7051" s="1">
        <f t="shared" si="1279"/>
        <v>45596</v>
      </c>
      <c r="B7051" s="31">
        <f t="shared" ref="B7051:B7052" si="1281">TIME(20,18,0)</f>
        <v>0.84583333333333333</v>
      </c>
      <c r="C7051" t="str">
        <f>'Inventory as of 12th Aug 2024'!A10</f>
        <v>Mt Kenya milk 200ml</v>
      </c>
      <c r="D7051">
        <v>1</v>
      </c>
      <c r="E7051" s="5">
        <f>Table4[[#This Row],[qty]]*(VLOOKUP(Table4[[#This Row],[item_sold]],Table1[],5,FALSE))</f>
        <v>35</v>
      </c>
      <c r="F7051" s="5">
        <f>(VLOOKUP(Table4[[#This Row],[item_sold]],Table1[],4,FALSE))*Table4[[#This Row],[qty]]</f>
        <v>24.285714285714285</v>
      </c>
      <c r="G7051">
        <f t="shared" si="1266"/>
        <v>10.714285714285715</v>
      </c>
      <c r="H7051" t="s">
        <v>430</v>
      </c>
      <c r="I7051" t="s">
        <v>455</v>
      </c>
      <c r="J7051" t="s">
        <v>455</v>
      </c>
      <c r="K7051">
        <v>500</v>
      </c>
      <c r="L7051" t="s">
        <v>247</v>
      </c>
    </row>
    <row r="7052" spans="1:12" x14ac:dyDescent="0.25">
      <c r="A7052" s="1">
        <f t="shared" si="1279"/>
        <v>45596</v>
      </c>
      <c r="B7052" s="31">
        <f t="shared" si="1281"/>
        <v>0.84583333333333333</v>
      </c>
      <c r="C7052" t="str">
        <f>'Inventory as of 12th Aug 2024'!A97</f>
        <v>Garlic</v>
      </c>
      <c r="D7052">
        <v>1</v>
      </c>
      <c r="E7052" s="5">
        <f>Table4[[#This Row],[qty]]*(VLOOKUP(Table4[[#This Row],[item_sold]],Table1[],5,FALSE))</f>
        <v>30</v>
      </c>
      <c r="F7052" s="5">
        <f>(VLOOKUP(Table4[[#This Row],[item_sold]],Table1[],4,FALSE))*Table4[[#This Row],[qty]]</f>
        <v>20</v>
      </c>
      <c r="G7052">
        <f t="shared" si="1266"/>
        <v>10</v>
      </c>
      <c r="H7052" t="s">
        <v>402</v>
      </c>
    </row>
    <row r="7053" spans="1:12" x14ac:dyDescent="0.25">
      <c r="A7053" s="1">
        <f t="shared" si="1279"/>
        <v>45596</v>
      </c>
      <c r="B7053" s="31">
        <f>TIME(17,49,0)</f>
        <v>0.74236111111111114</v>
      </c>
      <c r="C7053" t="str">
        <f>'Inventory as of 12th Aug 2024'!A242</f>
        <v>Icepop</v>
      </c>
      <c r="D7053">
        <v>1</v>
      </c>
      <c r="E7053" s="5">
        <f>Table4[[#This Row],[qty]]*(VLOOKUP(Table4[[#This Row],[item_sold]],Table1[],5,FALSE))</f>
        <v>15</v>
      </c>
      <c r="F7053" s="5">
        <f>(VLOOKUP(Table4[[#This Row],[item_sold]],Table1[],4,FALSE))*Table4[[#This Row],[qty]]</f>
        <v>7.5</v>
      </c>
      <c r="G7053">
        <f t="shared" si="1266"/>
        <v>7.5</v>
      </c>
      <c r="H7053" t="s">
        <v>361</v>
      </c>
    </row>
    <row r="7054" spans="1:12" x14ac:dyDescent="0.25">
      <c r="A7054" s="1">
        <f t="shared" si="1279"/>
        <v>45596</v>
      </c>
      <c r="B7054" s="31">
        <f t="shared" ref="B7054" si="1282">TIME(17,49,0)</f>
        <v>0.74236111111111114</v>
      </c>
      <c r="C7054" t="str">
        <f>'Inventory as of 12th Aug 2024'!A233</f>
        <v>Lollipop</v>
      </c>
      <c r="D7054">
        <v>1</v>
      </c>
      <c r="E7054" s="5">
        <f>Table4[[#This Row],[qty]]*(VLOOKUP(Table4[[#This Row],[item_sold]],Table1[],5,FALSE))</f>
        <v>5</v>
      </c>
      <c r="F7054" s="5">
        <f>(VLOOKUP(Table4[[#This Row],[item_sold]],Table1[],4,FALSE))*Table4[[#This Row],[qty]]</f>
        <v>2.4</v>
      </c>
      <c r="G7054">
        <f t="shared" si="1266"/>
        <v>2.6</v>
      </c>
      <c r="H7054" t="s">
        <v>402</v>
      </c>
    </row>
    <row r="7055" spans="1:12" x14ac:dyDescent="0.25">
      <c r="A7055" s="1">
        <f t="shared" si="1279"/>
        <v>45596</v>
      </c>
      <c r="B7055" s="31">
        <f>TIME(16,9,0)</f>
        <v>0.67291666666666661</v>
      </c>
      <c r="C7055" t="str">
        <f>'Inventory as of 12th Aug 2024'!A58</f>
        <v>Safari</v>
      </c>
      <c r="D7055">
        <v>1</v>
      </c>
      <c r="E7055" s="5">
        <f>Table4[[#This Row],[qty]]*(VLOOKUP(Table4[[#This Row],[item_sold]],Table1[],5,FALSE))</f>
        <v>15</v>
      </c>
      <c r="F7055" s="5">
        <f>(VLOOKUP(Table4[[#This Row],[item_sold]],Table1[],4,FALSE))*Table4[[#This Row],[qty]]</f>
        <v>8.5</v>
      </c>
      <c r="G7055">
        <f t="shared" si="1266"/>
        <v>6.5</v>
      </c>
      <c r="H7055" t="s">
        <v>402</v>
      </c>
    </row>
    <row r="7056" spans="1:12" x14ac:dyDescent="0.25">
      <c r="A7056" s="1">
        <f t="shared" si="1279"/>
        <v>45596</v>
      </c>
      <c r="B7056" s="31">
        <f>TIME(16,9,0)</f>
        <v>0.67291666666666661</v>
      </c>
      <c r="C7056" t="str">
        <f>'Inventory as of 12th Aug 2024'!A175</f>
        <v>Coconut Cakes</v>
      </c>
      <c r="D7056">
        <v>3</v>
      </c>
      <c r="E7056" s="5">
        <f>Table4[[#This Row],[qty]]*(VLOOKUP(Table4[[#This Row],[item_sold]],Table1[],5,FALSE))</f>
        <v>30</v>
      </c>
      <c r="F7056" s="5">
        <f>(VLOOKUP(Table4[[#This Row],[item_sold]],Table1[],4,FALSE))*Table4[[#This Row],[qty]]</f>
        <v>25</v>
      </c>
      <c r="G7056">
        <f t="shared" si="1266"/>
        <v>5</v>
      </c>
      <c r="H7056" t="s">
        <v>402</v>
      </c>
    </row>
    <row r="7057" spans="1:12" x14ac:dyDescent="0.25">
      <c r="A7057" s="1">
        <f>DATE(2024,11,1)</f>
        <v>45597</v>
      </c>
      <c r="B7057" s="31">
        <f>TIME(7,4,0)</f>
        <v>0.29444444444444445</v>
      </c>
      <c r="C7057" t="str">
        <f>'Inventory as of 12th Aug 2024'!A199</f>
        <v>Kdf</v>
      </c>
      <c r="D7057">
        <v>4</v>
      </c>
      <c r="E7057" s="5">
        <f>Table4[[#This Row],[qty]]*(VLOOKUP(Table4[[#This Row],[item_sold]],Table1[],5,FALSE))</f>
        <v>40</v>
      </c>
      <c r="F7057" s="5">
        <f>(VLOOKUP(Table4[[#This Row],[item_sold]],Table1[],4,FALSE))*Table4[[#This Row],[qty]]</f>
        <v>33.333333333333336</v>
      </c>
      <c r="G7057">
        <f t="shared" si="1266"/>
        <v>6.6666666666666643</v>
      </c>
      <c r="H7057" t="s">
        <v>361</v>
      </c>
    </row>
    <row r="7058" spans="1:12" x14ac:dyDescent="0.25">
      <c r="A7058" s="1">
        <f t="shared" ref="A7058:A7121" si="1283">DATE(2024,11,1)</f>
        <v>45597</v>
      </c>
      <c r="B7058" s="31">
        <f>TIME(7,30,0)</f>
        <v>0.3125</v>
      </c>
      <c r="C7058" t="str">
        <f>'Inventory as of 12th Aug 2024'!A10</f>
        <v>Mt Kenya milk 200ml</v>
      </c>
      <c r="D7058">
        <v>1</v>
      </c>
      <c r="E7058" s="5">
        <f>Table4[[#This Row],[qty]]*(VLOOKUP(Table4[[#This Row],[item_sold]],Table1[],5,FALSE))</f>
        <v>35</v>
      </c>
      <c r="F7058" s="5">
        <f>(VLOOKUP(Table4[[#This Row],[item_sold]],Table1[],4,FALSE))*Table4[[#This Row],[qty]]</f>
        <v>24.285714285714285</v>
      </c>
      <c r="G7058">
        <f t="shared" si="1266"/>
        <v>10.714285714285715</v>
      </c>
      <c r="H7058" t="s">
        <v>402</v>
      </c>
    </row>
    <row r="7059" spans="1:12" x14ac:dyDescent="0.25">
      <c r="A7059" s="1">
        <f t="shared" si="1283"/>
        <v>45597</v>
      </c>
      <c r="B7059" s="31">
        <f>TIME(7,51,0)</f>
        <v>0.32708333333333334</v>
      </c>
      <c r="C7059" t="str">
        <f>'Inventory as of 12th Aug 2024'!A206</f>
        <v>soda 500ml plastic</v>
      </c>
      <c r="D7059">
        <v>2</v>
      </c>
      <c r="E7059" s="5">
        <f>Table4[[#This Row],[qty]]*(VLOOKUP(Table4[[#This Row],[item_sold]],Table1[],5,FALSE))</f>
        <v>140</v>
      </c>
      <c r="F7059" s="5">
        <f>(VLOOKUP(Table4[[#This Row],[item_sold]],Table1[],4,FALSE))*Table4[[#This Row],[qty]]</f>
        <v>120.83333333333333</v>
      </c>
      <c r="G7059">
        <f t="shared" si="1266"/>
        <v>19.166666666666671</v>
      </c>
      <c r="H7059" t="s">
        <v>361</v>
      </c>
    </row>
    <row r="7060" spans="1:12" x14ac:dyDescent="0.25">
      <c r="A7060" s="1">
        <f t="shared" si="1283"/>
        <v>45597</v>
      </c>
      <c r="B7060" s="31">
        <f t="shared" ref="B7060:B7064" si="1284">TIME(7,51,0)</f>
        <v>0.32708333333333334</v>
      </c>
      <c r="C7060" t="str">
        <f>'Inventory as of 12th Aug 2024'!A246</f>
        <v>300ml water</v>
      </c>
      <c r="D7060">
        <v>2</v>
      </c>
      <c r="E7060" s="5">
        <f>Table4[[#This Row],[qty]]*(VLOOKUP(Table4[[#This Row],[item_sold]],Table1[],5,FALSE))</f>
        <v>60</v>
      </c>
      <c r="F7060" s="5">
        <f>(VLOOKUP(Table4[[#This Row],[item_sold]],Table1[],4,FALSE))*Table4[[#This Row],[qty]]</f>
        <v>25</v>
      </c>
      <c r="G7060">
        <f t="shared" ref="G7060:G7123" si="1285">E7060-F7060</f>
        <v>35</v>
      </c>
      <c r="H7060" t="s">
        <v>361</v>
      </c>
    </row>
    <row r="7061" spans="1:12" x14ac:dyDescent="0.25">
      <c r="A7061" s="1">
        <f t="shared" si="1283"/>
        <v>45597</v>
      </c>
      <c r="B7061" s="31">
        <f t="shared" si="1284"/>
        <v>0.32708333333333334</v>
      </c>
      <c r="C7061" t="str">
        <f>'Inventory as of 12th Aug 2024'!A9</f>
        <v>Kinangop Fresh Milk 500ml</v>
      </c>
      <c r="D7061">
        <v>1</v>
      </c>
      <c r="E7061" s="5">
        <f>Table4[[#This Row],[qty]]*(VLOOKUP(Table4[[#This Row],[item_sold]],Table1[],5,FALSE))</f>
        <v>60</v>
      </c>
      <c r="F7061" s="5">
        <f>(VLOOKUP(Table4[[#This Row],[item_sold]],Table1[],4,FALSE))*Table4[[#This Row],[qty]]</f>
        <v>55</v>
      </c>
      <c r="G7061">
        <f t="shared" si="1285"/>
        <v>5</v>
      </c>
      <c r="H7061" t="s">
        <v>430</v>
      </c>
      <c r="I7061" t="s">
        <v>390</v>
      </c>
    </row>
    <row r="7062" spans="1:12" x14ac:dyDescent="0.25">
      <c r="A7062" s="1">
        <f t="shared" si="1283"/>
        <v>45597</v>
      </c>
      <c r="B7062" s="31">
        <f t="shared" si="1284"/>
        <v>0.32708333333333334</v>
      </c>
      <c r="C7062" t="str">
        <f>'Inventory as of 12th Aug 2024'!A8</f>
        <v>eggs</v>
      </c>
      <c r="D7062">
        <v>5</v>
      </c>
      <c r="E7062" s="5">
        <f>Table4[[#This Row],[qty]]*(VLOOKUP(Table4[[#This Row],[item_sold]],Table1[],5,FALSE))</f>
        <v>100</v>
      </c>
      <c r="F7062" s="5">
        <f>(VLOOKUP(Table4[[#This Row],[item_sold]],Table1[],4,FALSE))*Table4[[#This Row],[qty]]</f>
        <v>71.666666666666671</v>
      </c>
      <c r="G7062">
        <f t="shared" si="1285"/>
        <v>28.333333333333329</v>
      </c>
      <c r="H7062" t="s">
        <v>430</v>
      </c>
      <c r="I7062" t="s">
        <v>390</v>
      </c>
    </row>
    <row r="7063" spans="1:12" x14ac:dyDescent="0.25">
      <c r="A7063" s="1">
        <f t="shared" si="1283"/>
        <v>45597</v>
      </c>
      <c r="B7063" s="31">
        <f t="shared" si="1284"/>
        <v>0.32708333333333334</v>
      </c>
      <c r="C7063" t="str">
        <f>'Inventory as of 12th Aug 2024'!A3</f>
        <v>Safaricom 10 Credit</v>
      </c>
      <c r="D7063">
        <v>1</v>
      </c>
      <c r="E7063" s="5">
        <f>Table4[[#This Row],[qty]]*(VLOOKUP(Table4[[#This Row],[item_sold]],Table1[],5,FALSE))</f>
        <v>10</v>
      </c>
      <c r="F7063" s="5">
        <f>(VLOOKUP(Table4[[#This Row],[item_sold]],Table1[],4,FALSE))*Table4[[#This Row],[qty]]</f>
        <v>9</v>
      </c>
      <c r="G7063">
        <f t="shared" si="1285"/>
        <v>1</v>
      </c>
      <c r="H7063" t="s">
        <v>402</v>
      </c>
    </row>
    <row r="7064" spans="1:12" x14ac:dyDescent="0.25">
      <c r="A7064" s="1">
        <f t="shared" si="1283"/>
        <v>45597</v>
      </c>
      <c r="B7064" s="31">
        <f t="shared" si="1284"/>
        <v>0.32708333333333334</v>
      </c>
      <c r="C7064" t="str">
        <f>'Inventory as of 12th Aug 2024'!A17</f>
        <v>Brookside milk 500ml</v>
      </c>
      <c r="D7064">
        <v>2</v>
      </c>
      <c r="E7064" s="5">
        <f>Table4[[#This Row],[qty]]*(VLOOKUP(Table4[[#This Row],[item_sold]],Table1[],5,FALSE))</f>
        <v>140</v>
      </c>
      <c r="F7064" s="5">
        <f>(VLOOKUP(Table4[[#This Row],[item_sold]],Table1[],4,FALSE))*Table4[[#This Row],[qty]]</f>
        <v>118</v>
      </c>
      <c r="G7064">
        <f t="shared" si="1285"/>
        <v>22</v>
      </c>
      <c r="H7064" t="s">
        <v>430</v>
      </c>
      <c r="I7064" t="s">
        <v>392</v>
      </c>
      <c r="J7064" t="s">
        <v>392</v>
      </c>
      <c r="K7064">
        <v>140</v>
      </c>
      <c r="L7064" t="s">
        <v>361</v>
      </c>
    </row>
    <row r="7065" spans="1:12" x14ac:dyDescent="0.25">
      <c r="A7065" s="1">
        <f t="shared" si="1283"/>
        <v>45597</v>
      </c>
      <c r="B7065" s="31">
        <f>TIME(8,35,0)</f>
        <v>0.3576388888888889</v>
      </c>
      <c r="C7065" t="str">
        <f>'Inventory as of 12th Aug 2024'!A37</f>
        <v>Festive Bread 400g</v>
      </c>
      <c r="D7065">
        <v>1</v>
      </c>
      <c r="E7065" s="5">
        <f>Table4[[#This Row],[qty]]*(VLOOKUP(Table4[[#This Row],[item_sold]],Table1[],5,FALSE))</f>
        <v>65</v>
      </c>
      <c r="F7065" s="5">
        <f>(VLOOKUP(Table4[[#This Row],[item_sold]],Table1[],4,FALSE))*Table4[[#This Row],[qty]]</f>
        <v>60</v>
      </c>
      <c r="G7065">
        <f t="shared" si="1285"/>
        <v>5</v>
      </c>
      <c r="H7065" t="s">
        <v>402</v>
      </c>
      <c r="J7065" t="s">
        <v>385</v>
      </c>
      <c r="K7065">
        <v>500</v>
      </c>
      <c r="L7065" t="s">
        <v>247</v>
      </c>
    </row>
    <row r="7066" spans="1:12" x14ac:dyDescent="0.25">
      <c r="A7066" s="1">
        <f t="shared" si="1283"/>
        <v>45597</v>
      </c>
      <c r="B7066" s="31">
        <f t="shared" ref="B7066:B7068" si="1286">TIME(8,35,0)</f>
        <v>0.3576388888888889</v>
      </c>
      <c r="C7066" t="str">
        <f>'Inventory as of 12th Aug 2024'!A83</f>
        <v>omo 75g</v>
      </c>
      <c r="D7066">
        <v>1</v>
      </c>
      <c r="E7066" s="5">
        <f>Table4[[#This Row],[qty]]*(VLOOKUP(Table4[[#This Row],[item_sold]],Table1[],5,FALSE))</f>
        <v>35</v>
      </c>
      <c r="F7066" s="5">
        <f>(VLOOKUP(Table4[[#This Row],[item_sold]],Table1[],4,FALSE))*Table4[[#This Row],[qty]]</f>
        <v>27.5</v>
      </c>
      <c r="G7066">
        <f t="shared" si="1285"/>
        <v>7.5</v>
      </c>
      <c r="H7066" t="s">
        <v>430</v>
      </c>
      <c r="I7066" t="s">
        <v>395</v>
      </c>
    </row>
    <row r="7067" spans="1:12" x14ac:dyDescent="0.25">
      <c r="A7067" s="1">
        <f t="shared" si="1283"/>
        <v>45597</v>
      </c>
      <c r="B7067" s="31">
        <f t="shared" si="1286"/>
        <v>0.3576388888888889</v>
      </c>
      <c r="C7067" t="str">
        <f>'Inventory as of 12th Aug 2024'!A266</f>
        <v>Zenta Bar Soap</v>
      </c>
      <c r="D7067">
        <v>0.2</v>
      </c>
      <c r="E7067" s="5">
        <f>Table4[[#This Row],[qty]]*(VLOOKUP(Table4[[#This Row],[item_sold]],Table1[],5,FALSE))</f>
        <v>50</v>
      </c>
      <c r="F7067" s="5">
        <f>(VLOOKUP(Table4[[#This Row],[item_sold]],Table1[],4,FALSE))*Table4[[#This Row],[qty]]</f>
        <v>32</v>
      </c>
      <c r="G7067">
        <f t="shared" si="1285"/>
        <v>18</v>
      </c>
      <c r="H7067" t="s">
        <v>430</v>
      </c>
      <c r="I7067" t="s">
        <v>395</v>
      </c>
    </row>
    <row r="7068" spans="1:12" x14ac:dyDescent="0.25">
      <c r="A7068" s="1">
        <f t="shared" si="1283"/>
        <v>45597</v>
      </c>
      <c r="B7068" s="31">
        <f t="shared" si="1286"/>
        <v>0.3576388888888889</v>
      </c>
      <c r="C7068" t="str">
        <f>'Inventory as of 12th Aug 2024'!A33</f>
        <v>BB Bread 400g</v>
      </c>
      <c r="D7068">
        <v>3</v>
      </c>
      <c r="E7068" s="5">
        <f>Table4[[#This Row],[qty]]*(VLOOKUP(Table4[[#This Row],[item_sold]],Table1[],5,FALSE))</f>
        <v>195</v>
      </c>
      <c r="F7068" s="5">
        <f>(VLOOKUP(Table4[[#This Row],[item_sold]],Table1[],4,FALSE))*Table4[[#This Row],[qty]]</f>
        <v>180</v>
      </c>
      <c r="G7068">
        <f t="shared" si="1285"/>
        <v>15</v>
      </c>
      <c r="H7068" t="s">
        <v>402</v>
      </c>
    </row>
    <row r="7069" spans="1:12" x14ac:dyDescent="0.25">
      <c r="A7069" s="1">
        <f t="shared" si="1283"/>
        <v>45597</v>
      </c>
      <c r="B7069" s="31">
        <f>TIME(11,21,0)</f>
        <v>0.47291666666666665</v>
      </c>
      <c r="C7069" t="str">
        <f>'Inventory as of 12th Aug 2024'!A135</f>
        <v>Bella Tissue</v>
      </c>
      <c r="D7069">
        <v>2</v>
      </c>
      <c r="E7069" s="5">
        <f>Table4[[#This Row],[qty]]*(VLOOKUP(Table4[[#This Row],[item_sold]],Table1[],5,FALSE))</f>
        <v>100</v>
      </c>
      <c r="F7069" s="5">
        <f>(VLOOKUP(Table4[[#This Row],[item_sold]],Table1[],4,FALSE))*Table4[[#This Row],[qty]]</f>
        <v>70</v>
      </c>
      <c r="G7069">
        <f t="shared" si="1285"/>
        <v>30</v>
      </c>
      <c r="H7069" t="s">
        <v>402</v>
      </c>
    </row>
    <row r="7070" spans="1:12" x14ac:dyDescent="0.25">
      <c r="A7070" s="1">
        <f>DATE(2024,11,1)</f>
        <v>45597</v>
      </c>
      <c r="B7070" s="31">
        <f t="shared" ref="B7070:B7071" si="1287">TIME(11,21,0)</f>
        <v>0.47291666666666665</v>
      </c>
      <c r="C7070" t="str">
        <f>'Inventory as of 12th Aug 2024'!A10</f>
        <v>Mt Kenya milk 200ml</v>
      </c>
      <c r="D7070">
        <v>1</v>
      </c>
      <c r="E7070" s="5">
        <f>Table4[[#This Row],[qty]]*(VLOOKUP(Table4[[#This Row],[item_sold]],Table1[],5,FALSE))</f>
        <v>35</v>
      </c>
      <c r="F7070" s="5">
        <f>(VLOOKUP(Table4[[#This Row],[item_sold]],Table1[],4,FALSE))*Table4[[#This Row],[qty]]</f>
        <v>24.285714285714285</v>
      </c>
      <c r="G7070">
        <f t="shared" si="1285"/>
        <v>10.714285714285715</v>
      </c>
      <c r="H7070" t="s">
        <v>430</v>
      </c>
      <c r="I7070" t="s">
        <v>626</v>
      </c>
    </row>
    <row r="7071" spans="1:12" x14ac:dyDescent="0.25">
      <c r="A7071" s="1">
        <f t="shared" si="1283"/>
        <v>45597</v>
      </c>
      <c r="B7071" s="31">
        <f t="shared" si="1287"/>
        <v>0.47291666666666665</v>
      </c>
      <c r="C7071" t="str">
        <f>'Inventory as of 12th Aug 2024'!A37</f>
        <v>Festive Bread 400g</v>
      </c>
      <c r="D7071">
        <v>1</v>
      </c>
      <c r="E7071" s="5">
        <f>Table4[[#This Row],[qty]]*(VLOOKUP(Table4[[#This Row],[item_sold]],Table1[],5,FALSE))</f>
        <v>65</v>
      </c>
      <c r="F7071" s="5">
        <f>(VLOOKUP(Table4[[#This Row],[item_sold]],Table1[],4,FALSE))*Table4[[#This Row],[qty]]</f>
        <v>60</v>
      </c>
      <c r="G7071">
        <f t="shared" si="1285"/>
        <v>5</v>
      </c>
      <c r="H7071" t="s">
        <v>430</v>
      </c>
      <c r="I7071" t="s">
        <v>395</v>
      </c>
    </row>
    <row r="7072" spans="1:12" x14ac:dyDescent="0.25">
      <c r="A7072" s="1">
        <f t="shared" si="1283"/>
        <v>45597</v>
      </c>
      <c r="B7072" s="31">
        <f>TIME(12,24,0)</f>
        <v>0.51666666666666672</v>
      </c>
      <c r="C7072" t="str">
        <f>'Inventory as of 12th Aug 2024'!A50</f>
        <v>Pishori rice</v>
      </c>
      <c r="D7072">
        <v>0.25</v>
      </c>
      <c r="E7072" s="5">
        <f>Table4[[#This Row],[qty]]*(VLOOKUP(Table4[[#This Row],[item_sold]],Table1[],5,FALSE))</f>
        <v>55</v>
      </c>
      <c r="F7072" s="5">
        <f>(VLOOKUP(Table4[[#This Row],[item_sold]],Table1[],4,FALSE))*Table4[[#This Row],[qty]]</f>
        <v>45</v>
      </c>
      <c r="G7072">
        <f t="shared" si="1285"/>
        <v>10</v>
      </c>
      <c r="H7072" t="s">
        <v>361</v>
      </c>
    </row>
    <row r="7073" spans="1:9" x14ac:dyDescent="0.25">
      <c r="A7073" s="1">
        <f t="shared" si="1283"/>
        <v>45597</v>
      </c>
      <c r="B7073" s="31">
        <f t="shared" ref="B7073" si="1288">TIME(12,24,0)</f>
        <v>0.51666666666666672</v>
      </c>
      <c r="C7073" t="str">
        <f>'Inventory as of 12th Aug 2024'!A41</f>
        <v>Indomie beef</v>
      </c>
      <c r="D7073">
        <v>1</v>
      </c>
      <c r="E7073" s="5">
        <f>Table4[[#This Row],[qty]]*(VLOOKUP(Table4[[#This Row],[item_sold]],Table1[],5,FALSE))</f>
        <v>50</v>
      </c>
      <c r="F7073" s="5">
        <f>(VLOOKUP(Table4[[#This Row],[item_sold]],Table1[],4,FALSE))*Table4[[#This Row],[qty]]</f>
        <v>38</v>
      </c>
      <c r="G7073">
        <f t="shared" si="1285"/>
        <v>12</v>
      </c>
      <c r="H7073" t="s">
        <v>402</v>
      </c>
    </row>
    <row r="7074" spans="1:9" x14ac:dyDescent="0.25">
      <c r="A7074" s="1">
        <f t="shared" si="1283"/>
        <v>45597</v>
      </c>
      <c r="B7074" s="31">
        <f>TIME(12,56,0)</f>
        <v>0.53888888888888886</v>
      </c>
      <c r="C7074" t="str">
        <f>'Inventory as of 12th Aug 2024'!A191</f>
        <v>Nuvita Bisquit</v>
      </c>
      <c r="D7074">
        <v>2</v>
      </c>
      <c r="E7074" s="5">
        <f>Table4[[#This Row],[qty]]*(VLOOKUP(Table4[[#This Row],[item_sold]],Table1[],5,FALSE))</f>
        <v>10</v>
      </c>
      <c r="F7074" s="5">
        <f>(VLOOKUP(Table4[[#This Row],[item_sold]],Table1[],4,FALSE))*Table4[[#This Row],[qty]]</f>
        <v>8.3333333333333339</v>
      </c>
      <c r="G7074">
        <f t="shared" si="1285"/>
        <v>1.6666666666666661</v>
      </c>
      <c r="H7074" t="s">
        <v>402</v>
      </c>
    </row>
    <row r="7075" spans="1:9" x14ac:dyDescent="0.25">
      <c r="A7075" s="1">
        <f t="shared" si="1283"/>
        <v>45597</v>
      </c>
      <c r="B7075" s="31">
        <f>TIME(12,58,0)</f>
        <v>0.54027777777777775</v>
      </c>
      <c r="C7075" t="str">
        <f>'Inventory as of 12th Aug 2024'!A234</f>
        <v>Bigdaddy</v>
      </c>
      <c r="D7075">
        <v>2</v>
      </c>
      <c r="E7075" s="5">
        <f>Table4[[#This Row],[qty]]*(VLOOKUP(Table4[[#This Row],[item_sold]],Table1[],5,FALSE))</f>
        <v>20</v>
      </c>
      <c r="F7075" s="5">
        <f>(VLOOKUP(Table4[[#This Row],[item_sold]],Table1[],4,FALSE))*Table4[[#This Row],[qty]]</f>
        <v>12</v>
      </c>
      <c r="G7075">
        <f t="shared" si="1285"/>
        <v>8</v>
      </c>
      <c r="H7075" t="s">
        <v>361</v>
      </c>
    </row>
    <row r="7076" spans="1:9" x14ac:dyDescent="0.25">
      <c r="A7076" s="1">
        <f t="shared" si="1283"/>
        <v>45597</v>
      </c>
      <c r="B7076" s="31">
        <f t="shared" ref="B7076:B7080" si="1289">TIME(12,58,0)</f>
        <v>0.54027777777777775</v>
      </c>
      <c r="C7076" t="str">
        <f>'Inventory as of 12th Aug 2024'!A27</f>
        <v>Nescafe 1.5g</v>
      </c>
      <c r="D7076">
        <v>2</v>
      </c>
      <c r="E7076" s="5">
        <f>Table4[[#This Row],[qty]]*(VLOOKUP(Table4[[#This Row],[item_sold]],Table1[],5,FALSE))</f>
        <v>30</v>
      </c>
      <c r="F7076" s="5">
        <f>(VLOOKUP(Table4[[#This Row],[item_sold]],Table1[],4,FALSE))*Table4[[#This Row],[qty]]</f>
        <v>18.333333333333332</v>
      </c>
      <c r="G7076">
        <f t="shared" si="1285"/>
        <v>11.666666666666668</v>
      </c>
      <c r="H7076" t="s">
        <v>361</v>
      </c>
    </row>
    <row r="7077" spans="1:9" x14ac:dyDescent="0.25">
      <c r="A7077" s="1">
        <f t="shared" si="1283"/>
        <v>45597</v>
      </c>
      <c r="B7077" s="31">
        <f t="shared" si="1289"/>
        <v>0.54027777777777775</v>
      </c>
      <c r="C7077" t="str">
        <f>'Inventory as of 12th Aug 2024'!A240</f>
        <v>Bigboss</v>
      </c>
      <c r="D7077">
        <v>3</v>
      </c>
      <c r="E7077" s="5">
        <f>Table4[[#This Row],[qty]]*(VLOOKUP(Table4[[#This Row],[item_sold]],Table1[],5,FALSE))</f>
        <v>15</v>
      </c>
      <c r="F7077" s="5">
        <f>(VLOOKUP(Table4[[#This Row],[item_sold]],Table1[],4,FALSE))*Table4[[#This Row],[qty]]</f>
        <v>10.5</v>
      </c>
      <c r="G7077">
        <f t="shared" si="1285"/>
        <v>4.5</v>
      </c>
      <c r="H7077" t="s">
        <v>361</v>
      </c>
    </row>
    <row r="7078" spans="1:9" x14ac:dyDescent="0.25">
      <c r="A7078" s="1">
        <f t="shared" si="1283"/>
        <v>45597</v>
      </c>
      <c r="B7078" s="31">
        <f t="shared" si="1289"/>
        <v>0.54027777777777775</v>
      </c>
      <c r="C7078" t="str">
        <f>'Inventory as of 12th Aug 2024'!A234</f>
        <v>Bigdaddy</v>
      </c>
      <c r="D7078">
        <v>2</v>
      </c>
      <c r="E7078" s="5">
        <f>Table4[[#This Row],[qty]]*(VLOOKUP(Table4[[#This Row],[item_sold]],Table1[],5,FALSE))</f>
        <v>20</v>
      </c>
      <c r="F7078" s="5">
        <f>(VLOOKUP(Table4[[#This Row],[item_sold]],Table1[],4,FALSE))*Table4[[#This Row],[qty]]</f>
        <v>12</v>
      </c>
      <c r="G7078">
        <f t="shared" si="1285"/>
        <v>8</v>
      </c>
      <c r="H7078" t="s">
        <v>402</v>
      </c>
    </row>
    <row r="7079" spans="1:9" x14ac:dyDescent="0.25">
      <c r="A7079" s="1">
        <f t="shared" si="1283"/>
        <v>45597</v>
      </c>
      <c r="B7079" s="31">
        <f t="shared" si="1289"/>
        <v>0.54027777777777775</v>
      </c>
      <c r="C7079" t="str">
        <f>'Inventory as of 12th Aug 2024'!A10</f>
        <v>Mt Kenya milk 200ml</v>
      </c>
      <c r="D7079">
        <v>1</v>
      </c>
      <c r="E7079" s="5">
        <f>Table4[[#This Row],[qty]]*(VLOOKUP(Table4[[#This Row],[item_sold]],Table1[],5,FALSE))</f>
        <v>35</v>
      </c>
      <c r="F7079" s="5">
        <f>(VLOOKUP(Table4[[#This Row],[item_sold]],Table1[],4,FALSE))*Table4[[#This Row],[qty]]</f>
        <v>24.285714285714285</v>
      </c>
      <c r="G7079">
        <f t="shared" si="1285"/>
        <v>10.714285714285715</v>
      </c>
      <c r="H7079" t="s">
        <v>361</v>
      </c>
    </row>
    <row r="7080" spans="1:9" x14ac:dyDescent="0.25">
      <c r="A7080" s="1">
        <f t="shared" si="1283"/>
        <v>45597</v>
      </c>
      <c r="B7080" s="31">
        <f t="shared" si="1289"/>
        <v>0.54027777777777775</v>
      </c>
      <c r="C7080" t="str">
        <f>'Inventory as of 12th Aug 2024'!A16</f>
        <v>Mt kenya milk 500ml</v>
      </c>
      <c r="D7080">
        <v>1</v>
      </c>
      <c r="E7080" s="5">
        <f>Table4[[#This Row],[qty]]*(VLOOKUP(Table4[[#This Row],[item_sold]],Table1[],5,FALSE))</f>
        <v>65</v>
      </c>
      <c r="F7080" s="5">
        <f>(VLOOKUP(Table4[[#This Row],[item_sold]],Table1[],4,FALSE))*Table4[[#This Row],[qty]]</f>
        <v>48.333333333333336</v>
      </c>
      <c r="G7080">
        <f t="shared" si="1285"/>
        <v>16.666666666666664</v>
      </c>
      <c r="H7080" t="s">
        <v>361</v>
      </c>
    </row>
    <row r="7081" spans="1:9" x14ac:dyDescent="0.25">
      <c r="A7081" s="1">
        <f t="shared" si="1283"/>
        <v>45597</v>
      </c>
      <c r="B7081" s="31">
        <f>TIME(13,34,0)</f>
        <v>0.56527777777777777</v>
      </c>
      <c r="C7081" t="str">
        <f>'Inventory as of 12th Aug 2024'!A212</f>
        <v>soda 300ml glass</v>
      </c>
      <c r="D7081">
        <v>1</v>
      </c>
      <c r="E7081" s="5">
        <f>Table4[[#This Row],[qty]]*(VLOOKUP(Table4[[#This Row],[item_sold]],Table1[],5,FALSE))</f>
        <v>40</v>
      </c>
      <c r="F7081" s="5">
        <f>(VLOOKUP(Table4[[#This Row],[item_sold]],Table1[],4,FALSE))*Table4[[#This Row],[qty]]</f>
        <v>32.5</v>
      </c>
      <c r="G7081">
        <f t="shared" si="1285"/>
        <v>7.5</v>
      </c>
      <c r="H7081" t="s">
        <v>402</v>
      </c>
    </row>
    <row r="7082" spans="1:9" x14ac:dyDescent="0.25">
      <c r="A7082" s="1">
        <f t="shared" si="1283"/>
        <v>45597</v>
      </c>
      <c r="B7082" s="31">
        <f t="shared" ref="B7082:B7083" si="1290">TIME(13,34,0)</f>
        <v>0.56527777777777777</v>
      </c>
      <c r="C7082" t="str">
        <f>'Inventory as of 12th Aug 2024'!A213</f>
        <v>soda 500ml glass</v>
      </c>
      <c r="D7082">
        <v>1</v>
      </c>
      <c r="E7082" s="5">
        <f>Table4[[#This Row],[qty]]*(VLOOKUP(Table4[[#This Row],[item_sold]],Table1[],5,FALSE))</f>
        <v>55</v>
      </c>
      <c r="F7082" s="5">
        <f>(VLOOKUP(Table4[[#This Row],[item_sold]],Table1[],4,FALSE))*Table4[[#This Row],[qty]]</f>
        <v>50</v>
      </c>
      <c r="G7082">
        <f t="shared" si="1285"/>
        <v>5</v>
      </c>
      <c r="H7082" t="s">
        <v>361</v>
      </c>
    </row>
    <row r="7083" spans="1:9" x14ac:dyDescent="0.25">
      <c r="A7083" s="1">
        <f t="shared" si="1283"/>
        <v>45597</v>
      </c>
      <c r="B7083" s="31">
        <f t="shared" si="1290"/>
        <v>0.56527777777777777</v>
      </c>
      <c r="C7083" t="str">
        <f>'Inventory as of 12th Aug 2024'!A58</f>
        <v>Safari</v>
      </c>
      <c r="D7083">
        <v>1</v>
      </c>
      <c r="E7083" s="5">
        <f>Table4[[#This Row],[qty]]*(VLOOKUP(Table4[[#This Row],[item_sold]],Table1[],5,FALSE))</f>
        <v>15</v>
      </c>
      <c r="F7083" s="5">
        <f>(VLOOKUP(Table4[[#This Row],[item_sold]],Table1[],4,FALSE))*Table4[[#This Row],[qty]]</f>
        <v>8.5</v>
      </c>
      <c r="G7083">
        <f t="shared" si="1285"/>
        <v>6.5</v>
      </c>
      <c r="H7083" t="s">
        <v>361</v>
      </c>
    </row>
    <row r="7084" spans="1:9" x14ac:dyDescent="0.25">
      <c r="A7084" s="1">
        <f t="shared" si="1283"/>
        <v>45597</v>
      </c>
      <c r="B7084" s="31">
        <f>TIME(13,37,0)</f>
        <v>0.56736111111111109</v>
      </c>
      <c r="C7084" t="str">
        <f>'Inventory as of 12th Aug 2024'!A58</f>
        <v>Safari</v>
      </c>
      <c r="D7084">
        <v>1</v>
      </c>
      <c r="E7084" s="5">
        <f>Table4[[#This Row],[qty]]*(VLOOKUP(Table4[[#This Row],[item_sold]],Table1[],5,FALSE))</f>
        <v>15</v>
      </c>
      <c r="F7084" s="5">
        <f>(VLOOKUP(Table4[[#This Row],[item_sold]],Table1[],4,FALSE))*Table4[[#This Row],[qty]]</f>
        <v>8.5</v>
      </c>
      <c r="G7084">
        <f t="shared" si="1285"/>
        <v>6.5</v>
      </c>
      <c r="H7084" t="s">
        <v>361</v>
      </c>
    </row>
    <row r="7085" spans="1:9" x14ac:dyDescent="0.25">
      <c r="A7085" s="1">
        <f t="shared" si="1283"/>
        <v>45597</v>
      </c>
      <c r="B7085" s="31">
        <f t="shared" ref="B7085" si="1291">TIME(13,37,0)</f>
        <v>0.56736111111111109</v>
      </c>
      <c r="C7085" t="str">
        <f>'Inventory as of 12th Aug 2024'!A33</f>
        <v>BB Bread 400g</v>
      </c>
      <c r="D7085">
        <v>1</v>
      </c>
      <c r="E7085" s="5">
        <f>Table4[[#This Row],[qty]]*(VLOOKUP(Table4[[#This Row],[item_sold]],Table1[],5,FALSE))</f>
        <v>65</v>
      </c>
      <c r="F7085" s="5">
        <f>(VLOOKUP(Table4[[#This Row],[item_sold]],Table1[],4,FALSE))*Table4[[#This Row],[qty]]</f>
        <v>60</v>
      </c>
      <c r="G7085">
        <f t="shared" si="1285"/>
        <v>5</v>
      </c>
      <c r="H7085" t="s">
        <v>430</v>
      </c>
      <c r="I7085" t="s">
        <v>456</v>
      </c>
    </row>
    <row r="7086" spans="1:9" x14ac:dyDescent="0.25">
      <c r="A7086" s="1">
        <f t="shared" si="1283"/>
        <v>45597</v>
      </c>
      <c r="B7086" s="31">
        <f>TIME(13,56,0)</f>
        <v>0.5805555555555556</v>
      </c>
      <c r="C7086" t="str">
        <f>'Inventory as of 12th Aug 2024'!A204</f>
        <v>soda 2lts</v>
      </c>
      <c r="D7086">
        <v>1</v>
      </c>
      <c r="E7086" s="5">
        <f>Table4[[#This Row],[qty]]*(VLOOKUP(Table4[[#This Row],[item_sold]],Table1[],5,FALSE))</f>
        <v>200</v>
      </c>
      <c r="F7086" s="5">
        <f>(VLOOKUP(Table4[[#This Row],[item_sold]],Table1[],4,FALSE))*Table4[[#This Row],[qty]]</f>
        <v>176.66666666666666</v>
      </c>
      <c r="G7086">
        <f t="shared" si="1285"/>
        <v>23.333333333333343</v>
      </c>
      <c r="H7086" t="s">
        <v>361</v>
      </c>
    </row>
    <row r="7087" spans="1:9" x14ac:dyDescent="0.25">
      <c r="A7087" s="1">
        <f t="shared" si="1283"/>
        <v>45597</v>
      </c>
      <c r="B7087" s="31">
        <f t="shared" ref="B7087" si="1292">TIME(13,56,0)</f>
        <v>0.5805555555555556</v>
      </c>
      <c r="C7087" t="str">
        <f>'Inventory as of 12th Aug 2024'!A107</f>
        <v>Match Box</v>
      </c>
      <c r="D7087">
        <v>1</v>
      </c>
      <c r="E7087" s="5">
        <f>Table4[[#This Row],[qty]]*(VLOOKUP(Table4[[#This Row],[item_sold]],Table1[],5,FALSE))</f>
        <v>5</v>
      </c>
      <c r="F7087" s="5">
        <f>(VLOOKUP(Table4[[#This Row],[item_sold]],Table1[],4,FALSE))*Table4[[#This Row],[qty]]</f>
        <v>2.3611111111111112</v>
      </c>
      <c r="G7087">
        <f t="shared" si="1285"/>
        <v>2.6388888888888888</v>
      </c>
      <c r="H7087" t="s">
        <v>361</v>
      </c>
    </row>
    <row r="7088" spans="1:9" x14ac:dyDescent="0.25">
      <c r="A7088" s="1">
        <f t="shared" si="1283"/>
        <v>45597</v>
      </c>
      <c r="B7088" s="31">
        <f>TIME(14,14,0)</f>
        <v>0.59305555555555556</v>
      </c>
      <c r="C7088" t="str">
        <f>'Inventory as of 12th Aug 2024'!A239</f>
        <v>Gumballs</v>
      </c>
      <c r="D7088">
        <v>10</v>
      </c>
      <c r="E7088" s="5">
        <f>Table4[[#This Row],[qty]]*(VLOOKUP(Table4[[#This Row],[item_sold]],Table1[],5,FALSE))</f>
        <v>10</v>
      </c>
      <c r="F7088" s="5">
        <f>(VLOOKUP(Table4[[#This Row],[item_sold]],Table1[],4,FALSE))*Table4[[#This Row],[qty]]</f>
        <v>7</v>
      </c>
      <c r="G7088">
        <f t="shared" si="1285"/>
        <v>3</v>
      </c>
      <c r="H7088" t="s">
        <v>361</v>
      </c>
    </row>
    <row r="7089" spans="1:9" x14ac:dyDescent="0.25">
      <c r="A7089" s="1">
        <f t="shared" si="1283"/>
        <v>45597</v>
      </c>
      <c r="B7089" s="31">
        <f t="shared" ref="B7089:B7090" si="1293">TIME(14,14,0)</f>
        <v>0.59305555555555556</v>
      </c>
      <c r="C7089" t="str">
        <f>'Inventory as of 12th Aug 2024'!A240</f>
        <v>Bigboss</v>
      </c>
      <c r="D7089">
        <v>2</v>
      </c>
      <c r="E7089" s="5">
        <f>Table4[[#This Row],[qty]]*(VLOOKUP(Table4[[#This Row],[item_sold]],Table1[],5,FALSE))</f>
        <v>10</v>
      </c>
      <c r="F7089" s="5">
        <f>(VLOOKUP(Table4[[#This Row],[item_sold]],Table1[],4,FALSE))*Table4[[#This Row],[qty]]</f>
        <v>7</v>
      </c>
      <c r="G7089">
        <f t="shared" si="1285"/>
        <v>3</v>
      </c>
      <c r="H7089" t="s">
        <v>361</v>
      </c>
    </row>
    <row r="7090" spans="1:9" x14ac:dyDescent="0.25">
      <c r="A7090" s="1">
        <f t="shared" si="1283"/>
        <v>45597</v>
      </c>
      <c r="B7090" s="31">
        <f t="shared" si="1293"/>
        <v>0.59305555555555556</v>
      </c>
      <c r="C7090" t="str">
        <f>'Inventory as of 12th Aug 2024'!A17</f>
        <v>Brookside milk 500ml</v>
      </c>
      <c r="D7090">
        <v>4</v>
      </c>
      <c r="E7090" s="5">
        <f>Table4[[#This Row],[qty]]*(VLOOKUP(Table4[[#This Row],[item_sold]],Table1[],5,FALSE))</f>
        <v>280</v>
      </c>
      <c r="F7090" s="5">
        <f>(VLOOKUP(Table4[[#This Row],[item_sold]],Table1[],4,FALSE))*Table4[[#This Row],[qty]]</f>
        <v>236</v>
      </c>
      <c r="G7090">
        <f t="shared" si="1285"/>
        <v>44</v>
      </c>
      <c r="H7090" t="s">
        <v>430</v>
      </c>
      <c r="I7090" t="s">
        <v>395</v>
      </c>
    </row>
    <row r="7091" spans="1:9" x14ac:dyDescent="0.25">
      <c r="A7091" s="1">
        <f t="shared" si="1283"/>
        <v>45597</v>
      </c>
      <c r="B7091" s="31">
        <f>TIME(14,19,0)</f>
        <v>0.59652777777777777</v>
      </c>
      <c r="C7091" t="str">
        <f>'Inventory as of 12th Aug 2024'!A212</f>
        <v>soda 300ml glass</v>
      </c>
      <c r="D7091">
        <v>2</v>
      </c>
      <c r="E7091" s="5">
        <f>Table4[[#This Row],[qty]]*(VLOOKUP(Table4[[#This Row],[item_sold]],Table1[],5,FALSE))</f>
        <v>80</v>
      </c>
      <c r="F7091" s="5">
        <f>(VLOOKUP(Table4[[#This Row],[item_sold]],Table1[],4,FALSE))*Table4[[#This Row],[qty]]</f>
        <v>65</v>
      </c>
      <c r="G7091">
        <f t="shared" si="1285"/>
        <v>15</v>
      </c>
      <c r="H7091" t="s">
        <v>361</v>
      </c>
    </row>
    <row r="7092" spans="1:9" x14ac:dyDescent="0.25">
      <c r="A7092" s="1">
        <f t="shared" si="1283"/>
        <v>45597</v>
      </c>
      <c r="B7092" s="31">
        <f t="shared" ref="B7092:B7093" si="1294">TIME(14,19,0)</f>
        <v>0.59652777777777777</v>
      </c>
      <c r="C7092" t="str">
        <f>'Inventory as of 12th Aug 2024'!A246</f>
        <v>300ml water</v>
      </c>
      <c r="D7092">
        <v>1</v>
      </c>
      <c r="E7092" s="5">
        <f>Table4[[#This Row],[qty]]*(VLOOKUP(Table4[[#This Row],[item_sold]],Table1[],5,FALSE))</f>
        <v>30</v>
      </c>
      <c r="F7092" s="5">
        <f>(VLOOKUP(Table4[[#This Row],[item_sold]],Table1[],4,FALSE))*Table4[[#This Row],[qty]]</f>
        <v>12.5</v>
      </c>
      <c r="G7092">
        <f t="shared" si="1285"/>
        <v>17.5</v>
      </c>
      <c r="H7092" t="s">
        <v>361</v>
      </c>
    </row>
    <row r="7093" spans="1:9" x14ac:dyDescent="0.25">
      <c r="A7093" s="1">
        <f t="shared" si="1283"/>
        <v>45597</v>
      </c>
      <c r="B7093" s="31">
        <f t="shared" si="1294"/>
        <v>0.59652777777777777</v>
      </c>
      <c r="C7093" t="str">
        <f>'Inventory as of 12th Aug 2024'!A43</f>
        <v>sossi</v>
      </c>
      <c r="D7093">
        <v>1</v>
      </c>
      <c r="E7093" s="5">
        <f>Table4[[#This Row],[qty]]*(VLOOKUP(Table4[[#This Row],[item_sold]],Table1[],5,FALSE))</f>
        <v>50</v>
      </c>
      <c r="F7093" s="5">
        <f>(VLOOKUP(Table4[[#This Row],[item_sold]],Table1[],4,FALSE))*Table4[[#This Row],[qty]]</f>
        <v>37.5</v>
      </c>
      <c r="G7093">
        <f t="shared" si="1285"/>
        <v>12.5</v>
      </c>
      <c r="H7093" t="s">
        <v>361</v>
      </c>
    </row>
    <row r="7094" spans="1:9" x14ac:dyDescent="0.25">
      <c r="A7094" s="1">
        <f t="shared" si="1283"/>
        <v>45597</v>
      </c>
      <c r="B7094" s="31">
        <f>TIME(14,29,0)</f>
        <v>0.60347222222222219</v>
      </c>
      <c r="C7094" t="str">
        <f>'Inventory as of 12th Aug 2024'!A206</f>
        <v>soda 500ml plastic</v>
      </c>
      <c r="D7094">
        <v>1</v>
      </c>
      <c r="E7094" s="5">
        <f>Table4[[#This Row],[qty]]*(VLOOKUP(Table4[[#This Row],[item_sold]],Table1[],5,FALSE))</f>
        <v>70</v>
      </c>
      <c r="F7094" s="5">
        <f>(VLOOKUP(Table4[[#This Row],[item_sold]],Table1[],4,FALSE))*Table4[[#This Row],[qty]]</f>
        <v>60.416666666666664</v>
      </c>
      <c r="G7094">
        <f t="shared" si="1285"/>
        <v>9.5833333333333357</v>
      </c>
      <c r="H7094" t="s">
        <v>402</v>
      </c>
    </row>
    <row r="7095" spans="1:9" x14ac:dyDescent="0.25">
      <c r="A7095" s="1">
        <f t="shared" si="1283"/>
        <v>45597</v>
      </c>
      <c r="B7095" s="31">
        <f t="shared" ref="B7095:B7096" si="1295">TIME(14,29,0)</f>
        <v>0.60347222222222219</v>
      </c>
      <c r="C7095" t="str">
        <f>'Inventory as of 12th Aug 2024'!A211</f>
        <v>predator</v>
      </c>
      <c r="D7095">
        <v>1</v>
      </c>
      <c r="E7095" s="5">
        <f>Table4[[#This Row],[qty]]*(VLOOKUP(Table4[[#This Row],[item_sold]],Table1[],5,FALSE))</f>
        <v>70</v>
      </c>
      <c r="F7095" s="5">
        <f>(VLOOKUP(Table4[[#This Row],[item_sold]],Table1[],4,FALSE))*Table4[[#This Row],[qty]]</f>
        <v>54.166666666666664</v>
      </c>
      <c r="G7095">
        <f t="shared" si="1285"/>
        <v>15.833333333333336</v>
      </c>
      <c r="H7095" t="s">
        <v>402</v>
      </c>
    </row>
    <row r="7096" spans="1:9" x14ac:dyDescent="0.25">
      <c r="A7096" s="1">
        <f t="shared" si="1283"/>
        <v>45597</v>
      </c>
      <c r="B7096" s="31">
        <f t="shared" si="1295"/>
        <v>0.60347222222222219</v>
      </c>
      <c r="C7096" t="str">
        <f>'Inventory as of 12th Aug 2024'!A236</f>
        <v>Gomba</v>
      </c>
      <c r="D7096">
        <v>4</v>
      </c>
      <c r="E7096" s="5">
        <f>Table4[[#This Row],[qty]]*(VLOOKUP(Table4[[#This Row],[item_sold]],Table1[],5,FALSE))</f>
        <v>10</v>
      </c>
      <c r="F7096" s="5">
        <f>(VLOOKUP(Table4[[#This Row],[item_sold]],Table1[],4,FALSE))*Table4[[#This Row],[qty]]</f>
        <v>7.2</v>
      </c>
      <c r="G7096">
        <f t="shared" si="1285"/>
        <v>2.8</v>
      </c>
      <c r="H7096" t="s">
        <v>402</v>
      </c>
    </row>
    <row r="7097" spans="1:9" x14ac:dyDescent="0.25">
      <c r="A7097" s="1">
        <f t="shared" si="1283"/>
        <v>45597</v>
      </c>
      <c r="B7097" s="31">
        <f>TIME(14,34,0)</f>
        <v>0.6069444444444444</v>
      </c>
      <c r="C7097" t="str">
        <f>'Inventory as of 12th Aug 2024'!A41</f>
        <v>Indomie beef</v>
      </c>
      <c r="D7097">
        <v>4</v>
      </c>
      <c r="E7097" s="5">
        <f>Table4[[#This Row],[qty]]*(VLOOKUP(Table4[[#This Row],[item_sold]],Table1[],5,FALSE))</f>
        <v>200</v>
      </c>
      <c r="F7097" s="5">
        <f>(VLOOKUP(Table4[[#This Row],[item_sold]],Table1[],4,FALSE))*Table4[[#This Row],[qty]]</f>
        <v>152</v>
      </c>
      <c r="G7097">
        <f t="shared" si="1285"/>
        <v>48</v>
      </c>
      <c r="H7097" t="s">
        <v>361</v>
      </c>
    </row>
    <row r="7098" spans="1:9" x14ac:dyDescent="0.25">
      <c r="A7098" s="1">
        <f t="shared" si="1283"/>
        <v>45597</v>
      </c>
      <c r="B7098" s="31">
        <f>TIME(15,5,0)</f>
        <v>0.62847222222222221</v>
      </c>
      <c r="C7098" t="str">
        <f>'Inventory as of 12th Aug 2024'!A8</f>
        <v>eggs</v>
      </c>
      <c r="D7098">
        <v>10</v>
      </c>
      <c r="E7098" s="5">
        <f>Table4[[#This Row],[qty]]*(VLOOKUP(Table4[[#This Row],[item_sold]],Table1[],5,FALSE))</f>
        <v>200</v>
      </c>
      <c r="F7098" s="5">
        <f>(VLOOKUP(Table4[[#This Row],[item_sold]],Table1[],4,FALSE))*Table4[[#This Row],[qty]]</f>
        <v>143.33333333333334</v>
      </c>
      <c r="G7098">
        <f t="shared" si="1285"/>
        <v>56.666666666666657</v>
      </c>
      <c r="H7098" t="s">
        <v>361</v>
      </c>
    </row>
    <row r="7099" spans="1:9" x14ac:dyDescent="0.25">
      <c r="A7099" s="1">
        <f t="shared" si="1283"/>
        <v>45597</v>
      </c>
      <c r="B7099" s="31">
        <f>TIME(15,5,0)</f>
        <v>0.62847222222222221</v>
      </c>
      <c r="C7099" t="str">
        <f>'Inventory as of 12th Aug 2024'!A58</f>
        <v>Safari</v>
      </c>
      <c r="D7099">
        <v>2</v>
      </c>
      <c r="E7099" s="5">
        <f>Table4[[#This Row],[qty]]*(VLOOKUP(Table4[[#This Row],[item_sold]],Table1[],5,FALSE))</f>
        <v>30</v>
      </c>
      <c r="F7099" s="5">
        <f>(VLOOKUP(Table4[[#This Row],[item_sold]],Table1[],4,FALSE))*Table4[[#This Row],[qty]]</f>
        <v>17</v>
      </c>
      <c r="G7099">
        <f t="shared" si="1285"/>
        <v>13</v>
      </c>
      <c r="H7099" t="s">
        <v>402</v>
      </c>
    </row>
    <row r="7100" spans="1:9" x14ac:dyDescent="0.25">
      <c r="A7100" s="1">
        <f t="shared" si="1283"/>
        <v>45597</v>
      </c>
      <c r="B7100" s="31">
        <f>TIME(15,45,0)</f>
        <v>0.65625</v>
      </c>
      <c r="C7100" t="str">
        <f>'Inventory as of 12th Aug 2024'!A8</f>
        <v>eggs</v>
      </c>
      <c r="D7100">
        <v>2</v>
      </c>
      <c r="E7100" s="5">
        <f>Table4[[#This Row],[qty]]*(VLOOKUP(Table4[[#This Row],[item_sold]],Table1[],5,FALSE))</f>
        <v>40</v>
      </c>
      <c r="F7100" s="5">
        <f>(VLOOKUP(Table4[[#This Row],[item_sold]],Table1[],4,FALSE))*Table4[[#This Row],[qty]]</f>
        <v>28.666666666666668</v>
      </c>
      <c r="G7100">
        <f t="shared" si="1285"/>
        <v>11.333333333333332</v>
      </c>
      <c r="H7100" t="s">
        <v>361</v>
      </c>
    </row>
    <row r="7101" spans="1:9" x14ac:dyDescent="0.25">
      <c r="A7101" s="1">
        <f t="shared" si="1283"/>
        <v>45597</v>
      </c>
      <c r="B7101" s="31">
        <f>TIME(15,45,0)</f>
        <v>0.65625</v>
      </c>
      <c r="C7101" t="str">
        <f>'Inventory as of 12th Aug 2024'!A91</f>
        <v>Tomatoes</v>
      </c>
      <c r="D7101">
        <v>1</v>
      </c>
      <c r="E7101" s="5">
        <f>Table4[[#This Row],[qty]]*(VLOOKUP(Table4[[#This Row],[item_sold]],Table1[],5,FALSE))</f>
        <v>10</v>
      </c>
      <c r="F7101" s="5">
        <f>(VLOOKUP(Table4[[#This Row],[item_sold]],Table1[],4,FALSE))*Table4[[#This Row],[qty]]</f>
        <v>5</v>
      </c>
      <c r="G7101">
        <f t="shared" si="1285"/>
        <v>5</v>
      </c>
      <c r="H7101" t="s">
        <v>361</v>
      </c>
    </row>
    <row r="7102" spans="1:9" x14ac:dyDescent="0.25">
      <c r="A7102" s="1">
        <f t="shared" si="1283"/>
        <v>45597</v>
      </c>
      <c r="B7102" s="31">
        <f>TIME(16,1,0)</f>
        <v>0.66736111111111107</v>
      </c>
      <c r="C7102" t="str">
        <f>'Inventory as of 12th Aug 2024'!A37</f>
        <v>Festive Bread 400g</v>
      </c>
      <c r="D7102">
        <v>1</v>
      </c>
      <c r="E7102" s="5">
        <f>Table4[[#This Row],[qty]]*(VLOOKUP(Table4[[#This Row],[item_sold]],Table1[],5,FALSE))</f>
        <v>65</v>
      </c>
      <c r="F7102" s="5">
        <f>(VLOOKUP(Table4[[#This Row],[item_sold]],Table1[],4,FALSE))*Table4[[#This Row],[qty]]</f>
        <v>60</v>
      </c>
      <c r="G7102">
        <f t="shared" si="1285"/>
        <v>5</v>
      </c>
      <c r="H7102" t="s">
        <v>361</v>
      </c>
    </row>
    <row r="7103" spans="1:9" x14ac:dyDescent="0.25">
      <c r="A7103" s="1">
        <f t="shared" si="1283"/>
        <v>45597</v>
      </c>
      <c r="B7103" s="31">
        <f t="shared" ref="B7103" si="1296">TIME(16,1,0)</f>
        <v>0.66736111111111107</v>
      </c>
      <c r="C7103" t="str">
        <f>'Inventory as of 12th Aug 2024'!A199</f>
        <v>Kdf</v>
      </c>
      <c r="D7103">
        <v>1</v>
      </c>
      <c r="E7103" s="5">
        <f>Table4[[#This Row],[qty]]*(VLOOKUP(Table4[[#This Row],[item_sold]],Table1[],5,FALSE))</f>
        <v>10</v>
      </c>
      <c r="F7103" s="5">
        <f>(VLOOKUP(Table4[[#This Row],[item_sold]],Table1[],4,FALSE))*Table4[[#This Row],[qty]]</f>
        <v>8.3333333333333339</v>
      </c>
      <c r="G7103">
        <f t="shared" si="1285"/>
        <v>1.6666666666666661</v>
      </c>
      <c r="H7103" t="s">
        <v>402</v>
      </c>
    </row>
    <row r="7104" spans="1:9" x14ac:dyDescent="0.25">
      <c r="A7104" s="1">
        <f t="shared" si="1283"/>
        <v>45597</v>
      </c>
      <c r="B7104" s="31">
        <f>TIME(16,43,0)</f>
        <v>0.69652777777777775</v>
      </c>
      <c r="C7104" t="str">
        <f>'Inventory as of 12th Aug 2024'!A205</f>
        <v xml:space="preserve"> soda 1.25lts</v>
      </c>
      <c r="D7104">
        <v>1</v>
      </c>
      <c r="E7104" s="5">
        <f>Table4[[#This Row],[qty]]*(VLOOKUP(Table4[[#This Row],[item_sold]],Table1[],5,FALSE))</f>
        <v>130</v>
      </c>
      <c r="F7104" s="5">
        <f>(VLOOKUP(Table4[[#This Row],[item_sold]],Table1[],4,FALSE))*Table4[[#This Row],[qty]]</f>
        <v>112.5</v>
      </c>
      <c r="G7104">
        <f t="shared" si="1285"/>
        <v>17.5</v>
      </c>
      <c r="H7104" t="s">
        <v>361</v>
      </c>
    </row>
    <row r="7105" spans="1:9" x14ac:dyDescent="0.25">
      <c r="A7105" s="1">
        <f t="shared" si="1283"/>
        <v>45597</v>
      </c>
      <c r="B7105" s="31">
        <f t="shared" ref="B7105" si="1297">TIME(16,43,0)</f>
        <v>0.69652777777777775</v>
      </c>
      <c r="C7105" t="str">
        <f>'Inventory as of 12th Aug 2024'!A199</f>
        <v>Kdf</v>
      </c>
      <c r="D7105">
        <v>10</v>
      </c>
      <c r="E7105" s="5">
        <f>Table4[[#This Row],[qty]]*(VLOOKUP(Table4[[#This Row],[item_sold]],Table1[],5,FALSE))</f>
        <v>100</v>
      </c>
      <c r="F7105" s="5">
        <f>(VLOOKUP(Table4[[#This Row],[item_sold]],Table1[],4,FALSE))*Table4[[#This Row],[qty]]</f>
        <v>83.333333333333343</v>
      </c>
      <c r="G7105">
        <f t="shared" si="1285"/>
        <v>16.666666666666657</v>
      </c>
      <c r="H7105" t="s">
        <v>361</v>
      </c>
    </row>
    <row r="7106" spans="1:9" x14ac:dyDescent="0.25">
      <c r="A7106" s="1">
        <f t="shared" si="1283"/>
        <v>45597</v>
      </c>
      <c r="B7106" s="31">
        <f>TIME(16,47,0)</f>
        <v>0.69930555555555562</v>
      </c>
      <c r="C7106" t="str">
        <f>'Inventory as of 12th Aug 2024'!A205</f>
        <v xml:space="preserve"> soda 1.25lts</v>
      </c>
      <c r="D7106">
        <v>1</v>
      </c>
      <c r="E7106" s="5">
        <f>Table4[[#This Row],[qty]]*(VLOOKUP(Table4[[#This Row],[item_sold]],Table1[],5,FALSE))</f>
        <v>130</v>
      </c>
      <c r="F7106" s="5">
        <f>(VLOOKUP(Table4[[#This Row],[item_sold]],Table1[],4,FALSE))*Table4[[#This Row],[qty]]</f>
        <v>112.5</v>
      </c>
      <c r="G7106">
        <f t="shared" si="1285"/>
        <v>17.5</v>
      </c>
      <c r="H7106" t="s">
        <v>402</v>
      </c>
    </row>
    <row r="7107" spans="1:9" x14ac:dyDescent="0.25">
      <c r="A7107" s="1">
        <f t="shared" si="1283"/>
        <v>45597</v>
      </c>
      <c r="B7107" s="31">
        <f t="shared" ref="B7107" si="1298">TIME(16,47,0)</f>
        <v>0.69930555555555562</v>
      </c>
      <c r="C7107" t="str">
        <f>'Inventory as of 12th Aug 2024'!A242</f>
        <v>Icepop</v>
      </c>
      <c r="D7107">
        <v>1</v>
      </c>
      <c r="E7107" s="5">
        <f>Table4[[#This Row],[qty]]*(VLOOKUP(Table4[[#This Row],[item_sold]],Table1[],5,FALSE))</f>
        <v>15</v>
      </c>
      <c r="F7107" s="5">
        <f>(VLOOKUP(Table4[[#This Row],[item_sold]],Table1[],4,FALSE))*Table4[[#This Row],[qty]]</f>
        <v>7.5</v>
      </c>
      <c r="G7107">
        <f t="shared" si="1285"/>
        <v>7.5</v>
      </c>
      <c r="H7107" t="s">
        <v>402</v>
      </c>
    </row>
    <row r="7108" spans="1:9" x14ac:dyDescent="0.25">
      <c r="A7108" s="1">
        <f t="shared" si="1283"/>
        <v>45597</v>
      </c>
      <c r="B7108" s="31">
        <f>TIME(18,6,0)</f>
        <v>0.75416666666666676</v>
      </c>
      <c r="C7108" t="str">
        <f>'Inventory as of 12th Aug 2024'!A91</f>
        <v>Tomatoes</v>
      </c>
      <c r="D7108">
        <v>2</v>
      </c>
      <c r="E7108" s="5">
        <f>Table4[[#This Row],[qty]]*(VLOOKUP(Table4[[#This Row],[item_sold]],Table1[],5,FALSE))</f>
        <v>20</v>
      </c>
      <c r="F7108" s="5">
        <f>(VLOOKUP(Table4[[#This Row],[item_sold]],Table1[],4,FALSE))*Table4[[#This Row],[qty]]</f>
        <v>10</v>
      </c>
      <c r="G7108">
        <f t="shared" si="1285"/>
        <v>10</v>
      </c>
      <c r="H7108" t="s">
        <v>402</v>
      </c>
    </row>
    <row r="7109" spans="1:9" x14ac:dyDescent="0.25">
      <c r="A7109" s="1">
        <f t="shared" si="1283"/>
        <v>45597</v>
      </c>
      <c r="B7109" s="31">
        <f t="shared" ref="B7109:B7111" si="1299">TIME(18,6,0)</f>
        <v>0.75416666666666676</v>
      </c>
      <c r="C7109" t="str">
        <f>'Inventory as of 12th Aug 2024'!A9</f>
        <v>Kinangop Fresh Milk 500ml</v>
      </c>
      <c r="D7109">
        <v>1</v>
      </c>
      <c r="E7109" s="5">
        <f>Table4[[#This Row],[qty]]*(VLOOKUP(Table4[[#This Row],[item_sold]],Table1[],5,FALSE))</f>
        <v>60</v>
      </c>
      <c r="F7109" s="5">
        <f>(VLOOKUP(Table4[[#This Row],[item_sold]],Table1[],4,FALSE))*Table4[[#This Row],[qty]]</f>
        <v>55</v>
      </c>
      <c r="G7109">
        <f t="shared" si="1285"/>
        <v>5</v>
      </c>
      <c r="H7109" t="s">
        <v>402</v>
      </c>
    </row>
    <row r="7110" spans="1:9" x14ac:dyDescent="0.25">
      <c r="A7110" s="1">
        <f t="shared" si="1283"/>
        <v>45597</v>
      </c>
      <c r="B7110" s="31">
        <f t="shared" si="1299"/>
        <v>0.75416666666666676</v>
      </c>
      <c r="C7110" t="str">
        <f>'Inventory as of 12th Aug 2024'!A153</f>
        <v>mosquito stick</v>
      </c>
      <c r="D7110">
        <v>1</v>
      </c>
      <c r="E7110" s="5">
        <f>Table4[[#This Row],[qty]]*(VLOOKUP(Table4[[#This Row],[item_sold]],Table1[],5,FALSE))</f>
        <v>10</v>
      </c>
      <c r="F7110" s="5">
        <f>(VLOOKUP(Table4[[#This Row],[item_sold]],Table1[],4,FALSE))*Table4[[#This Row],[qty]]</f>
        <v>9</v>
      </c>
      <c r="G7110">
        <f t="shared" si="1285"/>
        <v>1</v>
      </c>
      <c r="H7110" t="s">
        <v>402</v>
      </c>
    </row>
    <row r="7111" spans="1:9" x14ac:dyDescent="0.25">
      <c r="A7111" s="1">
        <f t="shared" si="1283"/>
        <v>45597</v>
      </c>
      <c r="B7111" s="31">
        <f t="shared" si="1299"/>
        <v>0.75416666666666676</v>
      </c>
      <c r="C7111" t="str">
        <f>'Inventory as of 12th Aug 2024'!A61</f>
        <v>kensalt 500g</v>
      </c>
      <c r="D7111">
        <v>1</v>
      </c>
      <c r="E7111" s="5">
        <f>Table4[[#This Row],[qty]]*(VLOOKUP(Table4[[#This Row],[item_sold]],Table1[],5,FALSE))</f>
        <v>25</v>
      </c>
      <c r="F7111" s="5">
        <f>(VLOOKUP(Table4[[#This Row],[item_sold]],Table1[],4,FALSE))*Table4[[#This Row],[qty]]</f>
        <v>14</v>
      </c>
      <c r="G7111">
        <f t="shared" si="1285"/>
        <v>11</v>
      </c>
      <c r="H7111" t="s">
        <v>402</v>
      </c>
    </row>
    <row r="7112" spans="1:9" x14ac:dyDescent="0.25">
      <c r="A7112" s="1">
        <f t="shared" si="1283"/>
        <v>45597</v>
      </c>
      <c r="B7112" s="31">
        <f>TIME(18,24,0)</f>
        <v>0.76666666666666661</v>
      </c>
      <c r="C7112" t="str">
        <f>'Inventory as of 12th Aug 2024'!A58</f>
        <v>Safari</v>
      </c>
      <c r="D7112">
        <v>1</v>
      </c>
      <c r="E7112" s="5">
        <f>Table4[[#This Row],[qty]]*(VLOOKUP(Table4[[#This Row],[item_sold]],Table1[],5,FALSE))</f>
        <v>15</v>
      </c>
      <c r="F7112" s="5">
        <f>(VLOOKUP(Table4[[#This Row],[item_sold]],Table1[],4,FALSE))*Table4[[#This Row],[qty]]</f>
        <v>8.5</v>
      </c>
      <c r="G7112">
        <f t="shared" si="1285"/>
        <v>6.5</v>
      </c>
      <c r="H7112" t="s">
        <v>402</v>
      </c>
    </row>
    <row r="7113" spans="1:9" x14ac:dyDescent="0.25">
      <c r="A7113" s="1">
        <f t="shared" si="1283"/>
        <v>45597</v>
      </c>
      <c r="B7113" s="31">
        <f>TIME(18,38,0)</f>
        <v>0.77638888888888891</v>
      </c>
      <c r="C7113" t="str">
        <f>'Inventory as of 12th Aug 2024'!A242</f>
        <v>Icepop</v>
      </c>
      <c r="D7113">
        <v>4</v>
      </c>
      <c r="E7113" s="5">
        <f>Table4[[#This Row],[qty]]*(VLOOKUP(Table4[[#This Row],[item_sold]],Table1[],5,FALSE))</f>
        <v>60</v>
      </c>
      <c r="F7113" s="5">
        <f>(VLOOKUP(Table4[[#This Row],[item_sold]],Table1[],4,FALSE))*Table4[[#This Row],[qty]]</f>
        <v>30</v>
      </c>
      <c r="G7113">
        <f t="shared" si="1285"/>
        <v>30</v>
      </c>
      <c r="H7113" t="s">
        <v>361</v>
      </c>
    </row>
    <row r="7114" spans="1:9" x14ac:dyDescent="0.25">
      <c r="A7114" s="1">
        <f t="shared" si="1283"/>
        <v>45597</v>
      </c>
      <c r="B7114" s="31">
        <f>TIME(19,9,0)</f>
        <v>0.79791666666666661</v>
      </c>
      <c r="C7114" t="str">
        <f>'Inventory as of 12th Aug 2024'!A37</f>
        <v>Festive Bread 400g</v>
      </c>
      <c r="D7114">
        <v>1</v>
      </c>
      <c r="E7114" s="5">
        <f>Table4[[#This Row],[qty]]*(VLOOKUP(Table4[[#This Row],[item_sold]],Table1[],5,FALSE))</f>
        <v>65</v>
      </c>
      <c r="F7114" s="5">
        <f>(VLOOKUP(Table4[[#This Row],[item_sold]],Table1[],4,FALSE))*Table4[[#This Row],[qty]]</f>
        <v>60</v>
      </c>
      <c r="G7114">
        <f t="shared" si="1285"/>
        <v>5</v>
      </c>
      <c r="H7114" t="s">
        <v>361</v>
      </c>
    </row>
    <row r="7115" spans="1:9" x14ac:dyDescent="0.25">
      <c r="A7115" s="1">
        <f t="shared" si="1283"/>
        <v>45597</v>
      </c>
      <c r="B7115" s="31">
        <f t="shared" ref="B7115" si="1300">TIME(19,9,0)</f>
        <v>0.79791666666666661</v>
      </c>
      <c r="C7115" t="str">
        <f>'Inventory as of 12th Aug 2024'!A91</f>
        <v>Tomatoes</v>
      </c>
      <c r="D7115">
        <v>3</v>
      </c>
      <c r="E7115" s="5">
        <f>Table4[[#This Row],[qty]]*(VLOOKUP(Table4[[#This Row],[item_sold]],Table1[],5,FALSE))</f>
        <v>30</v>
      </c>
      <c r="F7115" s="5">
        <f>(VLOOKUP(Table4[[#This Row],[item_sold]],Table1[],4,FALSE))*Table4[[#This Row],[qty]]</f>
        <v>15</v>
      </c>
      <c r="G7115">
        <f t="shared" si="1285"/>
        <v>15</v>
      </c>
      <c r="H7115" t="s">
        <v>361</v>
      </c>
    </row>
    <row r="7116" spans="1:9" x14ac:dyDescent="0.25">
      <c r="A7116" s="1">
        <f t="shared" si="1283"/>
        <v>45597</v>
      </c>
      <c r="B7116" s="31">
        <f>TIME(19,11,0)</f>
        <v>0.7993055555555556</v>
      </c>
      <c r="C7116" t="str">
        <f>'Inventory as of 12th Aug 2024'!A248</f>
        <v>Soko Maize meal</v>
      </c>
      <c r="D7116">
        <v>1</v>
      </c>
      <c r="E7116" s="5">
        <f>Table4[[#This Row],[qty]]*(VLOOKUP(Table4[[#This Row],[item_sold]],Table1[],5,FALSE))</f>
        <v>160</v>
      </c>
      <c r="F7116" s="5">
        <f>(VLOOKUP(Table4[[#This Row],[item_sold]],Table1[],4,FALSE))*Table4[[#This Row],[qty]]</f>
        <v>125</v>
      </c>
      <c r="G7116">
        <f t="shared" si="1285"/>
        <v>35</v>
      </c>
      <c r="H7116" t="s">
        <v>430</v>
      </c>
      <c r="I7116" t="s">
        <v>456</v>
      </c>
    </row>
    <row r="7117" spans="1:9" x14ac:dyDescent="0.25">
      <c r="A7117" s="1">
        <f t="shared" si="1283"/>
        <v>45597</v>
      </c>
      <c r="B7117" s="31">
        <f t="shared" ref="B7117" si="1301">TIME(19,11,0)</f>
        <v>0.7993055555555556</v>
      </c>
      <c r="C7117" t="str">
        <f>'Inventory as of 12th Aug 2024'!A91</f>
        <v>Tomatoes</v>
      </c>
      <c r="D7117">
        <v>4</v>
      </c>
      <c r="E7117" s="5">
        <f>Table4[[#This Row],[qty]]*(VLOOKUP(Table4[[#This Row],[item_sold]],Table1[],5,FALSE))</f>
        <v>40</v>
      </c>
      <c r="F7117" s="5">
        <f>(VLOOKUP(Table4[[#This Row],[item_sold]],Table1[],4,FALSE))*Table4[[#This Row],[qty]]</f>
        <v>20</v>
      </c>
      <c r="G7117">
        <f t="shared" si="1285"/>
        <v>20</v>
      </c>
      <c r="H7117" t="s">
        <v>402</v>
      </c>
    </row>
    <row r="7118" spans="1:9" x14ac:dyDescent="0.25">
      <c r="A7118" s="1">
        <f t="shared" si="1283"/>
        <v>45597</v>
      </c>
      <c r="B7118" s="31">
        <f>TIME(19,35,0)</f>
        <v>0.81597222222222221</v>
      </c>
      <c r="C7118" t="str">
        <f>'Inventory as of 12th Aug 2024'!A58</f>
        <v>Safari</v>
      </c>
      <c r="D7118">
        <v>1</v>
      </c>
      <c r="E7118" s="5">
        <f>Table4[[#This Row],[qty]]*(VLOOKUP(Table4[[#This Row],[item_sold]],Table1[],5,FALSE))</f>
        <v>15</v>
      </c>
      <c r="F7118" s="5">
        <f>(VLOOKUP(Table4[[#This Row],[item_sold]],Table1[],4,FALSE))*Table4[[#This Row],[qty]]</f>
        <v>8.5</v>
      </c>
      <c r="G7118">
        <f t="shared" si="1285"/>
        <v>6.5</v>
      </c>
      <c r="H7118" t="s">
        <v>361</v>
      </c>
    </row>
    <row r="7119" spans="1:9" x14ac:dyDescent="0.25">
      <c r="A7119" s="1">
        <f t="shared" si="1283"/>
        <v>45597</v>
      </c>
      <c r="B7119" s="31">
        <f>TIME(19,24,0)</f>
        <v>0.80833333333333324</v>
      </c>
      <c r="C7119" t="str">
        <f>'Inventory as of 12th Aug 2024'!A199</f>
        <v>Kdf</v>
      </c>
      <c r="D7119">
        <v>1</v>
      </c>
      <c r="E7119" s="5">
        <f>Table4[[#This Row],[qty]]*(VLOOKUP(Table4[[#This Row],[item_sold]],Table1[],5,FALSE))</f>
        <v>10</v>
      </c>
      <c r="F7119" s="5">
        <f>(VLOOKUP(Table4[[#This Row],[item_sold]],Table1[],4,FALSE))*Table4[[#This Row],[qty]]</f>
        <v>8.3333333333333339</v>
      </c>
      <c r="G7119">
        <f t="shared" si="1285"/>
        <v>1.6666666666666661</v>
      </c>
      <c r="H7119" t="s">
        <v>402</v>
      </c>
    </row>
    <row r="7120" spans="1:9" x14ac:dyDescent="0.25">
      <c r="A7120" s="1">
        <f t="shared" si="1283"/>
        <v>45597</v>
      </c>
      <c r="B7120" s="31">
        <f>TIME(20,0,0)</f>
        <v>0.83333333333333337</v>
      </c>
      <c r="C7120" t="str">
        <f>'Inventory as of 12th Aug 2024'!A16</f>
        <v>Mt kenya milk 500ml</v>
      </c>
      <c r="D7120">
        <v>1</v>
      </c>
      <c r="E7120" s="5">
        <f>Table4[[#This Row],[qty]]*(VLOOKUP(Table4[[#This Row],[item_sold]],Table1[],5,FALSE))</f>
        <v>65</v>
      </c>
      <c r="F7120" s="5">
        <f>(VLOOKUP(Table4[[#This Row],[item_sold]],Table1[],4,FALSE))*Table4[[#This Row],[qty]]</f>
        <v>48.333333333333336</v>
      </c>
      <c r="G7120">
        <f t="shared" si="1285"/>
        <v>16.666666666666664</v>
      </c>
      <c r="H7120" t="s">
        <v>402</v>
      </c>
    </row>
    <row r="7121" spans="1:12" x14ac:dyDescent="0.25">
      <c r="A7121" s="1">
        <f t="shared" si="1283"/>
        <v>45597</v>
      </c>
      <c r="B7121" s="31">
        <f>TIME(20,10,0)</f>
        <v>0.84027777777777779</v>
      </c>
      <c r="C7121" t="str">
        <f>'Inventory as of 12th Aug 2024'!A193</f>
        <v>Ginger Bisquit</v>
      </c>
      <c r="D7121">
        <v>2</v>
      </c>
      <c r="E7121" s="5">
        <f>Table4[[#This Row],[qty]]*(VLOOKUP(Table4[[#This Row],[item_sold]],Table1[],5,FALSE))</f>
        <v>10</v>
      </c>
      <c r="F7121" s="5">
        <f>(VLOOKUP(Table4[[#This Row],[item_sold]],Table1[],4,FALSE))*Table4[[#This Row],[qty]]</f>
        <v>8.6666666666666661</v>
      </c>
      <c r="G7121">
        <f t="shared" si="1285"/>
        <v>1.3333333333333339</v>
      </c>
      <c r="H7121" t="s">
        <v>361</v>
      </c>
    </row>
    <row r="7122" spans="1:12" x14ac:dyDescent="0.25">
      <c r="A7122" s="1">
        <f t="shared" ref="A7122:A7128" si="1302">DATE(2024,11,1)</f>
        <v>45597</v>
      </c>
      <c r="B7122" s="31">
        <f>TIME(20,14,0)</f>
        <v>0.84305555555555556</v>
      </c>
      <c r="C7122" t="str">
        <f>'Inventory as of 12th Aug 2024'!A9</f>
        <v>Kinangop Fresh Milk 500ml</v>
      </c>
      <c r="D7122">
        <v>1</v>
      </c>
      <c r="E7122" s="5">
        <f>Table4[[#This Row],[qty]]*(VLOOKUP(Table4[[#This Row],[item_sold]],Table1[],5,FALSE))</f>
        <v>60</v>
      </c>
      <c r="F7122" s="5">
        <f>(VLOOKUP(Table4[[#This Row],[item_sold]],Table1[],4,FALSE))*Table4[[#This Row],[qty]]</f>
        <v>55</v>
      </c>
      <c r="G7122">
        <f t="shared" si="1285"/>
        <v>5</v>
      </c>
      <c r="H7122" t="s">
        <v>361</v>
      </c>
    </row>
    <row r="7123" spans="1:12" x14ac:dyDescent="0.25">
      <c r="A7123" s="1">
        <f t="shared" si="1302"/>
        <v>45597</v>
      </c>
      <c r="B7123" s="31">
        <f>TIME(20,28,0)</f>
        <v>0.85277777777777775</v>
      </c>
      <c r="C7123" t="str">
        <f>'Inventory as of 12th Aug 2024'!A61</f>
        <v>kensalt 500g</v>
      </c>
      <c r="D7123">
        <v>1</v>
      </c>
      <c r="E7123" s="5">
        <f>Table4[[#This Row],[qty]]*(VLOOKUP(Table4[[#This Row],[item_sold]],Table1[],5,FALSE))</f>
        <v>25</v>
      </c>
      <c r="F7123" s="5">
        <f>(VLOOKUP(Table4[[#This Row],[item_sold]],Table1[],4,FALSE))*Table4[[#This Row],[qty]]</f>
        <v>14</v>
      </c>
      <c r="G7123">
        <f t="shared" si="1285"/>
        <v>11</v>
      </c>
      <c r="H7123" t="s">
        <v>430</v>
      </c>
      <c r="I7123" t="s">
        <v>390</v>
      </c>
    </row>
    <row r="7124" spans="1:12" x14ac:dyDescent="0.25">
      <c r="A7124" s="1">
        <f t="shared" si="1302"/>
        <v>45597</v>
      </c>
      <c r="B7124" s="31">
        <f t="shared" ref="B7124" si="1303">TIME(20,28,0)</f>
        <v>0.85277777777777775</v>
      </c>
      <c r="C7124" t="str">
        <f>'Inventory as of 12th Aug 2024'!A267</f>
        <v>Ting Ting</v>
      </c>
      <c r="D7124">
        <v>2</v>
      </c>
      <c r="E7124" s="5">
        <f>Table4[[#This Row],[qty]]*(VLOOKUP(Table4[[#This Row],[item_sold]],Table1[],5,FALSE))</f>
        <v>10</v>
      </c>
      <c r="F7124" s="5">
        <f>(VLOOKUP(Table4[[#This Row],[item_sold]],Table1[],4,FALSE))*Table4[[#This Row],[qty]]</f>
        <v>8.1199999999999992</v>
      </c>
      <c r="G7124">
        <f t="shared" ref="G7124:G7187" si="1304">E7124-F7124</f>
        <v>1.8800000000000008</v>
      </c>
      <c r="H7124" t="s">
        <v>361</v>
      </c>
    </row>
    <row r="7125" spans="1:12" x14ac:dyDescent="0.25">
      <c r="A7125" s="1">
        <f t="shared" si="1302"/>
        <v>45597</v>
      </c>
      <c r="B7125" s="31">
        <f>TIME(21,0,0)</f>
        <v>0.875</v>
      </c>
      <c r="C7125" t="str">
        <f>'Inventory as of 12th Aug 2024'!A199</f>
        <v>Kdf</v>
      </c>
      <c r="D7125">
        <v>1</v>
      </c>
      <c r="E7125" s="5">
        <f>Table4[[#This Row],[qty]]*(VLOOKUP(Table4[[#This Row],[item_sold]],Table1[],5,FALSE))</f>
        <v>10</v>
      </c>
      <c r="F7125" s="5">
        <f>(VLOOKUP(Table4[[#This Row],[item_sold]],Table1[],4,FALSE))*Table4[[#This Row],[qty]]</f>
        <v>8.3333333333333339</v>
      </c>
      <c r="G7125">
        <f t="shared" si="1304"/>
        <v>1.6666666666666661</v>
      </c>
      <c r="H7125" t="s">
        <v>361</v>
      </c>
    </row>
    <row r="7126" spans="1:12" x14ac:dyDescent="0.25">
      <c r="A7126" s="1">
        <f t="shared" si="1302"/>
        <v>45597</v>
      </c>
      <c r="B7126" s="31">
        <f t="shared" ref="B7126:B7128" si="1305">TIME(21,0,0)</f>
        <v>0.875</v>
      </c>
      <c r="C7126" t="str">
        <f>'Inventory as of 12th Aug 2024'!A120</f>
        <v>Maramoja</v>
      </c>
      <c r="D7126">
        <v>1</v>
      </c>
      <c r="E7126" s="5">
        <f>Table4[[#This Row],[qty]]*(VLOOKUP(Table4[[#This Row],[item_sold]],Table1[],5,FALSE))</f>
        <v>10</v>
      </c>
      <c r="F7126" s="5">
        <f>(VLOOKUP(Table4[[#This Row],[item_sold]],Table1[],4,FALSE))*Table4[[#This Row],[qty]]</f>
        <v>7</v>
      </c>
      <c r="G7126">
        <f t="shared" si="1304"/>
        <v>3</v>
      </c>
      <c r="H7126" t="s">
        <v>402</v>
      </c>
    </row>
    <row r="7127" spans="1:12" x14ac:dyDescent="0.25">
      <c r="A7127" s="1">
        <f t="shared" si="1302"/>
        <v>45597</v>
      </c>
      <c r="B7127" s="31">
        <f t="shared" si="1305"/>
        <v>0.875</v>
      </c>
      <c r="C7127" t="str">
        <f>'Inventory as of 12th Aug 2024'!A17</f>
        <v>Brookside milk 500ml</v>
      </c>
      <c r="D7127">
        <v>1</v>
      </c>
      <c r="E7127" s="5">
        <f>Table4[[#This Row],[qty]]*(VLOOKUP(Table4[[#This Row],[item_sold]],Table1[],5,FALSE))</f>
        <v>70</v>
      </c>
      <c r="F7127" s="5">
        <f>(VLOOKUP(Table4[[#This Row],[item_sold]],Table1[],4,FALSE))*Table4[[#This Row],[qty]]</f>
        <v>59</v>
      </c>
      <c r="G7127">
        <f t="shared" si="1304"/>
        <v>11</v>
      </c>
      <c r="H7127" t="s">
        <v>430</v>
      </c>
      <c r="I7127" t="s">
        <v>398</v>
      </c>
    </row>
    <row r="7128" spans="1:12" x14ac:dyDescent="0.25">
      <c r="A7128" s="1">
        <f t="shared" si="1302"/>
        <v>45597</v>
      </c>
      <c r="B7128" s="31">
        <f t="shared" si="1305"/>
        <v>0.875</v>
      </c>
      <c r="C7128" t="str">
        <f>'Inventory as of 12th Aug 2024'!A211</f>
        <v>predator</v>
      </c>
      <c r="D7128">
        <v>1</v>
      </c>
      <c r="E7128" s="5">
        <f>Table4[[#This Row],[qty]]*(VLOOKUP(Table4[[#This Row],[item_sold]],Table1[],5,FALSE))</f>
        <v>70</v>
      </c>
      <c r="F7128" s="5">
        <f>(VLOOKUP(Table4[[#This Row],[item_sold]],Table1[],4,FALSE))*Table4[[#This Row],[qty]]</f>
        <v>54.166666666666664</v>
      </c>
      <c r="G7128">
        <f t="shared" si="1304"/>
        <v>15.833333333333336</v>
      </c>
      <c r="H7128" t="s">
        <v>430</v>
      </c>
      <c r="I7128" t="s">
        <v>409</v>
      </c>
    </row>
    <row r="7129" spans="1:12" x14ac:dyDescent="0.25">
      <c r="A7129" s="1">
        <f>DATE(2024,11,2)</f>
        <v>45598</v>
      </c>
      <c r="B7129" s="31">
        <f>TIME(7,0,0)</f>
        <v>0.29166666666666669</v>
      </c>
      <c r="C7129" t="str">
        <f>'Inventory as of 12th Aug 2024'!A37</f>
        <v>Festive Bread 400g</v>
      </c>
      <c r="D7129">
        <v>2</v>
      </c>
      <c r="E7129" s="5">
        <f>Table4[[#This Row],[qty]]*(VLOOKUP(Table4[[#This Row],[item_sold]],Table1[],5,FALSE))</f>
        <v>130</v>
      </c>
      <c r="F7129" s="5">
        <f>(VLOOKUP(Table4[[#This Row],[item_sold]],Table1[],4,FALSE))*Table4[[#This Row],[qty]]</f>
        <v>120</v>
      </c>
      <c r="G7129">
        <f t="shared" si="1304"/>
        <v>10</v>
      </c>
      <c r="H7129" t="s">
        <v>402</v>
      </c>
    </row>
    <row r="7130" spans="1:12" x14ac:dyDescent="0.25">
      <c r="A7130" s="1">
        <f t="shared" ref="A7130:A7193" si="1306">DATE(2024,11,2)</f>
        <v>45598</v>
      </c>
      <c r="B7130" s="31">
        <f>TIME(7,12,0)</f>
        <v>0.3</v>
      </c>
      <c r="C7130" t="str">
        <f>'Inventory as of 12th Aug 2024'!A58</f>
        <v>Safari</v>
      </c>
      <c r="D7130">
        <v>1</v>
      </c>
      <c r="E7130" s="5">
        <f>Table4[[#This Row],[qty]]*(VLOOKUP(Table4[[#This Row],[item_sold]],Table1[],5,FALSE))</f>
        <v>15</v>
      </c>
      <c r="F7130" s="5">
        <f>(VLOOKUP(Table4[[#This Row],[item_sold]],Table1[],4,FALSE))*Table4[[#This Row],[qty]]</f>
        <v>8.5</v>
      </c>
      <c r="G7130">
        <f t="shared" si="1304"/>
        <v>6.5</v>
      </c>
      <c r="H7130" t="s">
        <v>430</v>
      </c>
      <c r="I7130" t="s">
        <v>447</v>
      </c>
      <c r="J7130" t="s">
        <v>447</v>
      </c>
      <c r="K7130">
        <v>10</v>
      </c>
      <c r="L7130" t="s">
        <v>247</v>
      </c>
    </row>
    <row r="7131" spans="1:12" x14ac:dyDescent="0.25">
      <c r="A7131" s="1">
        <f t="shared" si="1306"/>
        <v>45598</v>
      </c>
      <c r="B7131" s="31">
        <f>TIME(7,19,0)</f>
        <v>0.30486111111111108</v>
      </c>
      <c r="C7131" t="str">
        <f>'Inventory as of 12th Aug 2024'!A134</f>
        <v>Hanaan Tissue</v>
      </c>
      <c r="D7131">
        <v>1</v>
      </c>
      <c r="E7131" s="5">
        <f>Table4[[#This Row],[qty]]*(VLOOKUP(Table4[[#This Row],[item_sold]],Table1[],5,FALSE))</f>
        <v>55</v>
      </c>
      <c r="F7131" s="5">
        <f>(VLOOKUP(Table4[[#This Row],[item_sold]],Table1[],4,FALSE))*Table4[[#This Row],[qty]]</f>
        <v>43</v>
      </c>
      <c r="G7131">
        <f t="shared" si="1304"/>
        <v>12</v>
      </c>
      <c r="H7131" t="s">
        <v>402</v>
      </c>
    </row>
    <row r="7132" spans="1:12" x14ac:dyDescent="0.25">
      <c r="A7132" s="1">
        <f t="shared" si="1306"/>
        <v>45598</v>
      </c>
      <c r="B7132" s="31">
        <f>TIME(7,20,0)</f>
        <v>0.30555555555555552</v>
      </c>
      <c r="C7132" t="str">
        <f>'Inventory as of 12th Aug 2024'!A199</f>
        <v>Kdf</v>
      </c>
      <c r="D7132">
        <v>2</v>
      </c>
      <c r="E7132" s="5">
        <f>Table4[[#This Row],[qty]]*(VLOOKUP(Table4[[#This Row],[item_sold]],Table1[],5,FALSE))</f>
        <v>20</v>
      </c>
      <c r="F7132" s="5">
        <f>(VLOOKUP(Table4[[#This Row],[item_sold]],Table1[],4,FALSE))*Table4[[#This Row],[qty]]</f>
        <v>16.666666666666668</v>
      </c>
      <c r="G7132">
        <f t="shared" si="1304"/>
        <v>3.3333333333333321</v>
      </c>
      <c r="H7132" t="s">
        <v>402</v>
      </c>
    </row>
    <row r="7133" spans="1:12" x14ac:dyDescent="0.25">
      <c r="A7133" s="1">
        <f t="shared" si="1306"/>
        <v>45598</v>
      </c>
      <c r="B7133" s="31">
        <f>TIME(7,24,0)</f>
        <v>0.30833333333333335</v>
      </c>
      <c r="C7133" t="str">
        <f>'Inventory as of 12th Aug 2024'!A134</f>
        <v>Hanaan Tissue</v>
      </c>
      <c r="D7133">
        <v>1</v>
      </c>
      <c r="E7133" s="5">
        <f>Table4[[#This Row],[qty]]*(VLOOKUP(Table4[[#This Row],[item_sold]],Table1[],5,FALSE))</f>
        <v>55</v>
      </c>
      <c r="F7133" s="5">
        <f>(VLOOKUP(Table4[[#This Row],[item_sold]],Table1[],4,FALSE))*Table4[[#This Row],[qty]]</f>
        <v>43</v>
      </c>
      <c r="G7133">
        <f t="shared" si="1304"/>
        <v>12</v>
      </c>
      <c r="H7133" t="s">
        <v>361</v>
      </c>
    </row>
    <row r="7134" spans="1:12" x14ac:dyDescent="0.25">
      <c r="A7134" s="1">
        <f t="shared" si="1306"/>
        <v>45598</v>
      </c>
      <c r="B7134" s="31">
        <f t="shared" ref="B7134" si="1307">TIME(7,24,0)</f>
        <v>0.30833333333333335</v>
      </c>
      <c r="C7134" t="str">
        <f>'Inventory as of 12th Aug 2024'!A29</f>
        <v>Fahari Tea 50g</v>
      </c>
      <c r="D7134">
        <v>1</v>
      </c>
      <c r="E7134" s="5">
        <f>Table4[[#This Row],[qty]]*(VLOOKUP(Table4[[#This Row],[item_sold]],Table1[],5,FALSE))</f>
        <v>30</v>
      </c>
      <c r="F7134" s="5">
        <f>(VLOOKUP(Table4[[#This Row],[item_sold]],Table1[],4,FALSE))*Table4[[#This Row],[qty]]</f>
        <v>17.5</v>
      </c>
      <c r="G7134">
        <f t="shared" si="1304"/>
        <v>12.5</v>
      </c>
      <c r="H7134" t="s">
        <v>361</v>
      </c>
    </row>
    <row r="7135" spans="1:12" x14ac:dyDescent="0.25">
      <c r="A7135" s="1">
        <f t="shared" si="1306"/>
        <v>45598</v>
      </c>
      <c r="B7135" s="31">
        <f>TIME(7,54,0)</f>
        <v>0.32916666666666666</v>
      </c>
      <c r="C7135" t="str">
        <f>'Inventory as of 12th Aug 2024'!A17</f>
        <v>Brookside milk 500ml</v>
      </c>
      <c r="D7135">
        <v>1</v>
      </c>
      <c r="E7135" s="5">
        <f>Table4[[#This Row],[qty]]*(VLOOKUP(Table4[[#This Row],[item_sold]],Table1[],5,FALSE))</f>
        <v>70</v>
      </c>
      <c r="F7135" s="5">
        <f>(VLOOKUP(Table4[[#This Row],[item_sold]],Table1[],4,FALSE))*Table4[[#This Row],[qty]]</f>
        <v>59</v>
      </c>
      <c r="G7135">
        <f t="shared" si="1304"/>
        <v>11</v>
      </c>
      <c r="H7135" t="s">
        <v>430</v>
      </c>
      <c r="I7135" t="s">
        <v>390</v>
      </c>
    </row>
    <row r="7136" spans="1:12" x14ac:dyDescent="0.25">
      <c r="A7136" s="1">
        <f t="shared" si="1306"/>
        <v>45598</v>
      </c>
      <c r="B7136" s="31">
        <f t="shared" ref="B7136" si="1308">TIME(7,54,0)</f>
        <v>0.32916666666666666</v>
      </c>
      <c r="C7136" t="str">
        <f>'Inventory as of 12th Aug 2024'!A270</f>
        <v>Milk Bisquit</v>
      </c>
      <c r="D7136">
        <v>1</v>
      </c>
      <c r="E7136" s="5">
        <f>Table4[[#This Row],[qty]]*(VLOOKUP(Table4[[#This Row],[item_sold]],Table1[],5,FALSE))</f>
        <v>5</v>
      </c>
      <c r="F7136" s="5">
        <f>(VLOOKUP(Table4[[#This Row],[item_sold]],Table1[],4,FALSE))*Table4[[#This Row],[qty]]</f>
        <v>4.166666666666667</v>
      </c>
      <c r="G7136">
        <f t="shared" si="1304"/>
        <v>0.83333333333333304</v>
      </c>
      <c r="H7136" t="s">
        <v>402</v>
      </c>
    </row>
    <row r="7137" spans="1:9" x14ac:dyDescent="0.25">
      <c r="A7137" s="1">
        <f t="shared" si="1306"/>
        <v>45598</v>
      </c>
      <c r="B7137" s="31">
        <f>TIME(8,33,0)</f>
        <v>0.35625000000000001</v>
      </c>
      <c r="C7137" t="str">
        <f>'Inventory as of 12th Aug 2024'!A58</f>
        <v>Safari</v>
      </c>
      <c r="D7137">
        <v>1</v>
      </c>
      <c r="E7137" s="5">
        <f>Table4[[#This Row],[qty]]*(VLOOKUP(Table4[[#This Row],[item_sold]],Table1[],5,FALSE))</f>
        <v>15</v>
      </c>
      <c r="F7137" s="5">
        <f>(VLOOKUP(Table4[[#This Row],[item_sold]],Table1[],4,FALSE))*Table4[[#This Row],[qty]]</f>
        <v>8.5</v>
      </c>
      <c r="G7137">
        <f t="shared" si="1304"/>
        <v>6.5</v>
      </c>
      <c r="H7137" t="s">
        <v>361</v>
      </c>
    </row>
    <row r="7138" spans="1:9" x14ac:dyDescent="0.25">
      <c r="A7138" s="1">
        <f t="shared" si="1306"/>
        <v>45598</v>
      </c>
      <c r="B7138" s="31">
        <f>TIME(8,52,0)</f>
        <v>0.36944444444444446</v>
      </c>
      <c r="C7138" t="str">
        <f>'Inventory as of 12th Aug 2024'!A244</f>
        <v>5ltrs water</v>
      </c>
      <c r="D7138">
        <v>1</v>
      </c>
      <c r="E7138" s="5">
        <f>Table4[[#This Row],[qty]]*(VLOOKUP(Table4[[#This Row],[item_sold]],Table1[],5,FALSE))</f>
        <v>120</v>
      </c>
      <c r="F7138" s="5">
        <f>(VLOOKUP(Table4[[#This Row],[item_sold]],Table1[],4,FALSE))*Table4[[#This Row],[qty]]</f>
        <v>75</v>
      </c>
      <c r="G7138">
        <f t="shared" si="1304"/>
        <v>45</v>
      </c>
      <c r="H7138" t="s">
        <v>361</v>
      </c>
    </row>
    <row r="7139" spans="1:9" x14ac:dyDescent="0.25">
      <c r="A7139" s="1">
        <f t="shared" si="1306"/>
        <v>45598</v>
      </c>
      <c r="B7139" s="31">
        <f t="shared" ref="B7139:B7142" si="1309">TIME(8,52,0)</f>
        <v>0.36944444444444446</v>
      </c>
      <c r="C7139" t="str">
        <f>'Inventory as of 12th Aug 2024'!A78</f>
        <v>Toss 500g</v>
      </c>
      <c r="D7139">
        <v>1</v>
      </c>
      <c r="E7139" s="5">
        <f>Table4[[#This Row],[qty]]*(VLOOKUP(Table4[[#This Row],[item_sold]],Table1[],5,FALSE))</f>
        <v>250</v>
      </c>
      <c r="F7139" s="5">
        <f>(VLOOKUP(Table4[[#This Row],[item_sold]],Table1[],4,FALSE))*Table4[[#This Row],[qty]]</f>
        <v>175</v>
      </c>
      <c r="G7139">
        <f t="shared" si="1304"/>
        <v>75</v>
      </c>
      <c r="H7139" t="s">
        <v>430</v>
      </c>
      <c r="I7139" t="s">
        <v>591</v>
      </c>
    </row>
    <row r="7140" spans="1:9" x14ac:dyDescent="0.25">
      <c r="A7140" s="1">
        <f t="shared" si="1306"/>
        <v>45598</v>
      </c>
      <c r="B7140" s="31">
        <f t="shared" si="1309"/>
        <v>0.36944444444444446</v>
      </c>
      <c r="C7140" t="str">
        <f>'Inventory as of 12th Aug 2024'!A58</f>
        <v>Safari</v>
      </c>
      <c r="D7140">
        <v>1</v>
      </c>
      <c r="E7140" s="5">
        <f>Table4[[#This Row],[qty]]*(VLOOKUP(Table4[[#This Row],[item_sold]],Table1[],5,FALSE))</f>
        <v>15</v>
      </c>
      <c r="F7140" s="5">
        <f>(VLOOKUP(Table4[[#This Row],[item_sold]],Table1[],4,FALSE))*Table4[[#This Row],[qty]]</f>
        <v>8.5</v>
      </c>
      <c r="G7140">
        <f t="shared" si="1304"/>
        <v>6.5</v>
      </c>
      <c r="H7140" t="s">
        <v>402</v>
      </c>
    </row>
    <row r="7141" spans="1:9" x14ac:dyDescent="0.25">
      <c r="A7141" s="1">
        <f t="shared" si="1306"/>
        <v>45598</v>
      </c>
      <c r="B7141" s="31">
        <f t="shared" si="1309"/>
        <v>0.36944444444444446</v>
      </c>
      <c r="C7141" t="str">
        <f>'Inventory as of 12th Aug 2024'!A245</f>
        <v>1.5ltrs water</v>
      </c>
      <c r="D7141">
        <v>1</v>
      </c>
      <c r="E7141" s="5">
        <f>Table4[[#This Row],[qty]]*(VLOOKUP(Table4[[#This Row],[item_sold]],Table1[],5,FALSE))</f>
        <v>70</v>
      </c>
      <c r="F7141" s="5">
        <f>(VLOOKUP(Table4[[#This Row],[item_sold]],Table1[],4,FALSE))*Table4[[#This Row],[qty]]</f>
        <v>25</v>
      </c>
      <c r="G7141">
        <f t="shared" si="1304"/>
        <v>45</v>
      </c>
      <c r="H7141" t="s">
        <v>402</v>
      </c>
    </row>
    <row r="7142" spans="1:9" x14ac:dyDescent="0.25">
      <c r="A7142" s="1">
        <f t="shared" si="1306"/>
        <v>45598</v>
      </c>
      <c r="B7142" s="31">
        <f t="shared" si="1309"/>
        <v>0.36944444444444446</v>
      </c>
      <c r="C7142" t="str">
        <f>'Inventory as of 12th Aug 2024'!A33</f>
        <v>BB Bread 400g</v>
      </c>
      <c r="D7142">
        <v>1</v>
      </c>
      <c r="E7142" s="5">
        <f>Table4[[#This Row],[qty]]*(VLOOKUP(Table4[[#This Row],[item_sold]],Table1[],5,FALSE))</f>
        <v>65</v>
      </c>
      <c r="F7142" s="5">
        <f>(VLOOKUP(Table4[[#This Row],[item_sold]],Table1[],4,FALSE))*Table4[[#This Row],[qty]]</f>
        <v>60</v>
      </c>
      <c r="G7142">
        <f t="shared" si="1304"/>
        <v>5</v>
      </c>
      <c r="H7142" t="s">
        <v>430</v>
      </c>
      <c r="I7142" t="s">
        <v>398</v>
      </c>
    </row>
    <row r="7143" spans="1:9" x14ac:dyDescent="0.25">
      <c r="A7143" s="1">
        <f t="shared" si="1306"/>
        <v>45598</v>
      </c>
      <c r="B7143" s="31">
        <f>TIME(10,45,0)</f>
        <v>0.44791666666666669</v>
      </c>
      <c r="C7143" t="str">
        <f>'Inventory as of 12th Aug 2024'!A8</f>
        <v>eggs</v>
      </c>
      <c r="D7143">
        <v>10</v>
      </c>
      <c r="E7143" s="5">
        <f>Table4[[#This Row],[qty]]*(VLOOKUP(Table4[[#This Row],[item_sold]],Table1[],5,FALSE))</f>
        <v>200</v>
      </c>
      <c r="F7143" s="5">
        <f>(VLOOKUP(Table4[[#This Row],[item_sold]],Table1[],4,FALSE))*Table4[[#This Row],[qty]]</f>
        <v>143.33333333333334</v>
      </c>
      <c r="G7143">
        <f t="shared" si="1304"/>
        <v>56.666666666666657</v>
      </c>
      <c r="H7143" t="s">
        <v>361</v>
      </c>
    </row>
    <row r="7144" spans="1:9" x14ac:dyDescent="0.25">
      <c r="A7144" s="1">
        <f t="shared" si="1306"/>
        <v>45598</v>
      </c>
      <c r="B7144" s="31">
        <f t="shared" ref="B7144" si="1310">TIME(10,45,0)</f>
        <v>0.44791666666666669</v>
      </c>
      <c r="C7144" t="str">
        <f>'Inventory as of 12th Aug 2024'!A33</f>
        <v>BB Bread 400g</v>
      </c>
      <c r="D7144">
        <v>1</v>
      </c>
      <c r="E7144" s="5">
        <f>Table4[[#This Row],[qty]]*(VLOOKUP(Table4[[#This Row],[item_sold]],Table1[],5,FALSE))</f>
        <v>65</v>
      </c>
      <c r="F7144" s="5">
        <f>(VLOOKUP(Table4[[#This Row],[item_sold]],Table1[],4,FALSE))*Table4[[#This Row],[qty]]</f>
        <v>60</v>
      </c>
      <c r="G7144">
        <f t="shared" si="1304"/>
        <v>5</v>
      </c>
      <c r="H7144" t="s">
        <v>361</v>
      </c>
    </row>
    <row r="7145" spans="1:9" x14ac:dyDescent="0.25">
      <c r="A7145" s="1">
        <f t="shared" si="1306"/>
        <v>45598</v>
      </c>
      <c r="B7145" s="31">
        <f>TIME(11,12,0)</f>
        <v>0.46666666666666662</v>
      </c>
      <c r="C7145" t="str">
        <f>'Inventory as of 12th Aug 2024'!A267</f>
        <v>Ting Ting</v>
      </c>
      <c r="D7145">
        <v>2</v>
      </c>
      <c r="E7145" s="5">
        <f>Table4[[#This Row],[qty]]*(VLOOKUP(Table4[[#This Row],[item_sold]],Table1[],5,FALSE))</f>
        <v>10</v>
      </c>
      <c r="F7145" s="5">
        <f>(VLOOKUP(Table4[[#This Row],[item_sold]],Table1[],4,FALSE))*Table4[[#This Row],[qty]]</f>
        <v>8.1199999999999992</v>
      </c>
      <c r="G7145">
        <f t="shared" si="1304"/>
        <v>1.8800000000000008</v>
      </c>
      <c r="H7145" t="s">
        <v>361</v>
      </c>
    </row>
    <row r="7146" spans="1:9" x14ac:dyDescent="0.25">
      <c r="A7146" s="1">
        <f t="shared" si="1306"/>
        <v>45598</v>
      </c>
      <c r="B7146" s="31">
        <f t="shared" ref="B7146:B7154" si="1311">TIME(11,12,0)</f>
        <v>0.46666666666666662</v>
      </c>
      <c r="C7146" t="str">
        <f>'Inventory as of 12th Aug 2024'!A240</f>
        <v>Bigboss</v>
      </c>
      <c r="D7146">
        <v>1</v>
      </c>
      <c r="E7146" s="5">
        <f>Table4[[#This Row],[qty]]*(VLOOKUP(Table4[[#This Row],[item_sold]],Table1[],5,FALSE))</f>
        <v>5</v>
      </c>
      <c r="F7146" s="5">
        <f>(VLOOKUP(Table4[[#This Row],[item_sold]],Table1[],4,FALSE))*Table4[[#This Row],[qty]]</f>
        <v>3.5</v>
      </c>
      <c r="G7146">
        <f t="shared" si="1304"/>
        <v>1.5</v>
      </c>
      <c r="H7146" t="s">
        <v>361</v>
      </c>
    </row>
    <row r="7147" spans="1:9" x14ac:dyDescent="0.25">
      <c r="A7147" s="1">
        <f t="shared" si="1306"/>
        <v>45598</v>
      </c>
      <c r="B7147" s="31">
        <f t="shared" si="1311"/>
        <v>0.46666666666666662</v>
      </c>
      <c r="C7147" t="str">
        <f>'Inventory as of 12th Aug 2024'!A234</f>
        <v>Bigdaddy</v>
      </c>
      <c r="D7147">
        <v>2</v>
      </c>
      <c r="E7147" s="5">
        <f>Table4[[#This Row],[qty]]*(VLOOKUP(Table4[[#This Row],[item_sold]],Table1[],5,FALSE))</f>
        <v>20</v>
      </c>
      <c r="F7147" s="5">
        <f>(VLOOKUP(Table4[[#This Row],[item_sold]],Table1[],4,FALSE))*Table4[[#This Row],[qty]]</f>
        <v>12</v>
      </c>
      <c r="G7147">
        <f t="shared" si="1304"/>
        <v>8</v>
      </c>
      <c r="H7147" t="s">
        <v>402</v>
      </c>
    </row>
    <row r="7148" spans="1:9" x14ac:dyDescent="0.25">
      <c r="A7148" s="1">
        <f t="shared" si="1306"/>
        <v>45598</v>
      </c>
      <c r="B7148" s="31">
        <f t="shared" si="1311"/>
        <v>0.46666666666666662</v>
      </c>
      <c r="C7148" t="str">
        <f>'Inventory as of 12th Aug 2024'!A211</f>
        <v>predator</v>
      </c>
      <c r="D7148">
        <v>1</v>
      </c>
      <c r="E7148" s="5">
        <f>Table4[[#This Row],[qty]]*(VLOOKUP(Table4[[#This Row],[item_sold]],Table1[],5,FALSE))</f>
        <v>70</v>
      </c>
      <c r="F7148" s="5">
        <f>(VLOOKUP(Table4[[#This Row],[item_sold]],Table1[],4,FALSE))*Table4[[#This Row],[qty]]</f>
        <v>54.166666666666664</v>
      </c>
      <c r="G7148">
        <f t="shared" si="1304"/>
        <v>15.833333333333336</v>
      </c>
      <c r="H7148" t="s">
        <v>361</v>
      </c>
    </row>
    <row r="7149" spans="1:9" x14ac:dyDescent="0.25">
      <c r="A7149" s="1">
        <f t="shared" si="1306"/>
        <v>45598</v>
      </c>
      <c r="B7149" s="31">
        <f t="shared" si="1311"/>
        <v>0.46666666666666662</v>
      </c>
      <c r="C7149" t="str">
        <f>'Inventory as of 12th Aug 2024'!A246</f>
        <v>300ml water</v>
      </c>
      <c r="D7149">
        <v>1</v>
      </c>
      <c r="E7149" s="5">
        <f>Table4[[#This Row],[qty]]*(VLOOKUP(Table4[[#This Row],[item_sold]],Table1[],5,FALSE))</f>
        <v>30</v>
      </c>
      <c r="F7149" s="5">
        <f>(VLOOKUP(Table4[[#This Row],[item_sold]],Table1[],4,FALSE))*Table4[[#This Row],[qty]]</f>
        <v>12.5</v>
      </c>
      <c r="G7149">
        <f t="shared" si="1304"/>
        <v>17.5</v>
      </c>
      <c r="H7149" t="s">
        <v>361</v>
      </c>
    </row>
    <row r="7150" spans="1:9" x14ac:dyDescent="0.25">
      <c r="A7150" s="1">
        <f t="shared" si="1306"/>
        <v>45598</v>
      </c>
      <c r="B7150" s="31">
        <f t="shared" si="1311"/>
        <v>0.46666666666666662</v>
      </c>
      <c r="C7150" t="str">
        <f>'Inventory as of 12th Aug 2024'!A234</f>
        <v>Bigdaddy</v>
      </c>
      <c r="D7150">
        <v>1</v>
      </c>
      <c r="E7150" s="5">
        <f>Table4[[#This Row],[qty]]*(VLOOKUP(Table4[[#This Row],[item_sold]],Table1[],5,FALSE))</f>
        <v>10</v>
      </c>
      <c r="F7150" s="5">
        <f>(VLOOKUP(Table4[[#This Row],[item_sold]],Table1[],4,FALSE))*Table4[[#This Row],[qty]]</f>
        <v>6</v>
      </c>
      <c r="G7150">
        <f t="shared" si="1304"/>
        <v>4</v>
      </c>
      <c r="H7150" t="s">
        <v>402</v>
      </c>
    </row>
    <row r="7151" spans="1:9" x14ac:dyDescent="0.25">
      <c r="A7151" s="1">
        <f t="shared" si="1306"/>
        <v>45598</v>
      </c>
      <c r="B7151" s="31">
        <f t="shared" si="1311"/>
        <v>0.46666666666666662</v>
      </c>
      <c r="C7151" t="str">
        <f>'Inventory as of 12th Aug 2024'!A233</f>
        <v>Lollipop</v>
      </c>
      <c r="D7151">
        <v>1</v>
      </c>
      <c r="E7151" s="5">
        <f>Table4[[#This Row],[qty]]*(VLOOKUP(Table4[[#This Row],[item_sold]],Table1[],5,FALSE))</f>
        <v>5</v>
      </c>
      <c r="F7151" s="5">
        <f>(VLOOKUP(Table4[[#This Row],[item_sold]],Table1[],4,FALSE))*Table4[[#This Row],[qty]]</f>
        <v>2.4</v>
      </c>
      <c r="G7151">
        <f t="shared" si="1304"/>
        <v>2.6</v>
      </c>
      <c r="H7151" t="s">
        <v>402</v>
      </c>
    </row>
    <row r="7152" spans="1:9" x14ac:dyDescent="0.25">
      <c r="A7152" s="1">
        <f t="shared" si="1306"/>
        <v>45598</v>
      </c>
      <c r="B7152" s="31">
        <f t="shared" si="1311"/>
        <v>0.46666666666666662</v>
      </c>
      <c r="C7152" t="str">
        <f>'Inventory as of 12th Aug 2024'!A240</f>
        <v>Bigboss</v>
      </c>
      <c r="D7152">
        <v>7</v>
      </c>
      <c r="E7152" s="5">
        <f>Table4[[#This Row],[qty]]*(VLOOKUP(Table4[[#This Row],[item_sold]],Table1[],5,FALSE))</f>
        <v>35</v>
      </c>
      <c r="F7152" s="5">
        <f>(VLOOKUP(Table4[[#This Row],[item_sold]],Table1[],4,FALSE))*Table4[[#This Row],[qty]]</f>
        <v>24.5</v>
      </c>
      <c r="G7152">
        <f t="shared" si="1304"/>
        <v>10.5</v>
      </c>
      <c r="H7152" t="s">
        <v>402</v>
      </c>
    </row>
    <row r="7153" spans="1:9" x14ac:dyDescent="0.25">
      <c r="A7153" s="1">
        <f t="shared" si="1306"/>
        <v>45598</v>
      </c>
      <c r="B7153" s="31">
        <f t="shared" si="1311"/>
        <v>0.46666666666666662</v>
      </c>
      <c r="C7153" t="str">
        <f>'Inventory as of 12th Aug 2024'!A179</f>
        <v>Bitez</v>
      </c>
      <c r="D7153">
        <v>1</v>
      </c>
      <c r="E7153" s="5">
        <f>Table4[[#This Row],[qty]]*(VLOOKUP(Table4[[#This Row],[item_sold]],Table1[],5,FALSE))</f>
        <v>15</v>
      </c>
      <c r="F7153" s="5">
        <f>(VLOOKUP(Table4[[#This Row],[item_sold]],Table1[],4,FALSE))*Table4[[#This Row],[qty]]</f>
        <v>8.8000000000000007</v>
      </c>
      <c r="G7153">
        <f t="shared" si="1304"/>
        <v>6.1999999999999993</v>
      </c>
      <c r="H7153" t="s">
        <v>402</v>
      </c>
    </row>
    <row r="7154" spans="1:9" x14ac:dyDescent="0.25">
      <c r="A7154" s="1">
        <f t="shared" si="1306"/>
        <v>45598</v>
      </c>
      <c r="B7154" s="31">
        <f t="shared" si="1311"/>
        <v>0.46666666666666662</v>
      </c>
      <c r="C7154" t="str">
        <f>'Inventory as of 12th Aug 2024'!A7</f>
        <v>Airtel 50 Credit</v>
      </c>
      <c r="D7154">
        <v>1</v>
      </c>
      <c r="E7154" s="5">
        <f>Table4[[#This Row],[qty]]*(VLOOKUP(Table4[[#This Row],[item_sold]],Table1[],5,FALSE))</f>
        <v>50</v>
      </c>
      <c r="F7154" s="5">
        <f>(VLOOKUP(Table4[[#This Row],[item_sold]],Table1[],4,FALSE))*Table4[[#This Row],[qty]]</f>
        <v>47</v>
      </c>
      <c r="G7154">
        <f t="shared" si="1304"/>
        <v>3</v>
      </c>
      <c r="H7154" t="s">
        <v>402</v>
      </c>
    </row>
    <row r="7155" spans="1:9" x14ac:dyDescent="0.25">
      <c r="A7155" s="1">
        <f t="shared" si="1306"/>
        <v>45598</v>
      </c>
      <c r="B7155" s="31">
        <f>TIME(13,5,0)</f>
        <v>0.54513888888888895</v>
      </c>
      <c r="C7155" t="str">
        <f>'Inventory as of 12th Aug 2024'!A91</f>
        <v>Tomatoes</v>
      </c>
      <c r="D7155">
        <v>2</v>
      </c>
      <c r="E7155" s="5">
        <f>Table4[[#This Row],[qty]]*(VLOOKUP(Table4[[#This Row],[item_sold]],Table1[],5,FALSE))</f>
        <v>20</v>
      </c>
      <c r="F7155" s="5">
        <f>(VLOOKUP(Table4[[#This Row],[item_sold]],Table1[],4,FALSE))*Table4[[#This Row],[qty]]</f>
        <v>10</v>
      </c>
      <c r="G7155">
        <f t="shared" si="1304"/>
        <v>10</v>
      </c>
      <c r="H7155" t="s">
        <v>361</v>
      </c>
    </row>
    <row r="7156" spans="1:9" x14ac:dyDescent="0.25">
      <c r="A7156" s="1">
        <f t="shared" si="1306"/>
        <v>45598</v>
      </c>
      <c r="B7156" s="31">
        <f>TIME(13,8,0)</f>
        <v>0.54722222222222217</v>
      </c>
      <c r="C7156" t="str">
        <f>'Inventory as of 12th Aug 2024'!A58</f>
        <v>Safari</v>
      </c>
      <c r="D7156">
        <v>3</v>
      </c>
      <c r="E7156" s="5">
        <f>Table4[[#This Row],[qty]]*(VLOOKUP(Table4[[#This Row],[item_sold]],Table1[],5,FALSE))</f>
        <v>45</v>
      </c>
      <c r="F7156" s="5">
        <f>(VLOOKUP(Table4[[#This Row],[item_sold]],Table1[],4,FALSE))*Table4[[#This Row],[qty]]</f>
        <v>25.5</v>
      </c>
      <c r="G7156">
        <f t="shared" si="1304"/>
        <v>19.5</v>
      </c>
      <c r="H7156" t="s">
        <v>361</v>
      </c>
    </row>
    <row r="7157" spans="1:9" x14ac:dyDescent="0.25">
      <c r="A7157" s="1">
        <f t="shared" si="1306"/>
        <v>45598</v>
      </c>
      <c r="B7157" s="31">
        <f>TIME(13,12,0)</f>
        <v>0.54999999999999993</v>
      </c>
      <c r="C7157" t="str">
        <f>'Inventory as of 12th Aug 2024'!A10</f>
        <v>Mt Kenya milk 200ml</v>
      </c>
      <c r="D7157">
        <v>1</v>
      </c>
      <c r="E7157" s="5">
        <f>Table4[[#This Row],[qty]]*(VLOOKUP(Table4[[#This Row],[item_sold]],Table1[],5,FALSE))</f>
        <v>35</v>
      </c>
      <c r="F7157" s="5">
        <f>(VLOOKUP(Table4[[#This Row],[item_sold]],Table1[],4,FALSE))*Table4[[#This Row],[qty]]</f>
        <v>24.285714285714285</v>
      </c>
      <c r="G7157">
        <f t="shared" si="1304"/>
        <v>10.714285714285715</v>
      </c>
      <c r="H7157" t="s">
        <v>361</v>
      </c>
    </row>
    <row r="7158" spans="1:9" x14ac:dyDescent="0.25">
      <c r="A7158" s="1">
        <f t="shared" si="1306"/>
        <v>45598</v>
      </c>
      <c r="B7158" s="31">
        <f>TIME(13,20,0)</f>
        <v>0.55555555555555558</v>
      </c>
      <c r="C7158" t="str">
        <f>'Inventory as of 12th Aug 2024'!A58</f>
        <v>Safari</v>
      </c>
      <c r="D7158">
        <v>1</v>
      </c>
      <c r="E7158" s="5">
        <f>Table4[[#This Row],[qty]]*(VLOOKUP(Table4[[#This Row],[item_sold]],Table1[],5,FALSE))</f>
        <v>15</v>
      </c>
      <c r="F7158" s="5">
        <f>(VLOOKUP(Table4[[#This Row],[item_sold]],Table1[],4,FALSE))*Table4[[#This Row],[qty]]</f>
        <v>8.5</v>
      </c>
      <c r="G7158">
        <f t="shared" si="1304"/>
        <v>6.5</v>
      </c>
      <c r="H7158" t="s">
        <v>361</v>
      </c>
    </row>
    <row r="7159" spans="1:9" x14ac:dyDescent="0.25">
      <c r="A7159" s="1">
        <f t="shared" si="1306"/>
        <v>45598</v>
      </c>
      <c r="B7159" s="31">
        <f t="shared" ref="B7159" si="1312">TIME(13,20,0)</f>
        <v>0.55555555555555558</v>
      </c>
      <c r="C7159" t="str">
        <f>'Inventory as of 12th Aug 2024'!A212</f>
        <v>soda 300ml glass</v>
      </c>
      <c r="D7159">
        <v>1</v>
      </c>
      <c r="E7159" s="5">
        <f>Table4[[#This Row],[qty]]*(VLOOKUP(Table4[[#This Row],[item_sold]],Table1[],5,FALSE))</f>
        <v>40</v>
      </c>
      <c r="F7159" s="5">
        <f>(VLOOKUP(Table4[[#This Row],[item_sold]],Table1[],4,FALSE))*Table4[[#This Row],[qty]]</f>
        <v>32.5</v>
      </c>
      <c r="G7159">
        <f t="shared" si="1304"/>
        <v>7.5</v>
      </c>
      <c r="H7159" t="s">
        <v>402</v>
      </c>
    </row>
    <row r="7160" spans="1:9" x14ac:dyDescent="0.25">
      <c r="A7160" s="1">
        <f t="shared" si="1306"/>
        <v>45598</v>
      </c>
      <c r="B7160" s="31">
        <f>TIME(13,25,0)</f>
        <v>0.55902777777777779</v>
      </c>
      <c r="C7160" t="str">
        <f>'Inventory as of 12th Aug 2024'!A16</f>
        <v>Mt kenya milk 500ml</v>
      </c>
      <c r="D7160">
        <v>1</v>
      </c>
      <c r="E7160" s="5">
        <f>Table4[[#This Row],[qty]]*(VLOOKUP(Table4[[#This Row],[item_sold]],Table1[],5,FALSE))</f>
        <v>65</v>
      </c>
      <c r="F7160" s="5">
        <f>(VLOOKUP(Table4[[#This Row],[item_sold]],Table1[],4,FALSE))*Table4[[#This Row],[qty]]</f>
        <v>48.333333333333336</v>
      </c>
      <c r="G7160">
        <f t="shared" si="1304"/>
        <v>16.666666666666664</v>
      </c>
      <c r="H7160" t="s">
        <v>361</v>
      </c>
    </row>
    <row r="7161" spans="1:9" x14ac:dyDescent="0.25">
      <c r="A7161" s="1">
        <f t="shared" si="1306"/>
        <v>45598</v>
      </c>
      <c r="B7161" s="31">
        <f t="shared" ref="B7161:B7164" si="1313">TIME(13,25,0)</f>
        <v>0.55902777777777779</v>
      </c>
      <c r="C7161" t="str">
        <f>'Inventory as of 12th Aug 2024'!A8</f>
        <v>eggs</v>
      </c>
      <c r="D7161">
        <v>5</v>
      </c>
      <c r="E7161" s="5">
        <f>Table4[[#This Row],[qty]]*(VLOOKUP(Table4[[#This Row],[item_sold]],Table1[],5,FALSE))</f>
        <v>100</v>
      </c>
      <c r="F7161" s="5">
        <f>(VLOOKUP(Table4[[#This Row],[item_sold]],Table1[],4,FALSE))*Table4[[#This Row],[qty]]</f>
        <v>71.666666666666671</v>
      </c>
      <c r="G7161">
        <f t="shared" si="1304"/>
        <v>28.333333333333329</v>
      </c>
      <c r="H7161" t="s">
        <v>361</v>
      </c>
    </row>
    <row r="7162" spans="1:9" x14ac:dyDescent="0.25">
      <c r="A7162" s="1">
        <f t="shared" si="1306"/>
        <v>45598</v>
      </c>
      <c r="B7162" s="31">
        <f t="shared" si="1313"/>
        <v>0.55902777777777779</v>
      </c>
      <c r="C7162" t="str">
        <f>'Inventory as of 12th Aug 2024'!A8</f>
        <v>eggs</v>
      </c>
      <c r="D7162">
        <v>5</v>
      </c>
      <c r="E7162" s="5">
        <f>Table4[[#This Row],[qty]]*(VLOOKUP(Table4[[#This Row],[item_sold]],Table1[],5,FALSE))</f>
        <v>100</v>
      </c>
      <c r="F7162" s="5">
        <f>(VLOOKUP(Table4[[#This Row],[item_sold]],Table1[],4,FALSE))*Table4[[#This Row],[qty]]</f>
        <v>71.666666666666671</v>
      </c>
      <c r="G7162">
        <f t="shared" si="1304"/>
        <v>28.333333333333329</v>
      </c>
      <c r="H7162" t="s">
        <v>361</v>
      </c>
    </row>
    <row r="7163" spans="1:9" x14ac:dyDescent="0.25">
      <c r="A7163" s="1">
        <f t="shared" si="1306"/>
        <v>45598</v>
      </c>
      <c r="B7163" s="31">
        <f t="shared" si="1313"/>
        <v>0.55902777777777779</v>
      </c>
      <c r="C7163" t="str">
        <f>'Inventory as of 12th Aug 2024'!A272</f>
        <v>Soko Maize 1kg</v>
      </c>
      <c r="D7163">
        <v>1</v>
      </c>
      <c r="E7163" s="5">
        <f>Table4[[#This Row],[qty]]*(VLOOKUP(Table4[[#This Row],[item_sold]],Table1[],5,FALSE))</f>
        <v>90</v>
      </c>
      <c r="F7163" s="5">
        <f>(VLOOKUP(Table4[[#This Row],[item_sold]],Table1[],4,FALSE))*Table4[[#This Row],[qty]]</f>
        <v>60.625</v>
      </c>
      <c r="G7163">
        <f t="shared" si="1304"/>
        <v>29.375</v>
      </c>
      <c r="H7163" t="s">
        <v>361</v>
      </c>
    </row>
    <row r="7164" spans="1:9" x14ac:dyDescent="0.25">
      <c r="A7164" s="1">
        <f t="shared" si="1306"/>
        <v>45598</v>
      </c>
      <c r="B7164" s="31">
        <f t="shared" si="1313"/>
        <v>0.55902777777777779</v>
      </c>
      <c r="C7164" t="str">
        <f>'Inventory as of 12th Aug 2024'!A75</f>
        <v>Cooking Oil Measured</v>
      </c>
      <c r="D7164">
        <v>0.25</v>
      </c>
      <c r="E7164" s="5">
        <f>Table4[[#This Row],[qty]]*(VLOOKUP(Table4[[#This Row],[item_sold]],Table1[],5,FALSE))</f>
        <v>70</v>
      </c>
      <c r="F7164" s="5">
        <f>(VLOOKUP(Table4[[#This Row],[item_sold]],Table1[],4,FALSE))*Table4[[#This Row],[qty]]</f>
        <v>50</v>
      </c>
      <c r="G7164">
        <f t="shared" si="1304"/>
        <v>20</v>
      </c>
      <c r="H7164" t="s">
        <v>361</v>
      </c>
    </row>
    <row r="7165" spans="1:9" x14ac:dyDescent="0.25">
      <c r="A7165" s="1">
        <f t="shared" si="1306"/>
        <v>45598</v>
      </c>
      <c r="B7165" s="31">
        <f>TIME(11,12,0)</f>
        <v>0.46666666666666662</v>
      </c>
      <c r="C7165" t="str">
        <f>'Inventory as of 12th Aug 2024'!A211</f>
        <v>predator</v>
      </c>
      <c r="D7165">
        <v>1</v>
      </c>
      <c r="E7165" s="5">
        <f>Table4[[#This Row],[qty]]*(VLOOKUP(Table4[[#This Row],[item_sold]],Table1[],5,FALSE))</f>
        <v>70</v>
      </c>
      <c r="F7165" s="5">
        <f>(VLOOKUP(Table4[[#This Row],[item_sold]],Table1[],4,FALSE))*Table4[[#This Row],[qty]]</f>
        <v>54.166666666666664</v>
      </c>
      <c r="G7165">
        <f t="shared" si="1304"/>
        <v>15.833333333333336</v>
      </c>
      <c r="H7165" t="s">
        <v>402</v>
      </c>
    </row>
    <row r="7166" spans="1:9" x14ac:dyDescent="0.25">
      <c r="A7166" s="1">
        <f t="shared" si="1306"/>
        <v>45598</v>
      </c>
      <c r="B7166" s="31">
        <f>TIME(13,25,0)</f>
        <v>0.55902777777777779</v>
      </c>
      <c r="C7166" t="str">
        <f>'Inventory as of 12th Aug 2024'!A91</f>
        <v>Tomatoes</v>
      </c>
      <c r="D7166">
        <v>2</v>
      </c>
      <c r="E7166" s="5">
        <f>Table4[[#This Row],[qty]]*(VLOOKUP(Table4[[#This Row],[item_sold]],Table1[],5,FALSE))</f>
        <v>20</v>
      </c>
      <c r="F7166" s="5">
        <f>(VLOOKUP(Table4[[#This Row],[item_sold]],Table1[],4,FALSE))*Table4[[#This Row],[qty]]</f>
        <v>10</v>
      </c>
      <c r="G7166">
        <f t="shared" si="1304"/>
        <v>10</v>
      </c>
      <c r="H7166" t="s">
        <v>430</v>
      </c>
      <c r="I7166" t="s">
        <v>627</v>
      </c>
    </row>
    <row r="7167" spans="1:9" x14ac:dyDescent="0.25">
      <c r="A7167" s="1">
        <f t="shared" si="1306"/>
        <v>45598</v>
      </c>
      <c r="B7167" s="31">
        <f t="shared" ref="B7167:B7168" si="1314">TIME(13,25,0)</f>
        <v>0.55902777777777779</v>
      </c>
      <c r="C7167" t="str">
        <f>'Inventory as of 12th Aug 2024'!A90</f>
        <v>Onion</v>
      </c>
      <c r="D7167">
        <v>1</v>
      </c>
      <c r="E7167" s="5">
        <f>Table4[[#This Row],[qty]]*(VLOOKUP(Table4[[#This Row],[item_sold]],Table1[],5,FALSE))</f>
        <v>10</v>
      </c>
      <c r="F7167" s="5">
        <f>(VLOOKUP(Table4[[#This Row],[item_sold]],Table1[],4,FALSE))*Table4[[#This Row],[qty]]</f>
        <v>8</v>
      </c>
      <c r="G7167">
        <f t="shared" si="1304"/>
        <v>2</v>
      </c>
      <c r="H7167" t="s">
        <v>430</v>
      </c>
      <c r="I7167" t="s">
        <v>627</v>
      </c>
    </row>
    <row r="7168" spans="1:9" x14ac:dyDescent="0.25">
      <c r="A7168" s="1">
        <f t="shared" si="1306"/>
        <v>45598</v>
      </c>
      <c r="B7168" s="31">
        <f t="shared" si="1314"/>
        <v>0.55902777777777779</v>
      </c>
      <c r="C7168" t="str">
        <f>'Inventory as of 12th Aug 2024'!A211</f>
        <v>predator</v>
      </c>
      <c r="D7168">
        <v>1</v>
      </c>
      <c r="E7168" s="5">
        <f>Table4[[#This Row],[qty]]*(VLOOKUP(Table4[[#This Row],[item_sold]],Table1[],5,FALSE))</f>
        <v>70</v>
      </c>
      <c r="F7168" s="5">
        <f>(VLOOKUP(Table4[[#This Row],[item_sold]],Table1[],4,FALSE))*Table4[[#This Row],[qty]]</f>
        <v>54.166666666666664</v>
      </c>
      <c r="G7168">
        <f t="shared" si="1304"/>
        <v>15.833333333333336</v>
      </c>
      <c r="H7168" t="s">
        <v>402</v>
      </c>
    </row>
    <row r="7169" spans="1:12" x14ac:dyDescent="0.25">
      <c r="A7169" s="1">
        <f t="shared" si="1306"/>
        <v>45598</v>
      </c>
      <c r="B7169" s="31">
        <f>TIME(13,38,0)</f>
        <v>0.56805555555555554</v>
      </c>
      <c r="C7169" t="str">
        <f>'Inventory as of 12th Aug 2024'!A91</f>
        <v>Tomatoes</v>
      </c>
      <c r="D7169">
        <v>2</v>
      </c>
      <c r="E7169" s="5">
        <f>Table4[[#This Row],[qty]]*(VLOOKUP(Table4[[#This Row],[item_sold]],Table1[],5,FALSE))</f>
        <v>20</v>
      </c>
      <c r="F7169" s="5">
        <f>(VLOOKUP(Table4[[#This Row],[item_sold]],Table1[],4,FALSE))*Table4[[#This Row],[qty]]</f>
        <v>10</v>
      </c>
      <c r="G7169">
        <f t="shared" si="1304"/>
        <v>10</v>
      </c>
      <c r="H7169" t="s">
        <v>361</v>
      </c>
    </row>
    <row r="7170" spans="1:12" x14ac:dyDescent="0.25">
      <c r="A7170" s="1">
        <f t="shared" si="1306"/>
        <v>45598</v>
      </c>
      <c r="B7170" s="31">
        <f>TIME(13,41,0)</f>
        <v>0.57013888888888886</v>
      </c>
      <c r="C7170" t="str">
        <f>'Inventory as of 12th Aug 2024'!A211</f>
        <v>predator</v>
      </c>
      <c r="D7170">
        <v>1</v>
      </c>
      <c r="E7170" s="5">
        <f>Table4[[#This Row],[qty]]*(VLOOKUP(Table4[[#This Row],[item_sold]],Table1[],5,FALSE))</f>
        <v>70</v>
      </c>
      <c r="F7170" s="5">
        <f>(VLOOKUP(Table4[[#This Row],[item_sold]],Table1[],4,FALSE))*Table4[[#This Row],[qty]]</f>
        <v>54.166666666666664</v>
      </c>
      <c r="G7170">
        <f t="shared" si="1304"/>
        <v>15.833333333333336</v>
      </c>
      <c r="H7170" t="s">
        <v>361</v>
      </c>
    </row>
    <row r="7171" spans="1:12" x14ac:dyDescent="0.25">
      <c r="A7171" s="1">
        <f t="shared" si="1306"/>
        <v>45598</v>
      </c>
      <c r="B7171" s="31">
        <f t="shared" ref="B7171:B7172" si="1315">TIME(13,41,0)</f>
        <v>0.57013888888888886</v>
      </c>
      <c r="C7171" t="str">
        <f>'Inventory as of 12th Aug 2024'!A207</f>
        <v>soda 350ml plastic</v>
      </c>
      <c r="D7171">
        <v>1</v>
      </c>
      <c r="E7171" s="5">
        <f>Table4[[#This Row],[qty]]*(VLOOKUP(Table4[[#This Row],[item_sold]],Table1[],5,FALSE))</f>
        <v>50</v>
      </c>
      <c r="F7171" s="5">
        <f>(VLOOKUP(Table4[[#This Row],[item_sold]],Table1[],4,FALSE))*Table4[[#This Row],[qty]]</f>
        <v>41.666666666666664</v>
      </c>
      <c r="G7171">
        <f t="shared" si="1304"/>
        <v>8.3333333333333357</v>
      </c>
      <c r="H7171" t="s">
        <v>361</v>
      </c>
    </row>
    <row r="7172" spans="1:12" x14ac:dyDescent="0.25">
      <c r="A7172" s="1">
        <f t="shared" si="1306"/>
        <v>45598</v>
      </c>
      <c r="B7172" s="31">
        <f t="shared" si="1315"/>
        <v>0.57013888888888886</v>
      </c>
      <c r="C7172" t="str">
        <f>'Inventory as of 12th Aug 2024'!A58</f>
        <v>Safari</v>
      </c>
      <c r="D7172">
        <v>2</v>
      </c>
      <c r="E7172" s="5">
        <f>Table4[[#This Row],[qty]]*(VLOOKUP(Table4[[#This Row],[item_sold]],Table1[],5,FALSE))</f>
        <v>30</v>
      </c>
      <c r="F7172" s="5">
        <f>(VLOOKUP(Table4[[#This Row],[item_sold]],Table1[],4,FALSE))*Table4[[#This Row],[qty]]</f>
        <v>17</v>
      </c>
      <c r="G7172">
        <f t="shared" si="1304"/>
        <v>13</v>
      </c>
      <c r="H7172" t="s">
        <v>361</v>
      </c>
      <c r="J7172" t="s">
        <v>419</v>
      </c>
      <c r="K7172">
        <v>100</v>
      </c>
      <c r="L7172" t="s">
        <v>247</v>
      </c>
    </row>
    <row r="7173" spans="1:12" x14ac:dyDescent="0.25">
      <c r="A7173" s="1">
        <f t="shared" si="1306"/>
        <v>45598</v>
      </c>
      <c r="B7173" s="31">
        <f>TIME(14,16,0)</f>
        <v>0.59444444444444444</v>
      </c>
      <c r="C7173" t="str">
        <f>'Inventory as of 12th Aug 2024'!A42</f>
        <v>Indomie chicken</v>
      </c>
      <c r="D7173">
        <v>4</v>
      </c>
      <c r="E7173" s="5">
        <f>Table4[[#This Row],[qty]]*(VLOOKUP(Table4[[#This Row],[item_sold]],Table1[],5,FALSE))</f>
        <v>200</v>
      </c>
      <c r="F7173" s="5">
        <f>(VLOOKUP(Table4[[#This Row],[item_sold]],Table1[],4,FALSE))*Table4[[#This Row],[qty]]</f>
        <v>150</v>
      </c>
      <c r="G7173">
        <f t="shared" si="1304"/>
        <v>50</v>
      </c>
      <c r="H7173" t="s">
        <v>361</v>
      </c>
    </row>
    <row r="7174" spans="1:12" x14ac:dyDescent="0.25">
      <c r="A7174" s="1">
        <f t="shared" si="1306"/>
        <v>45598</v>
      </c>
      <c r="B7174" s="31">
        <f>TIME(14,16,0)</f>
        <v>0.59444444444444444</v>
      </c>
      <c r="C7174" t="str">
        <f>'Inventory as of 12th Aug 2024'!A79</f>
        <v xml:space="preserve">Whitewash </v>
      </c>
      <c r="D7174">
        <v>1</v>
      </c>
      <c r="E7174" s="5">
        <f>Table4[[#This Row],[qty]]*(VLOOKUP(Table4[[#This Row],[item_sold]],Table1[],5,FALSE))</f>
        <v>50</v>
      </c>
      <c r="F7174" s="5">
        <f>(VLOOKUP(Table4[[#This Row],[item_sold]],Table1[],4,FALSE))*Table4[[#This Row],[qty]]</f>
        <v>33.75</v>
      </c>
      <c r="G7174">
        <f t="shared" si="1304"/>
        <v>16.25</v>
      </c>
      <c r="H7174" t="s">
        <v>430</v>
      </c>
      <c r="I7174" t="s">
        <v>394</v>
      </c>
    </row>
    <row r="7175" spans="1:12" x14ac:dyDescent="0.25">
      <c r="A7175" s="1">
        <f t="shared" si="1306"/>
        <v>45598</v>
      </c>
      <c r="B7175" s="31">
        <f>TIME(14,51,0)</f>
        <v>0.61875000000000002</v>
      </c>
      <c r="C7175" t="str">
        <f>'Inventory as of 12th Aug 2024'!A211</f>
        <v>predator</v>
      </c>
      <c r="D7175">
        <v>1</v>
      </c>
      <c r="E7175" s="5">
        <f>Table4[[#This Row],[qty]]*(VLOOKUP(Table4[[#This Row],[item_sold]],Table1[],5,FALSE))</f>
        <v>70</v>
      </c>
      <c r="F7175" s="5">
        <f>(VLOOKUP(Table4[[#This Row],[item_sold]],Table1[],4,FALSE))*Table4[[#This Row],[qty]]</f>
        <v>54.166666666666664</v>
      </c>
      <c r="G7175">
        <f t="shared" si="1304"/>
        <v>15.833333333333336</v>
      </c>
      <c r="H7175" t="s">
        <v>361</v>
      </c>
    </row>
    <row r="7176" spans="1:12" x14ac:dyDescent="0.25">
      <c r="A7176" s="1">
        <f t="shared" si="1306"/>
        <v>45598</v>
      </c>
      <c r="B7176" s="31">
        <f t="shared" ref="B7176" si="1316">TIME(14,51,0)</f>
        <v>0.61875000000000002</v>
      </c>
      <c r="C7176" t="str">
        <f>'Inventory as of 12th Aug 2024'!A187</f>
        <v>Njugu</v>
      </c>
      <c r="D7176">
        <v>1</v>
      </c>
      <c r="E7176" s="5">
        <f>Table4[[#This Row],[qty]]*(VLOOKUP(Table4[[#This Row],[item_sold]],Table1[],5,FALSE))</f>
        <v>20</v>
      </c>
      <c r="F7176" s="5">
        <f>(VLOOKUP(Table4[[#This Row],[item_sold]],Table1[],4,FALSE))*Table4[[#This Row],[qty]]</f>
        <v>10.666666666666666</v>
      </c>
      <c r="G7176">
        <f t="shared" si="1304"/>
        <v>9.3333333333333339</v>
      </c>
      <c r="H7176" t="s">
        <v>361</v>
      </c>
    </row>
    <row r="7177" spans="1:12" x14ac:dyDescent="0.25">
      <c r="A7177" s="1">
        <f t="shared" si="1306"/>
        <v>45598</v>
      </c>
      <c r="B7177" s="31">
        <f>TIME(15,45,0)</f>
        <v>0.65625</v>
      </c>
      <c r="C7177" t="str">
        <f>'Inventory as of 12th Aug 2024'!A82</f>
        <v>ariel 10g</v>
      </c>
      <c r="D7177">
        <v>1</v>
      </c>
      <c r="E7177" s="5">
        <f>Table4[[#This Row],[qty]]*(VLOOKUP(Table4[[#This Row],[item_sold]],Table1[],5,FALSE))</f>
        <v>15</v>
      </c>
      <c r="F7177" s="5">
        <f>(VLOOKUP(Table4[[#This Row],[item_sold]],Table1[],4,FALSE))*Table4[[#This Row],[qty]]</f>
        <v>9.1666666666666661</v>
      </c>
      <c r="G7177">
        <f t="shared" si="1304"/>
        <v>5.8333333333333339</v>
      </c>
      <c r="H7177" t="s">
        <v>361</v>
      </c>
    </row>
    <row r="7178" spans="1:12" x14ac:dyDescent="0.25">
      <c r="A7178" s="1">
        <f t="shared" si="1306"/>
        <v>45598</v>
      </c>
      <c r="B7178" s="31">
        <f t="shared" ref="B7178" si="1317">TIME(15,45,0)</f>
        <v>0.65625</v>
      </c>
      <c r="C7178" t="str">
        <f>'Inventory as of 12th Aug 2024'!A211</f>
        <v>predator</v>
      </c>
      <c r="D7178">
        <v>1</v>
      </c>
      <c r="E7178" s="5">
        <f>Table4[[#This Row],[qty]]*(VLOOKUP(Table4[[#This Row],[item_sold]],Table1[],5,FALSE))</f>
        <v>70</v>
      </c>
      <c r="F7178" s="5">
        <f>(VLOOKUP(Table4[[#This Row],[item_sold]],Table1[],4,FALSE))*Table4[[#This Row],[qty]]</f>
        <v>54.166666666666664</v>
      </c>
      <c r="G7178">
        <f t="shared" si="1304"/>
        <v>15.833333333333336</v>
      </c>
      <c r="H7178" t="s">
        <v>361</v>
      </c>
    </row>
    <row r="7179" spans="1:12" x14ac:dyDescent="0.25">
      <c r="A7179" s="1">
        <f t="shared" si="1306"/>
        <v>45598</v>
      </c>
      <c r="B7179" s="31">
        <f>TIME(16,27,0)</f>
        <v>0.68541666666666667</v>
      </c>
      <c r="C7179" t="str">
        <f>'Inventory as of 12th Aug 2024'!A221</f>
        <v>Rasor Blade</v>
      </c>
      <c r="D7179">
        <v>1</v>
      </c>
      <c r="E7179" s="5">
        <f>Table4[[#This Row],[qty]]*(VLOOKUP(Table4[[#This Row],[item_sold]],Table1[],5,FALSE))</f>
        <v>5</v>
      </c>
      <c r="F7179" s="5">
        <f>(VLOOKUP(Table4[[#This Row],[item_sold]],Table1[],4,FALSE))*Table4[[#This Row],[qty]]</f>
        <v>2</v>
      </c>
      <c r="G7179">
        <f t="shared" si="1304"/>
        <v>3</v>
      </c>
      <c r="H7179" t="s">
        <v>402</v>
      </c>
    </row>
    <row r="7180" spans="1:12" x14ac:dyDescent="0.25">
      <c r="A7180" s="1">
        <f t="shared" si="1306"/>
        <v>45598</v>
      </c>
      <c r="B7180" s="31">
        <f t="shared" ref="B7180:B7187" si="1318">TIME(16,27,0)</f>
        <v>0.68541666666666667</v>
      </c>
      <c r="C7180" t="str">
        <f>'Inventory as of 12th Aug 2024'!A207</f>
        <v>soda 350ml plastic</v>
      </c>
      <c r="D7180">
        <v>1</v>
      </c>
      <c r="E7180" s="5">
        <f>Table4[[#This Row],[qty]]*(VLOOKUP(Table4[[#This Row],[item_sold]],Table1[],5,FALSE))</f>
        <v>50</v>
      </c>
      <c r="F7180" s="5">
        <f>(VLOOKUP(Table4[[#This Row],[item_sold]],Table1[],4,FALSE))*Table4[[#This Row],[qty]]</f>
        <v>41.666666666666664</v>
      </c>
      <c r="G7180">
        <f t="shared" si="1304"/>
        <v>8.3333333333333357</v>
      </c>
      <c r="H7180" t="s">
        <v>402</v>
      </c>
    </row>
    <row r="7181" spans="1:12" x14ac:dyDescent="0.25">
      <c r="A7181" s="1">
        <f t="shared" si="1306"/>
        <v>45598</v>
      </c>
      <c r="B7181" s="31">
        <f t="shared" si="1318"/>
        <v>0.68541666666666667</v>
      </c>
      <c r="C7181" t="str">
        <f>'Inventory as of 12th Aug 2024'!A179</f>
        <v>Bitez</v>
      </c>
      <c r="D7181">
        <v>2</v>
      </c>
      <c r="E7181" s="5">
        <f>Table4[[#This Row],[qty]]*(VLOOKUP(Table4[[#This Row],[item_sold]],Table1[],5,FALSE))</f>
        <v>30</v>
      </c>
      <c r="F7181" s="5">
        <f>(VLOOKUP(Table4[[#This Row],[item_sold]],Table1[],4,FALSE))*Table4[[#This Row],[qty]]</f>
        <v>17.600000000000001</v>
      </c>
      <c r="G7181">
        <f t="shared" si="1304"/>
        <v>12.399999999999999</v>
      </c>
      <c r="H7181" t="s">
        <v>402</v>
      </c>
    </row>
    <row r="7182" spans="1:12" x14ac:dyDescent="0.25">
      <c r="A7182" s="1">
        <f t="shared" si="1306"/>
        <v>45598</v>
      </c>
      <c r="B7182" s="31">
        <f t="shared" si="1318"/>
        <v>0.68541666666666667</v>
      </c>
      <c r="C7182" t="str">
        <f>'Inventory as of 12th Aug 2024'!A191</f>
        <v>Nuvita Bisquit</v>
      </c>
      <c r="D7182">
        <v>5</v>
      </c>
      <c r="E7182" s="5">
        <f>Table4[[#This Row],[qty]]*(VLOOKUP(Table4[[#This Row],[item_sold]],Table1[],5,FALSE))</f>
        <v>25</v>
      </c>
      <c r="F7182" s="5">
        <f>(VLOOKUP(Table4[[#This Row],[item_sold]],Table1[],4,FALSE))*Table4[[#This Row],[qty]]</f>
        <v>20.833333333333336</v>
      </c>
      <c r="G7182">
        <f t="shared" si="1304"/>
        <v>4.1666666666666643</v>
      </c>
      <c r="H7182" t="s">
        <v>402</v>
      </c>
    </row>
    <row r="7183" spans="1:12" x14ac:dyDescent="0.25">
      <c r="A7183" s="1">
        <f t="shared" si="1306"/>
        <v>45598</v>
      </c>
      <c r="B7183" s="31">
        <f t="shared" si="1318"/>
        <v>0.68541666666666667</v>
      </c>
      <c r="C7183" t="str">
        <f>'Inventory as of 12th Aug 2024'!A192</f>
        <v>Lemon Bisquit</v>
      </c>
      <c r="D7183">
        <v>1</v>
      </c>
      <c r="E7183" s="5">
        <f>Table4[[#This Row],[qty]]*(VLOOKUP(Table4[[#This Row],[item_sold]],Table1[],5,FALSE))</f>
        <v>5</v>
      </c>
      <c r="F7183" s="5">
        <f>(VLOOKUP(Table4[[#This Row],[item_sold]],Table1[],4,FALSE))*Table4[[#This Row],[qty]]</f>
        <v>4.333333333333333</v>
      </c>
      <c r="G7183">
        <f t="shared" si="1304"/>
        <v>0.66666666666666696</v>
      </c>
      <c r="H7183" t="s">
        <v>402</v>
      </c>
    </row>
    <row r="7184" spans="1:12" x14ac:dyDescent="0.25">
      <c r="A7184" s="1">
        <f t="shared" si="1306"/>
        <v>45598</v>
      </c>
      <c r="B7184" s="31">
        <f t="shared" si="1318"/>
        <v>0.68541666666666667</v>
      </c>
      <c r="C7184" t="str">
        <f>'Inventory as of 12th Aug 2024'!A234</f>
        <v>Bigdaddy</v>
      </c>
      <c r="D7184">
        <v>1</v>
      </c>
      <c r="E7184" s="5">
        <f>Table4[[#This Row],[qty]]*(VLOOKUP(Table4[[#This Row],[item_sold]],Table1[],5,FALSE))</f>
        <v>10</v>
      </c>
      <c r="F7184" s="5">
        <f>(VLOOKUP(Table4[[#This Row],[item_sold]],Table1[],4,FALSE))*Table4[[#This Row],[qty]]</f>
        <v>6</v>
      </c>
      <c r="G7184">
        <f t="shared" si="1304"/>
        <v>4</v>
      </c>
      <c r="H7184" t="s">
        <v>402</v>
      </c>
    </row>
    <row r="7185" spans="1:12" x14ac:dyDescent="0.25">
      <c r="A7185" s="1">
        <f t="shared" si="1306"/>
        <v>45598</v>
      </c>
      <c r="B7185" s="31">
        <f t="shared" si="1318"/>
        <v>0.68541666666666667</v>
      </c>
      <c r="C7185" t="str">
        <f>'Inventory as of 12th Aug 2024'!A232</f>
        <v>coo</v>
      </c>
      <c r="D7185">
        <v>2</v>
      </c>
      <c r="E7185" s="5">
        <f>Table4[[#This Row],[qty]]*(VLOOKUP(Table4[[#This Row],[item_sold]],Table1[],5,FALSE))</f>
        <v>5</v>
      </c>
      <c r="F7185" s="5">
        <f>(VLOOKUP(Table4[[#This Row],[item_sold]],Table1[],4,FALSE))*Table4[[#This Row],[qty]]</f>
        <v>2.4</v>
      </c>
      <c r="G7185">
        <f t="shared" si="1304"/>
        <v>2.6</v>
      </c>
      <c r="H7185" t="s">
        <v>402</v>
      </c>
    </row>
    <row r="7186" spans="1:12" x14ac:dyDescent="0.25">
      <c r="A7186" s="1">
        <f t="shared" si="1306"/>
        <v>45598</v>
      </c>
      <c r="B7186" s="31">
        <f t="shared" si="1318"/>
        <v>0.68541666666666667</v>
      </c>
      <c r="C7186" t="str">
        <f>'Inventory as of 12th Aug 2024'!A266</f>
        <v>Zenta Bar Soap</v>
      </c>
      <c r="D7186">
        <v>0.2</v>
      </c>
      <c r="E7186" s="5">
        <f>Table4[[#This Row],[qty]]*(VLOOKUP(Table4[[#This Row],[item_sold]],Table1[],5,FALSE))</f>
        <v>50</v>
      </c>
      <c r="F7186" s="5">
        <f>(VLOOKUP(Table4[[#This Row],[item_sold]],Table1[],4,FALSE))*Table4[[#This Row],[qty]]</f>
        <v>32</v>
      </c>
      <c r="G7186">
        <f t="shared" si="1304"/>
        <v>18</v>
      </c>
      <c r="H7186" t="s">
        <v>430</v>
      </c>
      <c r="I7186" t="s">
        <v>591</v>
      </c>
      <c r="J7186" t="s">
        <v>591</v>
      </c>
      <c r="K7186">
        <v>50</v>
      </c>
      <c r="L7186" t="s">
        <v>361</v>
      </c>
    </row>
    <row r="7187" spans="1:12" x14ac:dyDescent="0.25">
      <c r="A7187" s="1">
        <f t="shared" si="1306"/>
        <v>45598</v>
      </c>
      <c r="B7187" s="31">
        <f t="shared" si="1318"/>
        <v>0.68541666666666667</v>
      </c>
      <c r="C7187" t="str">
        <f>'Inventory as of 12th Aug 2024'!A199</f>
        <v>Kdf</v>
      </c>
      <c r="D7187">
        <v>2</v>
      </c>
      <c r="E7187" s="5">
        <f>Table4[[#This Row],[qty]]*(VLOOKUP(Table4[[#This Row],[item_sold]],Table1[],5,FALSE))</f>
        <v>20</v>
      </c>
      <c r="F7187" s="5">
        <f>(VLOOKUP(Table4[[#This Row],[item_sold]],Table1[],4,FALSE))*Table4[[#This Row],[qty]]</f>
        <v>16.666666666666668</v>
      </c>
      <c r="G7187">
        <f t="shared" si="1304"/>
        <v>3.3333333333333321</v>
      </c>
      <c r="H7187" t="s">
        <v>402</v>
      </c>
    </row>
    <row r="7188" spans="1:12" x14ac:dyDescent="0.25">
      <c r="A7188" s="1">
        <f t="shared" si="1306"/>
        <v>45598</v>
      </c>
      <c r="B7188" s="31">
        <f>TIME(17,59,0)</f>
        <v>0.74930555555555556</v>
      </c>
      <c r="C7188" t="str">
        <f>'Inventory as of 12th Aug 2024'!A58</f>
        <v>Safari</v>
      </c>
      <c r="D7188">
        <v>1</v>
      </c>
      <c r="E7188" s="5">
        <f>Table4[[#This Row],[qty]]*(VLOOKUP(Table4[[#This Row],[item_sold]],Table1[],5,FALSE))</f>
        <v>15</v>
      </c>
      <c r="F7188" s="5">
        <f>(VLOOKUP(Table4[[#This Row],[item_sold]],Table1[],4,FALSE))*Table4[[#This Row],[qty]]</f>
        <v>8.5</v>
      </c>
      <c r="G7188">
        <f t="shared" ref="G7188:G7251" si="1319">E7188-F7188</f>
        <v>6.5</v>
      </c>
      <c r="H7188" s="25" t="s">
        <v>402</v>
      </c>
    </row>
    <row r="7189" spans="1:12" x14ac:dyDescent="0.25">
      <c r="A7189" s="1">
        <f t="shared" si="1306"/>
        <v>45598</v>
      </c>
      <c r="B7189" s="31">
        <f>TIME(18,14,0)</f>
        <v>0.7597222222222223</v>
      </c>
      <c r="C7189" t="str">
        <f>'Inventory as of 12th Aug 2024'!A59</f>
        <v>kabras sugar 1kg</v>
      </c>
      <c r="D7189">
        <v>1</v>
      </c>
      <c r="E7189" s="5">
        <f>Table4[[#This Row],[qty]]*(VLOOKUP(Table4[[#This Row],[item_sold]],Table1[],5,FALSE))</f>
        <v>180</v>
      </c>
      <c r="F7189" s="5">
        <f>(VLOOKUP(Table4[[#This Row],[item_sold]],Table1[],4,FALSE))*Table4[[#This Row],[qty]]</f>
        <v>140</v>
      </c>
      <c r="G7189">
        <f t="shared" si="1319"/>
        <v>40</v>
      </c>
      <c r="H7189" t="s">
        <v>361</v>
      </c>
    </row>
    <row r="7190" spans="1:12" x14ac:dyDescent="0.25">
      <c r="A7190" s="1">
        <f t="shared" si="1306"/>
        <v>45598</v>
      </c>
      <c r="B7190" s="31">
        <f t="shared" ref="B7190:B7191" si="1320">TIME(18,14,0)</f>
        <v>0.7597222222222223</v>
      </c>
      <c r="C7190" t="str">
        <f>'Inventory as of 12th Aug 2024'!A33</f>
        <v>BB Bread 400g</v>
      </c>
      <c r="D7190">
        <v>1</v>
      </c>
      <c r="E7190" s="5">
        <f>Table4[[#This Row],[qty]]*(VLOOKUP(Table4[[#This Row],[item_sold]],Table1[],5,FALSE))</f>
        <v>65</v>
      </c>
      <c r="F7190" s="5">
        <f>(VLOOKUP(Table4[[#This Row],[item_sold]],Table1[],4,FALSE))*Table4[[#This Row],[qty]]</f>
        <v>60</v>
      </c>
      <c r="G7190">
        <f t="shared" si="1319"/>
        <v>5</v>
      </c>
      <c r="H7190" t="s">
        <v>361</v>
      </c>
    </row>
    <row r="7191" spans="1:12" x14ac:dyDescent="0.25">
      <c r="A7191" s="1">
        <f t="shared" si="1306"/>
        <v>45598</v>
      </c>
      <c r="B7191" s="31">
        <f t="shared" si="1320"/>
        <v>0.7597222222222223</v>
      </c>
      <c r="C7191" t="str">
        <f>'Inventory as of 12th Aug 2024'!A58</f>
        <v>Safari</v>
      </c>
      <c r="D7191">
        <v>20</v>
      </c>
      <c r="E7191" s="5">
        <f>Table4[[#This Row],[qty]]*(VLOOKUP(Table4[[#This Row],[item_sold]],Table1[],5,FALSE))</f>
        <v>300</v>
      </c>
      <c r="F7191" s="5">
        <f>(VLOOKUP(Table4[[#This Row],[item_sold]],Table1[],4,FALSE))*Table4[[#This Row],[qty]]</f>
        <v>170</v>
      </c>
      <c r="G7191">
        <f t="shared" si="1319"/>
        <v>130</v>
      </c>
      <c r="H7191" t="s">
        <v>430</v>
      </c>
      <c r="I7191" t="s">
        <v>622</v>
      </c>
    </row>
    <row r="7192" spans="1:12" x14ac:dyDescent="0.25">
      <c r="A7192" s="1">
        <f t="shared" si="1306"/>
        <v>45598</v>
      </c>
      <c r="B7192" s="31">
        <f>TIME(18,46,0)</f>
        <v>0.78194444444444444</v>
      </c>
      <c r="C7192" t="str">
        <f>'Inventory as of 12th Aug 2024'!A242</f>
        <v>Icepop</v>
      </c>
      <c r="D7192">
        <v>1</v>
      </c>
      <c r="E7192" s="5">
        <f>Table4[[#This Row],[qty]]*(VLOOKUP(Table4[[#This Row],[item_sold]],Table1[],5,FALSE))</f>
        <v>15</v>
      </c>
      <c r="F7192" s="5">
        <f>(VLOOKUP(Table4[[#This Row],[item_sold]],Table1[],4,FALSE))*Table4[[#This Row],[qty]]</f>
        <v>7.5</v>
      </c>
      <c r="G7192">
        <f t="shared" si="1319"/>
        <v>7.5</v>
      </c>
      <c r="H7192" t="s">
        <v>430</v>
      </c>
      <c r="I7192" t="s">
        <v>404</v>
      </c>
    </row>
    <row r="7193" spans="1:12" x14ac:dyDescent="0.25">
      <c r="A7193" s="1">
        <f t="shared" si="1306"/>
        <v>45598</v>
      </c>
      <c r="B7193" s="31">
        <f t="shared" ref="B7193:B7205" si="1321">TIME(18,46,0)</f>
        <v>0.78194444444444444</v>
      </c>
      <c r="C7193" t="str">
        <f>'Inventory as of 12th Aug 2024'!A179</f>
        <v>Bitez</v>
      </c>
      <c r="D7193">
        <v>2</v>
      </c>
      <c r="E7193" s="5">
        <f>Table4[[#This Row],[qty]]*(VLOOKUP(Table4[[#This Row],[item_sold]],Table1[],5,FALSE))</f>
        <v>30</v>
      </c>
      <c r="F7193" s="5">
        <f>(VLOOKUP(Table4[[#This Row],[item_sold]],Table1[],4,FALSE))*Table4[[#This Row],[qty]]</f>
        <v>17.600000000000001</v>
      </c>
      <c r="G7193">
        <f t="shared" si="1319"/>
        <v>12.399999999999999</v>
      </c>
      <c r="H7193" t="s">
        <v>430</v>
      </c>
      <c r="I7193" t="s">
        <v>404</v>
      </c>
    </row>
    <row r="7194" spans="1:12" x14ac:dyDescent="0.25">
      <c r="A7194" s="1">
        <f t="shared" ref="A7194:A7213" si="1322">DATE(2024,11,2)</f>
        <v>45598</v>
      </c>
      <c r="B7194" s="31">
        <f t="shared" si="1321"/>
        <v>0.78194444444444444</v>
      </c>
      <c r="C7194" t="str">
        <f>'Inventory as of 12th Aug 2024'!A213</f>
        <v>soda 500ml glass</v>
      </c>
      <c r="D7194">
        <v>2</v>
      </c>
      <c r="E7194" s="5">
        <f>Table4[[#This Row],[qty]]*(VLOOKUP(Table4[[#This Row],[item_sold]],Table1[],5,FALSE))</f>
        <v>110</v>
      </c>
      <c r="F7194" s="5">
        <f>(VLOOKUP(Table4[[#This Row],[item_sold]],Table1[],4,FALSE))*Table4[[#This Row],[qty]]</f>
        <v>100</v>
      </c>
      <c r="G7194">
        <f t="shared" si="1319"/>
        <v>10</v>
      </c>
      <c r="H7194" t="s">
        <v>430</v>
      </c>
      <c r="I7194" t="s">
        <v>404</v>
      </c>
    </row>
    <row r="7195" spans="1:12" x14ac:dyDescent="0.25">
      <c r="A7195" s="1">
        <f t="shared" si="1322"/>
        <v>45598</v>
      </c>
      <c r="B7195" s="31">
        <f t="shared" si="1321"/>
        <v>0.78194444444444444</v>
      </c>
      <c r="C7195" t="str">
        <f>'Inventory as of 12th Aug 2024'!A17</f>
        <v>Brookside milk 500ml</v>
      </c>
      <c r="D7195">
        <v>2</v>
      </c>
      <c r="E7195" s="5">
        <f>Table4[[#This Row],[qty]]*(VLOOKUP(Table4[[#This Row],[item_sold]],Table1[],5,FALSE))</f>
        <v>140</v>
      </c>
      <c r="F7195" s="5">
        <f>(VLOOKUP(Table4[[#This Row],[item_sold]],Table1[],4,FALSE))*Table4[[#This Row],[qty]]</f>
        <v>118</v>
      </c>
      <c r="G7195">
        <f t="shared" si="1319"/>
        <v>22</v>
      </c>
      <c r="H7195" t="s">
        <v>430</v>
      </c>
      <c r="I7195" t="s">
        <v>404</v>
      </c>
    </row>
    <row r="7196" spans="1:12" x14ac:dyDescent="0.25">
      <c r="A7196" s="1">
        <f t="shared" si="1322"/>
        <v>45598</v>
      </c>
      <c r="B7196" s="31">
        <f t="shared" si="1321"/>
        <v>0.78194444444444444</v>
      </c>
      <c r="C7196" t="str">
        <f>'Inventory as of 12th Aug 2024'!A70</f>
        <v>Sugar 1/2 kg</v>
      </c>
      <c r="D7196">
        <v>1</v>
      </c>
      <c r="E7196" s="5">
        <f>Table4[[#This Row],[qty]]*(VLOOKUP(Table4[[#This Row],[item_sold]],Table1[],5,FALSE))</f>
        <v>90</v>
      </c>
      <c r="F7196" s="5">
        <f>(VLOOKUP(Table4[[#This Row],[item_sold]],Table1[],4,FALSE))*Table4[[#This Row],[qty]]</f>
        <v>60</v>
      </c>
      <c r="G7196">
        <f t="shared" si="1319"/>
        <v>30</v>
      </c>
      <c r="H7196" t="s">
        <v>430</v>
      </c>
      <c r="I7196" t="s">
        <v>404</v>
      </c>
    </row>
    <row r="7197" spans="1:12" x14ac:dyDescent="0.25">
      <c r="A7197" s="1">
        <f t="shared" si="1322"/>
        <v>45598</v>
      </c>
      <c r="B7197" s="31">
        <f t="shared" si="1321"/>
        <v>0.78194444444444444</v>
      </c>
      <c r="C7197" t="str">
        <f>'Inventory as of 12th Aug 2024'!A134</f>
        <v>Hanaan Tissue</v>
      </c>
      <c r="D7197">
        <v>2</v>
      </c>
      <c r="E7197" s="5">
        <f>Table4[[#This Row],[qty]]*(VLOOKUP(Table4[[#This Row],[item_sold]],Table1[],5,FALSE))</f>
        <v>110</v>
      </c>
      <c r="F7197" s="5">
        <f>(VLOOKUP(Table4[[#This Row],[item_sold]],Table1[],4,FALSE))*Table4[[#This Row],[qty]]</f>
        <v>86</v>
      </c>
      <c r="G7197">
        <f t="shared" si="1319"/>
        <v>24</v>
      </c>
      <c r="H7197" t="s">
        <v>430</v>
      </c>
      <c r="I7197" t="s">
        <v>404</v>
      </c>
    </row>
    <row r="7198" spans="1:12" x14ac:dyDescent="0.25">
      <c r="A7198" s="1">
        <f t="shared" si="1322"/>
        <v>45598</v>
      </c>
      <c r="B7198" s="31">
        <f t="shared" si="1321"/>
        <v>0.78194444444444444</v>
      </c>
      <c r="C7198" t="str">
        <f>'Inventory as of 12th Aug 2024'!A107</f>
        <v>Match Box</v>
      </c>
      <c r="D7198">
        <v>1</v>
      </c>
      <c r="E7198" s="5">
        <f>Table4[[#This Row],[qty]]*(VLOOKUP(Table4[[#This Row],[item_sold]],Table1[],5,FALSE))</f>
        <v>5</v>
      </c>
      <c r="F7198" s="5">
        <f>(VLOOKUP(Table4[[#This Row],[item_sold]],Table1[],4,FALSE))*Table4[[#This Row],[qty]]</f>
        <v>2.3611111111111112</v>
      </c>
      <c r="G7198">
        <f t="shared" si="1319"/>
        <v>2.6388888888888888</v>
      </c>
      <c r="H7198" t="s">
        <v>430</v>
      </c>
      <c r="I7198" t="s">
        <v>404</v>
      </c>
    </row>
    <row r="7199" spans="1:12" x14ac:dyDescent="0.25">
      <c r="A7199" s="1">
        <f t="shared" si="1322"/>
        <v>45598</v>
      </c>
      <c r="B7199" s="31">
        <f t="shared" si="1321"/>
        <v>0.78194444444444444</v>
      </c>
      <c r="C7199" t="str">
        <f>'Inventory as of 12th Aug 2024'!A266</f>
        <v>Zenta Bar Soap</v>
      </c>
      <c r="D7199">
        <v>0.2</v>
      </c>
      <c r="E7199" s="5">
        <f>Table4[[#This Row],[qty]]*(VLOOKUP(Table4[[#This Row],[item_sold]],Table1[],5,FALSE))</f>
        <v>50</v>
      </c>
      <c r="F7199" s="5">
        <f>(VLOOKUP(Table4[[#This Row],[item_sold]],Table1[],4,FALSE))*Table4[[#This Row],[qty]]</f>
        <v>32</v>
      </c>
      <c r="G7199">
        <f t="shared" si="1319"/>
        <v>18</v>
      </c>
      <c r="H7199" t="s">
        <v>430</v>
      </c>
      <c r="I7199" t="s">
        <v>404</v>
      </c>
    </row>
    <row r="7200" spans="1:12" x14ac:dyDescent="0.25">
      <c r="A7200" s="1">
        <f t="shared" si="1322"/>
        <v>45598</v>
      </c>
      <c r="B7200" s="31">
        <f t="shared" si="1321"/>
        <v>0.78194444444444444</v>
      </c>
      <c r="C7200" t="str">
        <f>'Inventory as of 12th Aug 2024'!A42</f>
        <v>Indomie chicken</v>
      </c>
      <c r="D7200">
        <v>2</v>
      </c>
      <c r="E7200" s="5">
        <f>Table4[[#This Row],[qty]]*(VLOOKUP(Table4[[#This Row],[item_sold]],Table1[],5,FALSE))</f>
        <v>100</v>
      </c>
      <c r="F7200" s="5">
        <f>(VLOOKUP(Table4[[#This Row],[item_sold]],Table1[],4,FALSE))*Table4[[#This Row],[qty]]</f>
        <v>75</v>
      </c>
      <c r="G7200">
        <f t="shared" si="1319"/>
        <v>25</v>
      </c>
      <c r="H7200" t="s">
        <v>430</v>
      </c>
      <c r="I7200" t="s">
        <v>404</v>
      </c>
    </row>
    <row r="7201" spans="1:12" x14ac:dyDescent="0.25">
      <c r="A7201" s="1">
        <f t="shared" si="1322"/>
        <v>45598</v>
      </c>
      <c r="B7201" s="31">
        <f t="shared" si="1321"/>
        <v>0.78194444444444444</v>
      </c>
      <c r="C7201" t="str">
        <f>'Inventory as of 12th Aug 2024'!A37</f>
        <v>Festive Bread 400g</v>
      </c>
      <c r="D7201">
        <v>1</v>
      </c>
      <c r="E7201" s="5">
        <f>Table4[[#This Row],[qty]]*(VLOOKUP(Table4[[#This Row],[item_sold]],Table1[],5,FALSE))</f>
        <v>65</v>
      </c>
      <c r="F7201" s="5">
        <f>(VLOOKUP(Table4[[#This Row],[item_sold]],Table1[],4,FALSE))*Table4[[#This Row],[qty]]</f>
        <v>60</v>
      </c>
      <c r="G7201">
        <f t="shared" si="1319"/>
        <v>5</v>
      </c>
      <c r="H7201" t="s">
        <v>430</v>
      </c>
      <c r="I7201" t="s">
        <v>404</v>
      </c>
    </row>
    <row r="7202" spans="1:12" x14ac:dyDescent="0.25">
      <c r="A7202" s="1">
        <f t="shared" si="1322"/>
        <v>45598</v>
      </c>
      <c r="B7202" s="31">
        <f t="shared" si="1321"/>
        <v>0.78194444444444444</v>
      </c>
      <c r="C7202" t="str">
        <f>'Inventory as of 12th Aug 2024'!A68</f>
        <v>Royco cubes</v>
      </c>
      <c r="D7202">
        <v>6</v>
      </c>
      <c r="E7202" s="5">
        <f>Table4[[#This Row],[qty]]*(VLOOKUP(Table4[[#This Row],[item_sold]],Table1[],5,FALSE))</f>
        <v>30</v>
      </c>
      <c r="F7202" s="5">
        <f>(VLOOKUP(Table4[[#This Row],[item_sold]],Table1[],4,FALSE))*Table4[[#This Row],[qty]]</f>
        <v>18</v>
      </c>
      <c r="G7202">
        <f t="shared" si="1319"/>
        <v>12</v>
      </c>
      <c r="H7202" t="s">
        <v>430</v>
      </c>
      <c r="I7202" t="s">
        <v>404</v>
      </c>
    </row>
    <row r="7203" spans="1:12" x14ac:dyDescent="0.25">
      <c r="A7203" s="1">
        <f t="shared" si="1322"/>
        <v>45598</v>
      </c>
      <c r="B7203" s="31">
        <f t="shared" si="1321"/>
        <v>0.78194444444444444</v>
      </c>
      <c r="C7203" t="str">
        <f>'Inventory as of 12th Aug 2024'!A73</f>
        <v>Royco Chicken mchuzi mix</v>
      </c>
      <c r="D7203">
        <v>2</v>
      </c>
      <c r="E7203" s="5">
        <f>Table4[[#This Row],[qty]]*(VLOOKUP(Table4[[#This Row],[item_sold]],Table1[],5,FALSE))</f>
        <v>20</v>
      </c>
      <c r="F7203" s="5">
        <f>(VLOOKUP(Table4[[#This Row],[item_sold]],Table1[],4,FALSE))*Table4[[#This Row],[qty]]</f>
        <v>18</v>
      </c>
      <c r="G7203">
        <f t="shared" si="1319"/>
        <v>2</v>
      </c>
      <c r="H7203" t="s">
        <v>430</v>
      </c>
      <c r="I7203" t="s">
        <v>404</v>
      </c>
    </row>
    <row r="7204" spans="1:12" x14ac:dyDescent="0.25">
      <c r="A7204" s="1">
        <f t="shared" si="1322"/>
        <v>45598</v>
      </c>
      <c r="B7204" s="31">
        <f t="shared" si="1321"/>
        <v>0.78194444444444444</v>
      </c>
      <c r="C7204" t="str">
        <f>'Inventory as of 12th Aug 2024'!A91</f>
        <v>Tomatoes</v>
      </c>
      <c r="D7204">
        <v>6</v>
      </c>
      <c r="E7204" s="5">
        <f>Table4[[#This Row],[qty]]*(VLOOKUP(Table4[[#This Row],[item_sold]],Table1[],5,FALSE))</f>
        <v>60</v>
      </c>
      <c r="F7204" s="5">
        <f>(VLOOKUP(Table4[[#This Row],[item_sold]],Table1[],4,FALSE))*Table4[[#This Row],[qty]]</f>
        <v>30</v>
      </c>
      <c r="G7204">
        <f t="shared" si="1319"/>
        <v>30</v>
      </c>
      <c r="H7204" t="s">
        <v>430</v>
      </c>
      <c r="I7204" t="s">
        <v>404</v>
      </c>
    </row>
    <row r="7205" spans="1:12" x14ac:dyDescent="0.25">
      <c r="A7205" s="1">
        <f t="shared" si="1322"/>
        <v>45598</v>
      </c>
      <c r="B7205" s="31">
        <f t="shared" si="1321"/>
        <v>0.78194444444444444</v>
      </c>
      <c r="C7205" t="str">
        <f>'Inventory as of 12th Aug 2024'!A137</f>
        <v>Rosy serviettes</v>
      </c>
      <c r="D7205">
        <v>1</v>
      </c>
      <c r="E7205" s="5">
        <f>Table4[[#This Row],[qty]]*(VLOOKUP(Table4[[#This Row],[item_sold]],Table1[],5,FALSE))</f>
        <v>100</v>
      </c>
      <c r="F7205" s="5">
        <f>(VLOOKUP(Table4[[#This Row],[item_sold]],Table1[],4,FALSE))*Table4[[#This Row],[qty]]</f>
        <v>79</v>
      </c>
      <c r="G7205">
        <f t="shared" si="1319"/>
        <v>21</v>
      </c>
      <c r="H7205" t="s">
        <v>430</v>
      </c>
      <c r="I7205" t="s">
        <v>404</v>
      </c>
    </row>
    <row r="7206" spans="1:12" x14ac:dyDescent="0.25">
      <c r="A7206" s="1">
        <f t="shared" si="1322"/>
        <v>45598</v>
      </c>
      <c r="B7206" s="31">
        <f>TIME(18,5,0)</f>
        <v>0.75347222222222221</v>
      </c>
      <c r="C7206" t="str">
        <f>'Inventory as of 12th Aug 2024'!A58</f>
        <v>Safari</v>
      </c>
      <c r="D7206">
        <v>1</v>
      </c>
      <c r="E7206" s="5">
        <f>Table4[[#This Row],[qty]]*(VLOOKUP(Table4[[#This Row],[item_sold]],Table1[],5,FALSE))</f>
        <v>15</v>
      </c>
      <c r="F7206" s="5">
        <f>(VLOOKUP(Table4[[#This Row],[item_sold]],Table1[],4,FALSE))*Table4[[#This Row],[qty]]</f>
        <v>8.5</v>
      </c>
      <c r="G7206">
        <f t="shared" si="1319"/>
        <v>6.5</v>
      </c>
      <c r="H7206" t="s">
        <v>361</v>
      </c>
    </row>
    <row r="7207" spans="1:12" x14ac:dyDescent="0.25">
      <c r="A7207" s="1">
        <f t="shared" si="1322"/>
        <v>45598</v>
      </c>
      <c r="B7207" s="31">
        <f>TIME(19,22,0)</f>
        <v>0.80694444444444446</v>
      </c>
      <c r="C7207" t="str">
        <f>'Inventory as of 12th Aug 2024'!A16</f>
        <v>Mt kenya milk 500ml</v>
      </c>
      <c r="D7207">
        <v>1</v>
      </c>
      <c r="E7207" s="5">
        <f>Table4[[#This Row],[qty]]*(VLOOKUP(Table4[[#This Row],[item_sold]],Table1[],5,FALSE))</f>
        <v>65</v>
      </c>
      <c r="F7207" s="5">
        <f>(VLOOKUP(Table4[[#This Row],[item_sold]],Table1[],4,FALSE))*Table4[[#This Row],[qty]]</f>
        <v>48.333333333333336</v>
      </c>
      <c r="G7207">
        <f t="shared" si="1319"/>
        <v>16.666666666666664</v>
      </c>
      <c r="H7207" t="s">
        <v>361</v>
      </c>
    </row>
    <row r="7208" spans="1:12" x14ac:dyDescent="0.25">
      <c r="A7208" s="1">
        <f t="shared" si="1322"/>
        <v>45598</v>
      </c>
      <c r="B7208" s="31">
        <f>TIME(19,49,0)</f>
        <v>0.8256944444444444</v>
      </c>
      <c r="C7208" t="str">
        <f>'Inventory as of 12th Aug 2024'!A248</f>
        <v>Soko Maize meal</v>
      </c>
      <c r="D7208">
        <v>1</v>
      </c>
      <c r="E7208" s="5">
        <f>Table4[[#This Row],[qty]]*(VLOOKUP(Table4[[#This Row],[item_sold]],Table1[],5,FALSE))</f>
        <v>160</v>
      </c>
      <c r="F7208" s="5">
        <f>(VLOOKUP(Table4[[#This Row],[item_sold]],Table1[],4,FALSE))*Table4[[#This Row],[qty]]</f>
        <v>125</v>
      </c>
      <c r="G7208">
        <f t="shared" si="1319"/>
        <v>35</v>
      </c>
      <c r="H7208" t="s">
        <v>361</v>
      </c>
    </row>
    <row r="7209" spans="1:12" x14ac:dyDescent="0.25">
      <c r="A7209" s="1">
        <f t="shared" si="1322"/>
        <v>45598</v>
      </c>
      <c r="B7209" s="31">
        <f t="shared" ref="B7209:B7211" si="1323">TIME(19,49,0)</f>
        <v>0.8256944444444444</v>
      </c>
      <c r="C7209" t="str">
        <f>'Inventory as of 12th Aug 2024'!A91</f>
        <v>Tomatoes</v>
      </c>
      <c r="D7209">
        <v>1</v>
      </c>
      <c r="E7209" s="5">
        <f>Table4[[#This Row],[qty]]*(VLOOKUP(Table4[[#This Row],[item_sold]],Table1[],5,FALSE))</f>
        <v>10</v>
      </c>
      <c r="F7209" s="5">
        <f>(VLOOKUP(Table4[[#This Row],[item_sold]],Table1[],4,FALSE))*Table4[[#This Row],[qty]]</f>
        <v>5</v>
      </c>
      <c r="G7209">
        <f t="shared" si="1319"/>
        <v>5</v>
      </c>
      <c r="H7209" t="s">
        <v>361</v>
      </c>
    </row>
    <row r="7210" spans="1:12" x14ac:dyDescent="0.25">
      <c r="A7210" s="1">
        <f t="shared" si="1322"/>
        <v>45598</v>
      </c>
      <c r="B7210" s="31">
        <f t="shared" si="1323"/>
        <v>0.8256944444444444</v>
      </c>
      <c r="C7210" t="str">
        <f>'Inventory as of 12th Aug 2024'!A58</f>
        <v>Safari</v>
      </c>
      <c r="D7210">
        <v>1</v>
      </c>
      <c r="E7210" s="5">
        <f>Table4[[#This Row],[qty]]*(VLOOKUP(Table4[[#This Row],[item_sold]],Table1[],5,FALSE))</f>
        <v>15</v>
      </c>
      <c r="F7210" s="5">
        <f>(VLOOKUP(Table4[[#This Row],[item_sold]],Table1[],4,FALSE))*Table4[[#This Row],[qty]]</f>
        <v>8.5</v>
      </c>
      <c r="G7210">
        <f t="shared" si="1319"/>
        <v>6.5</v>
      </c>
      <c r="H7210" t="s">
        <v>402</v>
      </c>
    </row>
    <row r="7211" spans="1:12" x14ac:dyDescent="0.25">
      <c r="A7211" s="1">
        <f t="shared" si="1322"/>
        <v>45598</v>
      </c>
      <c r="B7211" s="31">
        <f t="shared" si="1323"/>
        <v>0.8256944444444444</v>
      </c>
      <c r="C7211" t="str">
        <f>'Inventory as of 12th Aug 2024'!A264</f>
        <v>Afia 1ltr</v>
      </c>
      <c r="D7211">
        <v>1</v>
      </c>
      <c r="E7211" s="5">
        <f>Table4[[#This Row],[qty]]*(VLOOKUP(Table4[[#This Row],[item_sold]],Table1[],5,FALSE))</f>
        <v>150</v>
      </c>
      <c r="F7211" s="5">
        <f>(VLOOKUP(Table4[[#This Row],[item_sold]],Table1[],4,FALSE))*Table4[[#This Row],[qty]]</f>
        <v>120.83333333333333</v>
      </c>
      <c r="G7211">
        <f t="shared" si="1319"/>
        <v>29.166666666666671</v>
      </c>
      <c r="H7211" t="s">
        <v>402</v>
      </c>
    </row>
    <row r="7212" spans="1:12" x14ac:dyDescent="0.25">
      <c r="A7212" s="1">
        <f t="shared" si="1322"/>
        <v>45598</v>
      </c>
      <c r="B7212" s="31">
        <f>TIME(20,35,0)</f>
        <v>0.85763888888888884</v>
      </c>
      <c r="C7212" t="str">
        <f>'Inventory as of 12th Aug 2024'!A260</f>
        <v>Pampers</v>
      </c>
      <c r="D7212">
        <v>1</v>
      </c>
      <c r="E7212" s="5">
        <f>Table4[[#This Row],[qty]]*(VLOOKUP(Table4[[#This Row],[item_sold]],Table1[],5,FALSE))</f>
        <v>20</v>
      </c>
      <c r="F7212" s="5">
        <f>(VLOOKUP(Table4[[#This Row],[item_sold]],Table1[],4,FALSE))*Table4[[#This Row],[qty]]</f>
        <v>12.4</v>
      </c>
      <c r="G7212">
        <f t="shared" si="1319"/>
        <v>7.6</v>
      </c>
      <c r="H7212" t="s">
        <v>361</v>
      </c>
    </row>
    <row r="7213" spans="1:12" x14ac:dyDescent="0.25">
      <c r="A7213" s="1">
        <f t="shared" si="1322"/>
        <v>45598</v>
      </c>
      <c r="B7213" s="31">
        <f>TIME(20,37,0)</f>
        <v>0.85902777777777783</v>
      </c>
      <c r="C7213" t="str">
        <f>'Inventory as of 12th Aug 2024'!A208</f>
        <v>minutemaid 400ml</v>
      </c>
      <c r="D7213">
        <v>1</v>
      </c>
      <c r="E7213" s="5">
        <f>Table4[[#This Row],[qty]]*(VLOOKUP(Table4[[#This Row],[item_sold]],Table1[],5,FALSE))</f>
        <v>85</v>
      </c>
      <c r="F7213" s="5">
        <f>(VLOOKUP(Table4[[#This Row],[item_sold]],Table1[],4,FALSE))*Table4[[#This Row],[qty]]</f>
        <v>62.5</v>
      </c>
      <c r="G7213">
        <f t="shared" si="1319"/>
        <v>22.5</v>
      </c>
      <c r="H7213" t="s">
        <v>361</v>
      </c>
      <c r="J7213" t="s">
        <v>409</v>
      </c>
      <c r="K7213">
        <v>70</v>
      </c>
      <c r="L7213" t="s">
        <v>361</v>
      </c>
    </row>
    <row r="7214" spans="1:12" x14ac:dyDescent="0.25">
      <c r="A7214" s="1">
        <f>DATE(2024,11,3)</f>
        <v>45599</v>
      </c>
      <c r="B7214" s="31">
        <f>TIME(7,40,0)</f>
        <v>0.31944444444444448</v>
      </c>
      <c r="C7214" t="str">
        <f>'Inventory as of 12th Aug 2024'!A200</f>
        <v>Ngumu</v>
      </c>
      <c r="D7214">
        <v>3</v>
      </c>
      <c r="E7214" s="5">
        <f>Table4[[#This Row],[qty]]*(VLOOKUP(Table4[[#This Row],[item_sold]],Table1[],5,FALSE))</f>
        <v>30</v>
      </c>
      <c r="F7214" s="5">
        <f>(VLOOKUP(Table4[[#This Row],[item_sold]],Table1[],4,FALSE))*Table4[[#This Row],[qty]]</f>
        <v>25</v>
      </c>
      <c r="G7214">
        <f t="shared" si="1319"/>
        <v>5</v>
      </c>
      <c r="H7214" t="s">
        <v>430</v>
      </c>
      <c r="I7214" t="s">
        <v>383</v>
      </c>
    </row>
    <row r="7215" spans="1:12" x14ac:dyDescent="0.25">
      <c r="A7215" s="1">
        <f t="shared" ref="A7215:A7278" si="1324">DATE(2024,11,3)</f>
        <v>45599</v>
      </c>
      <c r="B7215" s="31">
        <f>TIME(7,50,0)</f>
        <v>0.3263888888888889</v>
      </c>
      <c r="C7215" t="str">
        <f>'Inventory as of 12th Aug 2024'!A130</f>
        <v>Kaluma pain killer</v>
      </c>
      <c r="D7215">
        <v>1</v>
      </c>
      <c r="E7215" s="5">
        <f>Table4[[#This Row],[qty]]*(VLOOKUP(Table4[[#This Row],[item_sold]],Table1[],5,FALSE))</f>
        <v>10</v>
      </c>
      <c r="F7215" s="5">
        <f>(VLOOKUP(Table4[[#This Row],[item_sold]],Table1[],4,FALSE))*Table4[[#This Row],[qty]]</f>
        <v>7</v>
      </c>
      <c r="G7215">
        <f t="shared" si="1319"/>
        <v>3</v>
      </c>
      <c r="H7215" t="s">
        <v>430</v>
      </c>
      <c r="I7215" t="s">
        <v>450</v>
      </c>
    </row>
    <row r="7216" spans="1:12" x14ac:dyDescent="0.25">
      <c r="A7216" s="1">
        <f t="shared" si="1324"/>
        <v>45599</v>
      </c>
      <c r="B7216" s="31">
        <f t="shared" ref="B7216" si="1325">TIME(7,50,0)</f>
        <v>0.3263888888888889</v>
      </c>
      <c r="C7216" t="str">
        <f>'Inventory as of 12th Aug 2024'!A251</f>
        <v>Piriton</v>
      </c>
      <c r="D7216">
        <v>5</v>
      </c>
      <c r="E7216" s="5">
        <f>Table4[[#This Row],[qty]]*(VLOOKUP(Table4[[#This Row],[item_sold]],Table1[],5,FALSE))</f>
        <v>5</v>
      </c>
      <c r="F7216" s="5">
        <f>(VLOOKUP(Table4[[#This Row],[item_sold]],Table1[],4,FALSE))*Table4[[#This Row],[qty]]</f>
        <v>2.5</v>
      </c>
      <c r="G7216">
        <f t="shared" si="1319"/>
        <v>2.5</v>
      </c>
      <c r="H7216" t="s">
        <v>430</v>
      </c>
      <c r="I7216" t="s">
        <v>450</v>
      </c>
    </row>
    <row r="7217" spans="1:9" x14ac:dyDescent="0.25">
      <c r="A7217" s="1">
        <f t="shared" si="1324"/>
        <v>45599</v>
      </c>
      <c r="B7217" s="31">
        <f>TIME(8,27,0)</f>
        <v>0.3520833333333333</v>
      </c>
      <c r="C7217" t="str">
        <f>'Inventory as of 12th Aug 2024'!A61</f>
        <v>kensalt 500g</v>
      </c>
      <c r="D7217">
        <v>1</v>
      </c>
      <c r="E7217" s="5">
        <f>Table4[[#This Row],[qty]]*(VLOOKUP(Table4[[#This Row],[item_sold]],Table1[],5,FALSE))</f>
        <v>25</v>
      </c>
      <c r="F7217" s="5">
        <f>(VLOOKUP(Table4[[#This Row],[item_sold]],Table1[],4,FALSE))*Table4[[#This Row],[qty]]</f>
        <v>14</v>
      </c>
      <c r="G7217">
        <f t="shared" si="1319"/>
        <v>11</v>
      </c>
      <c r="H7217" t="s">
        <v>402</v>
      </c>
    </row>
    <row r="7218" spans="1:9" x14ac:dyDescent="0.25">
      <c r="A7218" s="1">
        <f t="shared" si="1324"/>
        <v>45599</v>
      </c>
      <c r="B7218" s="31">
        <f>TIME(8,59,0)</f>
        <v>0.3743055555555555</v>
      </c>
      <c r="C7218" t="str">
        <f>'Inventory as of 12th Aug 2024'!A199</f>
        <v>Kdf</v>
      </c>
      <c r="D7218">
        <v>6</v>
      </c>
      <c r="E7218" s="5">
        <f>Table4[[#This Row],[qty]]*(VLOOKUP(Table4[[#This Row],[item_sold]],Table1[],5,FALSE))</f>
        <v>60</v>
      </c>
      <c r="F7218" s="5">
        <f>(VLOOKUP(Table4[[#This Row],[item_sold]],Table1[],4,FALSE))*Table4[[#This Row],[qty]]</f>
        <v>50</v>
      </c>
      <c r="G7218">
        <f t="shared" si="1319"/>
        <v>10</v>
      </c>
      <c r="H7218" t="s">
        <v>361</v>
      </c>
    </row>
    <row r="7219" spans="1:9" x14ac:dyDescent="0.25">
      <c r="A7219" s="1">
        <f t="shared" si="1324"/>
        <v>45599</v>
      </c>
      <c r="B7219" s="31">
        <f t="shared" ref="B7219" si="1326">TIME(8,59,0)</f>
        <v>0.3743055555555555</v>
      </c>
      <c r="C7219" t="str">
        <f>'Inventory as of 12th Aug 2024'!A33</f>
        <v>BB Bread 400g</v>
      </c>
      <c r="D7219">
        <v>1</v>
      </c>
      <c r="E7219" s="5">
        <f>Table4[[#This Row],[qty]]*(VLOOKUP(Table4[[#This Row],[item_sold]],Table1[],5,FALSE))</f>
        <v>65</v>
      </c>
      <c r="F7219" s="5">
        <f>(VLOOKUP(Table4[[#This Row],[item_sold]],Table1[],4,FALSE))*Table4[[#This Row],[qty]]</f>
        <v>60</v>
      </c>
      <c r="G7219">
        <f t="shared" si="1319"/>
        <v>5</v>
      </c>
      <c r="H7219" t="s">
        <v>361</v>
      </c>
    </row>
    <row r="7220" spans="1:9" x14ac:dyDescent="0.25">
      <c r="A7220" s="1">
        <f t="shared" si="1324"/>
        <v>45599</v>
      </c>
      <c r="B7220" s="31">
        <f>TIME(9,21,0)</f>
        <v>0.38958333333333334</v>
      </c>
      <c r="C7220" t="str">
        <f>'Inventory as of 12th Aug 2024'!A136</f>
        <v>Poa Pekee Tissue</v>
      </c>
      <c r="D7220">
        <v>1</v>
      </c>
      <c r="E7220" s="5">
        <f>Table4[[#This Row],[qty]]*(VLOOKUP(Table4[[#This Row],[item_sold]],Table1[],5,FALSE))</f>
        <v>30</v>
      </c>
      <c r="F7220" s="5">
        <f>(VLOOKUP(Table4[[#This Row],[item_sold]],Table1[],4,FALSE))*Table4[[#This Row],[qty]]</f>
        <v>13.333333333333334</v>
      </c>
      <c r="G7220">
        <f t="shared" si="1319"/>
        <v>16.666666666666664</v>
      </c>
      <c r="H7220" t="s">
        <v>402</v>
      </c>
    </row>
    <row r="7221" spans="1:9" x14ac:dyDescent="0.25">
      <c r="A7221" s="1">
        <f t="shared" si="1324"/>
        <v>45599</v>
      </c>
      <c r="B7221" s="31">
        <f>TIME(9,30,0)</f>
        <v>0.39583333333333331</v>
      </c>
      <c r="C7221" t="str">
        <f>'Inventory as of 12th Aug 2024'!A232</f>
        <v>coo</v>
      </c>
      <c r="D7221">
        <v>8</v>
      </c>
      <c r="E7221" s="5">
        <f>Table4[[#This Row],[qty]]*(VLOOKUP(Table4[[#This Row],[item_sold]],Table1[],5,FALSE))</f>
        <v>20</v>
      </c>
      <c r="F7221" s="5">
        <f>(VLOOKUP(Table4[[#This Row],[item_sold]],Table1[],4,FALSE))*Table4[[#This Row],[qty]]</f>
        <v>9.6</v>
      </c>
      <c r="G7221">
        <f t="shared" si="1319"/>
        <v>10.4</v>
      </c>
      <c r="H7221" t="s">
        <v>361</v>
      </c>
    </row>
    <row r="7222" spans="1:9" x14ac:dyDescent="0.25">
      <c r="A7222" s="1">
        <f t="shared" si="1324"/>
        <v>45599</v>
      </c>
      <c r="B7222" s="31">
        <f t="shared" ref="B7222" si="1327">TIME(9,30,0)</f>
        <v>0.39583333333333331</v>
      </c>
      <c r="C7222" t="str">
        <f>'Inventory as of 12th Aug 2024'!A128</f>
        <v>Kaluma Pain Balm Big</v>
      </c>
      <c r="D7222">
        <v>1</v>
      </c>
      <c r="E7222" s="5">
        <f>Table4[[#This Row],[qty]]*(VLOOKUP(Table4[[#This Row],[item_sold]],Table1[],5,FALSE))</f>
        <v>50</v>
      </c>
      <c r="F7222" s="5">
        <f>(VLOOKUP(Table4[[#This Row],[item_sold]],Table1[],4,FALSE))*Table4[[#This Row],[qty]]</f>
        <v>37.5</v>
      </c>
      <c r="G7222">
        <f t="shared" si="1319"/>
        <v>12.5</v>
      </c>
      <c r="H7222" t="s">
        <v>361</v>
      </c>
    </row>
    <row r="7223" spans="1:9" x14ac:dyDescent="0.25">
      <c r="A7223" s="1">
        <f t="shared" si="1324"/>
        <v>45599</v>
      </c>
      <c r="B7223" s="31">
        <f>TIME(9,58,0)</f>
        <v>0.4152777777777778</v>
      </c>
      <c r="C7223" t="str">
        <f>'Inventory as of 12th Aug 2024'!A16</f>
        <v>Mt kenya milk 500ml</v>
      </c>
      <c r="D7223">
        <v>1</v>
      </c>
      <c r="E7223" s="5">
        <f>Table4[[#This Row],[qty]]*(VLOOKUP(Table4[[#This Row],[item_sold]],Table1[],5,FALSE))</f>
        <v>65</v>
      </c>
      <c r="F7223" s="5">
        <f>(VLOOKUP(Table4[[#This Row],[item_sold]],Table1[],4,FALSE))*Table4[[#This Row],[qty]]</f>
        <v>48.333333333333336</v>
      </c>
      <c r="G7223">
        <f t="shared" si="1319"/>
        <v>16.666666666666664</v>
      </c>
      <c r="H7223" t="s">
        <v>430</v>
      </c>
      <c r="I7223" t="s">
        <v>385</v>
      </c>
    </row>
    <row r="7224" spans="1:9" x14ac:dyDescent="0.25">
      <c r="A7224" s="1">
        <f t="shared" si="1324"/>
        <v>45599</v>
      </c>
      <c r="B7224" s="31">
        <f t="shared" ref="B7224" si="1328">TIME(9,58,0)</f>
        <v>0.4152777777777778</v>
      </c>
      <c r="C7224" t="str">
        <f>'Inventory as of 12th Aug 2024'!A37</f>
        <v>Festive Bread 400g</v>
      </c>
      <c r="D7224">
        <v>1</v>
      </c>
      <c r="E7224" s="5">
        <f>Table4[[#This Row],[qty]]*(VLOOKUP(Table4[[#This Row],[item_sold]],Table1[],5,FALSE))</f>
        <v>65</v>
      </c>
      <c r="F7224" s="5">
        <f>(VLOOKUP(Table4[[#This Row],[item_sold]],Table1[],4,FALSE))*Table4[[#This Row],[qty]]</f>
        <v>60</v>
      </c>
      <c r="G7224">
        <f t="shared" si="1319"/>
        <v>5</v>
      </c>
      <c r="H7224" t="s">
        <v>430</v>
      </c>
      <c r="I7224" t="s">
        <v>385</v>
      </c>
    </row>
    <row r="7225" spans="1:9" x14ac:dyDescent="0.25">
      <c r="A7225" s="1">
        <f t="shared" si="1324"/>
        <v>45599</v>
      </c>
      <c r="B7225" s="31">
        <f>TIME(9,57,0)</f>
        <v>0.4145833333333333</v>
      </c>
      <c r="C7225" t="str">
        <f>'Inventory as of 12th Aug 2024'!A33</f>
        <v>BB Bread 400g</v>
      </c>
      <c r="D7225">
        <v>2</v>
      </c>
      <c r="E7225" s="5">
        <f>Table4[[#This Row],[qty]]*(VLOOKUP(Table4[[#This Row],[item_sold]],Table1[],5,FALSE))</f>
        <v>130</v>
      </c>
      <c r="F7225" s="5">
        <f>(VLOOKUP(Table4[[#This Row],[item_sold]],Table1[],4,FALSE))*Table4[[#This Row],[qty]]</f>
        <v>120</v>
      </c>
      <c r="G7225">
        <f t="shared" si="1319"/>
        <v>10</v>
      </c>
      <c r="H7225" t="s">
        <v>361</v>
      </c>
    </row>
    <row r="7226" spans="1:9" x14ac:dyDescent="0.25">
      <c r="A7226" s="1">
        <f t="shared" si="1324"/>
        <v>45599</v>
      </c>
      <c r="B7226" s="31">
        <f>TIME(9,57,0)</f>
        <v>0.4145833333333333</v>
      </c>
      <c r="C7226" t="str">
        <f>'Inventory as of 12th Aug 2024'!A8</f>
        <v>eggs</v>
      </c>
      <c r="D7226">
        <v>1</v>
      </c>
      <c r="E7226" s="5">
        <f>Table4[[#This Row],[qty]]*(VLOOKUP(Table4[[#This Row],[item_sold]],Table1[],5,FALSE))</f>
        <v>20</v>
      </c>
      <c r="F7226" s="5">
        <f>(VLOOKUP(Table4[[#This Row],[item_sold]],Table1[],4,FALSE))*Table4[[#This Row],[qty]]</f>
        <v>14.333333333333334</v>
      </c>
      <c r="G7226">
        <f t="shared" si="1319"/>
        <v>5.6666666666666661</v>
      </c>
      <c r="H7226" t="s">
        <v>361</v>
      </c>
    </row>
    <row r="7227" spans="1:9" x14ac:dyDescent="0.25">
      <c r="A7227" s="1">
        <f t="shared" si="1324"/>
        <v>45599</v>
      </c>
      <c r="B7227" s="31">
        <f>TIME(10,21,0)</f>
        <v>0.43124999999999997</v>
      </c>
      <c r="C7227" t="str">
        <f>'Inventory as of 12th Aug 2024'!A45</f>
        <v>Ajab 1kg</v>
      </c>
      <c r="D7227">
        <v>1</v>
      </c>
      <c r="E7227" s="5">
        <f>Table4[[#This Row],[qty]]*(VLOOKUP(Table4[[#This Row],[item_sold]],Table1[],5,FALSE))</f>
        <v>120</v>
      </c>
      <c r="F7227" s="5">
        <f>(VLOOKUP(Table4[[#This Row],[item_sold]],Table1[],4,FALSE))*Table4[[#This Row],[qty]]</f>
        <v>87.5</v>
      </c>
      <c r="G7227">
        <f t="shared" si="1319"/>
        <v>32.5</v>
      </c>
      <c r="H7227" t="s">
        <v>361</v>
      </c>
    </row>
    <row r="7228" spans="1:9" x14ac:dyDescent="0.25">
      <c r="A7228" s="1">
        <f t="shared" si="1324"/>
        <v>45599</v>
      </c>
      <c r="B7228" s="31">
        <f>TIME(10,26,0)</f>
        <v>0.43472222222222223</v>
      </c>
      <c r="C7228" t="str">
        <f>'Inventory as of 12th Aug 2024'!A179</f>
        <v>Bitez</v>
      </c>
      <c r="D7228">
        <v>2</v>
      </c>
      <c r="E7228" s="5">
        <f>Table4[[#This Row],[qty]]*(VLOOKUP(Table4[[#This Row],[item_sold]],Table1[],5,FALSE))</f>
        <v>30</v>
      </c>
      <c r="F7228" s="5">
        <f>(VLOOKUP(Table4[[#This Row],[item_sold]],Table1[],4,FALSE))*Table4[[#This Row],[qty]]</f>
        <v>17.600000000000001</v>
      </c>
      <c r="G7228">
        <f t="shared" si="1319"/>
        <v>12.399999999999999</v>
      </c>
      <c r="H7228" t="s">
        <v>361</v>
      </c>
    </row>
    <row r="7229" spans="1:9" x14ac:dyDescent="0.25">
      <c r="A7229" s="1">
        <f t="shared" si="1324"/>
        <v>45599</v>
      </c>
      <c r="B7229" s="31">
        <f t="shared" ref="B7229:B7231" si="1329">TIME(10,26,0)</f>
        <v>0.43472222222222223</v>
      </c>
      <c r="C7229" t="str">
        <f>'Inventory as of 12th Aug 2024'!A234</f>
        <v>Bigdaddy</v>
      </c>
      <c r="D7229">
        <v>6</v>
      </c>
      <c r="E7229" s="5">
        <f>Table4[[#This Row],[qty]]*(VLOOKUP(Table4[[#This Row],[item_sold]],Table1[],5,FALSE))</f>
        <v>60</v>
      </c>
      <c r="F7229" s="5">
        <f>(VLOOKUP(Table4[[#This Row],[item_sold]],Table1[],4,FALSE))*Table4[[#This Row],[qty]]</f>
        <v>36</v>
      </c>
      <c r="G7229">
        <f t="shared" si="1319"/>
        <v>24</v>
      </c>
      <c r="H7229" t="s">
        <v>361</v>
      </c>
    </row>
    <row r="7230" spans="1:9" x14ac:dyDescent="0.25">
      <c r="A7230" s="1">
        <f t="shared" si="1324"/>
        <v>45599</v>
      </c>
      <c r="B7230" s="31">
        <f t="shared" si="1329"/>
        <v>0.43472222222222223</v>
      </c>
      <c r="C7230" t="str">
        <f>'Inventory as of 12th Aug 2024'!A240</f>
        <v>Bigboss</v>
      </c>
      <c r="D7230">
        <v>2</v>
      </c>
      <c r="E7230" s="5">
        <f>Table4[[#This Row],[qty]]*(VLOOKUP(Table4[[#This Row],[item_sold]],Table1[],5,FALSE))</f>
        <v>10</v>
      </c>
      <c r="F7230" s="5">
        <f>(VLOOKUP(Table4[[#This Row],[item_sold]],Table1[],4,FALSE))*Table4[[#This Row],[qty]]</f>
        <v>7</v>
      </c>
      <c r="G7230">
        <f t="shared" si="1319"/>
        <v>3</v>
      </c>
      <c r="H7230" t="s">
        <v>361</v>
      </c>
    </row>
    <row r="7231" spans="1:9" x14ac:dyDescent="0.25">
      <c r="A7231" s="1">
        <f t="shared" si="1324"/>
        <v>45599</v>
      </c>
      <c r="B7231" s="31">
        <f t="shared" si="1329"/>
        <v>0.43472222222222223</v>
      </c>
      <c r="C7231" t="str">
        <f>'Inventory as of 12th Aug 2024'!A267</f>
        <v>Ting Ting</v>
      </c>
      <c r="D7231">
        <v>3</v>
      </c>
      <c r="E7231" s="5">
        <f>Table4[[#This Row],[qty]]*(VLOOKUP(Table4[[#This Row],[item_sold]],Table1[],5,FALSE))</f>
        <v>15</v>
      </c>
      <c r="F7231" s="5">
        <f>(VLOOKUP(Table4[[#This Row],[item_sold]],Table1[],4,FALSE))*Table4[[#This Row],[qty]]</f>
        <v>12.18</v>
      </c>
      <c r="G7231">
        <f t="shared" si="1319"/>
        <v>2.8200000000000003</v>
      </c>
      <c r="H7231" t="s">
        <v>402</v>
      </c>
    </row>
    <row r="7232" spans="1:9" x14ac:dyDescent="0.25">
      <c r="A7232" s="1">
        <f t="shared" si="1324"/>
        <v>45599</v>
      </c>
      <c r="B7232" s="31">
        <f>TIME(11,26,0)</f>
        <v>0.47638888888888892</v>
      </c>
      <c r="C7232" t="str">
        <f>'Inventory as of 12th Aug 2024'!A90</f>
        <v>Onion</v>
      </c>
      <c r="D7232">
        <v>5</v>
      </c>
      <c r="E7232" s="5">
        <f>Table4[[#This Row],[qty]]*(VLOOKUP(Table4[[#This Row],[item_sold]],Table1[],5,FALSE))</f>
        <v>50</v>
      </c>
      <c r="F7232" s="5">
        <f>(VLOOKUP(Table4[[#This Row],[item_sold]],Table1[],4,FALSE))*Table4[[#This Row],[qty]]</f>
        <v>40</v>
      </c>
      <c r="G7232">
        <f t="shared" si="1319"/>
        <v>10</v>
      </c>
      <c r="H7232" t="s">
        <v>402</v>
      </c>
    </row>
    <row r="7233" spans="1:9" x14ac:dyDescent="0.25">
      <c r="A7233" s="1">
        <f t="shared" si="1324"/>
        <v>45599</v>
      </c>
      <c r="B7233" s="31">
        <f>TIME(11,26,0)</f>
        <v>0.47638888888888892</v>
      </c>
      <c r="C7233" t="str">
        <f>'Inventory as of 12th Aug 2024'!A91</f>
        <v>Tomatoes</v>
      </c>
      <c r="D7233">
        <v>5</v>
      </c>
      <c r="E7233" s="5">
        <f>Table4[[#This Row],[qty]]*(VLOOKUP(Table4[[#This Row],[item_sold]],Table1[],5,FALSE))</f>
        <v>50</v>
      </c>
      <c r="F7233" s="5">
        <f>(VLOOKUP(Table4[[#This Row],[item_sold]],Table1[],4,FALSE))*Table4[[#This Row],[qty]]</f>
        <v>25</v>
      </c>
      <c r="G7233">
        <f t="shared" si="1319"/>
        <v>25</v>
      </c>
      <c r="H7233" t="s">
        <v>402</v>
      </c>
    </row>
    <row r="7234" spans="1:9" x14ac:dyDescent="0.25">
      <c r="A7234" s="1">
        <f t="shared" si="1324"/>
        <v>45599</v>
      </c>
      <c r="B7234" s="31">
        <f>TIME(11,44,0)</f>
        <v>0.48888888888888887</v>
      </c>
      <c r="C7234" t="str">
        <f>'Inventory as of 12th Aug 2024'!A83</f>
        <v>omo 75g</v>
      </c>
      <c r="D7234">
        <v>1</v>
      </c>
      <c r="E7234" s="5">
        <f>Table4[[#This Row],[qty]]*(VLOOKUP(Table4[[#This Row],[item_sold]],Table1[],5,FALSE))</f>
        <v>35</v>
      </c>
      <c r="F7234" s="5">
        <f>(VLOOKUP(Table4[[#This Row],[item_sold]],Table1[],4,FALSE))*Table4[[#This Row],[qty]]</f>
        <v>27.5</v>
      </c>
      <c r="G7234">
        <f t="shared" si="1319"/>
        <v>7.5</v>
      </c>
      <c r="H7234" t="s">
        <v>361</v>
      </c>
    </row>
    <row r="7235" spans="1:9" x14ac:dyDescent="0.25">
      <c r="A7235" s="1">
        <f t="shared" si="1324"/>
        <v>45599</v>
      </c>
      <c r="B7235" s="31">
        <f t="shared" ref="B7235" si="1330">TIME(11,44,0)</f>
        <v>0.48888888888888887</v>
      </c>
      <c r="C7235" t="str">
        <f>'Inventory as of 12th Aug 2024'!A84</f>
        <v>omo 20g</v>
      </c>
      <c r="D7235">
        <v>1</v>
      </c>
      <c r="E7235" s="5">
        <f>Table4[[#This Row],[qty]]*(VLOOKUP(Table4[[#This Row],[item_sold]],Table1[],5,FALSE))</f>
        <v>15</v>
      </c>
      <c r="F7235" s="5">
        <f>(VLOOKUP(Table4[[#This Row],[item_sold]],Table1[],4,FALSE))*Table4[[#This Row],[qty]]</f>
        <v>9.1666666666666661</v>
      </c>
      <c r="G7235">
        <f t="shared" si="1319"/>
        <v>5.8333333333333339</v>
      </c>
      <c r="H7235" t="s">
        <v>361</v>
      </c>
    </row>
    <row r="7236" spans="1:9" x14ac:dyDescent="0.25">
      <c r="A7236" s="1">
        <f t="shared" si="1324"/>
        <v>45599</v>
      </c>
      <c r="B7236" s="31">
        <f>TIME(12,2,0)</f>
        <v>0.50138888888888888</v>
      </c>
      <c r="C7236" t="str">
        <f>'Inventory as of 12th Aug 2024'!A120</f>
        <v>Maramoja</v>
      </c>
      <c r="D7236">
        <v>2</v>
      </c>
      <c r="E7236" s="5">
        <f>Table4[[#This Row],[qty]]*(VLOOKUP(Table4[[#This Row],[item_sold]],Table1[],5,FALSE))</f>
        <v>20</v>
      </c>
      <c r="F7236" s="5">
        <f>(VLOOKUP(Table4[[#This Row],[item_sold]],Table1[],4,FALSE))*Table4[[#This Row],[qty]]</f>
        <v>14</v>
      </c>
      <c r="G7236">
        <f t="shared" si="1319"/>
        <v>6</v>
      </c>
      <c r="H7236" t="s">
        <v>402</v>
      </c>
    </row>
    <row r="7237" spans="1:9" x14ac:dyDescent="0.25">
      <c r="A7237" s="1">
        <f t="shared" si="1324"/>
        <v>45599</v>
      </c>
      <c r="B7237" s="31">
        <f>TIME(11,20,0)</f>
        <v>0.47222222222222227</v>
      </c>
      <c r="C7237" t="str">
        <f>'Inventory as of 12th Aug 2024'!A33</f>
        <v>BB Bread 400g</v>
      </c>
      <c r="D7237">
        <v>1</v>
      </c>
      <c r="E7237" s="5">
        <f>Table4[[#This Row],[qty]]*(VLOOKUP(Table4[[#This Row],[item_sold]],Table1[],5,FALSE))</f>
        <v>65</v>
      </c>
      <c r="F7237" s="5">
        <f>(VLOOKUP(Table4[[#This Row],[item_sold]],Table1[],4,FALSE))*Table4[[#This Row],[qty]]</f>
        <v>60</v>
      </c>
      <c r="G7237">
        <f t="shared" si="1319"/>
        <v>5</v>
      </c>
      <c r="H7237" t="s">
        <v>430</v>
      </c>
      <c r="I7237" t="s">
        <v>455</v>
      </c>
    </row>
    <row r="7238" spans="1:9" x14ac:dyDescent="0.25">
      <c r="A7238" s="1">
        <f t="shared" si="1324"/>
        <v>45599</v>
      </c>
      <c r="B7238" s="31">
        <f>TIME(12,25,0)</f>
        <v>0.51736111111111105</v>
      </c>
      <c r="C7238" t="str">
        <f>'Inventory as of 12th Aug 2024'!A68</f>
        <v>Royco cubes</v>
      </c>
      <c r="D7238">
        <v>4</v>
      </c>
      <c r="E7238" s="5">
        <f>Table4[[#This Row],[qty]]*(VLOOKUP(Table4[[#This Row],[item_sold]],Table1[],5,FALSE))</f>
        <v>20</v>
      </c>
      <c r="F7238" s="5">
        <f>(VLOOKUP(Table4[[#This Row],[item_sold]],Table1[],4,FALSE))*Table4[[#This Row],[qty]]</f>
        <v>12</v>
      </c>
      <c r="G7238">
        <f t="shared" si="1319"/>
        <v>8</v>
      </c>
      <c r="H7238" t="s">
        <v>361</v>
      </c>
    </row>
    <row r="7239" spans="1:9" x14ac:dyDescent="0.25">
      <c r="A7239" s="1">
        <f t="shared" si="1324"/>
        <v>45599</v>
      </c>
      <c r="B7239" s="31">
        <f>TIME(12,39,0)</f>
        <v>0.52708333333333335</v>
      </c>
      <c r="C7239" t="str">
        <f>'Inventory as of 12th Aug 2024'!A213</f>
        <v>soda 500ml glass</v>
      </c>
      <c r="D7239">
        <v>1</v>
      </c>
      <c r="E7239" s="5">
        <f>Table4[[#This Row],[qty]]*(VLOOKUP(Table4[[#This Row],[item_sold]],Table1[],5,FALSE))</f>
        <v>55</v>
      </c>
      <c r="F7239" s="5">
        <f>(VLOOKUP(Table4[[#This Row],[item_sold]],Table1[],4,FALSE))*Table4[[#This Row],[qty]]</f>
        <v>50</v>
      </c>
      <c r="G7239">
        <f t="shared" si="1319"/>
        <v>5</v>
      </c>
      <c r="H7239" t="s">
        <v>430</v>
      </c>
      <c r="I7239" t="s">
        <v>455</v>
      </c>
    </row>
    <row r="7240" spans="1:9" x14ac:dyDescent="0.25">
      <c r="A7240" s="1">
        <f t="shared" si="1324"/>
        <v>45599</v>
      </c>
      <c r="B7240" s="31">
        <f>TIME(12,39,0)</f>
        <v>0.52708333333333335</v>
      </c>
      <c r="C7240" t="str">
        <f>'Inventory as of 12th Aug 2024'!A206</f>
        <v>soda 500ml plastic</v>
      </c>
      <c r="D7240">
        <v>1</v>
      </c>
      <c r="E7240" s="5">
        <f>Table4[[#This Row],[qty]]*(VLOOKUP(Table4[[#This Row],[item_sold]],Table1[],5,FALSE))</f>
        <v>70</v>
      </c>
      <c r="F7240" s="5">
        <f>(VLOOKUP(Table4[[#This Row],[item_sold]],Table1[],4,FALSE))*Table4[[#This Row],[qty]]</f>
        <v>60.416666666666664</v>
      </c>
      <c r="G7240">
        <f t="shared" si="1319"/>
        <v>9.5833333333333357</v>
      </c>
      <c r="H7240" t="s">
        <v>402</v>
      </c>
    </row>
    <row r="7241" spans="1:9" x14ac:dyDescent="0.25">
      <c r="A7241" s="1">
        <f t="shared" si="1324"/>
        <v>45599</v>
      </c>
      <c r="B7241" s="31">
        <f>TIME(13,9,0)</f>
        <v>0.54791666666666672</v>
      </c>
      <c r="C7241" t="str">
        <f>'Inventory as of 12th Aug 2024'!A199</f>
        <v>Kdf</v>
      </c>
      <c r="D7241">
        <v>6</v>
      </c>
      <c r="E7241" s="5">
        <f>Table4[[#This Row],[qty]]*(VLOOKUP(Table4[[#This Row],[item_sold]],Table1[],5,FALSE))</f>
        <v>60</v>
      </c>
      <c r="F7241" s="5">
        <f>(VLOOKUP(Table4[[#This Row],[item_sold]],Table1[],4,FALSE))*Table4[[#This Row],[qty]]</f>
        <v>50</v>
      </c>
      <c r="G7241">
        <f t="shared" si="1319"/>
        <v>10</v>
      </c>
      <c r="H7241" t="s">
        <v>402</v>
      </c>
    </row>
    <row r="7242" spans="1:9" x14ac:dyDescent="0.25">
      <c r="A7242" s="1">
        <f t="shared" si="1324"/>
        <v>45599</v>
      </c>
      <c r="B7242" s="31">
        <f t="shared" ref="B7242:B7253" si="1331">TIME(13,9,0)</f>
        <v>0.54791666666666672</v>
      </c>
      <c r="C7242" t="str">
        <f>'Inventory as of 12th Aug 2024'!A16</f>
        <v>Mt kenya milk 500ml</v>
      </c>
      <c r="D7242">
        <v>1</v>
      </c>
      <c r="E7242" s="5">
        <f>Table4[[#This Row],[qty]]*(VLOOKUP(Table4[[#This Row],[item_sold]],Table1[],5,FALSE))</f>
        <v>65</v>
      </c>
      <c r="F7242" s="5">
        <f>(VLOOKUP(Table4[[#This Row],[item_sold]],Table1[],4,FALSE))*Table4[[#This Row],[qty]]</f>
        <v>48.333333333333336</v>
      </c>
      <c r="G7242">
        <f t="shared" si="1319"/>
        <v>16.666666666666664</v>
      </c>
      <c r="H7242" t="s">
        <v>402</v>
      </c>
    </row>
    <row r="7243" spans="1:9" x14ac:dyDescent="0.25">
      <c r="A7243" s="1">
        <f t="shared" si="1324"/>
        <v>45599</v>
      </c>
      <c r="B7243" s="31">
        <f t="shared" si="1331"/>
        <v>0.54791666666666672</v>
      </c>
      <c r="C7243" t="str">
        <f>'Inventory as of 12th Aug 2024'!A120</f>
        <v>Maramoja</v>
      </c>
      <c r="D7243">
        <v>1</v>
      </c>
      <c r="E7243" s="5">
        <f>Table4[[#This Row],[qty]]*(VLOOKUP(Table4[[#This Row],[item_sold]],Table1[],5,FALSE))</f>
        <v>10</v>
      </c>
      <c r="F7243" s="5">
        <f>(VLOOKUP(Table4[[#This Row],[item_sold]],Table1[],4,FALSE))*Table4[[#This Row],[qty]]</f>
        <v>7</v>
      </c>
      <c r="G7243">
        <f t="shared" si="1319"/>
        <v>3</v>
      </c>
      <c r="H7243" t="s">
        <v>361</v>
      </c>
    </row>
    <row r="7244" spans="1:9" x14ac:dyDescent="0.25">
      <c r="A7244" s="1">
        <f t="shared" si="1324"/>
        <v>45599</v>
      </c>
      <c r="B7244" s="31">
        <f t="shared" si="1331"/>
        <v>0.54791666666666672</v>
      </c>
      <c r="C7244" t="str">
        <f>'Inventory as of 12th Aug 2024'!A16</f>
        <v>Mt kenya milk 500ml</v>
      </c>
      <c r="D7244">
        <v>1</v>
      </c>
      <c r="E7244" s="5">
        <f>Table4[[#This Row],[qty]]*(VLOOKUP(Table4[[#This Row],[item_sold]],Table1[],5,FALSE))</f>
        <v>65</v>
      </c>
      <c r="F7244" s="5">
        <f>(VLOOKUP(Table4[[#This Row],[item_sold]],Table1[],4,FALSE))*Table4[[#This Row],[qty]]</f>
        <v>48.333333333333336</v>
      </c>
      <c r="G7244">
        <f t="shared" si="1319"/>
        <v>16.666666666666664</v>
      </c>
      <c r="H7244" t="s">
        <v>361</v>
      </c>
    </row>
    <row r="7245" spans="1:9" x14ac:dyDescent="0.25">
      <c r="A7245" s="1">
        <f t="shared" si="1324"/>
        <v>45599</v>
      </c>
      <c r="B7245" s="31">
        <f t="shared" si="1331"/>
        <v>0.54791666666666672</v>
      </c>
      <c r="C7245" t="str">
        <f>'Inventory as of 12th Aug 2024'!A212</f>
        <v>soda 300ml glass</v>
      </c>
      <c r="D7245">
        <v>2</v>
      </c>
      <c r="E7245" s="5">
        <f>Table4[[#This Row],[qty]]*(VLOOKUP(Table4[[#This Row],[item_sold]],Table1[],5,FALSE))</f>
        <v>80</v>
      </c>
      <c r="F7245" s="5">
        <f>(VLOOKUP(Table4[[#This Row],[item_sold]],Table1[],4,FALSE))*Table4[[#This Row],[qty]]</f>
        <v>65</v>
      </c>
      <c r="G7245">
        <f t="shared" si="1319"/>
        <v>15</v>
      </c>
      <c r="H7245" t="s">
        <v>361</v>
      </c>
    </row>
    <row r="7246" spans="1:9" x14ac:dyDescent="0.25">
      <c r="A7246" s="1">
        <f t="shared" si="1324"/>
        <v>45599</v>
      </c>
      <c r="B7246" s="31">
        <f t="shared" si="1331"/>
        <v>0.54791666666666672</v>
      </c>
      <c r="C7246" t="str">
        <f>'Inventory as of 12th Aug 2024'!A37</f>
        <v>Festive Bread 400g</v>
      </c>
      <c r="D7246">
        <v>1</v>
      </c>
      <c r="E7246" s="5">
        <f>Table4[[#This Row],[qty]]*(VLOOKUP(Table4[[#This Row],[item_sold]],Table1[],5,FALSE))</f>
        <v>65</v>
      </c>
      <c r="F7246" s="5">
        <f>(VLOOKUP(Table4[[#This Row],[item_sold]],Table1[],4,FALSE))*Table4[[#This Row],[qty]]</f>
        <v>60</v>
      </c>
      <c r="G7246">
        <f t="shared" si="1319"/>
        <v>5</v>
      </c>
      <c r="H7246" s="25" t="s">
        <v>361</v>
      </c>
    </row>
    <row r="7247" spans="1:9" x14ac:dyDescent="0.25">
      <c r="A7247" s="1">
        <f t="shared" si="1324"/>
        <v>45599</v>
      </c>
      <c r="B7247" s="31">
        <f t="shared" si="1331"/>
        <v>0.54791666666666672</v>
      </c>
      <c r="C7247" t="str">
        <f>'Inventory as of 12th Aug 2024'!A211</f>
        <v>predator</v>
      </c>
      <c r="D7247">
        <v>1</v>
      </c>
      <c r="E7247" s="5">
        <f>Table4[[#This Row],[qty]]*(VLOOKUP(Table4[[#This Row],[item_sold]],Table1[],5,FALSE))</f>
        <v>70</v>
      </c>
      <c r="F7247" s="5">
        <f>(VLOOKUP(Table4[[#This Row],[item_sold]],Table1[],4,FALSE))*Table4[[#This Row],[qty]]</f>
        <v>54.166666666666664</v>
      </c>
      <c r="G7247">
        <f t="shared" si="1319"/>
        <v>15.833333333333336</v>
      </c>
      <c r="H7247" t="s">
        <v>402</v>
      </c>
    </row>
    <row r="7248" spans="1:9" x14ac:dyDescent="0.25">
      <c r="A7248" s="1">
        <f t="shared" si="1324"/>
        <v>45599</v>
      </c>
      <c r="B7248" s="31">
        <f t="shared" si="1331"/>
        <v>0.54791666666666672</v>
      </c>
      <c r="C7248" t="str">
        <f>'Inventory as of 12th Aug 2024'!A200</f>
        <v>Ngumu</v>
      </c>
      <c r="D7248">
        <v>3</v>
      </c>
      <c r="E7248" s="5">
        <f>Table4[[#This Row],[qty]]*(VLOOKUP(Table4[[#This Row],[item_sold]],Table1[],5,FALSE))</f>
        <v>30</v>
      </c>
      <c r="F7248" s="5">
        <f>(VLOOKUP(Table4[[#This Row],[item_sold]],Table1[],4,FALSE))*Table4[[#This Row],[qty]]</f>
        <v>25</v>
      </c>
      <c r="G7248">
        <f t="shared" si="1319"/>
        <v>5</v>
      </c>
      <c r="H7248" t="s">
        <v>402</v>
      </c>
    </row>
    <row r="7249" spans="1:9" x14ac:dyDescent="0.25">
      <c r="A7249" s="1">
        <f t="shared" si="1324"/>
        <v>45599</v>
      </c>
      <c r="B7249" s="31">
        <f t="shared" si="1331"/>
        <v>0.54791666666666672</v>
      </c>
      <c r="C7249" t="str">
        <f>'Inventory as of 12th Aug 2024'!A212</f>
        <v>soda 300ml glass</v>
      </c>
      <c r="D7249">
        <v>1</v>
      </c>
      <c r="E7249" s="5">
        <f>Table4[[#This Row],[qty]]*(VLOOKUP(Table4[[#This Row],[item_sold]],Table1[],5,FALSE))</f>
        <v>40</v>
      </c>
      <c r="F7249" s="5">
        <f>(VLOOKUP(Table4[[#This Row],[item_sold]],Table1[],4,FALSE))*Table4[[#This Row],[qty]]</f>
        <v>32.5</v>
      </c>
      <c r="G7249">
        <f t="shared" si="1319"/>
        <v>7.5</v>
      </c>
      <c r="H7249" t="s">
        <v>402</v>
      </c>
    </row>
    <row r="7250" spans="1:9" x14ac:dyDescent="0.25">
      <c r="A7250" s="1">
        <f t="shared" si="1324"/>
        <v>45599</v>
      </c>
      <c r="B7250" s="31">
        <f t="shared" si="1331"/>
        <v>0.54791666666666672</v>
      </c>
      <c r="C7250" t="str">
        <f>'Inventory as of 12th Aug 2024'!A199</f>
        <v>Kdf</v>
      </c>
      <c r="D7250">
        <v>4</v>
      </c>
      <c r="E7250" s="5">
        <f>Table4[[#This Row],[qty]]*(VLOOKUP(Table4[[#This Row],[item_sold]],Table1[],5,FALSE))</f>
        <v>40</v>
      </c>
      <c r="F7250" s="5">
        <f>(VLOOKUP(Table4[[#This Row],[item_sold]],Table1[],4,FALSE))*Table4[[#This Row],[qty]]</f>
        <v>33.333333333333336</v>
      </c>
      <c r="G7250">
        <f t="shared" si="1319"/>
        <v>6.6666666666666643</v>
      </c>
      <c r="H7250" t="s">
        <v>402</v>
      </c>
    </row>
    <row r="7251" spans="1:9" x14ac:dyDescent="0.25">
      <c r="A7251" s="1">
        <f t="shared" si="1324"/>
        <v>45599</v>
      </c>
      <c r="B7251" s="31">
        <f t="shared" si="1331"/>
        <v>0.54791666666666672</v>
      </c>
      <c r="C7251" t="str">
        <f>'Inventory as of 12th Aug 2024'!A199</f>
        <v>Kdf</v>
      </c>
      <c r="D7251">
        <v>1</v>
      </c>
      <c r="E7251" s="5">
        <f>Table4[[#This Row],[qty]]*(VLOOKUP(Table4[[#This Row],[item_sold]],Table1[],5,FALSE))</f>
        <v>10</v>
      </c>
      <c r="F7251" s="5">
        <f>(VLOOKUP(Table4[[#This Row],[item_sold]],Table1[],4,FALSE))*Table4[[#This Row],[qty]]</f>
        <v>8.3333333333333339</v>
      </c>
      <c r="G7251">
        <f t="shared" si="1319"/>
        <v>1.6666666666666661</v>
      </c>
      <c r="H7251" t="s">
        <v>361</v>
      </c>
    </row>
    <row r="7252" spans="1:9" x14ac:dyDescent="0.25">
      <c r="A7252" s="1">
        <f t="shared" si="1324"/>
        <v>45599</v>
      </c>
      <c r="B7252" s="31">
        <f t="shared" si="1331"/>
        <v>0.54791666666666672</v>
      </c>
      <c r="C7252" t="str">
        <f>'Inventory as of 12th Aug 2024'!A16</f>
        <v>Mt kenya milk 500ml</v>
      </c>
      <c r="D7252">
        <v>1</v>
      </c>
      <c r="E7252" s="5">
        <f>Table4[[#This Row],[qty]]*(VLOOKUP(Table4[[#This Row],[item_sold]],Table1[],5,FALSE))</f>
        <v>65</v>
      </c>
      <c r="F7252" s="5">
        <f>(VLOOKUP(Table4[[#This Row],[item_sold]],Table1[],4,FALSE))*Table4[[#This Row],[qty]]</f>
        <v>48.333333333333336</v>
      </c>
      <c r="G7252">
        <f t="shared" ref="G7252:G7315" si="1332">E7252-F7252</f>
        <v>16.666666666666664</v>
      </c>
      <c r="H7252" t="s">
        <v>402</v>
      </c>
    </row>
    <row r="7253" spans="1:9" x14ac:dyDescent="0.25">
      <c r="A7253" s="1">
        <f t="shared" si="1324"/>
        <v>45599</v>
      </c>
      <c r="B7253" s="31">
        <f t="shared" si="1331"/>
        <v>0.54791666666666672</v>
      </c>
      <c r="C7253" t="str">
        <f>'Inventory as of 12th Aug 2024'!A37</f>
        <v>Festive Bread 400g</v>
      </c>
      <c r="D7253">
        <v>1</v>
      </c>
      <c r="E7253" s="5">
        <f>Table4[[#This Row],[qty]]*(VLOOKUP(Table4[[#This Row],[item_sold]],Table1[],5,FALSE))</f>
        <v>65</v>
      </c>
      <c r="F7253" s="5">
        <f>(VLOOKUP(Table4[[#This Row],[item_sold]],Table1[],4,FALSE))*Table4[[#This Row],[qty]]</f>
        <v>60</v>
      </c>
      <c r="G7253">
        <f t="shared" si="1332"/>
        <v>5</v>
      </c>
      <c r="H7253" t="s">
        <v>402</v>
      </c>
    </row>
    <row r="7254" spans="1:9" x14ac:dyDescent="0.25">
      <c r="A7254" s="1">
        <f t="shared" si="1324"/>
        <v>45599</v>
      </c>
      <c r="B7254" s="31">
        <f>TIME(13,25,0)</f>
        <v>0.55902777777777779</v>
      </c>
      <c r="C7254" t="str">
        <f>'Inventory as of 12th Aug 2024'!A19</f>
        <v>Dairy Fresh v</v>
      </c>
      <c r="D7254">
        <v>1</v>
      </c>
      <c r="E7254" s="5">
        <f>Table4[[#This Row],[qty]]*(VLOOKUP(Table4[[#This Row],[item_sold]],Table1[],5,FALSE))</f>
        <v>85</v>
      </c>
      <c r="F7254" s="5">
        <f>(VLOOKUP(Table4[[#This Row],[item_sold]],Table1[],4,FALSE))*Table4[[#This Row],[qty]]</f>
        <v>75</v>
      </c>
      <c r="G7254">
        <f t="shared" si="1332"/>
        <v>10</v>
      </c>
      <c r="H7254" t="s">
        <v>361</v>
      </c>
    </row>
    <row r="7255" spans="1:9" x14ac:dyDescent="0.25">
      <c r="A7255" s="1">
        <f t="shared" si="1324"/>
        <v>45599</v>
      </c>
      <c r="B7255" s="31">
        <f>TIME(13,26,0)</f>
        <v>0.55972222222222223</v>
      </c>
      <c r="C7255" t="str">
        <f>'Inventory as of 12th Aug 2024'!A58</f>
        <v>Safari</v>
      </c>
      <c r="D7255">
        <v>2</v>
      </c>
      <c r="E7255" s="5">
        <f>Table4[[#This Row],[qty]]*(VLOOKUP(Table4[[#This Row],[item_sold]],Table1[],5,FALSE))</f>
        <v>30</v>
      </c>
      <c r="F7255" s="5">
        <f>(VLOOKUP(Table4[[#This Row],[item_sold]],Table1[],4,FALSE))*Table4[[#This Row],[qty]]</f>
        <v>17</v>
      </c>
      <c r="G7255">
        <f t="shared" si="1332"/>
        <v>13</v>
      </c>
      <c r="H7255" t="s">
        <v>361</v>
      </c>
    </row>
    <row r="7256" spans="1:9" x14ac:dyDescent="0.25">
      <c r="A7256" s="1">
        <f t="shared" si="1324"/>
        <v>45599</v>
      </c>
      <c r="B7256" s="31">
        <f>TIME(13,29,0)</f>
        <v>0.56180555555555556</v>
      </c>
      <c r="C7256" t="str">
        <f>'Inventory as of 12th Aug 2024'!A58</f>
        <v>Safari</v>
      </c>
      <c r="D7256">
        <v>2</v>
      </c>
      <c r="E7256" s="5">
        <f>Table4[[#This Row],[qty]]*(VLOOKUP(Table4[[#This Row],[item_sold]],Table1[],5,FALSE))</f>
        <v>30</v>
      </c>
      <c r="F7256" s="5">
        <f>(VLOOKUP(Table4[[#This Row],[item_sold]],Table1[],4,FALSE))*Table4[[#This Row],[qty]]</f>
        <v>17</v>
      </c>
      <c r="G7256">
        <f t="shared" si="1332"/>
        <v>13</v>
      </c>
      <c r="H7256" t="s">
        <v>361</v>
      </c>
    </row>
    <row r="7257" spans="1:9" x14ac:dyDescent="0.25">
      <c r="A7257" s="1">
        <f t="shared" si="1324"/>
        <v>45599</v>
      </c>
      <c r="B7257" s="31">
        <f>TIME(13,30,0)</f>
        <v>0.5625</v>
      </c>
      <c r="C7257" t="str">
        <f>'Inventory as of 12th Aug 2024'!A246</f>
        <v>300ml water</v>
      </c>
      <c r="D7257">
        <v>1</v>
      </c>
      <c r="E7257" s="5">
        <f>Table4[[#This Row],[qty]]*(VLOOKUP(Table4[[#This Row],[item_sold]],Table1[],5,FALSE))</f>
        <v>30</v>
      </c>
      <c r="F7257" s="5">
        <f>(VLOOKUP(Table4[[#This Row],[item_sold]],Table1[],4,FALSE))*Table4[[#This Row],[qty]]</f>
        <v>12.5</v>
      </c>
      <c r="G7257">
        <f t="shared" si="1332"/>
        <v>17.5</v>
      </c>
      <c r="H7257" t="s">
        <v>402</v>
      </c>
    </row>
    <row r="7258" spans="1:9" x14ac:dyDescent="0.25">
      <c r="A7258" s="1">
        <f t="shared" si="1324"/>
        <v>45599</v>
      </c>
      <c r="B7258" s="31">
        <f>TIME(13,32,0)</f>
        <v>0.56388888888888888</v>
      </c>
      <c r="C7258" t="str">
        <f>'Inventory as of 12th Aug 2024'!A212</f>
        <v>soda 300ml glass</v>
      </c>
      <c r="D7258">
        <v>1</v>
      </c>
      <c r="E7258" s="5">
        <f>Table4[[#This Row],[qty]]*(VLOOKUP(Table4[[#This Row],[item_sold]],Table1[],5,FALSE))</f>
        <v>40</v>
      </c>
      <c r="F7258" s="5">
        <f>(VLOOKUP(Table4[[#This Row],[item_sold]],Table1[],4,FALSE))*Table4[[#This Row],[qty]]</f>
        <v>32.5</v>
      </c>
      <c r="G7258">
        <f t="shared" si="1332"/>
        <v>7.5</v>
      </c>
      <c r="H7258" t="s">
        <v>402</v>
      </c>
    </row>
    <row r="7259" spans="1:9" x14ac:dyDescent="0.25">
      <c r="A7259" s="1">
        <f t="shared" si="1324"/>
        <v>45599</v>
      </c>
      <c r="B7259" s="31">
        <f>TIME(13,33,0)</f>
        <v>0.56458333333333333</v>
      </c>
      <c r="C7259" t="str">
        <f>'Inventory as of 12th Aug 2024'!A204</f>
        <v>soda 2lts</v>
      </c>
      <c r="D7259">
        <v>1</v>
      </c>
      <c r="E7259" s="5">
        <f>Table4[[#This Row],[qty]]*(VLOOKUP(Table4[[#This Row],[item_sold]],Table1[],5,FALSE))</f>
        <v>200</v>
      </c>
      <c r="F7259" s="5">
        <f>(VLOOKUP(Table4[[#This Row],[item_sold]],Table1[],4,FALSE))*Table4[[#This Row],[qty]]</f>
        <v>176.66666666666666</v>
      </c>
      <c r="G7259">
        <f t="shared" si="1332"/>
        <v>23.333333333333343</v>
      </c>
      <c r="H7259" t="s">
        <v>361</v>
      </c>
    </row>
    <row r="7260" spans="1:9" x14ac:dyDescent="0.25">
      <c r="A7260" s="1">
        <f t="shared" si="1324"/>
        <v>45599</v>
      </c>
      <c r="B7260" s="31">
        <f>TIME(13,41,0)</f>
        <v>0.57013888888888886</v>
      </c>
      <c r="C7260" t="str">
        <f>'Inventory as of 12th Aug 2024'!A60</f>
        <v>kensalt 200g</v>
      </c>
      <c r="D7260">
        <v>1</v>
      </c>
      <c r="E7260" s="5">
        <f>Table4[[#This Row],[qty]]*(VLOOKUP(Table4[[#This Row],[item_sold]],Table1[],5,FALSE))</f>
        <v>15</v>
      </c>
      <c r="F7260" s="5">
        <f>(VLOOKUP(Table4[[#This Row],[item_sold]],Table1[],4,FALSE))*Table4[[#This Row],[qty]]</f>
        <v>5.5</v>
      </c>
      <c r="G7260">
        <f t="shared" si="1332"/>
        <v>9.5</v>
      </c>
      <c r="H7260" t="s">
        <v>402</v>
      </c>
    </row>
    <row r="7261" spans="1:9" x14ac:dyDescent="0.25">
      <c r="A7261" s="1">
        <f t="shared" si="1324"/>
        <v>45599</v>
      </c>
      <c r="B7261" s="31">
        <f t="shared" ref="B7261" si="1333">TIME(13,41,0)</f>
        <v>0.57013888888888886</v>
      </c>
      <c r="C7261" t="str">
        <f>'Inventory as of 12th Aug 2024'!A58</f>
        <v>Safari</v>
      </c>
      <c r="D7261">
        <v>1</v>
      </c>
      <c r="E7261" s="5">
        <f>Table4[[#This Row],[qty]]*(VLOOKUP(Table4[[#This Row],[item_sold]],Table1[],5,FALSE))</f>
        <v>15</v>
      </c>
      <c r="F7261" s="5">
        <f>(VLOOKUP(Table4[[#This Row],[item_sold]],Table1[],4,FALSE))*Table4[[#This Row],[qty]]</f>
        <v>8.5</v>
      </c>
      <c r="G7261">
        <f t="shared" si="1332"/>
        <v>6.5</v>
      </c>
      <c r="H7261" t="s">
        <v>402</v>
      </c>
    </row>
    <row r="7262" spans="1:9" x14ac:dyDescent="0.25">
      <c r="A7262" s="1">
        <f t="shared" si="1324"/>
        <v>45599</v>
      </c>
      <c r="B7262" s="31">
        <f>TIME(14,21,0)</f>
        <v>0.59791666666666665</v>
      </c>
      <c r="C7262" t="str">
        <f>'Inventory as of 12th Aug 2024'!A200</f>
        <v>Ngumu</v>
      </c>
      <c r="D7262">
        <v>2</v>
      </c>
      <c r="E7262" s="5">
        <f>Table4[[#This Row],[qty]]*(VLOOKUP(Table4[[#This Row],[item_sold]],Table1[],5,FALSE))</f>
        <v>20</v>
      </c>
      <c r="F7262" s="5">
        <f>(VLOOKUP(Table4[[#This Row],[item_sold]],Table1[],4,FALSE))*Table4[[#This Row],[qty]]</f>
        <v>16.666666666666668</v>
      </c>
      <c r="G7262">
        <f t="shared" si="1332"/>
        <v>3.3333333333333321</v>
      </c>
      <c r="H7262" t="s">
        <v>430</v>
      </c>
      <c r="I7262" t="s">
        <v>383</v>
      </c>
    </row>
    <row r="7263" spans="1:9" x14ac:dyDescent="0.25">
      <c r="A7263" s="1">
        <f t="shared" si="1324"/>
        <v>45599</v>
      </c>
      <c r="B7263" s="31">
        <f>TIME(15,36,0)</f>
        <v>0.65</v>
      </c>
      <c r="C7263" t="str">
        <f>'Inventory as of 12th Aug 2024'!A244</f>
        <v>5ltrs water</v>
      </c>
      <c r="D7263">
        <v>1</v>
      </c>
      <c r="E7263" s="5">
        <f>Table4[[#This Row],[qty]]*(VLOOKUP(Table4[[#This Row],[item_sold]],Table1[],5,FALSE))</f>
        <v>120</v>
      </c>
      <c r="F7263" s="5">
        <f>(VLOOKUP(Table4[[#This Row],[item_sold]],Table1[],4,FALSE))*Table4[[#This Row],[qty]]</f>
        <v>75</v>
      </c>
      <c r="G7263">
        <f t="shared" si="1332"/>
        <v>45</v>
      </c>
      <c r="H7263" t="s">
        <v>361</v>
      </c>
    </row>
    <row r="7264" spans="1:9" x14ac:dyDescent="0.25">
      <c r="A7264" s="1">
        <f t="shared" si="1324"/>
        <v>45599</v>
      </c>
      <c r="B7264" s="31">
        <f>TIME(16,30,0)</f>
        <v>0.6875</v>
      </c>
      <c r="C7264" t="str">
        <f>'Inventory as of 12th Aug 2024'!A8</f>
        <v>eggs</v>
      </c>
      <c r="D7264">
        <v>4</v>
      </c>
      <c r="E7264" s="5">
        <f>Table4[[#This Row],[qty]]*(VLOOKUP(Table4[[#This Row],[item_sold]],Table1[],5,FALSE))</f>
        <v>80</v>
      </c>
      <c r="F7264" s="5">
        <f>(VLOOKUP(Table4[[#This Row],[item_sold]],Table1[],4,FALSE))*Table4[[#This Row],[qty]]</f>
        <v>57.333333333333336</v>
      </c>
      <c r="G7264">
        <f t="shared" si="1332"/>
        <v>22.666666666666664</v>
      </c>
      <c r="H7264" t="s">
        <v>430</v>
      </c>
      <c r="I7264" t="s">
        <v>431</v>
      </c>
    </row>
    <row r="7265" spans="1:12" x14ac:dyDescent="0.25">
      <c r="A7265" s="1">
        <f t="shared" si="1324"/>
        <v>45599</v>
      </c>
      <c r="B7265" s="31">
        <f t="shared" ref="B7265:B7266" si="1334">TIME(16,30,0)</f>
        <v>0.6875</v>
      </c>
      <c r="C7265" t="str">
        <f>'Inventory as of 12th Aug 2024'!A37</f>
        <v>Festive Bread 400g</v>
      </c>
      <c r="D7265">
        <v>2</v>
      </c>
      <c r="E7265" s="5">
        <f>Table4[[#This Row],[qty]]*(VLOOKUP(Table4[[#This Row],[item_sold]],Table1[],5,FALSE))</f>
        <v>130</v>
      </c>
      <c r="F7265" s="5">
        <f>(VLOOKUP(Table4[[#This Row],[item_sold]],Table1[],4,FALSE))*Table4[[#This Row],[qty]]</f>
        <v>120</v>
      </c>
      <c r="G7265">
        <f t="shared" si="1332"/>
        <v>10</v>
      </c>
      <c r="H7265" t="s">
        <v>430</v>
      </c>
      <c r="I7265" t="s">
        <v>431</v>
      </c>
    </row>
    <row r="7266" spans="1:12" x14ac:dyDescent="0.25">
      <c r="A7266" s="1">
        <f t="shared" si="1324"/>
        <v>45599</v>
      </c>
      <c r="B7266" s="31">
        <f t="shared" si="1334"/>
        <v>0.6875</v>
      </c>
      <c r="C7266" t="str">
        <f>'Inventory as of 12th Aug 2024'!A17</f>
        <v>Brookside milk 500ml</v>
      </c>
      <c r="D7266">
        <v>2</v>
      </c>
      <c r="E7266" s="5">
        <f>Table4[[#This Row],[qty]]*(VLOOKUP(Table4[[#This Row],[item_sold]],Table1[],5,FALSE))</f>
        <v>140</v>
      </c>
      <c r="F7266" s="5">
        <f>(VLOOKUP(Table4[[#This Row],[item_sold]],Table1[],4,FALSE))*Table4[[#This Row],[qty]]</f>
        <v>118</v>
      </c>
      <c r="G7266">
        <f t="shared" si="1332"/>
        <v>22</v>
      </c>
      <c r="H7266" t="s">
        <v>430</v>
      </c>
      <c r="I7266" t="s">
        <v>431</v>
      </c>
    </row>
    <row r="7267" spans="1:12" x14ac:dyDescent="0.25">
      <c r="A7267" s="1">
        <f t="shared" si="1324"/>
        <v>45599</v>
      </c>
      <c r="B7267" s="31">
        <f>TIME(16,36,0)</f>
        <v>0.69166666666666676</v>
      </c>
      <c r="C7267" t="str">
        <f>'Inventory as of 12th Aug 2024'!A204</f>
        <v>soda 2lts</v>
      </c>
      <c r="D7267">
        <v>2</v>
      </c>
      <c r="E7267" s="5">
        <f>Table4[[#This Row],[qty]]*(VLOOKUP(Table4[[#This Row],[item_sold]],Table1[],5,FALSE))</f>
        <v>400</v>
      </c>
      <c r="F7267" s="5">
        <f>(VLOOKUP(Table4[[#This Row],[item_sold]],Table1[],4,FALSE))*Table4[[#This Row],[qty]]</f>
        <v>353.33333333333331</v>
      </c>
      <c r="G7267">
        <f t="shared" si="1332"/>
        <v>46.666666666666686</v>
      </c>
      <c r="H7267" t="s">
        <v>361</v>
      </c>
    </row>
    <row r="7268" spans="1:12" x14ac:dyDescent="0.25">
      <c r="A7268" s="1">
        <f t="shared" si="1324"/>
        <v>45599</v>
      </c>
      <c r="B7268" s="31">
        <f>TIME(16,36,0)</f>
        <v>0.69166666666666676</v>
      </c>
      <c r="C7268" t="str">
        <f>'Inventory as of 12th Aug 2024'!A242</f>
        <v>Icepop</v>
      </c>
      <c r="D7268">
        <v>2</v>
      </c>
      <c r="E7268" s="5">
        <f>Table4[[#This Row],[qty]]*(VLOOKUP(Table4[[#This Row],[item_sold]],Table1[],5,FALSE))</f>
        <v>30</v>
      </c>
      <c r="F7268" s="5">
        <f>(VLOOKUP(Table4[[#This Row],[item_sold]],Table1[],4,FALSE))*Table4[[#This Row],[qty]]</f>
        <v>15</v>
      </c>
      <c r="G7268">
        <f t="shared" si="1332"/>
        <v>15</v>
      </c>
      <c r="H7268" t="s">
        <v>402</v>
      </c>
    </row>
    <row r="7269" spans="1:12" x14ac:dyDescent="0.25">
      <c r="A7269" s="1">
        <f t="shared" si="1324"/>
        <v>45599</v>
      </c>
      <c r="B7269" s="31">
        <f>TIME(16,57,0)</f>
        <v>0.70624999999999993</v>
      </c>
      <c r="C7269" t="str">
        <f>'Inventory as of 12th Aug 2024'!A68</f>
        <v>Royco cubes</v>
      </c>
      <c r="D7269">
        <v>4</v>
      </c>
      <c r="E7269" s="5">
        <f>Table4[[#This Row],[qty]]*(VLOOKUP(Table4[[#This Row],[item_sold]],Table1[],5,FALSE))</f>
        <v>20</v>
      </c>
      <c r="F7269" s="5">
        <f>(VLOOKUP(Table4[[#This Row],[item_sold]],Table1[],4,FALSE))*Table4[[#This Row],[qty]]</f>
        <v>12</v>
      </c>
      <c r="G7269">
        <f t="shared" si="1332"/>
        <v>8</v>
      </c>
      <c r="H7269" t="s">
        <v>430</v>
      </c>
      <c r="I7269" t="s">
        <v>588</v>
      </c>
    </row>
    <row r="7270" spans="1:12" x14ac:dyDescent="0.25">
      <c r="A7270" s="1">
        <f t="shared" si="1324"/>
        <v>45599</v>
      </c>
      <c r="B7270" s="31">
        <f>TIME(17,23,0)</f>
        <v>0.72430555555555554</v>
      </c>
      <c r="C7270" t="str">
        <f>'Inventory as of 12th Aug 2024'!A242</f>
        <v>Icepop</v>
      </c>
      <c r="D7270">
        <v>1</v>
      </c>
      <c r="E7270" s="5">
        <f>Table4[[#This Row],[qty]]*(VLOOKUP(Table4[[#This Row],[item_sold]],Table1[],5,FALSE))</f>
        <v>15</v>
      </c>
      <c r="F7270" s="5">
        <f>(VLOOKUP(Table4[[#This Row],[item_sold]],Table1[],4,FALSE))*Table4[[#This Row],[qty]]</f>
        <v>7.5</v>
      </c>
      <c r="G7270">
        <f t="shared" si="1332"/>
        <v>7.5</v>
      </c>
      <c r="H7270" t="s">
        <v>361</v>
      </c>
    </row>
    <row r="7271" spans="1:12" x14ac:dyDescent="0.25">
      <c r="A7271" s="1">
        <f t="shared" si="1324"/>
        <v>45599</v>
      </c>
      <c r="B7271" s="31">
        <f>TIME(17,23,0)</f>
        <v>0.72430555555555554</v>
      </c>
      <c r="C7271" t="str">
        <f>'Inventory as of 12th Aug 2024'!A231</f>
        <v>Patco</v>
      </c>
      <c r="D7271">
        <v>4</v>
      </c>
      <c r="E7271" s="5">
        <f>Table4[[#This Row],[qty]]*(VLOOKUP(Table4[[#This Row],[item_sold]],Table1[],5,FALSE))</f>
        <v>10</v>
      </c>
      <c r="F7271" s="5">
        <f>(VLOOKUP(Table4[[#This Row],[item_sold]],Table1[],4,FALSE))*Table4[[#This Row],[qty]]</f>
        <v>4.8</v>
      </c>
      <c r="G7271">
        <f t="shared" si="1332"/>
        <v>5.2</v>
      </c>
      <c r="H7271" t="s">
        <v>402</v>
      </c>
    </row>
    <row r="7272" spans="1:12" x14ac:dyDescent="0.25">
      <c r="A7272" s="1">
        <f t="shared" si="1324"/>
        <v>45599</v>
      </c>
      <c r="B7272" s="31">
        <f>TIME(17,54,0)</f>
        <v>0.74583333333333324</v>
      </c>
      <c r="C7272" t="str">
        <f>'Inventory as of 12th Aug 2024'!A61</f>
        <v>kensalt 500g</v>
      </c>
      <c r="D7272">
        <v>1</v>
      </c>
      <c r="E7272" s="5">
        <f>Table4[[#This Row],[qty]]*(VLOOKUP(Table4[[#This Row],[item_sold]],Table1[],5,FALSE))</f>
        <v>25</v>
      </c>
      <c r="F7272" s="5">
        <f>(VLOOKUP(Table4[[#This Row],[item_sold]],Table1[],4,FALSE))*Table4[[#This Row],[qty]]</f>
        <v>14</v>
      </c>
      <c r="G7272">
        <f t="shared" si="1332"/>
        <v>11</v>
      </c>
      <c r="H7272" t="s">
        <v>361</v>
      </c>
    </row>
    <row r="7273" spans="1:12" x14ac:dyDescent="0.25">
      <c r="A7273" s="1">
        <f t="shared" si="1324"/>
        <v>45599</v>
      </c>
      <c r="B7273" s="31">
        <f>TIME(18,42,0)</f>
        <v>0.77916666666666667</v>
      </c>
      <c r="C7273" t="str">
        <f>'Inventory as of 12th Aug 2024'!A58</f>
        <v>Safari</v>
      </c>
      <c r="D7273">
        <v>1</v>
      </c>
      <c r="E7273" s="5">
        <f>Table4[[#This Row],[qty]]*(VLOOKUP(Table4[[#This Row],[item_sold]],Table1[],5,FALSE))</f>
        <v>15</v>
      </c>
      <c r="F7273" s="5">
        <f>(VLOOKUP(Table4[[#This Row],[item_sold]],Table1[],4,FALSE))*Table4[[#This Row],[qty]]</f>
        <v>8.5</v>
      </c>
      <c r="G7273">
        <f t="shared" si="1332"/>
        <v>6.5</v>
      </c>
      <c r="H7273" t="s">
        <v>402</v>
      </c>
    </row>
    <row r="7274" spans="1:12" x14ac:dyDescent="0.25">
      <c r="A7274" s="1">
        <f t="shared" si="1324"/>
        <v>45599</v>
      </c>
      <c r="B7274" s="31">
        <f>TIME(19,2,0)</f>
        <v>0.79305555555555562</v>
      </c>
      <c r="C7274" t="str">
        <f>'Inventory as of 12th Aug 2024'!A17</f>
        <v>Brookside milk 500ml</v>
      </c>
      <c r="D7274">
        <v>1</v>
      </c>
      <c r="E7274" s="5">
        <f>Table4[[#This Row],[qty]]*(VLOOKUP(Table4[[#This Row],[item_sold]],Table1[],5,FALSE))</f>
        <v>70</v>
      </c>
      <c r="F7274" s="5">
        <f>(VLOOKUP(Table4[[#This Row],[item_sold]],Table1[],4,FALSE))*Table4[[#This Row],[qty]]</f>
        <v>59</v>
      </c>
      <c r="G7274">
        <f t="shared" si="1332"/>
        <v>11</v>
      </c>
      <c r="H7274" t="s">
        <v>361</v>
      </c>
    </row>
    <row r="7275" spans="1:12" x14ac:dyDescent="0.25">
      <c r="A7275" s="1">
        <f t="shared" si="1324"/>
        <v>45599</v>
      </c>
      <c r="B7275" s="31">
        <f>TIME(19,7,0)</f>
        <v>0.79652777777777783</v>
      </c>
      <c r="C7275" t="str">
        <f>'Inventory as of 12th Aug 2024'!A267</f>
        <v>Ting Ting</v>
      </c>
      <c r="D7275">
        <v>1</v>
      </c>
      <c r="E7275" s="5">
        <f>Table4[[#This Row],[qty]]*(VLOOKUP(Table4[[#This Row],[item_sold]],Table1[],5,FALSE))</f>
        <v>5</v>
      </c>
      <c r="F7275" s="5">
        <f>(VLOOKUP(Table4[[#This Row],[item_sold]],Table1[],4,FALSE))*Table4[[#This Row],[qty]]</f>
        <v>4.0599999999999996</v>
      </c>
      <c r="G7275">
        <f t="shared" si="1332"/>
        <v>0.94000000000000039</v>
      </c>
      <c r="H7275" t="s">
        <v>361</v>
      </c>
    </row>
    <row r="7276" spans="1:12" x14ac:dyDescent="0.25">
      <c r="A7276" s="1">
        <f t="shared" si="1324"/>
        <v>45599</v>
      </c>
      <c r="B7276" s="31">
        <f t="shared" ref="B7276:B7277" si="1335">TIME(19,7,0)</f>
        <v>0.79652777777777783</v>
      </c>
      <c r="C7276" t="str">
        <f>'Inventory as of 12th Aug 2024'!A193</f>
        <v>Ginger Bisquit</v>
      </c>
      <c r="D7276">
        <v>1</v>
      </c>
      <c r="E7276" s="5">
        <f>Table4[[#This Row],[qty]]*(VLOOKUP(Table4[[#This Row],[item_sold]],Table1[],5,FALSE))</f>
        <v>5</v>
      </c>
      <c r="F7276" s="5">
        <f>(VLOOKUP(Table4[[#This Row],[item_sold]],Table1[],4,FALSE))*Table4[[#This Row],[qty]]</f>
        <v>4.333333333333333</v>
      </c>
      <c r="G7276">
        <f t="shared" si="1332"/>
        <v>0.66666666666666696</v>
      </c>
      <c r="H7276" t="s">
        <v>361</v>
      </c>
    </row>
    <row r="7277" spans="1:12" x14ac:dyDescent="0.25">
      <c r="A7277" s="1">
        <f t="shared" si="1324"/>
        <v>45599</v>
      </c>
      <c r="B7277" s="31">
        <f t="shared" si="1335"/>
        <v>0.79652777777777783</v>
      </c>
      <c r="C7277" t="str">
        <f>'Inventory as of 12th Aug 2024'!A91</f>
        <v>Tomatoes</v>
      </c>
      <c r="D7277">
        <v>1</v>
      </c>
      <c r="E7277" s="5">
        <f>Table4[[#This Row],[qty]]*(VLOOKUP(Table4[[#This Row],[item_sold]],Table1[],5,FALSE))</f>
        <v>10</v>
      </c>
      <c r="F7277" s="5">
        <f>(VLOOKUP(Table4[[#This Row],[item_sold]],Table1[],4,FALSE))*Table4[[#This Row],[qty]]</f>
        <v>5</v>
      </c>
      <c r="G7277">
        <f t="shared" si="1332"/>
        <v>5</v>
      </c>
      <c r="H7277" t="s">
        <v>361</v>
      </c>
    </row>
    <row r="7278" spans="1:12" x14ac:dyDescent="0.25">
      <c r="A7278" s="1">
        <f t="shared" si="1324"/>
        <v>45599</v>
      </c>
      <c r="B7278" s="31">
        <f>TIME(19,25,0)</f>
        <v>0.80902777777777779</v>
      </c>
      <c r="C7278" t="str">
        <f>'Inventory as of 12th Aug 2024'!A153</f>
        <v>mosquito stick</v>
      </c>
      <c r="D7278">
        <v>3</v>
      </c>
      <c r="E7278" s="5">
        <f>Table4[[#This Row],[qty]]*(VLOOKUP(Table4[[#This Row],[item_sold]],Table1[],5,FALSE))</f>
        <v>30</v>
      </c>
      <c r="F7278" s="5">
        <f>(VLOOKUP(Table4[[#This Row],[item_sold]],Table1[],4,FALSE))*Table4[[#This Row],[qty]]</f>
        <v>27</v>
      </c>
      <c r="G7278">
        <f t="shared" si="1332"/>
        <v>3</v>
      </c>
      <c r="H7278" t="s">
        <v>430</v>
      </c>
      <c r="I7278" t="s">
        <v>629</v>
      </c>
    </row>
    <row r="7279" spans="1:12" x14ac:dyDescent="0.25">
      <c r="A7279" s="1">
        <f t="shared" ref="A7279:A7293" si="1336">DATE(2024,11,3)</f>
        <v>45599</v>
      </c>
      <c r="B7279" s="31">
        <f>TIME(19,28,0)</f>
        <v>0.81111111111111101</v>
      </c>
      <c r="C7279" t="str">
        <f>'Inventory as of 12th Aug 2024'!A16</f>
        <v>Mt kenya milk 500ml</v>
      </c>
      <c r="D7279">
        <v>2</v>
      </c>
      <c r="E7279" s="5">
        <f>Table4[[#This Row],[qty]]*(VLOOKUP(Table4[[#This Row],[item_sold]],Table1[],5,FALSE))</f>
        <v>130</v>
      </c>
      <c r="F7279" s="5">
        <f>(VLOOKUP(Table4[[#This Row],[item_sold]],Table1[],4,FALSE))*Table4[[#This Row],[qty]]</f>
        <v>96.666666666666671</v>
      </c>
      <c r="G7279">
        <f t="shared" si="1332"/>
        <v>33.333333333333329</v>
      </c>
      <c r="H7279" t="s">
        <v>430</v>
      </c>
      <c r="I7279" t="s">
        <v>451</v>
      </c>
      <c r="J7279" t="s">
        <v>451</v>
      </c>
      <c r="K7279">
        <v>170</v>
      </c>
      <c r="L7279" t="s">
        <v>361</v>
      </c>
    </row>
    <row r="7280" spans="1:12" x14ac:dyDescent="0.25">
      <c r="A7280" s="1">
        <f t="shared" si="1336"/>
        <v>45599</v>
      </c>
      <c r="B7280" s="31">
        <f>TIME(19,28,0)</f>
        <v>0.81111111111111101</v>
      </c>
      <c r="C7280" t="str">
        <f>'Inventory as of 12th Aug 2024'!A33</f>
        <v>BB Bread 400g</v>
      </c>
      <c r="D7280">
        <v>1</v>
      </c>
      <c r="E7280" s="5">
        <f>Table4[[#This Row],[qty]]*(VLOOKUP(Table4[[#This Row],[item_sold]],Table1[],5,FALSE))</f>
        <v>65</v>
      </c>
      <c r="F7280" s="5">
        <f>(VLOOKUP(Table4[[#This Row],[item_sold]],Table1[],4,FALSE))*Table4[[#This Row],[qty]]</f>
        <v>60</v>
      </c>
      <c r="G7280">
        <f t="shared" si="1332"/>
        <v>5</v>
      </c>
      <c r="H7280" t="s">
        <v>430</v>
      </c>
      <c r="I7280" t="s">
        <v>451</v>
      </c>
    </row>
    <row r="7281" spans="1:12" x14ac:dyDescent="0.25">
      <c r="A7281" s="1">
        <f t="shared" si="1336"/>
        <v>45599</v>
      </c>
      <c r="B7281" s="31">
        <f>TIME(19,43,0)</f>
        <v>0.82152777777777775</v>
      </c>
      <c r="C7281" t="str">
        <f>'Inventory as of 12th Aug 2024'!A130</f>
        <v>Kaluma pain killer</v>
      </c>
      <c r="D7281">
        <v>2</v>
      </c>
      <c r="E7281" s="5">
        <f>Table4[[#This Row],[qty]]*(VLOOKUP(Table4[[#This Row],[item_sold]],Table1[],5,FALSE))</f>
        <v>20</v>
      </c>
      <c r="F7281" s="5">
        <f>(VLOOKUP(Table4[[#This Row],[item_sold]],Table1[],4,FALSE))*Table4[[#This Row],[qty]]</f>
        <v>14</v>
      </c>
      <c r="G7281">
        <f t="shared" si="1332"/>
        <v>6</v>
      </c>
      <c r="H7281" t="s">
        <v>430</v>
      </c>
      <c r="I7281" t="s">
        <v>450</v>
      </c>
    </row>
    <row r="7282" spans="1:12" x14ac:dyDescent="0.25">
      <c r="A7282" s="1">
        <f t="shared" si="1336"/>
        <v>45599</v>
      </c>
      <c r="B7282" s="31">
        <f t="shared" ref="B7282:B7284" si="1337">TIME(19,43,0)</f>
        <v>0.82152777777777775</v>
      </c>
      <c r="C7282" t="str">
        <f>'Inventory as of 12th Aug 2024'!A141</f>
        <v>Colgate 35g</v>
      </c>
      <c r="D7282">
        <v>1</v>
      </c>
      <c r="E7282" s="5">
        <f>Table4[[#This Row],[qty]]*(VLOOKUP(Table4[[#This Row],[item_sold]],Table1[],5,FALSE))</f>
        <v>80</v>
      </c>
      <c r="F7282" s="5">
        <f>(VLOOKUP(Table4[[#This Row],[item_sold]],Table1[],4,FALSE))*Table4[[#This Row],[qty]]</f>
        <v>62.5</v>
      </c>
      <c r="G7282">
        <f t="shared" si="1332"/>
        <v>17.5</v>
      </c>
      <c r="H7282" t="s">
        <v>361</v>
      </c>
    </row>
    <row r="7283" spans="1:12" x14ac:dyDescent="0.25">
      <c r="A7283" s="1">
        <f t="shared" si="1336"/>
        <v>45599</v>
      </c>
      <c r="B7283" s="31">
        <f t="shared" si="1337"/>
        <v>0.82152777777777775</v>
      </c>
      <c r="C7283" t="str">
        <f>'Inventory as of 12th Aug 2024'!A17</f>
        <v>Brookside milk 500ml</v>
      </c>
      <c r="D7283">
        <v>2</v>
      </c>
      <c r="E7283" s="5">
        <f>Table4[[#This Row],[qty]]*(VLOOKUP(Table4[[#This Row],[item_sold]],Table1[],5,FALSE))</f>
        <v>140</v>
      </c>
      <c r="F7283" s="5">
        <f>(VLOOKUP(Table4[[#This Row],[item_sold]],Table1[],4,FALSE))*Table4[[#This Row],[qty]]</f>
        <v>118</v>
      </c>
      <c r="G7283">
        <f t="shared" si="1332"/>
        <v>22</v>
      </c>
      <c r="H7283" t="s">
        <v>361</v>
      </c>
    </row>
    <row r="7284" spans="1:12" x14ac:dyDescent="0.25">
      <c r="A7284" s="1">
        <f t="shared" si="1336"/>
        <v>45599</v>
      </c>
      <c r="B7284" s="31">
        <f t="shared" si="1337"/>
        <v>0.82152777777777775</v>
      </c>
      <c r="C7284" t="str">
        <f>'Inventory as of 12th Aug 2024'!A234</f>
        <v>Bigdaddy</v>
      </c>
      <c r="D7284">
        <v>2</v>
      </c>
      <c r="E7284" s="5">
        <f>Table4[[#This Row],[qty]]*(VLOOKUP(Table4[[#This Row],[item_sold]],Table1[],5,FALSE))</f>
        <v>20</v>
      </c>
      <c r="F7284" s="5">
        <f>(VLOOKUP(Table4[[#This Row],[item_sold]],Table1[],4,FALSE))*Table4[[#This Row],[qty]]</f>
        <v>12</v>
      </c>
      <c r="G7284">
        <f t="shared" si="1332"/>
        <v>8</v>
      </c>
      <c r="H7284" t="s">
        <v>361</v>
      </c>
    </row>
    <row r="7285" spans="1:12" x14ac:dyDescent="0.25">
      <c r="A7285" s="1">
        <f t="shared" si="1336"/>
        <v>45599</v>
      </c>
      <c r="B7285" s="31">
        <f>TIME(19,48,0)</f>
        <v>0.82500000000000007</v>
      </c>
      <c r="C7285" t="str">
        <f>'Inventory as of 12th Aug 2024'!A58</f>
        <v>Safari</v>
      </c>
      <c r="D7285">
        <v>1</v>
      </c>
      <c r="E7285" s="5">
        <f>Table4[[#This Row],[qty]]*(VLOOKUP(Table4[[#This Row],[item_sold]],Table1[],5,FALSE))</f>
        <v>15</v>
      </c>
      <c r="F7285" s="5">
        <f>(VLOOKUP(Table4[[#This Row],[item_sold]],Table1[],4,FALSE))*Table4[[#This Row],[qty]]</f>
        <v>8.5</v>
      </c>
      <c r="G7285">
        <f t="shared" si="1332"/>
        <v>6.5</v>
      </c>
      <c r="H7285" t="s">
        <v>402</v>
      </c>
    </row>
    <row r="7286" spans="1:12" x14ac:dyDescent="0.25">
      <c r="A7286" s="1">
        <f t="shared" si="1336"/>
        <v>45599</v>
      </c>
      <c r="B7286" s="31">
        <f>TIME(20,7,0)</f>
        <v>0.83819444444444446</v>
      </c>
      <c r="C7286" t="str">
        <f>'Inventory as of 12th Aug 2024'!A17</f>
        <v>Brookside milk 500ml</v>
      </c>
      <c r="D7286">
        <v>1</v>
      </c>
      <c r="E7286" s="5">
        <f>Table4[[#This Row],[qty]]*(VLOOKUP(Table4[[#This Row],[item_sold]],Table1[],5,FALSE))</f>
        <v>70</v>
      </c>
      <c r="F7286" s="5">
        <f>(VLOOKUP(Table4[[#This Row],[item_sold]],Table1[],4,FALSE))*Table4[[#This Row],[qty]]</f>
        <v>59</v>
      </c>
      <c r="G7286">
        <f t="shared" si="1332"/>
        <v>11</v>
      </c>
      <c r="H7286" t="s">
        <v>430</v>
      </c>
      <c r="I7286" t="s">
        <v>390</v>
      </c>
    </row>
    <row r="7287" spans="1:12" x14ac:dyDescent="0.25">
      <c r="A7287" s="1">
        <f t="shared" si="1336"/>
        <v>45599</v>
      </c>
      <c r="B7287" s="31">
        <f t="shared" ref="B7287" si="1338">TIME(20,7,0)</f>
        <v>0.83819444444444446</v>
      </c>
      <c r="C7287" t="str">
        <f>'Inventory as of 12th Aug 2024'!A37</f>
        <v>Festive Bread 400g</v>
      </c>
      <c r="D7287">
        <v>1</v>
      </c>
      <c r="E7287" s="5">
        <f>Table4[[#This Row],[qty]]*(VLOOKUP(Table4[[#This Row],[item_sold]],Table1[],5,FALSE))</f>
        <v>65</v>
      </c>
      <c r="F7287" s="5">
        <f>(VLOOKUP(Table4[[#This Row],[item_sold]],Table1[],4,FALSE))*Table4[[#This Row],[qty]]</f>
        <v>60</v>
      </c>
      <c r="G7287">
        <f t="shared" si="1332"/>
        <v>5</v>
      </c>
      <c r="H7287" t="s">
        <v>430</v>
      </c>
      <c r="I7287" t="s">
        <v>390</v>
      </c>
    </row>
    <row r="7288" spans="1:12" x14ac:dyDescent="0.25">
      <c r="A7288" s="1">
        <f t="shared" si="1336"/>
        <v>45599</v>
      </c>
      <c r="B7288" s="31">
        <f>TIME(20,7,0)</f>
        <v>0.83819444444444446</v>
      </c>
      <c r="C7288" t="str">
        <f>'Inventory as of 12th Aug 2024'!A8</f>
        <v>eggs</v>
      </c>
      <c r="D7288">
        <v>3</v>
      </c>
      <c r="E7288" s="5">
        <f>Table4[[#This Row],[qty]]*(VLOOKUP(Table4[[#This Row],[item_sold]],Table1[],5,FALSE))</f>
        <v>60</v>
      </c>
      <c r="F7288" s="5">
        <f>(VLOOKUP(Table4[[#This Row],[item_sold]],Table1[],4,FALSE))*Table4[[#This Row],[qty]]</f>
        <v>43</v>
      </c>
      <c r="G7288">
        <f t="shared" si="1332"/>
        <v>17</v>
      </c>
      <c r="H7288" t="s">
        <v>361</v>
      </c>
    </row>
    <row r="7289" spans="1:12" x14ac:dyDescent="0.25">
      <c r="A7289" s="1">
        <f t="shared" si="1336"/>
        <v>45599</v>
      </c>
      <c r="B7289" s="31">
        <f>TIME(19,39,0)</f>
        <v>0.81874999999999998</v>
      </c>
      <c r="C7289" t="str">
        <f>'Inventory as of 12th Aug 2024'!A16</f>
        <v>Mt kenya milk 500ml</v>
      </c>
      <c r="D7289">
        <v>1</v>
      </c>
      <c r="E7289" s="5">
        <f>Table4[[#This Row],[qty]]*(VLOOKUP(Table4[[#This Row],[item_sold]],Table1[],5,FALSE))</f>
        <v>65</v>
      </c>
      <c r="F7289" s="5">
        <f>(VLOOKUP(Table4[[#This Row],[item_sold]],Table1[],4,FALSE))*Table4[[#This Row],[qty]]</f>
        <v>48.333333333333336</v>
      </c>
      <c r="G7289">
        <f t="shared" si="1332"/>
        <v>16.666666666666664</v>
      </c>
      <c r="H7289" t="s">
        <v>430</v>
      </c>
      <c r="I7289" t="s">
        <v>435</v>
      </c>
    </row>
    <row r="7290" spans="1:12" x14ac:dyDescent="0.25">
      <c r="A7290" s="1">
        <f t="shared" si="1336"/>
        <v>45599</v>
      </c>
      <c r="B7290" s="31">
        <f>TIME(20,28,0)</f>
        <v>0.85277777777777775</v>
      </c>
      <c r="C7290" t="str">
        <f>'Inventory as of 12th Aug 2024'!A153</f>
        <v>mosquito stick</v>
      </c>
      <c r="D7290">
        <v>1</v>
      </c>
      <c r="E7290" s="5">
        <f>Table4[[#This Row],[qty]]*(VLOOKUP(Table4[[#This Row],[item_sold]],Table1[],5,FALSE))</f>
        <v>10</v>
      </c>
      <c r="F7290" s="5">
        <f>(VLOOKUP(Table4[[#This Row],[item_sold]],Table1[],4,FALSE))*Table4[[#This Row],[qty]]</f>
        <v>9</v>
      </c>
      <c r="G7290">
        <f t="shared" si="1332"/>
        <v>1</v>
      </c>
      <c r="H7290" t="s">
        <v>361</v>
      </c>
    </row>
    <row r="7291" spans="1:12" x14ac:dyDescent="0.25">
      <c r="A7291" s="1">
        <f t="shared" si="1336"/>
        <v>45599</v>
      </c>
      <c r="B7291" s="31">
        <f t="shared" ref="B7291" si="1339">TIME(20,28,0)</f>
        <v>0.85277777777777775</v>
      </c>
      <c r="C7291" t="str">
        <f>'Inventory as of 12th Aug 2024'!A124</f>
        <v>Kaluma King</v>
      </c>
      <c r="D7291">
        <v>1</v>
      </c>
      <c r="E7291" s="5">
        <f>Table4[[#This Row],[qty]]*(VLOOKUP(Table4[[#This Row],[item_sold]],Table1[],5,FALSE))</f>
        <v>20</v>
      </c>
      <c r="F7291" s="5">
        <f>(VLOOKUP(Table4[[#This Row],[item_sold]],Table1[],4,FALSE))*Table4[[#This Row],[qty]]</f>
        <v>13</v>
      </c>
      <c r="G7291">
        <f t="shared" si="1332"/>
        <v>7</v>
      </c>
      <c r="H7291" t="s">
        <v>361</v>
      </c>
    </row>
    <row r="7292" spans="1:12" x14ac:dyDescent="0.25">
      <c r="A7292" s="1">
        <f t="shared" si="1336"/>
        <v>45599</v>
      </c>
      <c r="B7292" s="31">
        <f>TIME(20,40,0)</f>
        <v>0.86111111111111116</v>
      </c>
      <c r="C7292" t="str">
        <f>'Inventory as of 12th Aug 2024'!A79</f>
        <v xml:space="preserve">Whitewash </v>
      </c>
      <c r="D7292">
        <v>1</v>
      </c>
      <c r="E7292" s="5">
        <f>Table4[[#This Row],[qty]]*(VLOOKUP(Table4[[#This Row],[item_sold]],Table1[],5,FALSE))</f>
        <v>50</v>
      </c>
      <c r="F7292" s="5">
        <f>(VLOOKUP(Table4[[#This Row],[item_sold]],Table1[],4,FALSE))*Table4[[#This Row],[qty]]</f>
        <v>33.75</v>
      </c>
      <c r="G7292">
        <f t="shared" si="1332"/>
        <v>16.25</v>
      </c>
      <c r="H7292" t="s">
        <v>361</v>
      </c>
      <c r="J7292" t="s">
        <v>622</v>
      </c>
      <c r="K7292">
        <v>300</v>
      </c>
      <c r="L7292" t="s">
        <v>361</v>
      </c>
    </row>
    <row r="7293" spans="1:12" x14ac:dyDescent="0.25">
      <c r="A7293" s="1">
        <f t="shared" si="1336"/>
        <v>45599</v>
      </c>
      <c r="B7293" s="31">
        <f>TIME(21,9,0)</f>
        <v>0.88124999999999998</v>
      </c>
      <c r="C7293" t="str">
        <f>'Inventory as of 12th Aug 2024'!A153</f>
        <v>mosquito stick</v>
      </c>
      <c r="D7293">
        <v>8</v>
      </c>
      <c r="E7293" s="5">
        <f>Table4[[#This Row],[qty]]*(VLOOKUP(Table4[[#This Row],[item_sold]],Table1[],5,FALSE))</f>
        <v>80</v>
      </c>
      <c r="F7293" s="5">
        <f>(VLOOKUP(Table4[[#This Row],[item_sold]],Table1[],4,FALSE))*Table4[[#This Row],[qty]]</f>
        <v>72</v>
      </c>
      <c r="G7293">
        <f t="shared" si="1332"/>
        <v>8</v>
      </c>
      <c r="H7293" t="s">
        <v>430</v>
      </c>
      <c r="I7293" t="s">
        <v>431</v>
      </c>
    </row>
    <row r="7294" spans="1:12" x14ac:dyDescent="0.25">
      <c r="A7294" s="1">
        <f>DATE(2024,11,4)</f>
        <v>45600</v>
      </c>
      <c r="B7294" s="31">
        <f>TIME(7,49,0)</f>
        <v>0.32569444444444445</v>
      </c>
      <c r="C7294" t="str">
        <f>'Inventory as of 12th Aug 2024'!A199</f>
        <v>Kdf</v>
      </c>
      <c r="D7294">
        <v>1</v>
      </c>
      <c r="E7294" s="5">
        <f>Table4[[#This Row],[qty]]*(VLOOKUP(Table4[[#This Row],[item_sold]],Table1[],5,FALSE))</f>
        <v>10</v>
      </c>
      <c r="F7294" s="5">
        <f>(VLOOKUP(Table4[[#This Row],[item_sold]],Table1[],4,FALSE))*Table4[[#This Row],[qty]]</f>
        <v>8.3333333333333339</v>
      </c>
      <c r="G7294">
        <f t="shared" si="1332"/>
        <v>1.6666666666666661</v>
      </c>
      <c r="H7294" t="s">
        <v>361</v>
      </c>
    </row>
    <row r="7295" spans="1:12" x14ac:dyDescent="0.25">
      <c r="A7295" s="1">
        <f t="shared" ref="A7295:A7358" si="1340">DATE(2024,11,4)</f>
        <v>45600</v>
      </c>
      <c r="B7295" s="31">
        <f>TIME(7,59,0)</f>
        <v>0.33263888888888887</v>
      </c>
      <c r="C7295" t="str">
        <f>'Inventory as of 12th Aug 2024'!A58</f>
        <v>Safari</v>
      </c>
      <c r="D7295">
        <v>1</v>
      </c>
      <c r="E7295" s="5">
        <f>Table4[[#This Row],[qty]]*(VLOOKUP(Table4[[#This Row],[item_sold]],Table1[],5,FALSE))</f>
        <v>15</v>
      </c>
      <c r="F7295" s="5">
        <f>(VLOOKUP(Table4[[#This Row],[item_sold]],Table1[],4,FALSE))*Table4[[#This Row],[qty]]</f>
        <v>8.5</v>
      </c>
      <c r="G7295">
        <f t="shared" si="1332"/>
        <v>6.5</v>
      </c>
      <c r="H7295" t="s">
        <v>361</v>
      </c>
    </row>
    <row r="7296" spans="1:12" x14ac:dyDescent="0.25">
      <c r="A7296" s="1">
        <f t="shared" si="1340"/>
        <v>45600</v>
      </c>
      <c r="B7296" s="31">
        <f>TIME(8,1,0)</f>
        <v>0.33402777777777781</v>
      </c>
      <c r="C7296" t="str">
        <f>'Inventory as of 12th Aug 2024'!A199</f>
        <v>Kdf</v>
      </c>
      <c r="D7296">
        <v>1</v>
      </c>
      <c r="E7296" s="5">
        <f>Table4[[#This Row],[qty]]*(VLOOKUP(Table4[[#This Row],[item_sold]],Table1[],5,FALSE))</f>
        <v>10</v>
      </c>
      <c r="F7296" s="5">
        <f>(VLOOKUP(Table4[[#This Row],[item_sold]],Table1[],4,FALSE))*Table4[[#This Row],[qty]]</f>
        <v>8.3333333333333339</v>
      </c>
      <c r="G7296">
        <f t="shared" si="1332"/>
        <v>1.6666666666666661</v>
      </c>
      <c r="H7296" t="s">
        <v>361</v>
      </c>
    </row>
    <row r="7297" spans="1:12" x14ac:dyDescent="0.25">
      <c r="A7297" s="1">
        <f t="shared" si="1340"/>
        <v>45600</v>
      </c>
      <c r="B7297" s="31">
        <f t="shared" ref="B7297" si="1341">TIME(8,1,0)</f>
        <v>0.33402777777777781</v>
      </c>
      <c r="C7297" t="str">
        <f>'Inventory as of 12th Aug 2024'!A200</f>
        <v>Ngumu</v>
      </c>
      <c r="D7297">
        <v>2</v>
      </c>
      <c r="E7297" s="5">
        <f>Table4[[#This Row],[qty]]*(VLOOKUP(Table4[[#This Row],[item_sold]],Table1[],5,FALSE))</f>
        <v>20</v>
      </c>
      <c r="F7297" s="5">
        <f>(VLOOKUP(Table4[[#This Row],[item_sold]],Table1[],4,FALSE))*Table4[[#This Row],[qty]]</f>
        <v>16.666666666666668</v>
      </c>
      <c r="G7297">
        <f t="shared" si="1332"/>
        <v>3.3333333333333321</v>
      </c>
      <c r="H7297" t="s">
        <v>361</v>
      </c>
    </row>
    <row r="7298" spans="1:12" x14ac:dyDescent="0.25">
      <c r="A7298" s="1">
        <f t="shared" si="1340"/>
        <v>45600</v>
      </c>
      <c r="B7298" s="31">
        <f>TIME(8,38,0)</f>
        <v>0.35972222222222222</v>
      </c>
      <c r="C7298" t="str">
        <f>'Inventory as of 12th Aug 2024'!A33</f>
        <v>BB Bread 400g</v>
      </c>
      <c r="D7298">
        <v>2</v>
      </c>
      <c r="E7298" s="5">
        <f>Table4[[#This Row],[qty]]*(VLOOKUP(Table4[[#This Row],[item_sold]],Table1[],5,FALSE))</f>
        <v>130</v>
      </c>
      <c r="F7298" s="5">
        <f>(VLOOKUP(Table4[[#This Row],[item_sold]],Table1[],4,FALSE))*Table4[[#This Row],[qty]]</f>
        <v>120</v>
      </c>
      <c r="G7298">
        <f t="shared" si="1332"/>
        <v>10</v>
      </c>
      <c r="H7298" t="s">
        <v>402</v>
      </c>
      <c r="J7298" t="s">
        <v>588</v>
      </c>
      <c r="K7298">
        <v>60</v>
      </c>
      <c r="L7298" t="s">
        <v>247</v>
      </c>
    </row>
    <row r="7299" spans="1:12" x14ac:dyDescent="0.25">
      <c r="A7299" s="1">
        <f t="shared" si="1340"/>
        <v>45600</v>
      </c>
      <c r="B7299" s="31">
        <f>TIME(8,51,0)</f>
        <v>0.36874999999999997</v>
      </c>
      <c r="C7299" t="str">
        <f>'Inventory as of 12th Aug 2024'!A199</f>
        <v>Kdf</v>
      </c>
      <c r="D7299">
        <v>3</v>
      </c>
      <c r="E7299" s="5">
        <f>Table4[[#This Row],[qty]]*(VLOOKUP(Table4[[#This Row],[item_sold]],Table1[],5,FALSE))</f>
        <v>30</v>
      </c>
      <c r="F7299" s="5">
        <f>(VLOOKUP(Table4[[#This Row],[item_sold]],Table1[],4,FALSE))*Table4[[#This Row],[qty]]</f>
        <v>25</v>
      </c>
      <c r="G7299">
        <f t="shared" si="1332"/>
        <v>5</v>
      </c>
      <c r="H7299" t="s">
        <v>402</v>
      </c>
    </row>
    <row r="7300" spans="1:12" x14ac:dyDescent="0.25">
      <c r="A7300" s="1">
        <f t="shared" si="1340"/>
        <v>45600</v>
      </c>
      <c r="B7300" s="31">
        <f t="shared" ref="B7300:B7301" si="1342">TIME(8,51,0)</f>
        <v>0.36874999999999997</v>
      </c>
      <c r="C7300" t="str">
        <f>'Inventory as of 12th Aug 2024'!A33</f>
        <v>BB Bread 400g</v>
      </c>
      <c r="D7300">
        <v>1</v>
      </c>
      <c r="E7300" s="5">
        <f>Table4[[#This Row],[qty]]*(VLOOKUP(Table4[[#This Row],[item_sold]],Table1[],5,FALSE))</f>
        <v>65</v>
      </c>
      <c r="F7300" s="5">
        <f>(VLOOKUP(Table4[[#This Row],[item_sold]],Table1[],4,FALSE))*Table4[[#This Row],[qty]]</f>
        <v>60</v>
      </c>
      <c r="G7300">
        <f t="shared" si="1332"/>
        <v>5</v>
      </c>
      <c r="H7300" t="s">
        <v>430</v>
      </c>
      <c r="I7300" t="s">
        <v>385</v>
      </c>
    </row>
    <row r="7301" spans="1:12" x14ac:dyDescent="0.25">
      <c r="A7301" s="1">
        <f t="shared" si="1340"/>
        <v>45600</v>
      </c>
      <c r="B7301" s="31">
        <f t="shared" si="1342"/>
        <v>0.36874999999999997</v>
      </c>
      <c r="C7301" t="str">
        <f>'Inventory as of 12th Aug 2024'!A16</f>
        <v>Mt kenya milk 500ml</v>
      </c>
      <c r="D7301">
        <v>1</v>
      </c>
      <c r="E7301" s="5">
        <f>Table4[[#This Row],[qty]]*(VLOOKUP(Table4[[#This Row],[item_sold]],Table1[],5,FALSE))</f>
        <v>65</v>
      </c>
      <c r="F7301" s="5">
        <f>(VLOOKUP(Table4[[#This Row],[item_sold]],Table1[],4,FALSE))*Table4[[#This Row],[qty]]</f>
        <v>48.333333333333336</v>
      </c>
      <c r="G7301">
        <f t="shared" si="1332"/>
        <v>16.666666666666664</v>
      </c>
      <c r="H7301" t="s">
        <v>430</v>
      </c>
      <c r="I7301" t="s">
        <v>385</v>
      </c>
    </row>
    <row r="7302" spans="1:12" x14ac:dyDescent="0.25">
      <c r="A7302" s="1">
        <f t="shared" si="1340"/>
        <v>45600</v>
      </c>
      <c r="B7302" s="31">
        <f>TIME(8,58,0)</f>
        <v>0.37361111111111112</v>
      </c>
      <c r="C7302" t="str">
        <f>'Inventory as of 12th Aug 2024'!A17</f>
        <v>Brookside milk 500ml</v>
      </c>
      <c r="D7302">
        <v>1</v>
      </c>
      <c r="E7302" s="5">
        <f>Table4[[#This Row],[qty]]*(VLOOKUP(Table4[[#This Row],[item_sold]],Table1[],5,FALSE))</f>
        <v>70</v>
      </c>
      <c r="F7302" s="5">
        <f>(VLOOKUP(Table4[[#This Row],[item_sold]],Table1[],4,FALSE))*Table4[[#This Row],[qty]]</f>
        <v>59</v>
      </c>
      <c r="G7302">
        <f t="shared" si="1332"/>
        <v>11</v>
      </c>
      <c r="H7302" t="s">
        <v>430</v>
      </c>
      <c r="I7302" t="s">
        <v>390</v>
      </c>
    </row>
    <row r="7303" spans="1:12" x14ac:dyDescent="0.25">
      <c r="A7303" s="1">
        <f t="shared" si="1340"/>
        <v>45600</v>
      </c>
      <c r="B7303" s="31">
        <f>TIME(9,7,0)</f>
        <v>0.37986111111111115</v>
      </c>
      <c r="C7303" t="str">
        <f>'Inventory as of 12th Aug 2024'!A240</f>
        <v>Bigboss</v>
      </c>
      <c r="D7303">
        <v>10</v>
      </c>
      <c r="E7303" s="5">
        <f>Table4[[#This Row],[qty]]*(VLOOKUP(Table4[[#This Row],[item_sold]],Table1[],5,FALSE))</f>
        <v>50</v>
      </c>
      <c r="F7303" s="5">
        <f>(VLOOKUP(Table4[[#This Row],[item_sold]],Table1[],4,FALSE))*Table4[[#This Row],[qty]]</f>
        <v>35</v>
      </c>
      <c r="G7303">
        <f t="shared" si="1332"/>
        <v>15</v>
      </c>
      <c r="H7303" t="s">
        <v>402</v>
      </c>
    </row>
    <row r="7304" spans="1:12" x14ac:dyDescent="0.25">
      <c r="A7304" s="1">
        <f t="shared" si="1340"/>
        <v>45600</v>
      </c>
      <c r="B7304" s="31">
        <f>TIME(9,7,0)</f>
        <v>0.37986111111111115</v>
      </c>
      <c r="C7304" t="str">
        <f>'Inventory as of 12th Aug 2024'!A207</f>
        <v>soda 350ml plastic</v>
      </c>
      <c r="D7304">
        <v>1</v>
      </c>
      <c r="E7304" s="5">
        <f>Table4[[#This Row],[qty]]*(VLOOKUP(Table4[[#This Row],[item_sold]],Table1[],5,FALSE))</f>
        <v>50</v>
      </c>
      <c r="F7304" s="5">
        <f>(VLOOKUP(Table4[[#This Row],[item_sold]],Table1[],4,FALSE))*Table4[[#This Row],[qty]]</f>
        <v>41.666666666666664</v>
      </c>
      <c r="G7304">
        <f t="shared" si="1332"/>
        <v>8.3333333333333357</v>
      </c>
      <c r="H7304" t="s">
        <v>402</v>
      </c>
    </row>
    <row r="7305" spans="1:12" x14ac:dyDescent="0.25">
      <c r="A7305" s="1">
        <f t="shared" si="1340"/>
        <v>45600</v>
      </c>
      <c r="B7305" s="31">
        <f>TIME(9,19,0)</f>
        <v>0.38819444444444445</v>
      </c>
      <c r="C7305" t="str">
        <f>'Inventory as of 12th Aug 2024'!A215</f>
        <v>Blueband 100g</v>
      </c>
      <c r="D7305">
        <v>1</v>
      </c>
      <c r="E7305" s="5">
        <f>Table4[[#This Row],[qty]]*(VLOOKUP(Table4[[#This Row],[item_sold]],Table1[],5,FALSE))</f>
        <v>70</v>
      </c>
      <c r="F7305" s="5">
        <f>(VLOOKUP(Table4[[#This Row],[item_sold]],Table1[],4,FALSE))*Table4[[#This Row],[qty]]</f>
        <v>58.333333333333336</v>
      </c>
      <c r="G7305">
        <f t="shared" si="1332"/>
        <v>11.666666666666664</v>
      </c>
      <c r="H7305" t="s">
        <v>361</v>
      </c>
    </row>
    <row r="7306" spans="1:12" x14ac:dyDescent="0.25">
      <c r="A7306" s="1">
        <f t="shared" si="1340"/>
        <v>45600</v>
      </c>
      <c r="B7306" s="31">
        <f>TIME(9,19,0)</f>
        <v>0.38819444444444445</v>
      </c>
      <c r="C7306" t="str">
        <f>'Inventory as of 12th Aug 2024'!A8</f>
        <v>eggs</v>
      </c>
      <c r="D7306">
        <v>2</v>
      </c>
      <c r="E7306" s="5">
        <f>Table4[[#This Row],[qty]]*(VLOOKUP(Table4[[#This Row],[item_sold]],Table1[],5,FALSE))</f>
        <v>40</v>
      </c>
      <c r="F7306" s="5">
        <f>(VLOOKUP(Table4[[#This Row],[item_sold]],Table1[],4,FALSE))*Table4[[#This Row],[qty]]</f>
        <v>28.666666666666668</v>
      </c>
      <c r="G7306">
        <f t="shared" si="1332"/>
        <v>11.333333333333332</v>
      </c>
      <c r="H7306" t="s">
        <v>361</v>
      </c>
    </row>
    <row r="7307" spans="1:12" x14ac:dyDescent="0.25">
      <c r="A7307" s="1">
        <f t="shared" si="1340"/>
        <v>45600</v>
      </c>
      <c r="B7307" s="31">
        <f>TIME(9,22,0)</f>
        <v>0.39027777777777778</v>
      </c>
      <c r="C7307" t="str">
        <f>'Inventory as of 12th Aug 2024'!A124</f>
        <v>Kaluma King</v>
      </c>
      <c r="D7307">
        <v>1</v>
      </c>
      <c r="E7307" s="5">
        <f>Table4[[#This Row],[qty]]*(VLOOKUP(Table4[[#This Row],[item_sold]],Table1[],5,FALSE))</f>
        <v>20</v>
      </c>
      <c r="F7307" s="5">
        <f>(VLOOKUP(Table4[[#This Row],[item_sold]],Table1[],4,FALSE))*Table4[[#This Row],[qty]]</f>
        <v>13</v>
      </c>
      <c r="G7307">
        <f t="shared" si="1332"/>
        <v>7</v>
      </c>
      <c r="H7307" t="s">
        <v>402</v>
      </c>
    </row>
    <row r="7308" spans="1:12" x14ac:dyDescent="0.25">
      <c r="A7308" s="1">
        <f t="shared" si="1340"/>
        <v>45600</v>
      </c>
      <c r="B7308" s="31">
        <f t="shared" ref="B7308:B7309" si="1343">TIME(9,22,0)</f>
        <v>0.39027777777777778</v>
      </c>
      <c r="C7308" t="str">
        <f>'Inventory as of 12th Aug 2024'!A120</f>
        <v>Maramoja</v>
      </c>
      <c r="D7308">
        <v>1</v>
      </c>
      <c r="E7308" s="5">
        <f>Table4[[#This Row],[qty]]*(VLOOKUP(Table4[[#This Row],[item_sold]],Table1[],5,FALSE))</f>
        <v>10</v>
      </c>
      <c r="F7308" s="5">
        <f>(VLOOKUP(Table4[[#This Row],[item_sold]],Table1[],4,FALSE))*Table4[[#This Row],[qty]]</f>
        <v>7</v>
      </c>
      <c r="G7308">
        <f t="shared" si="1332"/>
        <v>3</v>
      </c>
      <c r="H7308" t="s">
        <v>402</v>
      </c>
    </row>
    <row r="7309" spans="1:12" x14ac:dyDescent="0.25">
      <c r="A7309" s="1">
        <f t="shared" si="1340"/>
        <v>45600</v>
      </c>
      <c r="B7309" s="31">
        <f t="shared" si="1343"/>
        <v>0.39027777777777778</v>
      </c>
      <c r="C7309" t="str">
        <f>'Inventory as of 12th Aug 2024'!A206</f>
        <v>soda 500ml plastic</v>
      </c>
      <c r="D7309">
        <v>1</v>
      </c>
      <c r="E7309" s="5">
        <f>Table4[[#This Row],[qty]]*(VLOOKUP(Table4[[#This Row],[item_sold]],Table1[],5,FALSE))</f>
        <v>70</v>
      </c>
      <c r="F7309" s="5">
        <f>(VLOOKUP(Table4[[#This Row],[item_sold]],Table1[],4,FALSE))*Table4[[#This Row],[qty]]</f>
        <v>60.416666666666664</v>
      </c>
      <c r="G7309">
        <f t="shared" si="1332"/>
        <v>9.5833333333333357</v>
      </c>
      <c r="H7309" t="s">
        <v>402</v>
      </c>
    </row>
    <row r="7310" spans="1:12" x14ac:dyDescent="0.25">
      <c r="A7310" s="1">
        <f t="shared" si="1340"/>
        <v>45600</v>
      </c>
      <c r="B7310" s="31">
        <f>TIME(10,11,0)</f>
        <v>0.42430555555555555</v>
      </c>
      <c r="C7310" t="str">
        <f>'Inventory as of 12th Aug 2024'!A208</f>
        <v>minutemaid 400ml</v>
      </c>
      <c r="D7310">
        <v>1</v>
      </c>
      <c r="E7310" s="5">
        <f>Table4[[#This Row],[qty]]*(VLOOKUP(Table4[[#This Row],[item_sold]],Table1[],5,FALSE))</f>
        <v>85</v>
      </c>
      <c r="F7310" s="5">
        <f>(VLOOKUP(Table4[[#This Row],[item_sold]],Table1[],4,FALSE))*Table4[[#This Row],[qty]]</f>
        <v>62.5</v>
      </c>
      <c r="G7310">
        <f t="shared" si="1332"/>
        <v>22.5</v>
      </c>
      <c r="H7310" t="s">
        <v>402</v>
      </c>
    </row>
    <row r="7311" spans="1:12" x14ac:dyDescent="0.25">
      <c r="A7311" s="1">
        <f t="shared" si="1340"/>
        <v>45600</v>
      </c>
      <c r="B7311" s="31">
        <f>TIME(10,15,0)</f>
        <v>0.42708333333333331</v>
      </c>
      <c r="C7311" t="str">
        <f>'Inventory as of 12th Aug 2024'!A226</f>
        <v>pens blue</v>
      </c>
      <c r="D7311">
        <v>1</v>
      </c>
      <c r="E7311" s="5">
        <f>Table4[[#This Row],[qty]]*(VLOOKUP(Table4[[#This Row],[item_sold]],Table1[],5,FALSE))</f>
        <v>10</v>
      </c>
      <c r="F7311" s="5">
        <f>(VLOOKUP(Table4[[#This Row],[item_sold]],Table1[],4,FALSE))*Table4[[#This Row],[qty]]</f>
        <v>5</v>
      </c>
      <c r="G7311">
        <f t="shared" si="1332"/>
        <v>5</v>
      </c>
      <c r="H7311" t="s">
        <v>402</v>
      </c>
    </row>
    <row r="7312" spans="1:12" x14ac:dyDescent="0.25">
      <c r="A7312" s="1">
        <f t="shared" si="1340"/>
        <v>45600</v>
      </c>
      <c r="B7312" s="31">
        <f>TIME(10,28,0)</f>
        <v>0.43611111111111112</v>
      </c>
      <c r="C7312" t="str">
        <f>'Inventory as of 12th Aug 2024'!A80</f>
        <v>Jik</v>
      </c>
      <c r="D7312">
        <v>1</v>
      </c>
      <c r="E7312" s="5">
        <f>Table4[[#This Row],[qty]]*(VLOOKUP(Table4[[#This Row],[item_sold]],Table1[],5,FALSE))</f>
        <v>50</v>
      </c>
      <c r="F7312" s="5">
        <f>(VLOOKUP(Table4[[#This Row],[item_sold]],Table1[],4,FALSE))*Table4[[#This Row],[qty]]</f>
        <v>38.333333333333336</v>
      </c>
      <c r="G7312">
        <f t="shared" si="1332"/>
        <v>11.666666666666664</v>
      </c>
      <c r="H7312" t="s">
        <v>361</v>
      </c>
    </row>
    <row r="7313" spans="1:12" x14ac:dyDescent="0.25">
      <c r="A7313" s="1">
        <f t="shared" si="1340"/>
        <v>45600</v>
      </c>
      <c r="B7313" s="31">
        <f>TIME(10,28,0)</f>
        <v>0.43611111111111112</v>
      </c>
      <c r="C7313" t="str">
        <f>'Inventory as of 12th Aug 2024'!A83</f>
        <v>omo 75g</v>
      </c>
      <c r="D7313">
        <v>1</v>
      </c>
      <c r="E7313" s="5">
        <f>Table4[[#This Row],[qty]]*(VLOOKUP(Table4[[#This Row],[item_sold]],Table1[],5,FALSE))</f>
        <v>35</v>
      </c>
      <c r="F7313" s="5">
        <f>(VLOOKUP(Table4[[#This Row],[item_sold]],Table1[],4,FALSE))*Table4[[#This Row],[qty]]</f>
        <v>27.5</v>
      </c>
      <c r="G7313">
        <f t="shared" si="1332"/>
        <v>7.5</v>
      </c>
      <c r="H7313" t="s">
        <v>361</v>
      </c>
    </row>
    <row r="7314" spans="1:12" x14ac:dyDescent="0.25">
      <c r="A7314" s="1">
        <f t="shared" si="1340"/>
        <v>45600</v>
      </c>
      <c r="B7314" s="31">
        <f>TIME(10,35,0)</f>
        <v>0.44097222222222227</v>
      </c>
      <c r="C7314" t="str">
        <f>'Inventory as of 12th Aug 2024'!A58</f>
        <v>Safari</v>
      </c>
      <c r="D7314">
        <v>2</v>
      </c>
      <c r="E7314" s="5">
        <f>Table4[[#This Row],[qty]]*(VLOOKUP(Table4[[#This Row],[item_sold]],Table1[],5,FALSE))</f>
        <v>30</v>
      </c>
      <c r="F7314" s="5">
        <f>(VLOOKUP(Table4[[#This Row],[item_sold]],Table1[],4,FALSE))*Table4[[#This Row],[qty]]</f>
        <v>17</v>
      </c>
      <c r="G7314">
        <f t="shared" si="1332"/>
        <v>13</v>
      </c>
      <c r="H7314" t="s">
        <v>402</v>
      </c>
    </row>
    <row r="7315" spans="1:12" x14ac:dyDescent="0.25">
      <c r="A7315" s="1">
        <f t="shared" si="1340"/>
        <v>45600</v>
      </c>
      <c r="B7315" s="31">
        <f>TIME(10,56,0)</f>
        <v>0.45555555555555555</v>
      </c>
      <c r="C7315" t="str">
        <f>'Inventory as of 12th Aug 2024'!A272</f>
        <v>Soko Maize 1kg</v>
      </c>
      <c r="D7315">
        <v>1</v>
      </c>
      <c r="E7315" s="5">
        <f>Table4[[#This Row],[qty]]*(VLOOKUP(Table4[[#This Row],[item_sold]],Table1[],5,FALSE))</f>
        <v>90</v>
      </c>
      <c r="F7315" s="5">
        <f>(VLOOKUP(Table4[[#This Row],[item_sold]],Table1[],4,FALSE))*Table4[[#This Row],[qty]]</f>
        <v>60.625</v>
      </c>
      <c r="G7315">
        <f t="shared" si="1332"/>
        <v>29.375</v>
      </c>
      <c r="H7315" t="s">
        <v>361</v>
      </c>
    </row>
    <row r="7316" spans="1:12" x14ac:dyDescent="0.25">
      <c r="A7316" s="1">
        <f t="shared" si="1340"/>
        <v>45600</v>
      </c>
      <c r="B7316" s="31">
        <f>TIME(11,2,0)</f>
        <v>0.4597222222222222</v>
      </c>
      <c r="C7316" t="str">
        <f>'Inventory as of 12th Aug 2024'!A33</f>
        <v>BB Bread 400g</v>
      </c>
      <c r="D7316">
        <v>2</v>
      </c>
      <c r="E7316" s="5">
        <f>Table4[[#This Row],[qty]]*(VLOOKUP(Table4[[#This Row],[item_sold]],Table1[],5,FALSE))</f>
        <v>130</v>
      </c>
      <c r="F7316" s="5">
        <f>(VLOOKUP(Table4[[#This Row],[item_sold]],Table1[],4,FALSE))*Table4[[#This Row],[qty]]</f>
        <v>120</v>
      </c>
      <c r="G7316">
        <f t="shared" ref="G7316:G7379" si="1344">E7316-F7316</f>
        <v>10</v>
      </c>
      <c r="H7316" t="s">
        <v>430</v>
      </c>
      <c r="I7316" t="s">
        <v>394</v>
      </c>
    </row>
    <row r="7317" spans="1:12" x14ac:dyDescent="0.25">
      <c r="A7317" s="1">
        <f t="shared" si="1340"/>
        <v>45600</v>
      </c>
      <c r="B7317" s="31">
        <f t="shared" ref="B7317" si="1345">TIME(11,2,0)</f>
        <v>0.4597222222222222</v>
      </c>
      <c r="C7317" t="str">
        <f>'Inventory as of 12th Aug 2024'!A71</f>
        <v>Sugar 1/4 kg</v>
      </c>
      <c r="D7317">
        <v>2</v>
      </c>
      <c r="E7317" s="5">
        <f>Table4[[#This Row],[qty]]*(VLOOKUP(Table4[[#This Row],[item_sold]],Table1[],5,FALSE))</f>
        <v>90</v>
      </c>
      <c r="F7317" s="5">
        <f>(VLOOKUP(Table4[[#This Row],[item_sold]],Table1[],4,FALSE))*Table4[[#This Row],[qty]]</f>
        <v>60</v>
      </c>
      <c r="G7317">
        <f t="shared" si="1344"/>
        <v>30</v>
      </c>
      <c r="H7317" t="s">
        <v>430</v>
      </c>
      <c r="I7317" t="s">
        <v>394</v>
      </c>
    </row>
    <row r="7318" spans="1:12" x14ac:dyDescent="0.25">
      <c r="A7318" s="1">
        <f t="shared" si="1340"/>
        <v>45600</v>
      </c>
      <c r="B7318" s="31">
        <f>TIME(11,10,0)</f>
        <v>0.46527777777777773</v>
      </c>
      <c r="C7318" t="str">
        <f>'Inventory as of 12th Aug 2024'!A8</f>
        <v>eggs</v>
      </c>
      <c r="D7318">
        <v>20</v>
      </c>
      <c r="E7318" s="5">
        <f>Table4[[#This Row],[qty]]*(VLOOKUP(Table4[[#This Row],[item_sold]],Table1[],5,FALSE))</f>
        <v>400</v>
      </c>
      <c r="F7318" s="5">
        <f>(VLOOKUP(Table4[[#This Row],[item_sold]],Table1[],4,FALSE))*Table4[[#This Row],[qty]]</f>
        <v>286.66666666666669</v>
      </c>
      <c r="G7318">
        <f t="shared" si="1344"/>
        <v>113.33333333333331</v>
      </c>
      <c r="H7318" t="s">
        <v>361</v>
      </c>
    </row>
    <row r="7319" spans="1:12" x14ac:dyDescent="0.25">
      <c r="A7319" s="1">
        <f t="shared" si="1340"/>
        <v>45600</v>
      </c>
      <c r="B7319" s="31">
        <f t="shared" ref="B7319" si="1346">TIME(11,10,0)</f>
        <v>0.46527777777777773</v>
      </c>
      <c r="C7319" t="str">
        <f>'Inventory as of 12th Aug 2024'!A33</f>
        <v>BB Bread 400g</v>
      </c>
      <c r="D7319">
        <v>1</v>
      </c>
      <c r="E7319" s="5">
        <f>Table4[[#This Row],[qty]]*(VLOOKUP(Table4[[#This Row],[item_sold]],Table1[],5,FALSE))</f>
        <v>65</v>
      </c>
      <c r="F7319" s="5">
        <f>(VLOOKUP(Table4[[#This Row],[item_sold]],Table1[],4,FALSE))*Table4[[#This Row],[qty]]</f>
        <v>60</v>
      </c>
      <c r="G7319">
        <f t="shared" si="1344"/>
        <v>5</v>
      </c>
      <c r="H7319" t="s">
        <v>361</v>
      </c>
    </row>
    <row r="7320" spans="1:12" x14ac:dyDescent="0.25">
      <c r="A7320" s="1">
        <f t="shared" si="1340"/>
        <v>45600</v>
      </c>
      <c r="B7320" s="31">
        <f>TIME(11,21,0)</f>
        <v>0.47291666666666665</v>
      </c>
      <c r="C7320" t="str">
        <f>'Inventory as of 12th Aug 2024'!A8</f>
        <v>eggs</v>
      </c>
      <c r="D7320">
        <v>6</v>
      </c>
      <c r="E7320" s="5">
        <f>Table4[[#This Row],[qty]]*(VLOOKUP(Table4[[#This Row],[item_sold]],Table1[],5,FALSE))</f>
        <v>120</v>
      </c>
      <c r="F7320" s="5">
        <f>(VLOOKUP(Table4[[#This Row],[item_sold]],Table1[],4,FALSE))*Table4[[#This Row],[qty]]</f>
        <v>86</v>
      </c>
      <c r="G7320">
        <f t="shared" si="1344"/>
        <v>34</v>
      </c>
      <c r="H7320" t="s">
        <v>402</v>
      </c>
    </row>
    <row r="7321" spans="1:12" x14ac:dyDescent="0.25">
      <c r="A7321" s="1">
        <f t="shared" si="1340"/>
        <v>45600</v>
      </c>
      <c r="B7321" s="31">
        <f t="shared" ref="B7321:B7322" si="1347">TIME(11,21,0)</f>
        <v>0.47291666666666665</v>
      </c>
      <c r="C7321" t="str">
        <f>'Inventory as of 12th Aug 2024'!A91</f>
        <v>Tomatoes</v>
      </c>
      <c r="D7321">
        <v>3</v>
      </c>
      <c r="E7321" s="5">
        <f>Table4[[#This Row],[qty]]*(VLOOKUP(Table4[[#This Row],[item_sold]],Table1[],5,FALSE))</f>
        <v>30</v>
      </c>
      <c r="F7321" s="5">
        <f>(VLOOKUP(Table4[[#This Row],[item_sold]],Table1[],4,FALSE))*Table4[[#This Row],[qty]]</f>
        <v>15</v>
      </c>
      <c r="G7321">
        <f t="shared" si="1344"/>
        <v>15</v>
      </c>
      <c r="H7321" t="s">
        <v>402</v>
      </c>
    </row>
    <row r="7322" spans="1:12" x14ac:dyDescent="0.25">
      <c r="A7322" s="1">
        <f t="shared" si="1340"/>
        <v>45600</v>
      </c>
      <c r="B7322" s="31">
        <f t="shared" si="1347"/>
        <v>0.47291666666666665</v>
      </c>
      <c r="C7322" t="str">
        <f>'Inventory as of 12th Aug 2024'!A90</f>
        <v>Onion</v>
      </c>
      <c r="D7322">
        <v>1</v>
      </c>
      <c r="E7322" s="5">
        <f>Table4[[#This Row],[qty]]*(VLOOKUP(Table4[[#This Row],[item_sold]],Table1[],5,FALSE))</f>
        <v>10</v>
      </c>
      <c r="F7322" s="5">
        <f>(VLOOKUP(Table4[[#This Row],[item_sold]],Table1[],4,FALSE))*Table4[[#This Row],[qty]]</f>
        <v>8</v>
      </c>
      <c r="G7322">
        <f t="shared" si="1344"/>
        <v>2</v>
      </c>
      <c r="H7322" t="s">
        <v>402</v>
      </c>
    </row>
    <row r="7323" spans="1:12" x14ac:dyDescent="0.25">
      <c r="A7323" s="1">
        <f t="shared" si="1340"/>
        <v>45600</v>
      </c>
      <c r="B7323" s="31">
        <f>TIME(11,24,0)</f>
        <v>0.47500000000000003</v>
      </c>
      <c r="C7323" t="str">
        <f>'Inventory as of 12th Aug 2024'!A33</f>
        <v>BB Bread 400g</v>
      </c>
      <c r="D7323">
        <v>1</v>
      </c>
      <c r="E7323" s="5">
        <f>Table4[[#This Row],[qty]]*(VLOOKUP(Table4[[#This Row],[item_sold]],Table1[],5,FALSE))</f>
        <v>65</v>
      </c>
      <c r="F7323" s="5">
        <f>(VLOOKUP(Table4[[#This Row],[item_sold]],Table1[],4,FALSE))*Table4[[#This Row],[qty]]</f>
        <v>60</v>
      </c>
      <c r="G7323">
        <f t="shared" si="1344"/>
        <v>5</v>
      </c>
      <c r="H7323" t="s">
        <v>430</v>
      </c>
      <c r="I7323" t="s">
        <v>390</v>
      </c>
    </row>
    <row r="7324" spans="1:12" x14ac:dyDescent="0.25">
      <c r="A7324" s="1">
        <f t="shared" si="1340"/>
        <v>45600</v>
      </c>
      <c r="B7324" s="31">
        <f>TIME(11,26,0)</f>
        <v>0.47638888888888892</v>
      </c>
      <c r="C7324" t="str">
        <f>'Inventory as of 12th Aug 2024'!A266</f>
        <v>Zenta Bar Soap</v>
      </c>
      <c r="D7324">
        <v>0.2</v>
      </c>
      <c r="E7324" s="5">
        <f>Table4[[#This Row],[qty]]*(VLOOKUP(Table4[[#This Row],[item_sold]],Table1[],5,FALSE))</f>
        <v>50</v>
      </c>
      <c r="F7324" s="5">
        <f>(VLOOKUP(Table4[[#This Row],[item_sold]],Table1[],4,FALSE))*Table4[[#This Row],[qty]]</f>
        <v>32</v>
      </c>
      <c r="G7324">
        <f t="shared" si="1344"/>
        <v>18</v>
      </c>
      <c r="H7324" t="s">
        <v>402</v>
      </c>
    </row>
    <row r="7325" spans="1:12" x14ac:dyDescent="0.25">
      <c r="A7325" s="1">
        <f t="shared" si="1340"/>
        <v>45600</v>
      </c>
      <c r="B7325" s="31">
        <f>TIME(11,39,0)</f>
        <v>0.48541666666666666</v>
      </c>
      <c r="C7325" t="str">
        <f>'Inventory as of 12th Aug 2024'!A244</f>
        <v>5ltrs water</v>
      </c>
      <c r="D7325">
        <v>1</v>
      </c>
      <c r="E7325" s="5">
        <f>Table4[[#This Row],[qty]]*(VLOOKUP(Table4[[#This Row],[item_sold]],Table1[],5,FALSE))</f>
        <v>120</v>
      </c>
      <c r="F7325" s="5">
        <f>(VLOOKUP(Table4[[#This Row],[item_sold]],Table1[],4,FALSE))*Table4[[#This Row],[qty]]</f>
        <v>75</v>
      </c>
      <c r="G7325">
        <f t="shared" si="1344"/>
        <v>45</v>
      </c>
      <c r="H7325" t="s">
        <v>361</v>
      </c>
    </row>
    <row r="7326" spans="1:12" x14ac:dyDescent="0.25">
      <c r="A7326" s="1">
        <f t="shared" si="1340"/>
        <v>45600</v>
      </c>
      <c r="B7326" s="31">
        <f>TIME(11,40,0)</f>
        <v>0.4861111111111111</v>
      </c>
      <c r="C7326" t="str">
        <f>'Inventory as of 12th Aug 2024'!A16</f>
        <v>Mt kenya milk 500ml</v>
      </c>
      <c r="D7326">
        <v>1</v>
      </c>
      <c r="E7326" s="5">
        <f>Table4[[#This Row],[qty]]*(VLOOKUP(Table4[[#This Row],[item_sold]],Table1[],5,FALSE))</f>
        <v>65</v>
      </c>
      <c r="F7326" s="5">
        <f>(VLOOKUP(Table4[[#This Row],[item_sold]],Table1[],4,FALSE))*Table4[[#This Row],[qty]]</f>
        <v>48.333333333333336</v>
      </c>
      <c r="G7326">
        <f t="shared" si="1344"/>
        <v>16.666666666666664</v>
      </c>
      <c r="H7326" t="s">
        <v>402</v>
      </c>
      <c r="J7326" t="s">
        <v>415</v>
      </c>
      <c r="K7326">
        <v>65</v>
      </c>
      <c r="L7326" t="s">
        <v>247</v>
      </c>
    </row>
    <row r="7327" spans="1:12" x14ac:dyDescent="0.25">
      <c r="A7327" s="1">
        <f t="shared" si="1340"/>
        <v>45600</v>
      </c>
      <c r="B7327" s="31">
        <f>TIME(11,48,0)</f>
        <v>0.4916666666666667</v>
      </c>
      <c r="C7327" t="str">
        <f>'Inventory as of 12th Aug 2024'!A42</f>
        <v>Indomie chicken</v>
      </c>
      <c r="D7327">
        <v>2</v>
      </c>
      <c r="E7327" s="5">
        <f>Table4[[#This Row],[qty]]*(VLOOKUP(Table4[[#This Row],[item_sold]],Table1[],5,FALSE))</f>
        <v>100</v>
      </c>
      <c r="F7327" s="5">
        <f>(VLOOKUP(Table4[[#This Row],[item_sold]],Table1[],4,FALSE))*Table4[[#This Row],[qty]]</f>
        <v>75</v>
      </c>
      <c r="G7327">
        <f t="shared" si="1344"/>
        <v>25</v>
      </c>
      <c r="H7327" t="s">
        <v>361</v>
      </c>
    </row>
    <row r="7328" spans="1:12" x14ac:dyDescent="0.25">
      <c r="A7328" s="1">
        <f t="shared" si="1340"/>
        <v>45600</v>
      </c>
      <c r="B7328" s="31">
        <f t="shared" ref="B7328:B7329" si="1348">TIME(11,48,0)</f>
        <v>0.4916666666666667</v>
      </c>
      <c r="C7328" t="str">
        <f>'Inventory as of 12th Aug 2024'!A211</f>
        <v>predator</v>
      </c>
      <c r="D7328">
        <v>2</v>
      </c>
      <c r="E7328" s="5">
        <f>Table4[[#This Row],[qty]]*(VLOOKUP(Table4[[#This Row],[item_sold]],Table1[],5,FALSE))</f>
        <v>140</v>
      </c>
      <c r="F7328" s="5">
        <f>(VLOOKUP(Table4[[#This Row],[item_sold]],Table1[],4,FALSE))*Table4[[#This Row],[qty]]</f>
        <v>108.33333333333333</v>
      </c>
      <c r="G7328">
        <f t="shared" si="1344"/>
        <v>31.666666666666671</v>
      </c>
      <c r="H7328" t="s">
        <v>361</v>
      </c>
    </row>
    <row r="7329" spans="1:9" x14ac:dyDescent="0.25">
      <c r="A7329" s="1">
        <f t="shared" si="1340"/>
        <v>45600</v>
      </c>
      <c r="B7329" s="31">
        <f t="shared" si="1348"/>
        <v>0.4916666666666667</v>
      </c>
      <c r="C7329" t="str">
        <f>'Inventory as of 12th Aug 2024'!A242</f>
        <v>Icepop</v>
      </c>
      <c r="D7329">
        <v>10</v>
      </c>
      <c r="E7329" s="5">
        <f>Table4[[#This Row],[qty]]*(VLOOKUP(Table4[[#This Row],[item_sold]],Table1[],5,FALSE))</f>
        <v>150</v>
      </c>
      <c r="F7329" s="5">
        <f>(VLOOKUP(Table4[[#This Row],[item_sold]],Table1[],4,FALSE))*Table4[[#This Row],[qty]]</f>
        <v>75</v>
      </c>
      <c r="G7329">
        <f t="shared" si="1344"/>
        <v>75</v>
      </c>
      <c r="H7329" t="s">
        <v>361</v>
      </c>
    </row>
    <row r="7330" spans="1:9" x14ac:dyDescent="0.25">
      <c r="A7330" s="1">
        <f t="shared" si="1340"/>
        <v>45600</v>
      </c>
      <c r="B7330" s="31">
        <f>TIME(12,9,0)</f>
        <v>0.50624999999999998</v>
      </c>
      <c r="C7330" t="str">
        <f>'Inventory as of 12th Aug 2024'!A267</f>
        <v>Ting Ting</v>
      </c>
      <c r="D7330">
        <v>2</v>
      </c>
      <c r="E7330" s="5">
        <f>Table4[[#This Row],[qty]]*(VLOOKUP(Table4[[#This Row],[item_sold]],Table1[],5,FALSE))</f>
        <v>10</v>
      </c>
      <c r="F7330" s="5">
        <f>(VLOOKUP(Table4[[#This Row],[item_sold]],Table1[],4,FALSE))*Table4[[#This Row],[qty]]</f>
        <v>8.1199999999999992</v>
      </c>
      <c r="G7330">
        <f t="shared" si="1344"/>
        <v>1.8800000000000008</v>
      </c>
      <c r="H7330" t="s">
        <v>402</v>
      </c>
    </row>
    <row r="7331" spans="1:9" x14ac:dyDescent="0.25">
      <c r="A7331" s="1">
        <f t="shared" si="1340"/>
        <v>45600</v>
      </c>
      <c r="B7331" s="31">
        <f>TIME(12,10,0)</f>
        <v>0.50694444444444442</v>
      </c>
      <c r="C7331" t="str">
        <f>'Inventory as of 12th Aug 2024'!A272</f>
        <v>Soko Maize 1kg</v>
      </c>
      <c r="D7331">
        <v>1</v>
      </c>
      <c r="E7331" s="5">
        <f>Table4[[#This Row],[qty]]*(VLOOKUP(Table4[[#This Row],[item_sold]],Table1[],5,FALSE))</f>
        <v>90</v>
      </c>
      <c r="F7331" s="5">
        <f>(VLOOKUP(Table4[[#This Row],[item_sold]],Table1[],4,FALSE))*Table4[[#This Row],[qty]]</f>
        <v>60.625</v>
      </c>
      <c r="G7331">
        <f t="shared" si="1344"/>
        <v>29.375</v>
      </c>
      <c r="H7331" t="s">
        <v>361</v>
      </c>
    </row>
    <row r="7332" spans="1:9" x14ac:dyDescent="0.25">
      <c r="A7332" s="1">
        <f t="shared" si="1340"/>
        <v>45600</v>
      </c>
      <c r="B7332" s="31">
        <f>TIME(12,10,0)</f>
        <v>0.50694444444444442</v>
      </c>
      <c r="C7332" t="str">
        <f>'Inventory as of 12th Aug 2024'!A91</f>
        <v>Tomatoes</v>
      </c>
      <c r="D7332">
        <v>1</v>
      </c>
      <c r="E7332" s="5">
        <f>Table4[[#This Row],[qty]]*(VLOOKUP(Table4[[#This Row],[item_sold]],Table1[],5,FALSE))</f>
        <v>10</v>
      </c>
      <c r="F7332" s="5">
        <f>(VLOOKUP(Table4[[#This Row],[item_sold]],Table1[],4,FALSE))*Table4[[#This Row],[qty]]</f>
        <v>5</v>
      </c>
      <c r="G7332">
        <f t="shared" si="1344"/>
        <v>5</v>
      </c>
      <c r="H7332" t="s">
        <v>361</v>
      </c>
    </row>
    <row r="7333" spans="1:9" x14ac:dyDescent="0.25">
      <c r="A7333" s="1">
        <f t="shared" si="1340"/>
        <v>45600</v>
      </c>
      <c r="B7333" s="31">
        <f>TIME(12,26,0)</f>
        <v>0.5180555555555556</v>
      </c>
      <c r="C7333" t="str">
        <f>'Inventory as of 12th Aug 2024'!A205</f>
        <v xml:space="preserve"> soda 1.25lts</v>
      </c>
      <c r="D7333">
        <v>1</v>
      </c>
      <c r="E7333" s="5">
        <f>Table4[[#This Row],[qty]]*(VLOOKUP(Table4[[#This Row],[item_sold]],Table1[],5,FALSE))</f>
        <v>130</v>
      </c>
      <c r="F7333" s="5">
        <f>(VLOOKUP(Table4[[#This Row],[item_sold]],Table1[],4,FALSE))*Table4[[#This Row],[qty]]</f>
        <v>112.5</v>
      </c>
      <c r="G7333">
        <f t="shared" si="1344"/>
        <v>17.5</v>
      </c>
      <c r="H7333" t="s">
        <v>430</v>
      </c>
      <c r="I7333" t="s">
        <v>403</v>
      </c>
    </row>
    <row r="7334" spans="1:9" x14ac:dyDescent="0.25">
      <c r="A7334" s="1">
        <f t="shared" si="1340"/>
        <v>45600</v>
      </c>
      <c r="B7334" s="31">
        <f>TIME(12,44,0)</f>
        <v>0.53055555555555556</v>
      </c>
      <c r="C7334" t="str">
        <f>'Inventory as of 12th Aug 2024'!A42</f>
        <v>Indomie chicken</v>
      </c>
      <c r="D7334">
        <v>1</v>
      </c>
      <c r="E7334" s="5">
        <f>Table4[[#This Row],[qty]]*(VLOOKUP(Table4[[#This Row],[item_sold]],Table1[],5,FALSE))</f>
        <v>50</v>
      </c>
      <c r="F7334" s="5">
        <f>(VLOOKUP(Table4[[#This Row],[item_sold]],Table1[],4,FALSE))*Table4[[#This Row],[qty]]</f>
        <v>37.5</v>
      </c>
      <c r="G7334">
        <f t="shared" si="1344"/>
        <v>12.5</v>
      </c>
      <c r="H7334" t="s">
        <v>402</v>
      </c>
    </row>
    <row r="7335" spans="1:9" x14ac:dyDescent="0.25">
      <c r="A7335" s="1">
        <f t="shared" si="1340"/>
        <v>45600</v>
      </c>
      <c r="B7335" s="31">
        <f t="shared" ref="B7335:B7338" si="1349">TIME(12,44,0)</f>
        <v>0.53055555555555556</v>
      </c>
      <c r="C7335" t="str">
        <f>'Inventory as of 12th Aug 2024'!A240</f>
        <v>Bigboss</v>
      </c>
      <c r="D7335">
        <v>2</v>
      </c>
      <c r="E7335" s="5">
        <f>Table4[[#This Row],[qty]]*(VLOOKUP(Table4[[#This Row],[item_sold]],Table1[],5,FALSE))</f>
        <v>10</v>
      </c>
      <c r="F7335" s="5">
        <f>(VLOOKUP(Table4[[#This Row],[item_sold]],Table1[],4,FALSE))*Table4[[#This Row],[qty]]</f>
        <v>7</v>
      </c>
      <c r="G7335">
        <f t="shared" si="1344"/>
        <v>3</v>
      </c>
      <c r="H7335" t="s">
        <v>402</v>
      </c>
    </row>
    <row r="7336" spans="1:9" x14ac:dyDescent="0.25">
      <c r="A7336" s="1">
        <f t="shared" si="1340"/>
        <v>45600</v>
      </c>
      <c r="B7336" s="31">
        <f t="shared" si="1349"/>
        <v>0.53055555555555556</v>
      </c>
      <c r="C7336" t="str">
        <f>'Inventory as of 12th Aug 2024'!A242</f>
        <v>Icepop</v>
      </c>
      <c r="D7336">
        <v>1</v>
      </c>
      <c r="E7336" s="5">
        <f>Table4[[#This Row],[qty]]*(VLOOKUP(Table4[[#This Row],[item_sold]],Table1[],5,FALSE))</f>
        <v>15</v>
      </c>
      <c r="F7336" s="5">
        <f>(VLOOKUP(Table4[[#This Row],[item_sold]],Table1[],4,FALSE))*Table4[[#This Row],[qty]]</f>
        <v>7.5</v>
      </c>
      <c r="G7336">
        <f t="shared" si="1344"/>
        <v>7.5</v>
      </c>
      <c r="H7336" t="s">
        <v>402</v>
      </c>
    </row>
    <row r="7337" spans="1:9" x14ac:dyDescent="0.25">
      <c r="A7337" s="1">
        <f t="shared" si="1340"/>
        <v>45600</v>
      </c>
      <c r="B7337" s="31">
        <f t="shared" si="1349"/>
        <v>0.53055555555555556</v>
      </c>
      <c r="C7337" t="str">
        <f>'Inventory as of 12th Aug 2024'!A267</f>
        <v>Ting Ting</v>
      </c>
      <c r="D7337">
        <v>3</v>
      </c>
      <c r="E7337" s="5">
        <f>Table4[[#This Row],[qty]]*(VLOOKUP(Table4[[#This Row],[item_sold]],Table1[],5,FALSE))</f>
        <v>15</v>
      </c>
      <c r="F7337" s="5">
        <f>(VLOOKUP(Table4[[#This Row],[item_sold]],Table1[],4,FALSE))*Table4[[#This Row],[qty]]</f>
        <v>12.18</v>
      </c>
      <c r="G7337">
        <f t="shared" si="1344"/>
        <v>2.8200000000000003</v>
      </c>
      <c r="H7337" t="s">
        <v>402</v>
      </c>
    </row>
    <row r="7338" spans="1:9" x14ac:dyDescent="0.25">
      <c r="A7338" s="1">
        <f t="shared" si="1340"/>
        <v>45600</v>
      </c>
      <c r="B7338" s="31">
        <f t="shared" si="1349"/>
        <v>0.53055555555555556</v>
      </c>
      <c r="C7338" t="str">
        <f>'Inventory as of 12th Aug 2024'!A234</f>
        <v>Bigdaddy</v>
      </c>
      <c r="D7338">
        <v>3</v>
      </c>
      <c r="E7338" s="5">
        <f>Table4[[#This Row],[qty]]*(VLOOKUP(Table4[[#This Row],[item_sold]],Table1[],5,FALSE))</f>
        <v>30</v>
      </c>
      <c r="F7338" s="5">
        <f>(VLOOKUP(Table4[[#This Row],[item_sold]],Table1[],4,FALSE))*Table4[[#This Row],[qty]]</f>
        <v>18</v>
      </c>
      <c r="G7338">
        <f t="shared" si="1344"/>
        <v>12</v>
      </c>
      <c r="H7338" t="s">
        <v>402</v>
      </c>
    </row>
    <row r="7339" spans="1:9" x14ac:dyDescent="0.25">
      <c r="A7339" s="1">
        <f t="shared" si="1340"/>
        <v>45600</v>
      </c>
      <c r="B7339" s="31">
        <f>TIME(13,9,0)</f>
        <v>0.54791666666666672</v>
      </c>
      <c r="C7339" t="str">
        <f>'Inventory as of 12th Aug 2024'!A91</f>
        <v>Tomatoes</v>
      </c>
      <c r="D7339">
        <v>2</v>
      </c>
      <c r="E7339" s="5">
        <f>Table4[[#This Row],[qty]]*(VLOOKUP(Table4[[#This Row],[item_sold]],Table1[],5,FALSE))</f>
        <v>20</v>
      </c>
      <c r="F7339" s="5">
        <f>(VLOOKUP(Table4[[#This Row],[item_sold]],Table1[],4,FALSE))*Table4[[#This Row],[qty]]</f>
        <v>10</v>
      </c>
      <c r="G7339">
        <f t="shared" si="1344"/>
        <v>10</v>
      </c>
      <c r="H7339" t="s">
        <v>361</v>
      </c>
    </row>
    <row r="7340" spans="1:9" x14ac:dyDescent="0.25">
      <c r="A7340" s="1">
        <f t="shared" si="1340"/>
        <v>45600</v>
      </c>
      <c r="B7340" s="31">
        <f>TIME(13,13,0)</f>
        <v>0.55069444444444449</v>
      </c>
      <c r="C7340" t="str">
        <f>'Inventory as of 12th Aug 2024'!A199</f>
        <v>Kdf</v>
      </c>
      <c r="D7340">
        <v>3</v>
      </c>
      <c r="E7340" s="5">
        <f>Table4[[#This Row],[qty]]*(VLOOKUP(Table4[[#This Row],[item_sold]],Table1[],5,FALSE))</f>
        <v>30</v>
      </c>
      <c r="F7340" s="5">
        <f>(VLOOKUP(Table4[[#This Row],[item_sold]],Table1[],4,FALSE))*Table4[[#This Row],[qty]]</f>
        <v>25</v>
      </c>
      <c r="G7340">
        <f t="shared" si="1344"/>
        <v>5</v>
      </c>
      <c r="H7340" t="s">
        <v>402</v>
      </c>
    </row>
    <row r="7341" spans="1:9" x14ac:dyDescent="0.25">
      <c r="A7341" s="1">
        <f t="shared" si="1340"/>
        <v>45600</v>
      </c>
      <c r="B7341" s="31">
        <f t="shared" ref="B7341:B7342" si="1350">TIME(13,13,0)</f>
        <v>0.55069444444444449</v>
      </c>
      <c r="C7341" t="str">
        <f>'Inventory as of 12th Aug 2024'!A199</f>
        <v>Kdf</v>
      </c>
      <c r="D7341">
        <v>2</v>
      </c>
      <c r="E7341" s="5">
        <f>Table4[[#This Row],[qty]]*(VLOOKUP(Table4[[#This Row],[item_sold]],Table1[],5,FALSE))</f>
        <v>20</v>
      </c>
      <c r="F7341" s="5">
        <f>(VLOOKUP(Table4[[#This Row],[item_sold]],Table1[],4,FALSE))*Table4[[#This Row],[qty]]</f>
        <v>16.666666666666668</v>
      </c>
      <c r="G7341">
        <f t="shared" si="1344"/>
        <v>3.3333333333333321</v>
      </c>
      <c r="H7341" t="s">
        <v>361</v>
      </c>
    </row>
    <row r="7342" spans="1:9" x14ac:dyDescent="0.25">
      <c r="A7342" s="1">
        <f t="shared" si="1340"/>
        <v>45600</v>
      </c>
      <c r="B7342" s="31">
        <f t="shared" si="1350"/>
        <v>0.55069444444444449</v>
      </c>
      <c r="C7342" t="str">
        <f>'Inventory as of 12th Aug 2024'!A212</f>
        <v>soda 300ml glass</v>
      </c>
      <c r="D7342">
        <v>1</v>
      </c>
      <c r="E7342" s="5">
        <f>Table4[[#This Row],[qty]]*(VLOOKUP(Table4[[#This Row],[item_sold]],Table1[],5,FALSE))</f>
        <v>40</v>
      </c>
      <c r="F7342" s="5">
        <f>(VLOOKUP(Table4[[#This Row],[item_sold]],Table1[],4,FALSE))*Table4[[#This Row],[qty]]</f>
        <v>32.5</v>
      </c>
      <c r="G7342">
        <f t="shared" si="1344"/>
        <v>7.5</v>
      </c>
      <c r="H7342" t="s">
        <v>361</v>
      </c>
    </row>
    <row r="7343" spans="1:9" x14ac:dyDescent="0.25">
      <c r="A7343" s="1">
        <f t="shared" si="1340"/>
        <v>45600</v>
      </c>
      <c r="B7343" s="31">
        <f>TIME(13,16,0)</f>
        <v>0.55277777777777781</v>
      </c>
      <c r="C7343" t="str">
        <f>'Inventory as of 12th Aug 2024'!A212</f>
        <v>soda 300ml glass</v>
      </c>
      <c r="D7343">
        <v>1</v>
      </c>
      <c r="E7343" s="5">
        <f>Table4[[#This Row],[qty]]*(VLOOKUP(Table4[[#This Row],[item_sold]],Table1[],5,FALSE))</f>
        <v>40</v>
      </c>
      <c r="F7343" s="5">
        <f>(VLOOKUP(Table4[[#This Row],[item_sold]],Table1[],4,FALSE))*Table4[[#This Row],[qty]]</f>
        <v>32.5</v>
      </c>
      <c r="G7343">
        <f t="shared" si="1344"/>
        <v>7.5</v>
      </c>
      <c r="H7343" t="s">
        <v>402</v>
      </c>
    </row>
    <row r="7344" spans="1:9" x14ac:dyDescent="0.25">
      <c r="A7344" s="1">
        <f t="shared" si="1340"/>
        <v>45600</v>
      </c>
      <c r="B7344" s="31">
        <f>TIME(13,20,0)</f>
        <v>0.55555555555555558</v>
      </c>
      <c r="C7344" t="str">
        <f>'Inventory as of 12th Aug 2024'!A37</f>
        <v>Festive Bread 400g</v>
      </c>
      <c r="D7344">
        <v>1</v>
      </c>
      <c r="E7344" s="5">
        <f>Table4[[#This Row],[qty]]*(VLOOKUP(Table4[[#This Row],[item_sold]],Table1[],5,FALSE))</f>
        <v>65</v>
      </c>
      <c r="F7344" s="5">
        <f>(VLOOKUP(Table4[[#This Row],[item_sold]],Table1[],4,FALSE))*Table4[[#This Row],[qty]]</f>
        <v>60</v>
      </c>
      <c r="G7344">
        <f t="shared" si="1344"/>
        <v>5</v>
      </c>
      <c r="H7344" t="s">
        <v>361</v>
      </c>
    </row>
    <row r="7345" spans="1:9" x14ac:dyDescent="0.25">
      <c r="A7345" s="1">
        <f t="shared" si="1340"/>
        <v>45600</v>
      </c>
      <c r="B7345" s="31">
        <f t="shared" ref="B7345" si="1351">TIME(13,20,0)</f>
        <v>0.55555555555555558</v>
      </c>
      <c r="C7345" t="str">
        <f>'Inventory as of 12th Aug 2024'!A212</f>
        <v>soda 300ml glass</v>
      </c>
      <c r="D7345">
        <v>2</v>
      </c>
      <c r="E7345" s="5">
        <f>Table4[[#This Row],[qty]]*(VLOOKUP(Table4[[#This Row],[item_sold]],Table1[],5,FALSE))</f>
        <v>80</v>
      </c>
      <c r="F7345" s="5">
        <f>(VLOOKUP(Table4[[#This Row],[item_sold]],Table1[],4,FALSE))*Table4[[#This Row],[qty]]</f>
        <v>65</v>
      </c>
      <c r="G7345">
        <f t="shared" si="1344"/>
        <v>15</v>
      </c>
      <c r="H7345" t="s">
        <v>361</v>
      </c>
    </row>
    <row r="7346" spans="1:9" x14ac:dyDescent="0.25">
      <c r="A7346" s="1">
        <f t="shared" si="1340"/>
        <v>45600</v>
      </c>
      <c r="B7346" s="31">
        <f>TIME(13,22,0)</f>
        <v>0.55694444444444446</v>
      </c>
      <c r="C7346" t="str">
        <f>'Inventory as of 12th Aug 2024'!A58</f>
        <v>Safari</v>
      </c>
      <c r="D7346">
        <v>2</v>
      </c>
      <c r="E7346" s="5">
        <f>Table4[[#This Row],[qty]]*(VLOOKUP(Table4[[#This Row],[item_sold]],Table1[],5,FALSE))</f>
        <v>30</v>
      </c>
      <c r="F7346" s="5">
        <f>(VLOOKUP(Table4[[#This Row],[item_sold]],Table1[],4,FALSE))*Table4[[#This Row],[qty]]</f>
        <v>17</v>
      </c>
      <c r="G7346">
        <f t="shared" si="1344"/>
        <v>13</v>
      </c>
      <c r="H7346" t="s">
        <v>402</v>
      </c>
    </row>
    <row r="7347" spans="1:9" x14ac:dyDescent="0.25">
      <c r="A7347" s="1">
        <f t="shared" si="1340"/>
        <v>45600</v>
      </c>
      <c r="B7347" s="31">
        <f>TIME(13,33,0)</f>
        <v>0.56458333333333333</v>
      </c>
      <c r="C7347" t="str">
        <f>'Inventory as of 12th Aug 2024'!A245</f>
        <v>1.5ltrs water</v>
      </c>
      <c r="D7347">
        <v>1</v>
      </c>
      <c r="E7347" s="5">
        <f>Table4[[#This Row],[qty]]*(VLOOKUP(Table4[[#This Row],[item_sold]],Table1[],5,FALSE))</f>
        <v>70</v>
      </c>
      <c r="F7347" s="5">
        <f>(VLOOKUP(Table4[[#This Row],[item_sold]],Table1[],4,FALSE))*Table4[[#This Row],[qty]]</f>
        <v>25</v>
      </c>
      <c r="G7347">
        <f t="shared" si="1344"/>
        <v>45</v>
      </c>
      <c r="H7347" t="s">
        <v>361</v>
      </c>
    </row>
    <row r="7348" spans="1:9" x14ac:dyDescent="0.25">
      <c r="A7348" s="1">
        <f t="shared" si="1340"/>
        <v>45600</v>
      </c>
      <c r="B7348" s="31">
        <f>TIME(13,33,0)</f>
        <v>0.56458333333333333</v>
      </c>
      <c r="C7348" t="str">
        <f>'Inventory as of 12th Aug 2024'!A245</f>
        <v>1.5ltrs water</v>
      </c>
      <c r="D7348">
        <v>1</v>
      </c>
      <c r="E7348" s="5">
        <f>Table4[[#This Row],[qty]]*(VLOOKUP(Table4[[#This Row],[item_sold]],Table1[],5,FALSE))</f>
        <v>70</v>
      </c>
      <c r="F7348" s="5">
        <f>(VLOOKUP(Table4[[#This Row],[item_sold]],Table1[],4,FALSE))*Table4[[#This Row],[qty]]</f>
        <v>25</v>
      </c>
      <c r="G7348">
        <f t="shared" si="1344"/>
        <v>45</v>
      </c>
      <c r="H7348" t="s">
        <v>402</v>
      </c>
    </row>
    <row r="7349" spans="1:9" x14ac:dyDescent="0.25">
      <c r="A7349" s="1">
        <f t="shared" si="1340"/>
        <v>45600</v>
      </c>
      <c r="B7349" s="31">
        <f>TIME(14,7,0)</f>
        <v>0.58819444444444446</v>
      </c>
      <c r="C7349" t="str">
        <f>'Inventory as of 12th Aug 2024'!A211</f>
        <v>predator</v>
      </c>
      <c r="D7349">
        <v>2</v>
      </c>
      <c r="E7349" s="5">
        <f>Table4[[#This Row],[qty]]*(VLOOKUP(Table4[[#This Row],[item_sold]],Table1[],5,FALSE))</f>
        <v>140</v>
      </c>
      <c r="F7349" s="5">
        <f>(VLOOKUP(Table4[[#This Row],[item_sold]],Table1[],4,FALSE))*Table4[[#This Row],[qty]]</f>
        <v>108.33333333333333</v>
      </c>
      <c r="G7349">
        <f t="shared" si="1344"/>
        <v>31.666666666666671</v>
      </c>
      <c r="H7349" t="s">
        <v>402</v>
      </c>
    </row>
    <row r="7350" spans="1:9" x14ac:dyDescent="0.25">
      <c r="A7350" s="1">
        <f t="shared" si="1340"/>
        <v>45600</v>
      </c>
      <c r="B7350" s="31">
        <f t="shared" ref="B7350" si="1352">TIME(14,7,0)</f>
        <v>0.58819444444444446</v>
      </c>
      <c r="C7350" t="str">
        <f>'Inventory as of 12th Aug 2024'!A246</f>
        <v>300ml water</v>
      </c>
      <c r="D7350">
        <v>1</v>
      </c>
      <c r="E7350" s="5">
        <f>Table4[[#This Row],[qty]]*(VLOOKUP(Table4[[#This Row],[item_sold]],Table1[],5,FALSE))</f>
        <v>30</v>
      </c>
      <c r="F7350" s="5">
        <f>(VLOOKUP(Table4[[#This Row],[item_sold]],Table1[],4,FALSE))*Table4[[#This Row],[qty]]</f>
        <v>12.5</v>
      </c>
      <c r="G7350">
        <f t="shared" si="1344"/>
        <v>17.5</v>
      </c>
      <c r="H7350" t="s">
        <v>402</v>
      </c>
    </row>
    <row r="7351" spans="1:9" x14ac:dyDescent="0.25">
      <c r="A7351" s="1">
        <f t="shared" si="1340"/>
        <v>45600</v>
      </c>
      <c r="B7351" s="31">
        <f>TIME(14,21,0)</f>
        <v>0.59791666666666665</v>
      </c>
      <c r="C7351" t="str">
        <f>'Inventory as of 12th Aug 2024'!A58</f>
        <v>Safari</v>
      </c>
      <c r="D7351">
        <v>4</v>
      </c>
      <c r="E7351" s="5">
        <f>Table4[[#This Row],[qty]]*(VLOOKUP(Table4[[#This Row],[item_sold]],Table1[],5,FALSE))</f>
        <v>60</v>
      </c>
      <c r="F7351" s="5">
        <f>(VLOOKUP(Table4[[#This Row],[item_sold]],Table1[],4,FALSE))*Table4[[#This Row],[qty]]</f>
        <v>34</v>
      </c>
      <c r="G7351">
        <f t="shared" si="1344"/>
        <v>26</v>
      </c>
      <c r="H7351" t="s">
        <v>361</v>
      </c>
    </row>
    <row r="7352" spans="1:9" x14ac:dyDescent="0.25">
      <c r="A7352" s="1">
        <f t="shared" si="1340"/>
        <v>45600</v>
      </c>
      <c r="B7352" s="31">
        <f t="shared" ref="B7352" si="1353">TIME(14,21,0)</f>
        <v>0.59791666666666665</v>
      </c>
      <c r="C7352" t="str">
        <f>'Inventory as of 12th Aug 2024'!A232</f>
        <v>coo</v>
      </c>
      <c r="D7352">
        <v>4</v>
      </c>
      <c r="E7352" s="5">
        <f>Table4[[#This Row],[qty]]*(VLOOKUP(Table4[[#This Row],[item_sold]],Table1[],5,FALSE))</f>
        <v>10</v>
      </c>
      <c r="F7352" s="5">
        <f>(VLOOKUP(Table4[[#This Row],[item_sold]],Table1[],4,FALSE))*Table4[[#This Row],[qty]]</f>
        <v>4.8</v>
      </c>
      <c r="G7352">
        <f t="shared" si="1344"/>
        <v>5.2</v>
      </c>
      <c r="H7352" t="s">
        <v>402</v>
      </c>
    </row>
    <row r="7353" spans="1:9" x14ac:dyDescent="0.25">
      <c r="A7353" s="1">
        <f t="shared" si="1340"/>
        <v>45600</v>
      </c>
      <c r="B7353" s="31">
        <f>TIME(14,22,0)</f>
        <v>0.59861111111111109</v>
      </c>
      <c r="C7353" t="str">
        <f>'Inventory as of 12th Aug 2024'!A207</f>
        <v>soda 350ml plastic</v>
      </c>
      <c r="D7353">
        <v>1</v>
      </c>
      <c r="E7353" s="5">
        <f>Table4[[#This Row],[qty]]*(VLOOKUP(Table4[[#This Row],[item_sold]],Table1[],5,FALSE))</f>
        <v>50</v>
      </c>
      <c r="F7353" s="5">
        <f>(VLOOKUP(Table4[[#This Row],[item_sold]],Table1[],4,FALSE))*Table4[[#This Row],[qty]]</f>
        <v>41.666666666666664</v>
      </c>
      <c r="G7353">
        <f t="shared" si="1344"/>
        <v>8.3333333333333357</v>
      </c>
      <c r="H7353" t="s">
        <v>402</v>
      </c>
    </row>
    <row r="7354" spans="1:9" x14ac:dyDescent="0.25">
      <c r="A7354" s="1">
        <f t="shared" si="1340"/>
        <v>45600</v>
      </c>
      <c r="B7354" s="31">
        <f>TIME(14,27,0)</f>
        <v>0.6020833333333333</v>
      </c>
      <c r="C7354" t="str">
        <f>'Inventory as of 12th Aug 2024'!A234</f>
        <v>Bigdaddy</v>
      </c>
      <c r="D7354">
        <v>2</v>
      </c>
      <c r="E7354" s="5">
        <f>Table4[[#This Row],[qty]]*(VLOOKUP(Table4[[#This Row],[item_sold]],Table1[],5,FALSE))</f>
        <v>20</v>
      </c>
      <c r="F7354" s="5">
        <f>(VLOOKUP(Table4[[#This Row],[item_sold]],Table1[],4,FALSE))*Table4[[#This Row],[qty]]</f>
        <v>12</v>
      </c>
      <c r="G7354">
        <f t="shared" si="1344"/>
        <v>8</v>
      </c>
      <c r="H7354" t="s">
        <v>402</v>
      </c>
    </row>
    <row r="7355" spans="1:9" x14ac:dyDescent="0.25">
      <c r="A7355" s="1">
        <f t="shared" si="1340"/>
        <v>45600</v>
      </c>
      <c r="B7355" s="31">
        <f t="shared" ref="B7355" si="1354">TIME(14,27,0)</f>
        <v>0.6020833333333333</v>
      </c>
      <c r="C7355" t="str">
        <f>'Inventory as of 12th Aug 2024'!A240</f>
        <v>Bigboss</v>
      </c>
      <c r="D7355">
        <v>3</v>
      </c>
      <c r="E7355" s="5">
        <f>Table4[[#This Row],[qty]]*(VLOOKUP(Table4[[#This Row],[item_sold]],Table1[],5,FALSE))</f>
        <v>15</v>
      </c>
      <c r="F7355" s="5">
        <f>(VLOOKUP(Table4[[#This Row],[item_sold]],Table1[],4,FALSE))*Table4[[#This Row],[qty]]</f>
        <v>10.5</v>
      </c>
      <c r="G7355">
        <f t="shared" si="1344"/>
        <v>4.5</v>
      </c>
      <c r="H7355" t="s">
        <v>402</v>
      </c>
    </row>
    <row r="7356" spans="1:9" x14ac:dyDescent="0.25">
      <c r="A7356" s="1">
        <f t="shared" si="1340"/>
        <v>45600</v>
      </c>
      <c r="B7356" s="31">
        <f>TIME(15,4,0)</f>
        <v>0.62777777777777777</v>
      </c>
      <c r="C7356" t="str">
        <f>'Inventory as of 12th Aug 2024'!A246</f>
        <v>300ml water</v>
      </c>
      <c r="D7356">
        <v>1</v>
      </c>
      <c r="E7356" s="5">
        <f>Table4[[#This Row],[qty]]*(VLOOKUP(Table4[[#This Row],[item_sold]],Table1[],5,FALSE))</f>
        <v>30</v>
      </c>
      <c r="F7356" s="5">
        <f>(VLOOKUP(Table4[[#This Row],[item_sold]],Table1[],4,FALSE))*Table4[[#This Row],[qty]]</f>
        <v>12.5</v>
      </c>
      <c r="G7356">
        <f t="shared" si="1344"/>
        <v>17.5</v>
      </c>
      <c r="H7356" t="s">
        <v>402</v>
      </c>
    </row>
    <row r="7357" spans="1:9" x14ac:dyDescent="0.25">
      <c r="A7357" s="1">
        <f t="shared" si="1340"/>
        <v>45600</v>
      </c>
      <c r="B7357" s="31">
        <f t="shared" ref="B7357:B7358" si="1355">TIME(15,4,0)</f>
        <v>0.62777777777777777</v>
      </c>
      <c r="C7357" t="str">
        <f>'Inventory as of 12th Aug 2024'!A193</f>
        <v>Ginger Bisquit</v>
      </c>
      <c r="D7357">
        <v>4</v>
      </c>
      <c r="E7357" s="5">
        <f>Table4[[#This Row],[qty]]*(VLOOKUP(Table4[[#This Row],[item_sold]],Table1[],5,FALSE))</f>
        <v>20</v>
      </c>
      <c r="F7357" s="5">
        <f>(VLOOKUP(Table4[[#This Row],[item_sold]],Table1[],4,FALSE))*Table4[[#This Row],[qty]]</f>
        <v>17.333333333333332</v>
      </c>
      <c r="G7357">
        <f t="shared" si="1344"/>
        <v>2.6666666666666679</v>
      </c>
      <c r="H7357" t="s">
        <v>430</v>
      </c>
      <c r="I7357" t="s">
        <v>383</v>
      </c>
    </row>
    <row r="7358" spans="1:9" x14ac:dyDescent="0.25">
      <c r="A7358" s="1">
        <f t="shared" si="1340"/>
        <v>45600</v>
      </c>
      <c r="B7358" s="31">
        <f t="shared" si="1355"/>
        <v>0.62777777777777777</v>
      </c>
      <c r="C7358" t="str">
        <f>'Inventory as of 12th Aug 2024'!A58</f>
        <v>Safari</v>
      </c>
      <c r="D7358">
        <v>1</v>
      </c>
      <c r="E7358" s="5">
        <f>Table4[[#This Row],[qty]]*(VLOOKUP(Table4[[#This Row],[item_sold]],Table1[],5,FALSE))</f>
        <v>15</v>
      </c>
      <c r="F7358" s="5">
        <f>(VLOOKUP(Table4[[#This Row],[item_sold]],Table1[],4,FALSE))*Table4[[#This Row],[qty]]</f>
        <v>8.5</v>
      </c>
      <c r="G7358">
        <f t="shared" si="1344"/>
        <v>6.5</v>
      </c>
      <c r="H7358" t="s">
        <v>430</v>
      </c>
      <c r="I7358" t="s">
        <v>447</v>
      </c>
    </row>
    <row r="7359" spans="1:9" x14ac:dyDescent="0.25">
      <c r="A7359" s="1">
        <f t="shared" ref="A7359:A7397" si="1356">DATE(2024,11,4)</f>
        <v>45600</v>
      </c>
      <c r="B7359" s="31">
        <f>TIME(15,21,0)</f>
        <v>0.63958333333333328</v>
      </c>
      <c r="C7359" t="str">
        <f>'Inventory as of 12th Aug 2024'!A60</f>
        <v>kensalt 200g</v>
      </c>
      <c r="D7359">
        <v>1</v>
      </c>
      <c r="E7359" s="5">
        <f>Table4[[#This Row],[qty]]*(VLOOKUP(Table4[[#This Row],[item_sold]],Table1[],5,FALSE))</f>
        <v>15</v>
      </c>
      <c r="F7359" s="5">
        <f>(VLOOKUP(Table4[[#This Row],[item_sold]],Table1[],4,FALSE))*Table4[[#This Row],[qty]]</f>
        <v>5.5</v>
      </c>
      <c r="G7359">
        <f t="shared" si="1344"/>
        <v>9.5</v>
      </c>
      <c r="H7359" t="s">
        <v>402</v>
      </c>
    </row>
    <row r="7360" spans="1:9" x14ac:dyDescent="0.25">
      <c r="A7360" s="1">
        <f t="shared" si="1356"/>
        <v>45600</v>
      </c>
      <c r="B7360" s="31">
        <f>TIME(15,21,0)</f>
        <v>0.63958333333333328</v>
      </c>
      <c r="C7360" t="str">
        <f>'Inventory as of 12th Aug 2024'!A270</f>
        <v>Milk Bisquit</v>
      </c>
      <c r="D7360">
        <v>1</v>
      </c>
      <c r="E7360" s="5">
        <f>Table4[[#This Row],[qty]]*(VLOOKUP(Table4[[#This Row],[item_sold]],Table1[],5,FALSE))</f>
        <v>5</v>
      </c>
      <c r="F7360" s="5">
        <f>(VLOOKUP(Table4[[#This Row],[item_sold]],Table1[],4,FALSE))*Table4[[#This Row],[qty]]</f>
        <v>4.166666666666667</v>
      </c>
      <c r="G7360">
        <f t="shared" si="1344"/>
        <v>0.83333333333333304</v>
      </c>
      <c r="H7360" t="s">
        <v>402</v>
      </c>
    </row>
    <row r="7361" spans="1:8" x14ac:dyDescent="0.25">
      <c r="A7361" s="1">
        <f t="shared" si="1356"/>
        <v>45600</v>
      </c>
      <c r="B7361" s="31">
        <f>TIME(15,35,0)</f>
        <v>0.64930555555555558</v>
      </c>
      <c r="C7361" t="str">
        <f>'Inventory as of 12th Aug 2024'!A65</f>
        <v>Tomato sauce</v>
      </c>
      <c r="D7361">
        <v>1</v>
      </c>
      <c r="E7361" s="5">
        <f>Table4[[#This Row],[qty]]*(VLOOKUP(Table4[[#This Row],[item_sold]],Table1[],5,FALSE))</f>
        <v>70</v>
      </c>
      <c r="F7361" s="5">
        <f>(VLOOKUP(Table4[[#This Row],[item_sold]],Table1[],4,FALSE))*Table4[[#This Row],[qty]]</f>
        <v>50</v>
      </c>
      <c r="G7361">
        <f t="shared" si="1344"/>
        <v>20</v>
      </c>
      <c r="H7361" t="s">
        <v>402</v>
      </c>
    </row>
    <row r="7362" spans="1:8" x14ac:dyDescent="0.25">
      <c r="A7362" s="1">
        <f t="shared" si="1356"/>
        <v>45600</v>
      </c>
      <c r="B7362" s="31">
        <f t="shared" ref="B7362" si="1357">TIME(15,35,0)</f>
        <v>0.64930555555555558</v>
      </c>
      <c r="C7362" t="str">
        <f>'Inventory as of 12th Aug 2024'!A240</f>
        <v>Bigboss</v>
      </c>
      <c r="D7362">
        <v>2</v>
      </c>
      <c r="E7362" s="5">
        <f>Table4[[#This Row],[qty]]*(VLOOKUP(Table4[[#This Row],[item_sold]],Table1[],5,FALSE))</f>
        <v>10</v>
      </c>
      <c r="F7362" s="5">
        <f>(VLOOKUP(Table4[[#This Row],[item_sold]],Table1[],4,FALSE))*Table4[[#This Row],[qty]]</f>
        <v>7</v>
      </c>
      <c r="G7362">
        <f t="shared" si="1344"/>
        <v>3</v>
      </c>
      <c r="H7362" t="s">
        <v>402</v>
      </c>
    </row>
    <row r="7363" spans="1:8" x14ac:dyDescent="0.25">
      <c r="A7363" s="1">
        <f t="shared" si="1356"/>
        <v>45600</v>
      </c>
      <c r="B7363" s="31">
        <f>TIME(15,37,0)</f>
        <v>0.65069444444444446</v>
      </c>
      <c r="C7363" t="str">
        <f>'Inventory as of 12th Aug 2024'!A256</f>
        <v>Family bisquit</v>
      </c>
      <c r="D7363">
        <v>2</v>
      </c>
      <c r="E7363" s="5">
        <f>Table4[[#This Row],[qty]]*(VLOOKUP(Table4[[#This Row],[item_sold]],Table1[],5,FALSE))</f>
        <v>70</v>
      </c>
      <c r="F7363" s="5">
        <f>(VLOOKUP(Table4[[#This Row],[item_sold]],Table1[],4,FALSE))*Table4[[#This Row],[qty]]</f>
        <v>46.666666666666664</v>
      </c>
      <c r="G7363">
        <f t="shared" si="1344"/>
        <v>23.333333333333336</v>
      </c>
      <c r="H7363" t="s">
        <v>361</v>
      </c>
    </row>
    <row r="7364" spans="1:8" x14ac:dyDescent="0.25">
      <c r="A7364" s="1">
        <f t="shared" si="1356"/>
        <v>45600</v>
      </c>
      <c r="B7364" s="31">
        <f>TIME(15,37,0)</f>
        <v>0.65069444444444446</v>
      </c>
      <c r="C7364" t="str">
        <f>'Inventory as of 12th Aug 2024'!A16</f>
        <v>Mt kenya milk 500ml</v>
      </c>
      <c r="D7364">
        <v>1</v>
      </c>
      <c r="E7364" s="5">
        <f>Table4[[#This Row],[qty]]*(VLOOKUP(Table4[[#This Row],[item_sold]],Table1[],5,FALSE))</f>
        <v>65</v>
      </c>
      <c r="F7364" s="5">
        <f>(VLOOKUP(Table4[[#This Row],[item_sold]],Table1[],4,FALSE))*Table4[[#This Row],[qty]]</f>
        <v>48.333333333333336</v>
      </c>
      <c r="G7364">
        <f t="shared" si="1344"/>
        <v>16.666666666666664</v>
      </c>
      <c r="H7364" t="s">
        <v>361</v>
      </c>
    </row>
    <row r="7365" spans="1:8" x14ac:dyDescent="0.25">
      <c r="A7365" s="1">
        <f t="shared" si="1356"/>
        <v>45600</v>
      </c>
      <c r="B7365" s="31">
        <f>TIME(15,40,0)</f>
        <v>0.65277777777777779</v>
      </c>
      <c r="C7365" t="str">
        <f>'Inventory as of 12th Aug 2024'!A235</f>
        <v>Cough drops</v>
      </c>
      <c r="D7365">
        <v>1</v>
      </c>
      <c r="E7365" s="5">
        <f>Table4[[#This Row],[qty]]*(VLOOKUP(Table4[[#This Row],[item_sold]],Table1[],5,FALSE))</f>
        <v>5</v>
      </c>
      <c r="F7365" s="5">
        <f>(VLOOKUP(Table4[[#This Row],[item_sold]],Table1[],4,FALSE))*Table4[[#This Row],[qty]]</f>
        <v>4</v>
      </c>
      <c r="G7365">
        <f t="shared" si="1344"/>
        <v>1</v>
      </c>
      <c r="H7365" t="s">
        <v>402</v>
      </c>
    </row>
    <row r="7366" spans="1:8" x14ac:dyDescent="0.25">
      <c r="A7366" s="1">
        <f t="shared" si="1356"/>
        <v>45600</v>
      </c>
      <c r="B7366" s="31">
        <f>TIME(15,51,0)</f>
        <v>0.66041666666666665</v>
      </c>
      <c r="C7366" t="str">
        <f>'Inventory as of 12th Aug 2024'!A235</f>
        <v>Cough drops</v>
      </c>
      <c r="D7366">
        <v>1</v>
      </c>
      <c r="E7366" s="5">
        <f>Table4[[#This Row],[qty]]*(VLOOKUP(Table4[[#This Row],[item_sold]],Table1[],5,FALSE))</f>
        <v>5</v>
      </c>
      <c r="F7366" s="5">
        <f>(VLOOKUP(Table4[[#This Row],[item_sold]],Table1[],4,FALSE))*Table4[[#This Row],[qty]]</f>
        <v>4</v>
      </c>
      <c r="G7366">
        <f t="shared" si="1344"/>
        <v>1</v>
      </c>
      <c r="H7366" t="s">
        <v>402</v>
      </c>
    </row>
    <row r="7367" spans="1:8" x14ac:dyDescent="0.25">
      <c r="A7367" s="1">
        <f t="shared" si="1356"/>
        <v>45600</v>
      </c>
      <c r="B7367" s="31">
        <f t="shared" ref="B7367" si="1358">TIME(15,51,0)</f>
        <v>0.66041666666666665</v>
      </c>
      <c r="C7367" t="str">
        <f>'Inventory as of 12th Aug 2024'!A240</f>
        <v>Bigboss</v>
      </c>
      <c r="D7367">
        <v>1</v>
      </c>
      <c r="E7367" s="5">
        <f>Table4[[#This Row],[qty]]*(VLOOKUP(Table4[[#This Row],[item_sold]],Table1[],5,FALSE))</f>
        <v>5</v>
      </c>
      <c r="F7367" s="5">
        <f>(VLOOKUP(Table4[[#This Row],[item_sold]],Table1[],4,FALSE))*Table4[[#This Row],[qty]]</f>
        <v>3.5</v>
      </c>
      <c r="G7367">
        <f t="shared" si="1344"/>
        <v>1.5</v>
      </c>
      <c r="H7367" t="s">
        <v>402</v>
      </c>
    </row>
    <row r="7368" spans="1:8" x14ac:dyDescent="0.25">
      <c r="A7368" s="1">
        <f t="shared" si="1356"/>
        <v>45600</v>
      </c>
      <c r="B7368" s="31">
        <f>TIME(15,54,0)</f>
        <v>0.66249999999999998</v>
      </c>
      <c r="C7368" t="str">
        <f>'Inventory as of 12th Aug 2024'!A207</f>
        <v>soda 350ml plastic</v>
      </c>
      <c r="D7368">
        <v>1</v>
      </c>
      <c r="E7368" s="5">
        <f>Table4[[#This Row],[qty]]*(VLOOKUP(Table4[[#This Row],[item_sold]],Table1[],5,FALSE))</f>
        <v>50</v>
      </c>
      <c r="F7368" s="5">
        <f>(VLOOKUP(Table4[[#This Row],[item_sold]],Table1[],4,FALSE))*Table4[[#This Row],[qty]]</f>
        <v>41.666666666666664</v>
      </c>
      <c r="G7368">
        <f t="shared" si="1344"/>
        <v>8.3333333333333357</v>
      </c>
      <c r="H7368" t="s">
        <v>361</v>
      </c>
    </row>
    <row r="7369" spans="1:8" x14ac:dyDescent="0.25">
      <c r="A7369" s="1">
        <f t="shared" si="1356"/>
        <v>45600</v>
      </c>
      <c r="B7369" s="31">
        <f>TIME(16,0,0)</f>
        <v>0.66666666666666663</v>
      </c>
      <c r="C7369" t="str">
        <f>'Inventory as of 12th Aug 2024'!A75</f>
        <v>Cooking Oil Measured</v>
      </c>
      <c r="D7369">
        <v>0.25</v>
      </c>
      <c r="E7369" s="5">
        <f>Table4[[#This Row],[qty]]*(VLOOKUP(Table4[[#This Row],[item_sold]],Table1[],5,FALSE))</f>
        <v>70</v>
      </c>
      <c r="F7369" s="5">
        <f>(VLOOKUP(Table4[[#This Row],[item_sold]],Table1[],4,FALSE))*Table4[[#This Row],[qty]]</f>
        <v>50</v>
      </c>
      <c r="G7369">
        <f t="shared" si="1344"/>
        <v>20</v>
      </c>
      <c r="H7369" t="s">
        <v>402</v>
      </c>
    </row>
    <row r="7370" spans="1:8" x14ac:dyDescent="0.25">
      <c r="A7370" s="1">
        <f t="shared" si="1356"/>
        <v>45600</v>
      </c>
      <c r="B7370" s="31">
        <f t="shared" ref="B7370" si="1359">TIME(16,0,0)</f>
        <v>0.66666666666666663</v>
      </c>
      <c r="C7370" t="str">
        <f>'Inventory as of 12th Aug 2024'!A8</f>
        <v>eggs</v>
      </c>
      <c r="D7370">
        <v>1</v>
      </c>
      <c r="E7370" s="5">
        <f>Table4[[#This Row],[qty]]*(VLOOKUP(Table4[[#This Row],[item_sold]],Table1[],5,FALSE))</f>
        <v>20</v>
      </c>
      <c r="F7370" s="5">
        <f>(VLOOKUP(Table4[[#This Row],[item_sold]],Table1[],4,FALSE))*Table4[[#This Row],[qty]]</f>
        <v>14.333333333333334</v>
      </c>
      <c r="G7370">
        <f t="shared" si="1344"/>
        <v>5.6666666666666661</v>
      </c>
      <c r="H7370" t="s">
        <v>402</v>
      </c>
    </row>
    <row r="7371" spans="1:8" x14ac:dyDescent="0.25">
      <c r="A7371" s="1">
        <f t="shared" si="1356"/>
        <v>45600</v>
      </c>
      <c r="B7371" s="31">
        <f>TIME(16,7,0)</f>
        <v>0.67152777777777783</v>
      </c>
      <c r="C7371" t="str">
        <f>'Inventory as of 12th Aug 2024'!A213</f>
        <v>soda 500ml glass</v>
      </c>
      <c r="D7371">
        <v>1</v>
      </c>
      <c r="E7371" s="5">
        <f>Table4[[#This Row],[qty]]*(VLOOKUP(Table4[[#This Row],[item_sold]],Table1[],5,FALSE))</f>
        <v>55</v>
      </c>
      <c r="F7371" s="5">
        <f>(VLOOKUP(Table4[[#This Row],[item_sold]],Table1[],4,FALSE))*Table4[[#This Row],[qty]]</f>
        <v>50</v>
      </c>
      <c r="G7371">
        <f t="shared" si="1344"/>
        <v>5</v>
      </c>
      <c r="H7371" t="s">
        <v>361</v>
      </c>
    </row>
    <row r="7372" spans="1:8" x14ac:dyDescent="0.25">
      <c r="A7372" s="1">
        <f t="shared" si="1356"/>
        <v>45600</v>
      </c>
      <c r="B7372" s="31">
        <f t="shared" ref="B7372:B7373" si="1360">TIME(16,7,0)</f>
        <v>0.67152777777777783</v>
      </c>
      <c r="C7372" t="str">
        <f>'Inventory as of 12th Aug 2024'!A212</f>
        <v>soda 300ml glass</v>
      </c>
      <c r="D7372">
        <v>1</v>
      </c>
      <c r="E7372" s="5">
        <f>Table4[[#This Row],[qty]]*(VLOOKUP(Table4[[#This Row],[item_sold]],Table1[],5,FALSE))</f>
        <v>40</v>
      </c>
      <c r="F7372" s="5">
        <f>(VLOOKUP(Table4[[#This Row],[item_sold]],Table1[],4,FALSE))*Table4[[#This Row],[qty]]</f>
        <v>32.5</v>
      </c>
      <c r="G7372">
        <f t="shared" si="1344"/>
        <v>7.5</v>
      </c>
      <c r="H7372" t="s">
        <v>361</v>
      </c>
    </row>
    <row r="7373" spans="1:8" x14ac:dyDescent="0.25">
      <c r="A7373" s="1">
        <f t="shared" si="1356"/>
        <v>45600</v>
      </c>
      <c r="B7373" s="31">
        <f t="shared" si="1360"/>
        <v>0.67152777777777783</v>
      </c>
      <c r="C7373" t="str">
        <f>'Inventory as of 12th Aug 2024'!A193</f>
        <v>Ginger Bisquit</v>
      </c>
      <c r="D7373">
        <v>4</v>
      </c>
      <c r="E7373" s="5">
        <f>Table4[[#This Row],[qty]]*(VLOOKUP(Table4[[#This Row],[item_sold]],Table1[],5,FALSE))</f>
        <v>20</v>
      </c>
      <c r="F7373" s="5">
        <f>(VLOOKUP(Table4[[#This Row],[item_sold]],Table1[],4,FALSE))*Table4[[#This Row],[qty]]</f>
        <v>17.333333333333332</v>
      </c>
      <c r="G7373">
        <f t="shared" si="1344"/>
        <v>2.6666666666666679</v>
      </c>
      <c r="H7373" t="s">
        <v>402</v>
      </c>
    </row>
    <row r="7374" spans="1:8" x14ac:dyDescent="0.25">
      <c r="A7374" s="1">
        <f t="shared" si="1356"/>
        <v>45600</v>
      </c>
      <c r="B7374" s="31">
        <f>TIME(16,36,0)</f>
        <v>0.69166666666666676</v>
      </c>
      <c r="C7374" t="str">
        <f>'Inventory as of 12th Aug 2024'!A16</f>
        <v>Mt kenya milk 500ml</v>
      </c>
      <c r="D7374">
        <v>1</v>
      </c>
      <c r="E7374" s="5">
        <f>Table4[[#This Row],[qty]]*(VLOOKUP(Table4[[#This Row],[item_sold]],Table1[],5,FALSE))</f>
        <v>65</v>
      </c>
      <c r="F7374" s="5">
        <f>(VLOOKUP(Table4[[#This Row],[item_sold]],Table1[],4,FALSE))*Table4[[#This Row],[qty]]</f>
        <v>48.333333333333336</v>
      </c>
      <c r="G7374">
        <f t="shared" si="1344"/>
        <v>16.666666666666664</v>
      </c>
      <c r="H7374" t="s">
        <v>361</v>
      </c>
    </row>
    <row r="7375" spans="1:8" x14ac:dyDescent="0.25">
      <c r="A7375" s="1">
        <f t="shared" si="1356"/>
        <v>45600</v>
      </c>
      <c r="B7375" s="31">
        <f>TIME(16,46,0)</f>
        <v>0.69861111111111107</v>
      </c>
      <c r="C7375" t="str">
        <f>'Inventory as of 12th Aug 2024'!A242</f>
        <v>Icepop</v>
      </c>
      <c r="D7375">
        <v>1</v>
      </c>
      <c r="E7375" s="5">
        <f>Table4[[#This Row],[qty]]*(VLOOKUP(Table4[[#This Row],[item_sold]],Table1[],5,FALSE))</f>
        <v>15</v>
      </c>
      <c r="F7375" s="5">
        <f>(VLOOKUP(Table4[[#This Row],[item_sold]],Table1[],4,FALSE))*Table4[[#This Row],[qty]]</f>
        <v>7.5</v>
      </c>
      <c r="G7375">
        <f t="shared" si="1344"/>
        <v>7.5</v>
      </c>
      <c r="H7375" t="s">
        <v>402</v>
      </c>
    </row>
    <row r="7376" spans="1:8" x14ac:dyDescent="0.25">
      <c r="A7376" s="1">
        <f t="shared" si="1356"/>
        <v>45600</v>
      </c>
      <c r="B7376" s="31">
        <f>TIME(16,46,0)</f>
        <v>0.69861111111111107</v>
      </c>
      <c r="C7376" t="str">
        <f>'Inventory as of 12th Aug 2024'!A235</f>
        <v>Cough drops</v>
      </c>
      <c r="D7376">
        <v>1</v>
      </c>
      <c r="E7376" s="5">
        <f>Table4[[#This Row],[qty]]*(VLOOKUP(Table4[[#This Row],[item_sold]],Table1[],5,FALSE))</f>
        <v>5</v>
      </c>
      <c r="F7376" s="5">
        <f>(VLOOKUP(Table4[[#This Row],[item_sold]],Table1[],4,FALSE))*Table4[[#This Row],[qty]]</f>
        <v>4</v>
      </c>
      <c r="G7376">
        <f t="shared" si="1344"/>
        <v>1</v>
      </c>
      <c r="H7376" t="s">
        <v>402</v>
      </c>
    </row>
    <row r="7377" spans="1:12" x14ac:dyDescent="0.25">
      <c r="A7377" s="1">
        <f t="shared" si="1356"/>
        <v>45600</v>
      </c>
      <c r="B7377" s="31">
        <f>TIME(17,19,0)</f>
        <v>0.72152777777777777</v>
      </c>
      <c r="C7377" t="str">
        <f>'Inventory as of 12th Aug 2024'!A242</f>
        <v>Icepop</v>
      </c>
      <c r="D7377">
        <v>1</v>
      </c>
      <c r="E7377" s="5">
        <f>Table4[[#This Row],[qty]]*(VLOOKUP(Table4[[#This Row],[item_sold]],Table1[],5,FALSE))</f>
        <v>15</v>
      </c>
      <c r="F7377" s="5">
        <f>(VLOOKUP(Table4[[#This Row],[item_sold]],Table1[],4,FALSE))*Table4[[#This Row],[qty]]</f>
        <v>7.5</v>
      </c>
      <c r="G7377">
        <f t="shared" si="1344"/>
        <v>7.5</v>
      </c>
      <c r="H7377" t="s">
        <v>361</v>
      </c>
    </row>
    <row r="7378" spans="1:12" x14ac:dyDescent="0.25">
      <c r="A7378" s="1">
        <f t="shared" si="1356"/>
        <v>45600</v>
      </c>
      <c r="B7378" s="31">
        <f>TIME(17,20,0)</f>
        <v>0.72222222222222221</v>
      </c>
      <c r="C7378" t="str">
        <f>'Inventory as of 12th Aug 2024'!A242</f>
        <v>Icepop</v>
      </c>
      <c r="D7378">
        <v>1</v>
      </c>
      <c r="E7378" s="5">
        <f>Table4[[#This Row],[qty]]*(VLOOKUP(Table4[[#This Row],[item_sold]],Table1[],5,FALSE))</f>
        <v>15</v>
      </c>
      <c r="F7378" s="5">
        <f>(VLOOKUP(Table4[[#This Row],[item_sold]],Table1[],4,FALSE))*Table4[[#This Row],[qty]]</f>
        <v>7.5</v>
      </c>
      <c r="G7378">
        <f t="shared" si="1344"/>
        <v>7.5</v>
      </c>
      <c r="H7378" t="s">
        <v>402</v>
      </c>
    </row>
    <row r="7379" spans="1:12" x14ac:dyDescent="0.25">
      <c r="A7379" s="1">
        <f t="shared" si="1356"/>
        <v>45600</v>
      </c>
      <c r="B7379" s="31">
        <f t="shared" ref="B7379:B7380" si="1361">TIME(17,20,0)</f>
        <v>0.72222222222222221</v>
      </c>
      <c r="C7379" t="str">
        <f>'Inventory as of 12th Aug 2024'!A229</f>
        <v>Fresh green</v>
      </c>
      <c r="D7379">
        <v>1</v>
      </c>
      <c r="E7379" s="5">
        <f>Table4[[#This Row],[qty]]*(VLOOKUP(Table4[[#This Row],[item_sold]],Table1[],5,FALSE))</f>
        <v>10</v>
      </c>
      <c r="F7379" s="5">
        <f>(VLOOKUP(Table4[[#This Row],[item_sold]],Table1[],4,FALSE))*Table4[[#This Row],[qty]]</f>
        <v>5</v>
      </c>
      <c r="G7379">
        <f t="shared" si="1344"/>
        <v>5</v>
      </c>
      <c r="H7379" t="s">
        <v>402</v>
      </c>
    </row>
    <row r="7380" spans="1:12" x14ac:dyDescent="0.25">
      <c r="A7380" s="1">
        <f t="shared" si="1356"/>
        <v>45600</v>
      </c>
      <c r="B7380" s="31">
        <f t="shared" si="1361"/>
        <v>0.72222222222222221</v>
      </c>
      <c r="C7380" t="str">
        <f>'Inventory as of 12th Aug 2024'!A236</f>
        <v>Gomba</v>
      </c>
      <c r="D7380">
        <v>2</v>
      </c>
      <c r="E7380" s="5">
        <f>Table4[[#This Row],[qty]]*(VLOOKUP(Table4[[#This Row],[item_sold]],Table1[],5,FALSE))</f>
        <v>5</v>
      </c>
      <c r="F7380" s="5">
        <f>(VLOOKUP(Table4[[#This Row],[item_sold]],Table1[],4,FALSE))*Table4[[#This Row],[qty]]</f>
        <v>3.6</v>
      </c>
      <c r="G7380">
        <f t="shared" ref="G7380:G7443" si="1362">E7380-F7380</f>
        <v>1.4</v>
      </c>
      <c r="H7380" t="s">
        <v>402</v>
      </c>
    </row>
    <row r="7381" spans="1:12" x14ac:dyDescent="0.25">
      <c r="A7381" s="1">
        <f t="shared" si="1356"/>
        <v>45600</v>
      </c>
      <c r="B7381" s="31">
        <f>TIME(17,24,0)</f>
        <v>0.72499999999999998</v>
      </c>
      <c r="C7381" t="str">
        <f>'Inventory as of 12th Aug 2024'!A7</f>
        <v>Airtel 50 Credit</v>
      </c>
      <c r="D7381">
        <v>2</v>
      </c>
      <c r="E7381" s="5">
        <f>Table4[[#This Row],[qty]]*(VLOOKUP(Table4[[#This Row],[item_sold]],Table1[],5,FALSE))</f>
        <v>100</v>
      </c>
      <c r="F7381" s="5">
        <f>(VLOOKUP(Table4[[#This Row],[item_sold]],Table1[],4,FALSE))*Table4[[#This Row],[qty]]</f>
        <v>94</v>
      </c>
      <c r="G7381">
        <f t="shared" si="1362"/>
        <v>6</v>
      </c>
      <c r="H7381" t="s">
        <v>402</v>
      </c>
    </row>
    <row r="7382" spans="1:12" x14ac:dyDescent="0.25">
      <c r="A7382" s="1">
        <f t="shared" si="1356"/>
        <v>45600</v>
      </c>
      <c r="B7382" s="31">
        <f>TIME(17,26,0)</f>
        <v>0.72638888888888886</v>
      </c>
      <c r="C7382" t="str">
        <f>'Inventory as of 12th Aug 2024'!A58</f>
        <v>Safari</v>
      </c>
      <c r="D7382">
        <v>1</v>
      </c>
      <c r="E7382" s="5">
        <f>Table4[[#This Row],[qty]]*(VLOOKUP(Table4[[#This Row],[item_sold]],Table1[],5,FALSE))</f>
        <v>15</v>
      </c>
      <c r="F7382" s="5">
        <f>(VLOOKUP(Table4[[#This Row],[item_sold]],Table1[],4,FALSE))*Table4[[#This Row],[qty]]</f>
        <v>8.5</v>
      </c>
      <c r="G7382">
        <f t="shared" si="1362"/>
        <v>6.5</v>
      </c>
      <c r="H7382" t="s">
        <v>361</v>
      </c>
      <c r="J7382" t="s">
        <v>447</v>
      </c>
      <c r="K7382">
        <v>15</v>
      </c>
      <c r="L7382" t="s">
        <v>361</v>
      </c>
    </row>
    <row r="7383" spans="1:12" x14ac:dyDescent="0.25">
      <c r="A7383" s="1">
        <f t="shared" si="1356"/>
        <v>45600</v>
      </c>
      <c r="B7383" s="31">
        <f>TIME(17,56,0)</f>
        <v>0.74722222222222223</v>
      </c>
      <c r="C7383" t="str">
        <f>'Inventory as of 12th Aug 2024'!A242</f>
        <v>Icepop</v>
      </c>
      <c r="D7383">
        <v>1</v>
      </c>
      <c r="E7383" s="5">
        <f>Table4[[#This Row],[qty]]*(VLOOKUP(Table4[[#This Row],[item_sold]],Table1[],5,FALSE))</f>
        <v>15</v>
      </c>
      <c r="F7383" s="5">
        <f>(VLOOKUP(Table4[[#This Row],[item_sold]],Table1[],4,FALSE))*Table4[[#This Row],[qty]]</f>
        <v>7.5</v>
      </c>
      <c r="G7383">
        <f t="shared" si="1362"/>
        <v>7.5</v>
      </c>
      <c r="H7383" t="s">
        <v>402</v>
      </c>
    </row>
    <row r="7384" spans="1:12" x14ac:dyDescent="0.25">
      <c r="A7384" s="1">
        <f t="shared" si="1356"/>
        <v>45600</v>
      </c>
      <c r="B7384" s="31">
        <f>TIME(17,58,0)</f>
        <v>0.74861111111111101</v>
      </c>
      <c r="C7384" t="str">
        <f>'Inventory as of 12th Aug 2024'!A71</f>
        <v>Sugar 1/4 kg</v>
      </c>
      <c r="D7384">
        <v>1</v>
      </c>
      <c r="E7384" s="5">
        <f>Table4[[#This Row],[qty]]*(VLOOKUP(Table4[[#This Row],[item_sold]],Table1[],5,FALSE))</f>
        <v>45</v>
      </c>
      <c r="F7384" s="5">
        <f>(VLOOKUP(Table4[[#This Row],[item_sold]],Table1[],4,FALSE))*Table4[[#This Row],[qty]]</f>
        <v>30</v>
      </c>
      <c r="G7384">
        <f t="shared" si="1362"/>
        <v>15</v>
      </c>
      <c r="H7384" t="s">
        <v>361</v>
      </c>
    </row>
    <row r="7385" spans="1:12" x14ac:dyDescent="0.25">
      <c r="A7385" s="1">
        <f t="shared" si="1356"/>
        <v>45600</v>
      </c>
      <c r="B7385" s="31">
        <f t="shared" ref="B7385:B7386" si="1363">TIME(17,58,0)</f>
        <v>0.74861111111111101</v>
      </c>
      <c r="C7385" t="str">
        <f>'Inventory as of 12th Aug 2024'!A33</f>
        <v>BB Bread 400g</v>
      </c>
      <c r="D7385">
        <v>1</v>
      </c>
      <c r="E7385" s="5">
        <f>Table4[[#This Row],[qty]]*(VLOOKUP(Table4[[#This Row],[item_sold]],Table1[],5,FALSE))</f>
        <v>65</v>
      </c>
      <c r="F7385" s="5">
        <f>(VLOOKUP(Table4[[#This Row],[item_sold]],Table1[],4,FALSE))*Table4[[#This Row],[qty]]</f>
        <v>60</v>
      </c>
      <c r="G7385">
        <f t="shared" si="1362"/>
        <v>5</v>
      </c>
      <c r="H7385" t="s">
        <v>361</v>
      </c>
    </row>
    <row r="7386" spans="1:12" x14ac:dyDescent="0.25">
      <c r="A7386" s="1">
        <f t="shared" si="1356"/>
        <v>45600</v>
      </c>
      <c r="B7386" s="31">
        <f t="shared" si="1363"/>
        <v>0.74861111111111101</v>
      </c>
      <c r="C7386" t="str">
        <f>'Inventory as of 12th Aug 2024'!A31</f>
        <v>Drinking Chocolate 20g</v>
      </c>
      <c r="D7386">
        <v>1</v>
      </c>
      <c r="E7386" s="5">
        <f>Table4[[#This Row],[qty]]*(VLOOKUP(Table4[[#This Row],[item_sold]],Table1[],5,FALSE))</f>
        <v>20</v>
      </c>
      <c r="F7386" s="5">
        <f>(VLOOKUP(Table4[[#This Row],[item_sold]],Table1[],4,FALSE))*Table4[[#This Row],[qty]]</f>
        <v>10.416666666666666</v>
      </c>
      <c r="G7386">
        <f t="shared" si="1362"/>
        <v>9.5833333333333339</v>
      </c>
      <c r="H7386" t="s">
        <v>361</v>
      </c>
    </row>
    <row r="7387" spans="1:12" x14ac:dyDescent="0.25">
      <c r="A7387" s="1">
        <f t="shared" si="1356"/>
        <v>45600</v>
      </c>
      <c r="B7387" s="31">
        <f>TIME(18,48,0)</f>
        <v>0.78333333333333333</v>
      </c>
      <c r="C7387" t="str">
        <f>'Inventory as of 12th Aug 2024'!A206</f>
        <v>soda 500ml plastic</v>
      </c>
      <c r="D7387">
        <v>1</v>
      </c>
      <c r="E7387" s="5">
        <f>Table4[[#This Row],[qty]]*(VLOOKUP(Table4[[#This Row],[item_sold]],Table1[],5,FALSE))</f>
        <v>70</v>
      </c>
      <c r="F7387" s="5">
        <f>(VLOOKUP(Table4[[#This Row],[item_sold]],Table1[],4,FALSE))*Table4[[#This Row],[qty]]</f>
        <v>60.416666666666664</v>
      </c>
      <c r="G7387">
        <f t="shared" si="1362"/>
        <v>9.5833333333333357</v>
      </c>
      <c r="H7387" t="s">
        <v>430</v>
      </c>
      <c r="I7387" t="s">
        <v>409</v>
      </c>
    </row>
    <row r="7388" spans="1:12" x14ac:dyDescent="0.25">
      <c r="A7388" s="1">
        <f t="shared" si="1356"/>
        <v>45600</v>
      </c>
      <c r="B7388" s="31">
        <f>TIME(18,54,0)</f>
        <v>0.78749999999999998</v>
      </c>
      <c r="C7388" t="str">
        <f>'Inventory as of 12th Aug 2024'!A7</f>
        <v>Airtel 50 Credit</v>
      </c>
      <c r="D7388">
        <v>1</v>
      </c>
      <c r="E7388" s="5">
        <f>Table4[[#This Row],[qty]]*(VLOOKUP(Table4[[#This Row],[item_sold]],Table1[],5,FALSE))</f>
        <v>50</v>
      </c>
      <c r="F7388" s="5">
        <f>(VLOOKUP(Table4[[#This Row],[item_sold]],Table1[],4,FALSE))*Table4[[#This Row],[qty]]</f>
        <v>47</v>
      </c>
      <c r="G7388">
        <f t="shared" si="1362"/>
        <v>3</v>
      </c>
      <c r="H7388" t="s">
        <v>361</v>
      </c>
    </row>
    <row r="7389" spans="1:12" x14ac:dyDescent="0.25">
      <c r="A7389" s="1">
        <f t="shared" si="1356"/>
        <v>45600</v>
      </c>
      <c r="B7389" s="31">
        <f t="shared" ref="B7389" si="1364">TIME(18,54,0)</f>
        <v>0.78749999999999998</v>
      </c>
      <c r="C7389" t="str">
        <f>'Inventory as of 12th Aug 2024'!A58</f>
        <v>Safari</v>
      </c>
      <c r="D7389">
        <v>1</v>
      </c>
      <c r="E7389" s="5">
        <f>Table4[[#This Row],[qty]]*(VLOOKUP(Table4[[#This Row],[item_sold]],Table1[],5,FALSE))</f>
        <v>15</v>
      </c>
      <c r="F7389" s="5">
        <f>(VLOOKUP(Table4[[#This Row],[item_sold]],Table1[],4,FALSE))*Table4[[#This Row],[qty]]</f>
        <v>8.5</v>
      </c>
      <c r="G7389">
        <f t="shared" si="1362"/>
        <v>6.5</v>
      </c>
      <c r="H7389" t="s">
        <v>361</v>
      </c>
    </row>
    <row r="7390" spans="1:12" x14ac:dyDescent="0.25">
      <c r="A7390" s="1">
        <f t="shared" si="1356"/>
        <v>45600</v>
      </c>
      <c r="B7390" s="31">
        <f>TIME(18,57,0)</f>
        <v>0.7895833333333333</v>
      </c>
      <c r="C7390" t="str">
        <f>'Inventory as of 12th Aug 2024'!A58</f>
        <v>Safari</v>
      </c>
      <c r="D7390">
        <v>2</v>
      </c>
      <c r="E7390" s="5">
        <f>Table4[[#This Row],[qty]]*(VLOOKUP(Table4[[#This Row],[item_sold]],Table1[],5,FALSE))</f>
        <v>30</v>
      </c>
      <c r="F7390" s="5">
        <f>(VLOOKUP(Table4[[#This Row],[item_sold]],Table1[],4,FALSE))*Table4[[#This Row],[qty]]</f>
        <v>17</v>
      </c>
      <c r="G7390">
        <f t="shared" si="1362"/>
        <v>13</v>
      </c>
      <c r="H7390" t="s">
        <v>361</v>
      </c>
    </row>
    <row r="7391" spans="1:12" x14ac:dyDescent="0.25">
      <c r="A7391" s="1">
        <f t="shared" si="1356"/>
        <v>45600</v>
      </c>
      <c r="B7391" s="31">
        <f>TIME(19,28,0)</f>
        <v>0.81111111111111101</v>
      </c>
      <c r="C7391" t="str">
        <f>'Inventory as of 12th Aug 2024'!A50</f>
        <v>Pishori rice</v>
      </c>
      <c r="D7391">
        <v>0.25</v>
      </c>
      <c r="E7391" s="5">
        <f>Table4[[#This Row],[qty]]*(VLOOKUP(Table4[[#This Row],[item_sold]],Table1[],5,FALSE))</f>
        <v>55</v>
      </c>
      <c r="F7391" s="5">
        <f>(VLOOKUP(Table4[[#This Row],[item_sold]],Table1[],4,FALSE))*Table4[[#This Row],[qty]]</f>
        <v>45</v>
      </c>
      <c r="G7391">
        <f t="shared" si="1362"/>
        <v>10</v>
      </c>
      <c r="H7391" t="s">
        <v>361</v>
      </c>
    </row>
    <row r="7392" spans="1:12" x14ac:dyDescent="0.25">
      <c r="A7392" s="1">
        <f t="shared" si="1356"/>
        <v>45600</v>
      </c>
      <c r="B7392" s="31">
        <f t="shared" ref="B7392" si="1365">TIME(19,28,0)</f>
        <v>0.81111111111111101</v>
      </c>
      <c r="C7392" t="str">
        <f>'Inventory as of 12th Aug 2024'!A68</f>
        <v>Royco cubes</v>
      </c>
      <c r="D7392">
        <v>1</v>
      </c>
      <c r="E7392" s="5">
        <f>Table4[[#This Row],[qty]]*(VLOOKUP(Table4[[#This Row],[item_sold]],Table1[],5,FALSE))</f>
        <v>5</v>
      </c>
      <c r="F7392" s="5">
        <f>(VLOOKUP(Table4[[#This Row],[item_sold]],Table1[],4,FALSE))*Table4[[#This Row],[qty]]</f>
        <v>3</v>
      </c>
      <c r="G7392">
        <f t="shared" si="1362"/>
        <v>2</v>
      </c>
      <c r="H7392" t="s">
        <v>361</v>
      </c>
    </row>
    <row r="7393" spans="1:12" x14ac:dyDescent="0.25">
      <c r="A7393" s="1">
        <f t="shared" si="1356"/>
        <v>45600</v>
      </c>
      <c r="B7393" s="31">
        <f>TIME(19,58,0)</f>
        <v>0.83194444444444438</v>
      </c>
      <c r="C7393" t="str">
        <f>'Inventory as of 12th Aug 2024'!A8</f>
        <v>eggs</v>
      </c>
      <c r="D7393">
        <v>3</v>
      </c>
      <c r="E7393" s="5">
        <f>Table4[[#This Row],[qty]]*(VLOOKUP(Table4[[#This Row],[item_sold]],Table1[],5,FALSE))</f>
        <v>60</v>
      </c>
      <c r="F7393" s="5">
        <f>(VLOOKUP(Table4[[#This Row],[item_sold]],Table1[],4,FALSE))*Table4[[#This Row],[qty]]</f>
        <v>43</v>
      </c>
      <c r="G7393">
        <f t="shared" si="1362"/>
        <v>17</v>
      </c>
      <c r="H7393" t="s">
        <v>361</v>
      </c>
    </row>
    <row r="7394" spans="1:12" x14ac:dyDescent="0.25">
      <c r="A7394" s="1">
        <f t="shared" si="1356"/>
        <v>45600</v>
      </c>
      <c r="B7394" s="31">
        <f>TIME(20,1,0)</f>
        <v>0.8340277777777777</v>
      </c>
      <c r="C7394" t="str">
        <f>'Inventory as of 12th Aug 2024'!A256</f>
        <v>Family bisquit</v>
      </c>
      <c r="D7394">
        <v>1</v>
      </c>
      <c r="E7394" s="5">
        <f>Table4[[#This Row],[qty]]*(VLOOKUP(Table4[[#This Row],[item_sold]],Table1[],5,FALSE))</f>
        <v>35</v>
      </c>
      <c r="F7394" s="5">
        <f>(VLOOKUP(Table4[[#This Row],[item_sold]],Table1[],4,FALSE))*Table4[[#This Row],[qty]]</f>
        <v>23.333333333333332</v>
      </c>
      <c r="G7394">
        <f t="shared" si="1362"/>
        <v>11.666666666666668</v>
      </c>
      <c r="H7394" t="s">
        <v>402</v>
      </c>
    </row>
    <row r="7395" spans="1:12" x14ac:dyDescent="0.25">
      <c r="A7395" s="1">
        <f t="shared" si="1356"/>
        <v>45600</v>
      </c>
      <c r="B7395" s="31">
        <f>TIME(20,3,0)</f>
        <v>0.8354166666666667</v>
      </c>
      <c r="C7395" t="str">
        <f>'Inventory as of 12th Aug 2024'!A37</f>
        <v>Festive Bread 400g</v>
      </c>
      <c r="D7395">
        <v>1</v>
      </c>
      <c r="E7395" s="5">
        <f>Table4[[#This Row],[qty]]*(VLOOKUP(Table4[[#This Row],[item_sold]],Table1[],5,FALSE))</f>
        <v>65</v>
      </c>
      <c r="F7395" s="5">
        <f>(VLOOKUP(Table4[[#This Row],[item_sold]],Table1[],4,FALSE))*Table4[[#This Row],[qty]]</f>
        <v>60</v>
      </c>
      <c r="G7395">
        <f t="shared" si="1362"/>
        <v>5</v>
      </c>
      <c r="H7395" t="s">
        <v>402</v>
      </c>
    </row>
    <row r="7396" spans="1:12" x14ac:dyDescent="0.25">
      <c r="A7396" s="1">
        <f t="shared" si="1356"/>
        <v>45600</v>
      </c>
      <c r="B7396" s="31">
        <f>TIME(20,25,0)</f>
        <v>0.85069444444444453</v>
      </c>
      <c r="C7396" t="str">
        <f>'Inventory as of 12th Aug 2024'!A58</f>
        <v>Safari</v>
      </c>
      <c r="D7396">
        <v>1</v>
      </c>
      <c r="E7396" s="5">
        <f>Table4[[#This Row],[qty]]*(VLOOKUP(Table4[[#This Row],[item_sold]],Table1[],5,FALSE))</f>
        <v>15</v>
      </c>
      <c r="F7396" s="5">
        <f>(VLOOKUP(Table4[[#This Row],[item_sold]],Table1[],4,FALSE))*Table4[[#This Row],[qty]]</f>
        <v>8.5</v>
      </c>
      <c r="G7396">
        <f t="shared" si="1362"/>
        <v>6.5</v>
      </c>
      <c r="H7396" t="s">
        <v>430</v>
      </c>
      <c r="I7396" t="s">
        <v>447</v>
      </c>
      <c r="J7396" t="s">
        <v>447</v>
      </c>
      <c r="K7396">
        <v>10</v>
      </c>
      <c r="L7396" t="s">
        <v>361</v>
      </c>
    </row>
    <row r="7397" spans="1:12" x14ac:dyDescent="0.25">
      <c r="A7397" s="1">
        <f t="shared" si="1356"/>
        <v>45600</v>
      </c>
      <c r="B7397" s="31">
        <f>TIME(20,25,0)</f>
        <v>0.85069444444444453</v>
      </c>
      <c r="C7397" t="str">
        <f>'Inventory as of 12th Aug 2024'!A270</f>
        <v>Milk Bisquit</v>
      </c>
      <c r="D7397">
        <v>1</v>
      </c>
      <c r="E7397" s="5">
        <f>Table4[[#This Row],[qty]]*(VLOOKUP(Table4[[#This Row],[item_sold]],Table1[],5,FALSE))</f>
        <v>5</v>
      </c>
      <c r="F7397" s="5">
        <f>(VLOOKUP(Table4[[#This Row],[item_sold]],Table1[],4,FALSE))*Table4[[#This Row],[qty]]</f>
        <v>4.166666666666667</v>
      </c>
      <c r="G7397">
        <f t="shared" si="1362"/>
        <v>0.83333333333333304</v>
      </c>
      <c r="H7397" t="s">
        <v>402</v>
      </c>
    </row>
    <row r="7398" spans="1:12" x14ac:dyDescent="0.25">
      <c r="A7398" s="1">
        <f>DATE(2024,11,5)</f>
        <v>45601</v>
      </c>
      <c r="B7398" s="31">
        <f>TIME(7,30,0)</f>
        <v>0.3125</v>
      </c>
      <c r="C7398" t="str">
        <f>'Inventory as of 12th Aug 2024'!A37</f>
        <v>Festive Bread 400g</v>
      </c>
      <c r="D7398">
        <v>1</v>
      </c>
      <c r="E7398" s="5">
        <f>Table4[[#This Row],[qty]]*(VLOOKUP(Table4[[#This Row],[item_sold]],Table1[],5,FALSE))</f>
        <v>65</v>
      </c>
      <c r="F7398" s="5">
        <f>(VLOOKUP(Table4[[#This Row],[item_sold]],Table1[],4,FALSE))*Table4[[#This Row],[qty]]</f>
        <v>60</v>
      </c>
      <c r="G7398">
        <f t="shared" si="1362"/>
        <v>5</v>
      </c>
      <c r="H7398" t="s">
        <v>402</v>
      </c>
    </row>
    <row r="7399" spans="1:12" x14ac:dyDescent="0.25">
      <c r="A7399" s="1">
        <f t="shared" ref="A7399:A7462" si="1366">DATE(2024,11,5)</f>
        <v>45601</v>
      </c>
      <c r="B7399" s="31">
        <f>TIME(7,40,0)</f>
        <v>0.31944444444444448</v>
      </c>
      <c r="C7399" t="str">
        <f>'Inventory as of 12th Aug 2024'!A28</f>
        <v>Fahari Tea 15g</v>
      </c>
      <c r="D7399">
        <v>1</v>
      </c>
      <c r="E7399" s="5">
        <f>Table4[[#This Row],[qty]]*(VLOOKUP(Table4[[#This Row],[item_sold]],Table1[],5,FALSE))</f>
        <v>15</v>
      </c>
      <c r="F7399" s="5">
        <f>(VLOOKUP(Table4[[#This Row],[item_sold]],Table1[],4,FALSE))*Table4[[#This Row],[qty]]</f>
        <v>9.1666666666666661</v>
      </c>
      <c r="G7399">
        <f t="shared" si="1362"/>
        <v>5.8333333333333339</v>
      </c>
      <c r="H7399" t="s">
        <v>361</v>
      </c>
    </row>
    <row r="7400" spans="1:12" x14ac:dyDescent="0.25">
      <c r="A7400" s="1">
        <f t="shared" si="1366"/>
        <v>45601</v>
      </c>
      <c r="B7400" s="31">
        <f t="shared" ref="B7400" si="1367">TIME(7,40,0)</f>
        <v>0.31944444444444448</v>
      </c>
      <c r="C7400" t="str">
        <f>'Inventory as of 12th Aug 2024'!A84</f>
        <v>omo 20g</v>
      </c>
      <c r="D7400">
        <v>1</v>
      </c>
      <c r="E7400" s="5">
        <f>Table4[[#This Row],[qty]]*(VLOOKUP(Table4[[#This Row],[item_sold]],Table1[],5,FALSE))</f>
        <v>15</v>
      </c>
      <c r="F7400" s="5">
        <f>(VLOOKUP(Table4[[#This Row],[item_sold]],Table1[],4,FALSE))*Table4[[#This Row],[qty]]</f>
        <v>9.1666666666666661</v>
      </c>
      <c r="G7400">
        <f t="shared" si="1362"/>
        <v>5.8333333333333339</v>
      </c>
      <c r="H7400" t="s">
        <v>361</v>
      </c>
    </row>
    <row r="7401" spans="1:12" x14ac:dyDescent="0.25">
      <c r="A7401" s="1">
        <f t="shared" si="1366"/>
        <v>45601</v>
      </c>
      <c r="B7401" s="31">
        <f>TIME(8,4,0)</f>
        <v>0.33611111111111108</v>
      </c>
      <c r="C7401" t="str">
        <f>'Inventory as of 12th Aug 2024'!A8</f>
        <v>eggs</v>
      </c>
      <c r="D7401">
        <v>2</v>
      </c>
      <c r="E7401" s="5">
        <f>Table4[[#This Row],[qty]]*(VLOOKUP(Table4[[#This Row],[item_sold]],Table1[],5,FALSE))</f>
        <v>40</v>
      </c>
      <c r="F7401" s="5">
        <f>(VLOOKUP(Table4[[#This Row],[item_sold]],Table1[],4,FALSE))*Table4[[#This Row],[qty]]</f>
        <v>28.666666666666668</v>
      </c>
      <c r="G7401">
        <f t="shared" si="1362"/>
        <v>11.333333333333332</v>
      </c>
      <c r="H7401" t="s">
        <v>361</v>
      </c>
    </row>
    <row r="7402" spans="1:12" x14ac:dyDescent="0.25">
      <c r="A7402" s="1">
        <f t="shared" si="1366"/>
        <v>45601</v>
      </c>
      <c r="B7402" s="31">
        <f t="shared" ref="B7402" si="1368">TIME(8,4,0)</f>
        <v>0.33611111111111108</v>
      </c>
      <c r="C7402" t="str">
        <f>'Inventory as of 12th Aug 2024'!A91</f>
        <v>Tomatoes</v>
      </c>
      <c r="D7402">
        <v>1</v>
      </c>
      <c r="E7402" s="5">
        <f>Table4[[#This Row],[qty]]*(VLOOKUP(Table4[[#This Row],[item_sold]],Table1[],5,FALSE))</f>
        <v>10</v>
      </c>
      <c r="F7402" s="5">
        <f>(VLOOKUP(Table4[[#This Row],[item_sold]],Table1[],4,FALSE))*Table4[[#This Row],[qty]]</f>
        <v>5</v>
      </c>
      <c r="G7402">
        <f t="shared" si="1362"/>
        <v>5</v>
      </c>
      <c r="H7402" t="s">
        <v>361</v>
      </c>
    </row>
    <row r="7403" spans="1:12" x14ac:dyDescent="0.25">
      <c r="A7403" s="1">
        <f t="shared" si="1366"/>
        <v>45601</v>
      </c>
      <c r="B7403" s="31">
        <f>TIME(8,25,0)</f>
        <v>0.35069444444444442</v>
      </c>
      <c r="C7403" t="str">
        <f>'Inventory as of 12th Aug 2024'!A37</f>
        <v>Festive Bread 400g</v>
      </c>
      <c r="D7403">
        <v>1</v>
      </c>
      <c r="E7403" s="5">
        <f>Table4[[#This Row],[qty]]*(VLOOKUP(Table4[[#This Row],[item_sold]],Table1[],5,FALSE))</f>
        <v>65</v>
      </c>
      <c r="F7403" s="5">
        <f>(VLOOKUP(Table4[[#This Row],[item_sold]],Table1[],4,FALSE))*Table4[[#This Row],[qty]]</f>
        <v>60</v>
      </c>
      <c r="G7403">
        <f t="shared" si="1362"/>
        <v>5</v>
      </c>
      <c r="H7403" t="s">
        <v>430</v>
      </c>
      <c r="I7403" t="s">
        <v>390</v>
      </c>
    </row>
    <row r="7404" spans="1:12" x14ac:dyDescent="0.25">
      <c r="A7404" s="1">
        <f t="shared" si="1366"/>
        <v>45601</v>
      </c>
      <c r="B7404" s="31">
        <f>TIME(8,32,0)</f>
        <v>0.35555555555555557</v>
      </c>
      <c r="C7404" t="str">
        <f>'Inventory as of 12th Aug 2024'!A122</f>
        <v>Sonaplast</v>
      </c>
      <c r="D7404">
        <v>3</v>
      </c>
      <c r="E7404" s="5">
        <f>Table4[[#This Row],[qty]]*(VLOOKUP(Table4[[#This Row],[item_sold]],Table1[],5,FALSE))</f>
        <v>30</v>
      </c>
      <c r="F7404" s="5">
        <f>(VLOOKUP(Table4[[#This Row],[item_sold]],Table1[],4,FALSE))*Table4[[#This Row],[qty]]</f>
        <v>21</v>
      </c>
      <c r="G7404">
        <f t="shared" si="1362"/>
        <v>9</v>
      </c>
      <c r="H7404" t="s">
        <v>402</v>
      </c>
    </row>
    <row r="7405" spans="1:12" x14ac:dyDescent="0.25">
      <c r="A7405" s="1">
        <f t="shared" si="1366"/>
        <v>45601</v>
      </c>
      <c r="B7405" s="31">
        <f t="shared" ref="B7405" si="1369">TIME(8,32,0)</f>
        <v>0.35555555555555557</v>
      </c>
      <c r="C7405" t="str">
        <f>'Inventory as of 12th Aug 2024'!A7</f>
        <v>Airtel 50 Credit</v>
      </c>
      <c r="D7405">
        <v>1</v>
      </c>
      <c r="E7405" s="5">
        <f>Table4[[#This Row],[qty]]*(VLOOKUP(Table4[[#This Row],[item_sold]],Table1[],5,FALSE))</f>
        <v>50</v>
      </c>
      <c r="F7405" s="5">
        <f>(VLOOKUP(Table4[[#This Row],[item_sold]],Table1[],4,FALSE))*Table4[[#This Row],[qty]]</f>
        <v>47</v>
      </c>
      <c r="G7405">
        <f t="shared" si="1362"/>
        <v>3</v>
      </c>
      <c r="H7405" t="s">
        <v>402</v>
      </c>
    </row>
    <row r="7406" spans="1:12" x14ac:dyDescent="0.25">
      <c r="A7406" s="1">
        <f t="shared" si="1366"/>
        <v>45601</v>
      </c>
      <c r="B7406" s="31">
        <f>TIME(9,49,0)</f>
        <v>0.40902777777777777</v>
      </c>
      <c r="C7406" t="str">
        <f>'Inventory as of 12th Aug 2024'!A267</f>
        <v>Ting Ting</v>
      </c>
      <c r="D7406">
        <v>2</v>
      </c>
      <c r="E7406" s="5">
        <f>Table4[[#This Row],[qty]]*(VLOOKUP(Table4[[#This Row],[item_sold]],Table1[],5,FALSE))</f>
        <v>10</v>
      </c>
      <c r="F7406" s="5">
        <f>(VLOOKUP(Table4[[#This Row],[item_sold]],Table1[],4,FALSE))*Table4[[#This Row],[qty]]</f>
        <v>8.1199999999999992</v>
      </c>
      <c r="G7406">
        <f t="shared" si="1362"/>
        <v>1.8800000000000008</v>
      </c>
      <c r="H7406" t="s">
        <v>402</v>
      </c>
    </row>
    <row r="7407" spans="1:12" x14ac:dyDescent="0.25">
      <c r="A7407" s="1">
        <f t="shared" si="1366"/>
        <v>45601</v>
      </c>
      <c r="B7407" s="31">
        <f t="shared" ref="B7407:B7412" si="1370">TIME(9,49,0)</f>
        <v>0.40902777777777777</v>
      </c>
      <c r="C7407" t="str">
        <f>'Inventory as of 12th Aug 2024'!A240</f>
        <v>Bigboss</v>
      </c>
      <c r="D7407">
        <v>1</v>
      </c>
      <c r="E7407" s="5">
        <f>Table4[[#This Row],[qty]]*(VLOOKUP(Table4[[#This Row],[item_sold]],Table1[],5,FALSE))</f>
        <v>5</v>
      </c>
      <c r="F7407" s="5">
        <f>(VLOOKUP(Table4[[#This Row],[item_sold]],Table1[],4,FALSE))*Table4[[#This Row],[qty]]</f>
        <v>3.5</v>
      </c>
      <c r="G7407">
        <f t="shared" si="1362"/>
        <v>1.5</v>
      </c>
      <c r="H7407" t="s">
        <v>402</v>
      </c>
    </row>
    <row r="7408" spans="1:12" x14ac:dyDescent="0.25">
      <c r="A7408" s="1">
        <f t="shared" si="1366"/>
        <v>45601</v>
      </c>
      <c r="B7408" s="31">
        <f t="shared" si="1370"/>
        <v>0.40902777777777777</v>
      </c>
      <c r="C7408" t="str">
        <f>'Inventory as of 12th Aug 2024'!A238</f>
        <v>Tropical</v>
      </c>
      <c r="D7408">
        <v>1</v>
      </c>
      <c r="E7408" s="5">
        <f>Table4[[#This Row],[qty]]*(VLOOKUP(Table4[[#This Row],[item_sold]],Table1[],5,FALSE))</f>
        <v>5</v>
      </c>
      <c r="F7408" s="5">
        <f>(VLOOKUP(Table4[[#This Row],[item_sold]],Table1[],4,FALSE))*Table4[[#This Row],[qty]]</f>
        <v>1.5</v>
      </c>
      <c r="G7408">
        <f t="shared" si="1362"/>
        <v>3.5</v>
      </c>
      <c r="H7408" t="s">
        <v>402</v>
      </c>
    </row>
    <row r="7409" spans="1:9" x14ac:dyDescent="0.25">
      <c r="A7409" s="1">
        <f t="shared" si="1366"/>
        <v>45601</v>
      </c>
      <c r="B7409" s="31">
        <f t="shared" si="1370"/>
        <v>0.40902777777777777</v>
      </c>
      <c r="C7409" t="str">
        <f>'Inventory as of 12th Aug 2024'!A229</f>
        <v>Fresh green</v>
      </c>
      <c r="D7409">
        <v>1</v>
      </c>
      <c r="E7409" s="5">
        <f>Table4[[#This Row],[qty]]*(VLOOKUP(Table4[[#This Row],[item_sold]],Table1[],5,FALSE))</f>
        <v>10</v>
      </c>
      <c r="F7409" s="5">
        <f>(VLOOKUP(Table4[[#This Row],[item_sold]],Table1[],4,FALSE))*Table4[[#This Row],[qty]]</f>
        <v>5</v>
      </c>
      <c r="G7409">
        <f t="shared" si="1362"/>
        <v>5</v>
      </c>
      <c r="H7409" t="s">
        <v>402</v>
      </c>
    </row>
    <row r="7410" spans="1:9" x14ac:dyDescent="0.25">
      <c r="A7410" s="1">
        <f t="shared" si="1366"/>
        <v>45601</v>
      </c>
      <c r="B7410" s="31">
        <f t="shared" si="1370"/>
        <v>0.40902777777777777</v>
      </c>
      <c r="C7410" t="str">
        <f>'Inventory as of 12th Aug 2024'!A271</f>
        <v>Star Cream Bisquit</v>
      </c>
      <c r="D7410">
        <v>1</v>
      </c>
      <c r="E7410" s="5">
        <f>Table4[[#This Row],[qty]]*(VLOOKUP(Table4[[#This Row],[item_sold]],Table1[],5,FALSE))</f>
        <v>5</v>
      </c>
      <c r="F7410" s="5">
        <f>(VLOOKUP(Table4[[#This Row],[item_sold]],Table1[],4,FALSE))*Table4[[#This Row],[qty]]</f>
        <v>4.2333333333333334</v>
      </c>
      <c r="G7410">
        <f t="shared" si="1362"/>
        <v>0.76666666666666661</v>
      </c>
      <c r="H7410" t="s">
        <v>402</v>
      </c>
    </row>
    <row r="7411" spans="1:9" x14ac:dyDescent="0.25">
      <c r="A7411" s="1">
        <f t="shared" si="1366"/>
        <v>45601</v>
      </c>
      <c r="B7411" s="31">
        <f t="shared" si="1370"/>
        <v>0.40902777777777777</v>
      </c>
      <c r="C7411" t="str">
        <f>'Inventory as of 12th Aug 2024'!A192</f>
        <v>Lemon Bisquit</v>
      </c>
      <c r="D7411">
        <v>1</v>
      </c>
      <c r="E7411" s="5">
        <f>Table4[[#This Row],[qty]]*(VLOOKUP(Table4[[#This Row],[item_sold]],Table1[],5,FALSE))</f>
        <v>5</v>
      </c>
      <c r="F7411" s="5">
        <f>(VLOOKUP(Table4[[#This Row],[item_sold]],Table1[],4,FALSE))*Table4[[#This Row],[qty]]</f>
        <v>4.333333333333333</v>
      </c>
      <c r="G7411">
        <f t="shared" si="1362"/>
        <v>0.66666666666666696</v>
      </c>
      <c r="H7411" t="s">
        <v>402</v>
      </c>
    </row>
    <row r="7412" spans="1:9" x14ac:dyDescent="0.25">
      <c r="A7412" s="1">
        <f t="shared" si="1366"/>
        <v>45601</v>
      </c>
      <c r="B7412" s="31">
        <f t="shared" si="1370"/>
        <v>0.40902777777777777</v>
      </c>
      <c r="C7412" t="str">
        <f>'Inventory as of 12th Aug 2024'!A235</f>
        <v>Cough drops</v>
      </c>
      <c r="D7412">
        <v>2</v>
      </c>
      <c r="E7412" s="5">
        <f>Table4[[#This Row],[qty]]*(VLOOKUP(Table4[[#This Row],[item_sold]],Table1[],5,FALSE))</f>
        <v>10</v>
      </c>
      <c r="F7412" s="5">
        <f>(VLOOKUP(Table4[[#This Row],[item_sold]],Table1[],4,FALSE))*Table4[[#This Row],[qty]]</f>
        <v>8</v>
      </c>
      <c r="G7412">
        <f t="shared" si="1362"/>
        <v>2</v>
      </c>
      <c r="H7412" t="s">
        <v>402</v>
      </c>
    </row>
    <row r="7413" spans="1:9" x14ac:dyDescent="0.25">
      <c r="A7413" s="1">
        <f t="shared" si="1366"/>
        <v>45601</v>
      </c>
      <c r="B7413" s="31">
        <f>TIME(10,20,0)</f>
        <v>0.43055555555555558</v>
      </c>
      <c r="C7413" t="str">
        <f>'Inventory as of 12th Aug 2024'!A270</f>
        <v>Milk Bisquit</v>
      </c>
      <c r="D7413">
        <v>1</v>
      </c>
      <c r="E7413" s="5">
        <f>Table4[[#This Row],[qty]]*(VLOOKUP(Table4[[#This Row],[item_sold]],Table1[],5,FALSE))</f>
        <v>5</v>
      </c>
      <c r="F7413" s="5">
        <f>(VLOOKUP(Table4[[#This Row],[item_sold]],Table1[],4,FALSE))*Table4[[#This Row],[qty]]</f>
        <v>4.166666666666667</v>
      </c>
      <c r="G7413">
        <f t="shared" si="1362"/>
        <v>0.83333333333333304</v>
      </c>
      <c r="H7413" t="s">
        <v>430</v>
      </c>
      <c r="I7413" t="s">
        <v>630</v>
      </c>
    </row>
    <row r="7414" spans="1:9" x14ac:dyDescent="0.25">
      <c r="A7414" s="1">
        <f t="shared" si="1366"/>
        <v>45601</v>
      </c>
      <c r="B7414" s="31">
        <f t="shared" ref="B7414" si="1371">TIME(10,20,0)</f>
        <v>0.43055555555555558</v>
      </c>
      <c r="C7414" t="str">
        <f>'Inventory as of 12th Aug 2024'!A240</f>
        <v>Bigboss</v>
      </c>
      <c r="D7414">
        <v>1</v>
      </c>
      <c r="E7414" s="5">
        <f>Table4[[#This Row],[qty]]*(VLOOKUP(Table4[[#This Row],[item_sold]],Table1[],5,FALSE))</f>
        <v>5</v>
      </c>
      <c r="F7414" s="5">
        <f>(VLOOKUP(Table4[[#This Row],[item_sold]],Table1[],4,FALSE))*Table4[[#This Row],[qty]]</f>
        <v>3.5</v>
      </c>
      <c r="G7414">
        <f t="shared" si="1362"/>
        <v>1.5</v>
      </c>
      <c r="H7414" t="s">
        <v>430</v>
      </c>
      <c r="I7414" t="s">
        <v>630</v>
      </c>
    </row>
    <row r="7415" spans="1:9" x14ac:dyDescent="0.25">
      <c r="A7415" s="1">
        <f t="shared" si="1366"/>
        <v>45601</v>
      </c>
      <c r="B7415" s="31">
        <f>TIME(11,4,0)</f>
        <v>0.46111111111111108</v>
      </c>
      <c r="C7415" t="str">
        <f>'Inventory as of 12th Aug 2024'!A4</f>
        <v>Safaricom 50 Credit</v>
      </c>
      <c r="D7415">
        <v>1</v>
      </c>
      <c r="E7415" s="5">
        <f>Table4[[#This Row],[qty]]*(VLOOKUP(Table4[[#This Row],[item_sold]],Table1[],5,FALSE))</f>
        <v>50</v>
      </c>
      <c r="F7415" s="5">
        <f>(VLOOKUP(Table4[[#This Row],[item_sold]],Table1[],4,FALSE))*Table4[[#This Row],[qty]]</f>
        <v>47</v>
      </c>
      <c r="G7415">
        <f t="shared" si="1362"/>
        <v>3</v>
      </c>
      <c r="H7415" t="s">
        <v>402</v>
      </c>
    </row>
    <row r="7416" spans="1:9" x14ac:dyDescent="0.25">
      <c r="A7416" s="1">
        <f t="shared" si="1366"/>
        <v>45601</v>
      </c>
      <c r="B7416" s="31">
        <f t="shared" ref="B7416" si="1372">TIME(11,4,0)</f>
        <v>0.46111111111111108</v>
      </c>
      <c r="C7416" t="str">
        <f>'Inventory as of 12th Aug 2024'!A37</f>
        <v>Festive Bread 400g</v>
      </c>
      <c r="D7416">
        <v>1</v>
      </c>
      <c r="E7416" s="5">
        <f>Table4[[#This Row],[qty]]*(VLOOKUP(Table4[[#This Row],[item_sold]],Table1[],5,FALSE))</f>
        <v>65</v>
      </c>
      <c r="F7416" s="5">
        <f>(VLOOKUP(Table4[[#This Row],[item_sold]],Table1[],4,FALSE))*Table4[[#This Row],[qty]]</f>
        <v>60</v>
      </c>
      <c r="G7416">
        <f t="shared" si="1362"/>
        <v>5</v>
      </c>
      <c r="H7416" t="s">
        <v>430</v>
      </c>
      <c r="I7416" t="s">
        <v>588</v>
      </c>
    </row>
    <row r="7417" spans="1:9" x14ac:dyDescent="0.25">
      <c r="A7417" s="1">
        <f t="shared" si="1366"/>
        <v>45601</v>
      </c>
      <c r="B7417" s="31">
        <f>TIME(11,30,0)</f>
        <v>0.47916666666666669</v>
      </c>
      <c r="C7417" t="str">
        <f>'Inventory as of 12th Aug 2024'!A8</f>
        <v>eggs</v>
      </c>
      <c r="D7417">
        <v>4</v>
      </c>
      <c r="E7417" s="5">
        <f>Table4[[#This Row],[qty]]*(VLOOKUP(Table4[[#This Row],[item_sold]],Table1[],5,FALSE))</f>
        <v>80</v>
      </c>
      <c r="F7417" s="5">
        <f>(VLOOKUP(Table4[[#This Row],[item_sold]],Table1[],4,FALSE))*Table4[[#This Row],[qty]]</f>
        <v>57.333333333333336</v>
      </c>
      <c r="G7417">
        <f t="shared" si="1362"/>
        <v>22.666666666666664</v>
      </c>
      <c r="H7417" t="s">
        <v>361</v>
      </c>
    </row>
    <row r="7418" spans="1:9" x14ac:dyDescent="0.25">
      <c r="A7418" s="1">
        <f t="shared" si="1366"/>
        <v>45601</v>
      </c>
      <c r="B7418" s="31">
        <f>TIME(11,37,0)</f>
        <v>0.48402777777777778</v>
      </c>
      <c r="C7418" t="str">
        <f>'Inventory as of 12th Aug 2024'!A199</f>
        <v>Kdf</v>
      </c>
      <c r="D7418">
        <v>3</v>
      </c>
      <c r="E7418" s="5">
        <f>Table4[[#This Row],[qty]]*(VLOOKUP(Table4[[#This Row],[item_sold]],Table1[],5,FALSE))</f>
        <v>30</v>
      </c>
      <c r="F7418" s="5">
        <f>(VLOOKUP(Table4[[#This Row],[item_sold]],Table1[],4,FALSE))*Table4[[#This Row],[qty]]</f>
        <v>25</v>
      </c>
      <c r="G7418">
        <f t="shared" si="1362"/>
        <v>5</v>
      </c>
      <c r="H7418" t="s">
        <v>361</v>
      </c>
    </row>
    <row r="7419" spans="1:9" x14ac:dyDescent="0.25">
      <c r="A7419" s="1">
        <f t="shared" si="1366"/>
        <v>45601</v>
      </c>
      <c r="B7419" s="31">
        <f>TIME(11,42,0)</f>
        <v>0.48749999999999999</v>
      </c>
      <c r="C7419" t="str">
        <f>'Inventory as of 12th Aug 2024'!A258</f>
        <v>Sunlight 25g</v>
      </c>
      <c r="D7419">
        <v>1</v>
      </c>
      <c r="E7419" s="5">
        <f>Table4[[#This Row],[qty]]*(VLOOKUP(Table4[[#This Row],[item_sold]],Table1[],5,FALSE))</f>
        <v>15</v>
      </c>
      <c r="F7419" s="5">
        <f>(VLOOKUP(Table4[[#This Row],[item_sold]],Table1[],4,FALSE))*Table4[[#This Row],[qty]]</f>
        <v>8.3333333333333339</v>
      </c>
      <c r="G7419">
        <f t="shared" si="1362"/>
        <v>6.6666666666666661</v>
      </c>
      <c r="H7419" t="s">
        <v>402</v>
      </c>
    </row>
    <row r="7420" spans="1:9" x14ac:dyDescent="0.25">
      <c r="A7420" s="1">
        <f t="shared" si="1366"/>
        <v>45601</v>
      </c>
      <c r="B7420" s="31">
        <f t="shared" ref="B7420" si="1373">TIME(11,42,0)</f>
        <v>0.48749999999999999</v>
      </c>
      <c r="C7420" t="str">
        <f>'Inventory as of 12th Aug 2024'!A271</f>
        <v>Star Cream Bisquit</v>
      </c>
      <c r="D7420">
        <v>1</v>
      </c>
      <c r="E7420" s="5">
        <f>Table4[[#This Row],[qty]]*(VLOOKUP(Table4[[#This Row],[item_sold]],Table1[],5,FALSE))</f>
        <v>5</v>
      </c>
      <c r="F7420" s="5">
        <f>(VLOOKUP(Table4[[#This Row],[item_sold]],Table1[],4,FALSE))*Table4[[#This Row],[qty]]</f>
        <v>4.2333333333333334</v>
      </c>
      <c r="G7420">
        <f t="shared" si="1362"/>
        <v>0.76666666666666661</v>
      </c>
      <c r="H7420" t="s">
        <v>402</v>
      </c>
    </row>
    <row r="7421" spans="1:9" x14ac:dyDescent="0.25">
      <c r="A7421" s="1">
        <f t="shared" si="1366"/>
        <v>45601</v>
      </c>
      <c r="B7421" s="31">
        <f>TIME(11,53,0)</f>
        <v>0.49513888888888885</v>
      </c>
      <c r="C7421" t="str">
        <f>'Inventory as of 12th Aug 2024'!A206</f>
        <v>soda 500ml plastic</v>
      </c>
      <c r="D7421">
        <v>1</v>
      </c>
      <c r="E7421" s="5">
        <f>Table4[[#This Row],[qty]]*(VLOOKUP(Table4[[#This Row],[item_sold]],Table1[],5,FALSE))</f>
        <v>70</v>
      </c>
      <c r="F7421" s="5">
        <f>(VLOOKUP(Table4[[#This Row],[item_sold]],Table1[],4,FALSE))*Table4[[#This Row],[qty]]</f>
        <v>60.416666666666664</v>
      </c>
      <c r="G7421">
        <f t="shared" si="1362"/>
        <v>9.5833333333333357</v>
      </c>
      <c r="H7421" t="s">
        <v>402</v>
      </c>
    </row>
    <row r="7422" spans="1:9" x14ac:dyDescent="0.25">
      <c r="A7422" s="1">
        <f t="shared" si="1366"/>
        <v>45601</v>
      </c>
      <c r="B7422" s="31">
        <f>TIME(11,59,0)</f>
        <v>0.4993055555555555</v>
      </c>
      <c r="C7422" t="str">
        <f>'Inventory as of 12th Aug 2024'!A267</f>
        <v>Ting Ting</v>
      </c>
      <c r="D7422">
        <v>3</v>
      </c>
      <c r="E7422" s="5">
        <f>Table4[[#This Row],[qty]]*(VLOOKUP(Table4[[#This Row],[item_sold]],Table1[],5,FALSE))</f>
        <v>15</v>
      </c>
      <c r="F7422" s="5">
        <f>(VLOOKUP(Table4[[#This Row],[item_sold]],Table1[],4,FALSE))*Table4[[#This Row],[qty]]</f>
        <v>12.18</v>
      </c>
      <c r="G7422">
        <f t="shared" si="1362"/>
        <v>2.8200000000000003</v>
      </c>
      <c r="H7422" t="s">
        <v>361</v>
      </c>
    </row>
    <row r="7423" spans="1:9" x14ac:dyDescent="0.25">
      <c r="A7423" s="1">
        <f t="shared" si="1366"/>
        <v>45601</v>
      </c>
      <c r="B7423" s="31">
        <f t="shared" ref="B7423" si="1374">TIME(11,59,0)</f>
        <v>0.4993055555555555</v>
      </c>
      <c r="C7423" t="str">
        <f>'Inventory as of 12th Aug 2024'!A205</f>
        <v xml:space="preserve"> soda 1.25lts</v>
      </c>
      <c r="D7423">
        <v>1</v>
      </c>
      <c r="E7423" s="5">
        <f>Table4[[#This Row],[qty]]*(VLOOKUP(Table4[[#This Row],[item_sold]],Table1[],5,FALSE))</f>
        <v>130</v>
      </c>
      <c r="F7423" s="5">
        <f>(VLOOKUP(Table4[[#This Row],[item_sold]],Table1[],4,FALSE))*Table4[[#This Row],[qty]]</f>
        <v>112.5</v>
      </c>
      <c r="G7423">
        <f t="shared" si="1362"/>
        <v>17.5</v>
      </c>
      <c r="H7423" t="s">
        <v>361</v>
      </c>
    </row>
    <row r="7424" spans="1:9" x14ac:dyDescent="0.25">
      <c r="A7424" s="1">
        <f t="shared" si="1366"/>
        <v>45601</v>
      </c>
      <c r="B7424" s="31">
        <f>TIME(12,29,0)</f>
        <v>0.52013888888888882</v>
      </c>
      <c r="C7424" t="str">
        <f>'Inventory as of 12th Aug 2024'!A58</f>
        <v>Safari</v>
      </c>
      <c r="D7424">
        <v>1</v>
      </c>
      <c r="E7424" s="5">
        <f>Table4[[#This Row],[qty]]*(VLOOKUP(Table4[[#This Row],[item_sold]],Table1[],5,FALSE))</f>
        <v>15</v>
      </c>
      <c r="F7424" s="5">
        <f>(VLOOKUP(Table4[[#This Row],[item_sold]],Table1[],4,FALSE))*Table4[[#This Row],[qty]]</f>
        <v>8.5</v>
      </c>
      <c r="G7424">
        <f t="shared" si="1362"/>
        <v>6.5</v>
      </c>
      <c r="H7424" t="s">
        <v>361</v>
      </c>
    </row>
    <row r="7425" spans="1:8" x14ac:dyDescent="0.25">
      <c r="A7425" s="1">
        <f t="shared" si="1366"/>
        <v>45601</v>
      </c>
      <c r="B7425" s="31">
        <f t="shared" ref="B7425" si="1375">TIME(12,29,0)</f>
        <v>0.52013888888888882</v>
      </c>
      <c r="C7425" t="str">
        <f>'Inventory as of 12th Aug 2024'!A207</f>
        <v>soda 350ml plastic</v>
      </c>
      <c r="D7425">
        <v>1</v>
      </c>
      <c r="E7425" s="5">
        <f>Table4[[#This Row],[qty]]*(VLOOKUP(Table4[[#This Row],[item_sold]],Table1[],5,FALSE))</f>
        <v>50</v>
      </c>
      <c r="F7425" s="5">
        <f>(VLOOKUP(Table4[[#This Row],[item_sold]],Table1[],4,FALSE))*Table4[[#This Row],[qty]]</f>
        <v>41.666666666666664</v>
      </c>
      <c r="G7425">
        <f t="shared" si="1362"/>
        <v>8.3333333333333357</v>
      </c>
      <c r="H7425" t="s">
        <v>402</v>
      </c>
    </row>
    <row r="7426" spans="1:8" x14ac:dyDescent="0.25">
      <c r="A7426" s="1">
        <f t="shared" si="1366"/>
        <v>45601</v>
      </c>
      <c r="B7426" s="31">
        <f>TIME(12,45,0)</f>
        <v>0.53125</v>
      </c>
      <c r="C7426" t="str">
        <f>'Inventory as of 12th Aug 2024'!A16</f>
        <v>Mt kenya milk 500ml</v>
      </c>
      <c r="D7426">
        <v>2</v>
      </c>
      <c r="E7426" s="5">
        <f>Table4[[#This Row],[qty]]*(VLOOKUP(Table4[[#This Row],[item_sold]],Table1[],5,FALSE))</f>
        <v>130</v>
      </c>
      <c r="F7426" s="5">
        <f>(VLOOKUP(Table4[[#This Row],[item_sold]],Table1[],4,FALSE))*Table4[[#This Row],[qty]]</f>
        <v>96.666666666666671</v>
      </c>
      <c r="G7426">
        <f t="shared" si="1362"/>
        <v>33.333333333333329</v>
      </c>
      <c r="H7426" t="s">
        <v>361</v>
      </c>
    </row>
    <row r="7427" spans="1:8" x14ac:dyDescent="0.25">
      <c r="A7427" s="1">
        <f t="shared" si="1366"/>
        <v>45601</v>
      </c>
      <c r="B7427" s="31">
        <f t="shared" ref="B7427:B7429" si="1376">TIME(12,45,0)</f>
        <v>0.53125</v>
      </c>
      <c r="C7427" t="str">
        <f>'Inventory as of 12th Aug 2024'!A37</f>
        <v>Festive Bread 400g</v>
      </c>
      <c r="D7427">
        <v>1</v>
      </c>
      <c r="E7427" s="5">
        <f>Table4[[#This Row],[qty]]*(VLOOKUP(Table4[[#This Row],[item_sold]],Table1[],5,FALSE))</f>
        <v>65</v>
      </c>
      <c r="F7427" s="5">
        <f>(VLOOKUP(Table4[[#This Row],[item_sold]],Table1[],4,FALSE))*Table4[[#This Row],[qty]]</f>
        <v>60</v>
      </c>
      <c r="G7427">
        <f t="shared" si="1362"/>
        <v>5</v>
      </c>
      <c r="H7427" t="s">
        <v>361</v>
      </c>
    </row>
    <row r="7428" spans="1:8" x14ac:dyDescent="0.25">
      <c r="A7428" s="1">
        <f t="shared" si="1366"/>
        <v>45601</v>
      </c>
      <c r="B7428" s="31">
        <f t="shared" si="1376"/>
        <v>0.53125</v>
      </c>
      <c r="C7428" t="str">
        <f>'Inventory as of 12th Aug 2024'!A165</f>
        <v>Bic Rasor</v>
      </c>
      <c r="D7428">
        <v>1</v>
      </c>
      <c r="E7428" s="5">
        <f>Table4[[#This Row],[qty]]*(VLOOKUP(Table4[[#This Row],[item_sold]],Table1[],5,FALSE))</f>
        <v>30</v>
      </c>
      <c r="F7428" s="5">
        <f>(VLOOKUP(Table4[[#This Row],[item_sold]],Table1[],4,FALSE))*Table4[[#This Row],[qty]]</f>
        <v>23.333333333333332</v>
      </c>
      <c r="G7428">
        <f t="shared" si="1362"/>
        <v>6.6666666666666679</v>
      </c>
      <c r="H7428" t="s">
        <v>361</v>
      </c>
    </row>
    <row r="7429" spans="1:8" x14ac:dyDescent="0.25">
      <c r="A7429" s="1">
        <f t="shared" si="1366"/>
        <v>45601</v>
      </c>
      <c r="B7429" s="31">
        <f t="shared" si="1376"/>
        <v>0.53125</v>
      </c>
      <c r="C7429" t="str">
        <f>'Inventory as of 12th Aug 2024'!A236</f>
        <v>Gomba</v>
      </c>
      <c r="D7429">
        <v>2</v>
      </c>
      <c r="E7429" s="5">
        <f>Table4[[#This Row],[qty]]*(VLOOKUP(Table4[[#This Row],[item_sold]],Table1[],5,FALSE))</f>
        <v>5</v>
      </c>
      <c r="F7429" s="5">
        <f>(VLOOKUP(Table4[[#This Row],[item_sold]],Table1[],4,FALSE))*Table4[[#This Row],[qty]]</f>
        <v>3.6</v>
      </c>
      <c r="G7429">
        <f t="shared" si="1362"/>
        <v>1.4</v>
      </c>
      <c r="H7429" t="s">
        <v>361</v>
      </c>
    </row>
    <row r="7430" spans="1:8" x14ac:dyDescent="0.25">
      <c r="A7430" s="1">
        <f t="shared" si="1366"/>
        <v>45601</v>
      </c>
      <c r="B7430" s="31">
        <f>TIME(12,45,0)</f>
        <v>0.53125</v>
      </c>
      <c r="C7430" t="str">
        <f>'Inventory as of 12th Aug 2024'!A190</f>
        <v>Goodday Cookies</v>
      </c>
      <c r="D7430">
        <v>2</v>
      </c>
      <c r="E7430" s="5">
        <f>Table4[[#This Row],[qty]]*(VLOOKUP(Table4[[#This Row],[item_sold]],Table1[],5,FALSE))</f>
        <v>30</v>
      </c>
      <c r="F7430" s="5">
        <f>(VLOOKUP(Table4[[#This Row],[item_sold]],Table1[],4,FALSE))*Table4[[#This Row],[qty]]</f>
        <v>18.666666666666668</v>
      </c>
      <c r="G7430">
        <f t="shared" si="1362"/>
        <v>11.333333333333332</v>
      </c>
      <c r="H7430" t="s">
        <v>402</v>
      </c>
    </row>
    <row r="7431" spans="1:8" x14ac:dyDescent="0.25">
      <c r="A7431" s="1">
        <f t="shared" si="1366"/>
        <v>45601</v>
      </c>
      <c r="B7431" s="31">
        <f t="shared" ref="B7431" si="1377">TIME(12,45,0)</f>
        <v>0.53125</v>
      </c>
      <c r="C7431" t="str">
        <f>'Inventory as of 12th Aug 2024'!A206</f>
        <v>soda 500ml plastic</v>
      </c>
      <c r="D7431">
        <v>1</v>
      </c>
      <c r="E7431" s="5">
        <f>Table4[[#This Row],[qty]]*(VLOOKUP(Table4[[#This Row],[item_sold]],Table1[],5,FALSE))</f>
        <v>70</v>
      </c>
      <c r="F7431" s="5">
        <f>(VLOOKUP(Table4[[#This Row],[item_sold]],Table1[],4,FALSE))*Table4[[#This Row],[qty]]</f>
        <v>60.416666666666664</v>
      </c>
      <c r="G7431">
        <f t="shared" si="1362"/>
        <v>9.5833333333333357</v>
      </c>
      <c r="H7431" t="s">
        <v>402</v>
      </c>
    </row>
    <row r="7432" spans="1:8" x14ac:dyDescent="0.25">
      <c r="A7432" s="1">
        <f t="shared" si="1366"/>
        <v>45601</v>
      </c>
      <c r="B7432" s="31">
        <f>TIME(12,46,0)</f>
        <v>0.53194444444444444</v>
      </c>
      <c r="C7432" t="str">
        <f>'Inventory as of 12th Aug 2024'!A75</f>
        <v>Cooking Oil Measured</v>
      </c>
      <c r="D7432">
        <v>0.25</v>
      </c>
      <c r="E7432" s="5">
        <f>Table4[[#This Row],[qty]]*(VLOOKUP(Table4[[#This Row],[item_sold]],Table1[],5,FALSE))</f>
        <v>70</v>
      </c>
      <c r="F7432" s="5">
        <f>(VLOOKUP(Table4[[#This Row],[item_sold]],Table1[],4,FALSE))*Table4[[#This Row],[qty]]</f>
        <v>50</v>
      </c>
      <c r="G7432">
        <f t="shared" si="1362"/>
        <v>20</v>
      </c>
      <c r="H7432" t="s">
        <v>430</v>
      </c>
    </row>
    <row r="7433" spans="1:8" x14ac:dyDescent="0.25">
      <c r="A7433" s="1">
        <f t="shared" si="1366"/>
        <v>45601</v>
      </c>
      <c r="B7433" s="31">
        <f t="shared" ref="B7433:B7434" si="1378">TIME(12,46,0)</f>
        <v>0.53194444444444444</v>
      </c>
      <c r="C7433" t="str">
        <f>'Inventory as of 12th Aug 2024'!A91</f>
        <v>Tomatoes</v>
      </c>
      <c r="D7433">
        <v>1</v>
      </c>
      <c r="E7433" s="5">
        <f>Table4[[#This Row],[qty]]*(VLOOKUP(Table4[[#This Row],[item_sold]],Table1[],5,FALSE))</f>
        <v>10</v>
      </c>
      <c r="F7433" s="5">
        <f>(VLOOKUP(Table4[[#This Row],[item_sold]],Table1[],4,FALSE))*Table4[[#This Row],[qty]]</f>
        <v>5</v>
      </c>
      <c r="G7433">
        <f t="shared" si="1362"/>
        <v>5</v>
      </c>
      <c r="H7433" t="s">
        <v>430</v>
      </c>
    </row>
    <row r="7434" spans="1:8" x14ac:dyDescent="0.25">
      <c r="A7434" s="1">
        <f t="shared" si="1366"/>
        <v>45601</v>
      </c>
      <c r="B7434" s="31">
        <f t="shared" si="1378"/>
        <v>0.53194444444444444</v>
      </c>
      <c r="C7434" t="str">
        <f>'Inventory as of 12th Aug 2024'!A199</f>
        <v>Kdf</v>
      </c>
      <c r="D7434">
        <v>1</v>
      </c>
      <c r="E7434" s="5">
        <f>Table4[[#This Row],[qty]]*(VLOOKUP(Table4[[#This Row],[item_sold]],Table1[],5,FALSE))</f>
        <v>10</v>
      </c>
      <c r="F7434" s="5">
        <f>(VLOOKUP(Table4[[#This Row],[item_sold]],Table1[],4,FALSE))*Table4[[#This Row],[qty]]</f>
        <v>8.3333333333333339</v>
      </c>
      <c r="G7434">
        <f t="shared" si="1362"/>
        <v>1.6666666666666661</v>
      </c>
      <c r="H7434" t="s">
        <v>402</v>
      </c>
    </row>
    <row r="7435" spans="1:8" x14ac:dyDescent="0.25">
      <c r="A7435" s="1">
        <f t="shared" si="1366"/>
        <v>45601</v>
      </c>
      <c r="B7435" s="31">
        <f>TIME(13,1,0)</f>
        <v>0.54236111111111118</v>
      </c>
      <c r="C7435" t="str">
        <f>'Inventory as of 12th Aug 2024'!A199</f>
        <v>Kdf</v>
      </c>
      <c r="D7435">
        <v>2</v>
      </c>
      <c r="E7435" s="5">
        <f>Table4[[#This Row],[qty]]*(VLOOKUP(Table4[[#This Row],[item_sold]],Table1[],5,FALSE))</f>
        <v>20</v>
      </c>
      <c r="F7435" s="5">
        <f>(VLOOKUP(Table4[[#This Row],[item_sold]],Table1[],4,FALSE))*Table4[[#This Row],[qty]]</f>
        <v>16.666666666666668</v>
      </c>
      <c r="G7435">
        <f t="shared" si="1362"/>
        <v>3.3333333333333321</v>
      </c>
      <c r="H7435" t="s">
        <v>402</v>
      </c>
    </row>
    <row r="7436" spans="1:8" x14ac:dyDescent="0.25">
      <c r="A7436" s="1">
        <f t="shared" si="1366"/>
        <v>45601</v>
      </c>
      <c r="B7436" s="31">
        <f t="shared" ref="B7436:B7438" si="1379">TIME(13,1,0)</f>
        <v>0.54236111111111118</v>
      </c>
      <c r="C7436" t="str">
        <f>'Inventory as of 12th Aug 2024'!A212</f>
        <v>soda 300ml glass</v>
      </c>
      <c r="D7436">
        <v>1</v>
      </c>
      <c r="E7436" s="5">
        <f>Table4[[#This Row],[qty]]*(VLOOKUP(Table4[[#This Row],[item_sold]],Table1[],5,FALSE))</f>
        <v>40</v>
      </c>
      <c r="F7436" s="5">
        <f>(VLOOKUP(Table4[[#This Row],[item_sold]],Table1[],4,FALSE))*Table4[[#This Row],[qty]]</f>
        <v>32.5</v>
      </c>
      <c r="G7436">
        <f t="shared" si="1362"/>
        <v>7.5</v>
      </c>
      <c r="H7436" t="s">
        <v>402</v>
      </c>
    </row>
    <row r="7437" spans="1:8" x14ac:dyDescent="0.25">
      <c r="A7437" s="1">
        <f t="shared" si="1366"/>
        <v>45601</v>
      </c>
      <c r="B7437" s="31">
        <f t="shared" si="1379"/>
        <v>0.54236111111111118</v>
      </c>
      <c r="C7437" t="str">
        <f>'Inventory as of 12th Aug 2024'!A199</f>
        <v>Kdf</v>
      </c>
      <c r="D7437">
        <v>2</v>
      </c>
      <c r="E7437" s="5">
        <f>Table4[[#This Row],[qty]]*(VLOOKUP(Table4[[#This Row],[item_sold]],Table1[],5,FALSE))</f>
        <v>20</v>
      </c>
      <c r="F7437" s="5">
        <f>(VLOOKUP(Table4[[#This Row],[item_sold]],Table1[],4,FALSE))*Table4[[#This Row],[qty]]</f>
        <v>16.666666666666668</v>
      </c>
      <c r="G7437">
        <f t="shared" si="1362"/>
        <v>3.3333333333333321</v>
      </c>
      <c r="H7437" t="s">
        <v>361</v>
      </c>
    </row>
    <row r="7438" spans="1:8" x14ac:dyDescent="0.25">
      <c r="A7438" s="1">
        <f t="shared" si="1366"/>
        <v>45601</v>
      </c>
      <c r="B7438" s="31">
        <f t="shared" si="1379"/>
        <v>0.54236111111111118</v>
      </c>
      <c r="C7438" t="str">
        <f>'Inventory as of 12th Aug 2024'!A17</f>
        <v>Brookside milk 500ml</v>
      </c>
      <c r="D7438">
        <v>1</v>
      </c>
      <c r="E7438" s="5">
        <f>Table4[[#This Row],[qty]]*(VLOOKUP(Table4[[#This Row],[item_sold]],Table1[],5,FALSE))</f>
        <v>70</v>
      </c>
      <c r="F7438" s="5">
        <f>(VLOOKUP(Table4[[#This Row],[item_sold]],Table1[],4,FALSE))*Table4[[#This Row],[qty]]</f>
        <v>59</v>
      </c>
      <c r="G7438">
        <f t="shared" si="1362"/>
        <v>11</v>
      </c>
      <c r="H7438" t="s">
        <v>361</v>
      </c>
    </row>
    <row r="7439" spans="1:8" x14ac:dyDescent="0.25">
      <c r="A7439" s="1">
        <f t="shared" si="1366"/>
        <v>45601</v>
      </c>
      <c r="B7439" s="31">
        <f>TIME(13,14,0)</f>
        <v>0.55138888888888882</v>
      </c>
      <c r="C7439" t="str">
        <f>'Inventory as of 12th Aug 2024'!A10</f>
        <v>Mt Kenya milk 200ml</v>
      </c>
      <c r="D7439">
        <v>2</v>
      </c>
      <c r="E7439" s="5">
        <f>Table4[[#This Row],[qty]]*(VLOOKUP(Table4[[#This Row],[item_sold]],Table1[],5,FALSE))</f>
        <v>70</v>
      </c>
      <c r="F7439" s="5">
        <f>(VLOOKUP(Table4[[#This Row],[item_sold]],Table1[],4,FALSE))*Table4[[#This Row],[qty]]</f>
        <v>48.571428571428569</v>
      </c>
      <c r="G7439">
        <f t="shared" si="1362"/>
        <v>21.428571428571431</v>
      </c>
      <c r="H7439" t="s">
        <v>402</v>
      </c>
    </row>
    <row r="7440" spans="1:8" x14ac:dyDescent="0.25">
      <c r="A7440" s="1">
        <f t="shared" si="1366"/>
        <v>45601</v>
      </c>
      <c r="B7440" s="31">
        <f>TIME(13,14,0)</f>
        <v>0.55138888888888882</v>
      </c>
      <c r="C7440" t="str">
        <f>'Inventory as of 12th Aug 2024'!A37</f>
        <v>Festive Bread 400g</v>
      </c>
      <c r="D7440">
        <v>1</v>
      </c>
      <c r="E7440" s="5">
        <f>Table4[[#This Row],[qty]]*(VLOOKUP(Table4[[#This Row],[item_sold]],Table1[],5,FALSE))</f>
        <v>65</v>
      </c>
      <c r="F7440" s="5">
        <f>(VLOOKUP(Table4[[#This Row],[item_sold]],Table1[],4,FALSE))*Table4[[#This Row],[qty]]</f>
        <v>60</v>
      </c>
      <c r="G7440">
        <f t="shared" si="1362"/>
        <v>5</v>
      </c>
      <c r="H7440" t="s">
        <v>402</v>
      </c>
    </row>
    <row r="7441" spans="1:9" x14ac:dyDescent="0.25">
      <c r="A7441" s="1">
        <f t="shared" si="1366"/>
        <v>45601</v>
      </c>
      <c r="B7441" s="31">
        <f>TIME(12,46,0)</f>
        <v>0.53194444444444444</v>
      </c>
      <c r="C7441" t="str">
        <f>'Inventory as of 12th Aug 2024'!A272</f>
        <v>Soko Maize 1kg</v>
      </c>
      <c r="D7441">
        <v>1</v>
      </c>
      <c r="E7441" s="5">
        <f>Table4[[#This Row],[qty]]*(VLOOKUP(Table4[[#This Row],[item_sold]],Table1[],5,FALSE))</f>
        <v>90</v>
      </c>
      <c r="F7441" s="5">
        <f>(VLOOKUP(Table4[[#This Row],[item_sold]],Table1[],4,FALSE))*Table4[[#This Row],[qty]]</f>
        <v>60.625</v>
      </c>
      <c r="G7441">
        <f t="shared" si="1362"/>
        <v>29.375</v>
      </c>
      <c r="H7441" t="s">
        <v>430</v>
      </c>
    </row>
    <row r="7442" spans="1:9" x14ac:dyDescent="0.25">
      <c r="A7442" s="1">
        <f t="shared" si="1366"/>
        <v>45601</v>
      </c>
      <c r="B7442" s="31">
        <f>TIME(13,46,0)</f>
        <v>0.57361111111111118</v>
      </c>
      <c r="C7442" t="str">
        <f>'Inventory as of 12th Aug 2024'!A235</f>
        <v>Cough drops</v>
      </c>
      <c r="D7442">
        <v>2</v>
      </c>
      <c r="E7442" s="5">
        <f>Table4[[#This Row],[qty]]*(VLOOKUP(Table4[[#This Row],[item_sold]],Table1[],5,FALSE))</f>
        <v>10</v>
      </c>
      <c r="F7442" s="5">
        <f>(VLOOKUP(Table4[[#This Row],[item_sold]],Table1[],4,FALSE))*Table4[[#This Row],[qty]]</f>
        <v>8</v>
      </c>
      <c r="G7442">
        <f t="shared" si="1362"/>
        <v>2</v>
      </c>
      <c r="H7442" t="s">
        <v>402</v>
      </c>
    </row>
    <row r="7443" spans="1:9" x14ac:dyDescent="0.25">
      <c r="A7443" s="1">
        <f t="shared" si="1366"/>
        <v>45601</v>
      </c>
      <c r="B7443" s="31">
        <f t="shared" ref="B7443:B7445" si="1380">TIME(13,46,0)</f>
        <v>0.57361111111111118</v>
      </c>
      <c r="C7443" t="str">
        <f>'Inventory as of 12th Aug 2024'!A8</f>
        <v>eggs</v>
      </c>
      <c r="D7443">
        <v>5</v>
      </c>
      <c r="E7443" s="5">
        <f>Table4[[#This Row],[qty]]*(VLOOKUP(Table4[[#This Row],[item_sold]],Table1[],5,FALSE))</f>
        <v>100</v>
      </c>
      <c r="F7443" s="5">
        <f>(VLOOKUP(Table4[[#This Row],[item_sold]],Table1[],4,FALSE))*Table4[[#This Row],[qty]]</f>
        <v>71.666666666666671</v>
      </c>
      <c r="G7443">
        <f t="shared" si="1362"/>
        <v>28.333333333333329</v>
      </c>
      <c r="H7443" t="s">
        <v>361</v>
      </c>
    </row>
    <row r="7444" spans="1:9" x14ac:dyDescent="0.25">
      <c r="A7444" s="1">
        <f t="shared" si="1366"/>
        <v>45601</v>
      </c>
      <c r="B7444" s="31">
        <f t="shared" si="1380"/>
        <v>0.57361111111111118</v>
      </c>
      <c r="C7444" t="str">
        <f>'Inventory as of 12th Aug 2024'!A75</f>
        <v>Cooking Oil Measured</v>
      </c>
      <c r="D7444">
        <v>0.25</v>
      </c>
      <c r="E7444" s="5">
        <f>Table4[[#This Row],[qty]]*(VLOOKUP(Table4[[#This Row],[item_sold]],Table1[],5,FALSE))</f>
        <v>70</v>
      </c>
      <c r="F7444" s="5">
        <f>(VLOOKUP(Table4[[#This Row],[item_sold]],Table1[],4,FALSE))*Table4[[#This Row],[qty]]</f>
        <v>50</v>
      </c>
      <c r="G7444">
        <f t="shared" ref="G7444:G7507" si="1381">E7444-F7444</f>
        <v>20</v>
      </c>
      <c r="H7444" t="s">
        <v>361</v>
      </c>
    </row>
    <row r="7445" spans="1:9" x14ac:dyDescent="0.25">
      <c r="A7445" s="1">
        <f t="shared" si="1366"/>
        <v>45601</v>
      </c>
      <c r="B7445" s="31">
        <f t="shared" si="1380"/>
        <v>0.57361111111111118</v>
      </c>
      <c r="C7445" t="str">
        <f>'Inventory as of 12th Aug 2024'!A91</f>
        <v>Tomatoes</v>
      </c>
      <c r="D7445">
        <v>3</v>
      </c>
      <c r="E7445" s="5">
        <f>Table4[[#This Row],[qty]]*(VLOOKUP(Table4[[#This Row],[item_sold]],Table1[],5,FALSE))</f>
        <v>30</v>
      </c>
      <c r="F7445" s="5">
        <f>(VLOOKUP(Table4[[#This Row],[item_sold]],Table1[],4,FALSE))*Table4[[#This Row],[qty]]</f>
        <v>15</v>
      </c>
      <c r="G7445">
        <f t="shared" si="1381"/>
        <v>15</v>
      </c>
      <c r="H7445" t="s">
        <v>361</v>
      </c>
    </row>
    <row r="7446" spans="1:9" x14ac:dyDescent="0.25">
      <c r="A7446" s="1">
        <f t="shared" si="1366"/>
        <v>45601</v>
      </c>
      <c r="B7446" s="31">
        <f>TIME(13,34,0)</f>
        <v>0.56527777777777777</v>
      </c>
      <c r="C7446" t="str">
        <f>'Inventory as of 12th Aug 2024'!A68</f>
        <v>Royco cubes</v>
      </c>
      <c r="D7446">
        <v>2</v>
      </c>
      <c r="E7446" s="5">
        <f>Table4[[#This Row],[qty]]*(VLOOKUP(Table4[[#This Row],[item_sold]],Table1[],5,FALSE))</f>
        <v>10</v>
      </c>
      <c r="F7446" s="5">
        <f>(VLOOKUP(Table4[[#This Row],[item_sold]],Table1[],4,FALSE))*Table4[[#This Row],[qty]]</f>
        <v>6</v>
      </c>
      <c r="G7446">
        <f t="shared" si="1381"/>
        <v>4</v>
      </c>
      <c r="H7446" t="s">
        <v>361</v>
      </c>
    </row>
    <row r="7447" spans="1:9" x14ac:dyDescent="0.25">
      <c r="A7447" s="1">
        <f t="shared" si="1366"/>
        <v>45601</v>
      </c>
      <c r="B7447" s="31">
        <f t="shared" ref="B7447:B7448" si="1382">TIME(13,34,0)</f>
        <v>0.56527777777777777</v>
      </c>
      <c r="C7447" t="str">
        <f>'Inventory as of 12th Aug 2024'!A91</f>
        <v>Tomatoes</v>
      </c>
      <c r="D7447">
        <v>4</v>
      </c>
      <c r="E7447" s="5">
        <f>Table4[[#This Row],[qty]]*(VLOOKUP(Table4[[#This Row],[item_sold]],Table1[],5,FALSE))</f>
        <v>40</v>
      </c>
      <c r="F7447" s="5">
        <f>(VLOOKUP(Table4[[#This Row],[item_sold]],Table1[],4,FALSE))*Table4[[#This Row],[qty]]</f>
        <v>20</v>
      </c>
      <c r="G7447">
        <f t="shared" si="1381"/>
        <v>20</v>
      </c>
      <c r="H7447" t="s">
        <v>361</v>
      </c>
    </row>
    <row r="7448" spans="1:9" x14ac:dyDescent="0.25">
      <c r="A7448" s="1">
        <f t="shared" si="1366"/>
        <v>45601</v>
      </c>
      <c r="B7448" s="31">
        <f t="shared" si="1382"/>
        <v>0.56527777777777777</v>
      </c>
      <c r="C7448" t="str">
        <f>'Inventory as of 12th Aug 2024'!A90</f>
        <v>Onion</v>
      </c>
      <c r="D7448">
        <v>5</v>
      </c>
      <c r="E7448" s="5">
        <f>Table4[[#This Row],[qty]]*(VLOOKUP(Table4[[#This Row],[item_sold]],Table1[],5,FALSE))</f>
        <v>50</v>
      </c>
      <c r="F7448" s="5">
        <f>(VLOOKUP(Table4[[#This Row],[item_sold]],Table1[],4,FALSE))*Table4[[#This Row],[qty]]</f>
        <v>40</v>
      </c>
      <c r="G7448">
        <f t="shared" si="1381"/>
        <v>10</v>
      </c>
      <c r="H7448" t="s">
        <v>361</v>
      </c>
    </row>
    <row r="7449" spans="1:9" x14ac:dyDescent="0.25">
      <c r="A7449" s="1">
        <f t="shared" si="1366"/>
        <v>45601</v>
      </c>
      <c r="B7449" s="31">
        <f>TIME(13,52,0)</f>
        <v>0.57777777777777783</v>
      </c>
      <c r="C7449" t="str">
        <f>'Inventory as of 12th Aug 2024'!A58</f>
        <v>Safari</v>
      </c>
      <c r="D7449">
        <v>1</v>
      </c>
      <c r="E7449" s="5">
        <f>Table4[[#This Row],[qty]]*(VLOOKUP(Table4[[#This Row],[item_sold]],Table1[],5,FALSE))</f>
        <v>15</v>
      </c>
      <c r="F7449" s="5">
        <f>(VLOOKUP(Table4[[#This Row],[item_sold]],Table1[],4,FALSE))*Table4[[#This Row],[qty]]</f>
        <v>8.5</v>
      </c>
      <c r="G7449">
        <f t="shared" si="1381"/>
        <v>6.5</v>
      </c>
      <c r="H7449" t="s">
        <v>361</v>
      </c>
    </row>
    <row r="7450" spans="1:9" x14ac:dyDescent="0.25">
      <c r="A7450" s="1">
        <f t="shared" si="1366"/>
        <v>45601</v>
      </c>
      <c r="B7450" s="31">
        <f>TIME(14,30,0)</f>
        <v>0.60416666666666663</v>
      </c>
      <c r="C7450" t="str">
        <f>'Inventory as of 12th Aug 2024'!A267</f>
        <v>Ting Ting</v>
      </c>
      <c r="D7450">
        <v>3</v>
      </c>
      <c r="E7450" s="5">
        <f>Table4[[#This Row],[qty]]*(VLOOKUP(Table4[[#This Row],[item_sold]],Table1[],5,FALSE))</f>
        <v>15</v>
      </c>
      <c r="F7450" s="5">
        <f>(VLOOKUP(Table4[[#This Row],[item_sold]],Table1[],4,FALSE))*Table4[[#This Row],[qty]]</f>
        <v>12.18</v>
      </c>
      <c r="G7450">
        <f t="shared" si="1381"/>
        <v>2.8200000000000003</v>
      </c>
      <c r="H7450" t="s">
        <v>402</v>
      </c>
    </row>
    <row r="7451" spans="1:9" x14ac:dyDescent="0.25">
      <c r="A7451" s="1">
        <f t="shared" si="1366"/>
        <v>45601</v>
      </c>
      <c r="B7451" s="31">
        <f>TIME(15,3,0)</f>
        <v>0.62708333333333333</v>
      </c>
      <c r="C7451" t="str">
        <f>'Inventory as of 12th Aug 2024'!A205</f>
        <v xml:space="preserve"> soda 1.25lts</v>
      </c>
      <c r="D7451">
        <v>2</v>
      </c>
      <c r="E7451" s="5">
        <f>Table4[[#This Row],[qty]]*(VLOOKUP(Table4[[#This Row],[item_sold]],Table1[],5,FALSE))</f>
        <v>260</v>
      </c>
      <c r="F7451" s="5">
        <f>(VLOOKUP(Table4[[#This Row],[item_sold]],Table1[],4,FALSE))*Table4[[#This Row],[qty]]</f>
        <v>225</v>
      </c>
      <c r="G7451">
        <f t="shared" si="1381"/>
        <v>35</v>
      </c>
      <c r="H7451" t="s">
        <v>361</v>
      </c>
    </row>
    <row r="7452" spans="1:9" x14ac:dyDescent="0.25">
      <c r="A7452" s="1">
        <f t="shared" si="1366"/>
        <v>45601</v>
      </c>
      <c r="B7452" s="31">
        <f>TIME(15,23,0)</f>
        <v>0.64097222222222217</v>
      </c>
      <c r="C7452" t="str">
        <f>'Inventory as of 12th Aug 2024'!A208</f>
        <v>minutemaid 400ml</v>
      </c>
      <c r="D7452">
        <v>1</v>
      </c>
      <c r="E7452" s="5">
        <f>Table4[[#This Row],[qty]]*(VLOOKUP(Table4[[#This Row],[item_sold]],Table1[],5,FALSE))</f>
        <v>85</v>
      </c>
      <c r="F7452" s="5">
        <f>(VLOOKUP(Table4[[#This Row],[item_sold]],Table1[],4,FALSE))*Table4[[#This Row],[qty]]</f>
        <v>62.5</v>
      </c>
      <c r="G7452">
        <f t="shared" si="1381"/>
        <v>22.5</v>
      </c>
      <c r="H7452" t="s">
        <v>402</v>
      </c>
    </row>
    <row r="7453" spans="1:9" x14ac:dyDescent="0.25">
      <c r="A7453" s="1">
        <f t="shared" si="1366"/>
        <v>45601</v>
      </c>
      <c r="B7453" s="31">
        <f>TIME(15,23,0)</f>
        <v>0.64097222222222217</v>
      </c>
      <c r="C7453" t="str">
        <f>'Inventory as of 12th Aug 2024'!A197</f>
        <v>Canned cookies</v>
      </c>
      <c r="D7453">
        <v>1</v>
      </c>
      <c r="E7453" s="5">
        <f>Table4[[#This Row],[qty]]*(VLOOKUP(Table4[[#This Row],[item_sold]],Table1[],5,FALSE))</f>
        <v>60</v>
      </c>
      <c r="F7453" s="5">
        <f>(VLOOKUP(Table4[[#This Row],[item_sold]],Table1[],4,FALSE))*Table4[[#This Row],[qty]]</f>
        <v>50</v>
      </c>
      <c r="G7453">
        <f t="shared" si="1381"/>
        <v>10</v>
      </c>
      <c r="H7453" t="s">
        <v>402</v>
      </c>
    </row>
    <row r="7454" spans="1:9" x14ac:dyDescent="0.25">
      <c r="A7454" s="1">
        <f t="shared" si="1366"/>
        <v>45601</v>
      </c>
      <c r="B7454" s="31">
        <f>TIME(15,45,0)</f>
        <v>0.65625</v>
      </c>
      <c r="C7454" t="str">
        <f>'Inventory as of 12th Aug 2024'!A267</f>
        <v>Ting Ting</v>
      </c>
      <c r="D7454">
        <v>1</v>
      </c>
      <c r="E7454" s="5">
        <f>Table4[[#This Row],[qty]]*(VLOOKUP(Table4[[#This Row],[item_sold]],Table1[],5,FALSE))</f>
        <v>5</v>
      </c>
      <c r="F7454" s="5">
        <f>(VLOOKUP(Table4[[#This Row],[item_sold]],Table1[],4,FALSE))*Table4[[#This Row],[qty]]</f>
        <v>4.0599999999999996</v>
      </c>
      <c r="G7454">
        <f t="shared" si="1381"/>
        <v>0.94000000000000039</v>
      </c>
      <c r="H7454" t="s">
        <v>402</v>
      </c>
    </row>
    <row r="7455" spans="1:9" x14ac:dyDescent="0.25">
      <c r="A7455" s="1">
        <f t="shared" si="1366"/>
        <v>45601</v>
      </c>
      <c r="B7455" s="31">
        <f>TIME(16,4,0)</f>
        <v>0.6694444444444444</v>
      </c>
      <c r="C7455" t="str">
        <f>'Inventory as of 12th Aug 2024'!A242</f>
        <v>Icepop</v>
      </c>
      <c r="D7455">
        <v>1</v>
      </c>
      <c r="E7455" s="5">
        <f>Table4[[#This Row],[qty]]*(VLOOKUP(Table4[[#This Row],[item_sold]],Table1[],5,FALSE))</f>
        <v>15</v>
      </c>
      <c r="F7455" s="5">
        <f>(VLOOKUP(Table4[[#This Row],[item_sold]],Table1[],4,FALSE))*Table4[[#This Row],[qty]]</f>
        <v>7.5</v>
      </c>
      <c r="G7455">
        <f t="shared" si="1381"/>
        <v>7.5</v>
      </c>
      <c r="H7455" t="s">
        <v>402</v>
      </c>
    </row>
    <row r="7456" spans="1:9" x14ac:dyDescent="0.25">
      <c r="A7456" s="1">
        <f t="shared" si="1366"/>
        <v>45601</v>
      </c>
      <c r="B7456" s="31">
        <f>TIME(16,8,0)</f>
        <v>0.67222222222222217</v>
      </c>
      <c r="C7456" t="str">
        <f>'Inventory as of 12th Aug 2024'!A92</f>
        <v>Banana</v>
      </c>
      <c r="D7456">
        <v>3</v>
      </c>
      <c r="E7456" s="5">
        <f>Table4[[#This Row],[qty]]*(VLOOKUP(Table4[[#This Row],[item_sold]],Table1[],5,FALSE))</f>
        <v>30</v>
      </c>
      <c r="F7456" s="5">
        <f>(VLOOKUP(Table4[[#This Row],[item_sold]],Table1[],4,FALSE))*Table4[[#This Row],[qty]]</f>
        <v>25</v>
      </c>
      <c r="G7456">
        <f t="shared" si="1381"/>
        <v>5</v>
      </c>
      <c r="H7456" t="s">
        <v>430</v>
      </c>
      <c r="I7456" t="s">
        <v>456</v>
      </c>
    </row>
    <row r="7457" spans="1:12" x14ac:dyDescent="0.25">
      <c r="A7457" s="1">
        <f t="shared" si="1366"/>
        <v>45601</v>
      </c>
      <c r="B7457" s="31">
        <f>TIME(16,37,0)</f>
        <v>0.69236111111111109</v>
      </c>
      <c r="C7457" t="str">
        <f>'Inventory as of 12th Aug 2024'!A185</f>
        <v>Glucose 10g</v>
      </c>
      <c r="D7457">
        <v>2</v>
      </c>
      <c r="E7457" s="5">
        <f>Table4[[#This Row],[qty]]*(VLOOKUP(Table4[[#This Row],[item_sold]],Table1[],5,FALSE))</f>
        <v>10</v>
      </c>
      <c r="F7457" s="5">
        <f>(VLOOKUP(Table4[[#This Row],[item_sold]],Table1[],4,FALSE))*Table4[[#This Row],[qty]]</f>
        <v>7.5</v>
      </c>
      <c r="G7457">
        <f t="shared" si="1381"/>
        <v>2.5</v>
      </c>
      <c r="H7457" t="s">
        <v>402</v>
      </c>
    </row>
    <row r="7458" spans="1:12" x14ac:dyDescent="0.25">
      <c r="A7458" s="1">
        <f t="shared" si="1366"/>
        <v>45601</v>
      </c>
      <c r="B7458" s="31">
        <f>TIME(16,43,0)</f>
        <v>0.69652777777777775</v>
      </c>
      <c r="C7458" t="str">
        <f>'Inventory as of 12th Aug 2024'!A242</f>
        <v>Icepop</v>
      </c>
      <c r="D7458">
        <v>1</v>
      </c>
      <c r="E7458" s="5">
        <f>Table4[[#This Row],[qty]]*(VLOOKUP(Table4[[#This Row],[item_sold]],Table1[],5,FALSE))</f>
        <v>15</v>
      </c>
      <c r="F7458" s="5">
        <f>(VLOOKUP(Table4[[#This Row],[item_sold]],Table1[],4,FALSE))*Table4[[#This Row],[qty]]</f>
        <v>7.5</v>
      </c>
      <c r="G7458">
        <f t="shared" si="1381"/>
        <v>7.5</v>
      </c>
      <c r="H7458" t="s">
        <v>402</v>
      </c>
    </row>
    <row r="7459" spans="1:12" x14ac:dyDescent="0.25">
      <c r="A7459" s="1">
        <f t="shared" si="1366"/>
        <v>45601</v>
      </c>
      <c r="B7459" s="31">
        <f t="shared" ref="B7459:B7460" si="1383">TIME(16,43,0)</f>
        <v>0.69652777777777775</v>
      </c>
      <c r="C7459" t="str">
        <f>'Inventory as of 12th Aug 2024'!A236</f>
        <v>Gomba</v>
      </c>
      <c r="D7459">
        <v>2</v>
      </c>
      <c r="E7459" s="5">
        <f>Table4[[#This Row],[qty]]*(VLOOKUP(Table4[[#This Row],[item_sold]],Table1[],5,FALSE))</f>
        <v>5</v>
      </c>
      <c r="F7459" s="5">
        <f>(VLOOKUP(Table4[[#This Row],[item_sold]],Table1[],4,FALSE))*Table4[[#This Row],[qty]]</f>
        <v>3.6</v>
      </c>
      <c r="G7459">
        <f t="shared" si="1381"/>
        <v>1.4</v>
      </c>
      <c r="H7459" t="s">
        <v>402</v>
      </c>
    </row>
    <row r="7460" spans="1:12" x14ac:dyDescent="0.25">
      <c r="A7460" s="1">
        <f t="shared" si="1366"/>
        <v>45601</v>
      </c>
      <c r="B7460" s="31">
        <f t="shared" si="1383"/>
        <v>0.69652777777777775</v>
      </c>
      <c r="C7460" t="str">
        <f>'Inventory as of 12th Aug 2024'!A229</f>
        <v>Fresh green</v>
      </c>
      <c r="D7460">
        <v>1</v>
      </c>
      <c r="E7460" s="5">
        <f>Table4[[#This Row],[qty]]*(VLOOKUP(Table4[[#This Row],[item_sold]],Table1[],5,FALSE))</f>
        <v>10</v>
      </c>
      <c r="F7460" s="5">
        <f>(VLOOKUP(Table4[[#This Row],[item_sold]],Table1[],4,FALSE))*Table4[[#This Row],[qty]]</f>
        <v>5</v>
      </c>
      <c r="G7460">
        <f t="shared" si="1381"/>
        <v>5</v>
      </c>
      <c r="H7460" t="s">
        <v>402</v>
      </c>
    </row>
    <row r="7461" spans="1:12" x14ac:dyDescent="0.25">
      <c r="A7461" s="1">
        <f t="shared" si="1366"/>
        <v>45601</v>
      </c>
      <c r="B7461" s="31">
        <f>TIME(17,5,0)</f>
        <v>0.71180555555555547</v>
      </c>
      <c r="C7461" t="str">
        <f>'Inventory as of 12th Aug 2024'!A238</f>
        <v>Tropical</v>
      </c>
      <c r="D7461">
        <v>4</v>
      </c>
      <c r="E7461" s="5">
        <f>Table4[[#This Row],[qty]]*(VLOOKUP(Table4[[#This Row],[item_sold]],Table1[],5,FALSE))</f>
        <v>20</v>
      </c>
      <c r="F7461" s="5">
        <f>(VLOOKUP(Table4[[#This Row],[item_sold]],Table1[],4,FALSE))*Table4[[#This Row],[qty]]</f>
        <v>6</v>
      </c>
      <c r="G7461">
        <f t="shared" si="1381"/>
        <v>14</v>
      </c>
      <c r="H7461" t="s">
        <v>402</v>
      </c>
    </row>
    <row r="7462" spans="1:12" x14ac:dyDescent="0.25">
      <c r="A7462" s="1">
        <f t="shared" si="1366"/>
        <v>45601</v>
      </c>
      <c r="B7462" s="31">
        <f t="shared" ref="B7462:B7465" si="1384">TIME(17,5,0)</f>
        <v>0.71180555555555547</v>
      </c>
      <c r="C7462" t="str">
        <f>'Inventory as of 12th Aug 2024'!A202</f>
        <v>funtime snacks</v>
      </c>
      <c r="D7462">
        <v>3</v>
      </c>
      <c r="E7462" s="5">
        <f>Table4[[#This Row],[qty]]*(VLOOKUP(Table4[[#This Row],[item_sold]],Table1[],5,FALSE))</f>
        <v>45</v>
      </c>
      <c r="F7462" s="5">
        <f>(VLOOKUP(Table4[[#This Row],[item_sold]],Table1[],4,FALSE))*Table4[[#This Row],[qty]]</f>
        <v>27</v>
      </c>
      <c r="G7462">
        <f t="shared" si="1381"/>
        <v>18</v>
      </c>
      <c r="H7462" t="s">
        <v>402</v>
      </c>
    </row>
    <row r="7463" spans="1:12" x14ac:dyDescent="0.25">
      <c r="A7463" s="1">
        <f t="shared" ref="A7463:A7479" si="1385">DATE(2024,11,5)</f>
        <v>45601</v>
      </c>
      <c r="B7463" s="31">
        <f t="shared" si="1384"/>
        <v>0.71180555555555547</v>
      </c>
      <c r="C7463" t="str">
        <f>'Inventory as of 12th Aug 2024'!A172</f>
        <v>Carrier bag small</v>
      </c>
      <c r="D7463">
        <v>1</v>
      </c>
      <c r="E7463" s="5">
        <f>Table4[[#This Row],[qty]]*(VLOOKUP(Table4[[#This Row],[item_sold]],Table1[],5,FALSE))</f>
        <v>10</v>
      </c>
      <c r="F7463" s="5">
        <f>(VLOOKUP(Table4[[#This Row],[item_sold]],Table1[],4,FALSE))*Table4[[#This Row],[qty]]</f>
        <v>3</v>
      </c>
      <c r="G7463">
        <f t="shared" si="1381"/>
        <v>7</v>
      </c>
      <c r="H7463" t="s">
        <v>402</v>
      </c>
    </row>
    <row r="7464" spans="1:12" x14ac:dyDescent="0.25">
      <c r="A7464" s="1">
        <f t="shared" si="1385"/>
        <v>45601</v>
      </c>
      <c r="B7464" s="31">
        <f t="shared" si="1384"/>
        <v>0.71180555555555547</v>
      </c>
      <c r="C7464" t="str">
        <f>'Inventory as of 12th Aug 2024'!A17</f>
        <v>Brookside milk 500ml</v>
      </c>
      <c r="D7464">
        <v>1</v>
      </c>
      <c r="E7464" s="5">
        <f>Table4[[#This Row],[qty]]*(VLOOKUP(Table4[[#This Row],[item_sold]],Table1[],5,FALSE))</f>
        <v>70</v>
      </c>
      <c r="F7464" s="5">
        <f>(VLOOKUP(Table4[[#This Row],[item_sold]],Table1[],4,FALSE))*Table4[[#This Row],[qty]]</f>
        <v>59</v>
      </c>
      <c r="G7464">
        <f t="shared" si="1381"/>
        <v>11</v>
      </c>
      <c r="H7464" t="s">
        <v>402</v>
      </c>
    </row>
    <row r="7465" spans="1:12" x14ac:dyDescent="0.25">
      <c r="A7465" s="1">
        <f t="shared" si="1385"/>
        <v>45601</v>
      </c>
      <c r="B7465" s="31">
        <f t="shared" si="1384"/>
        <v>0.71180555555555547</v>
      </c>
      <c r="C7465" t="str">
        <f>'Inventory as of 12th Aug 2024'!A8</f>
        <v>eggs</v>
      </c>
      <c r="D7465">
        <v>20</v>
      </c>
      <c r="E7465" s="5">
        <f>Table4[[#This Row],[qty]]*(VLOOKUP(Table4[[#This Row],[item_sold]],Table1[],5,FALSE))</f>
        <v>400</v>
      </c>
      <c r="F7465" s="5">
        <f>(VLOOKUP(Table4[[#This Row],[item_sold]],Table1[],4,FALSE))*Table4[[#This Row],[qty]]</f>
        <v>286.66666666666669</v>
      </c>
      <c r="G7465">
        <f t="shared" si="1381"/>
        <v>113.33333333333331</v>
      </c>
      <c r="H7465" t="s">
        <v>402</v>
      </c>
      <c r="J7465" t="s">
        <v>408</v>
      </c>
      <c r="K7465">
        <v>45</v>
      </c>
      <c r="L7465" t="s">
        <v>247</v>
      </c>
    </row>
    <row r="7466" spans="1:12" x14ac:dyDescent="0.25">
      <c r="A7466" s="1">
        <f t="shared" si="1385"/>
        <v>45601</v>
      </c>
      <c r="B7466" s="31">
        <f>TIME(17,21,0)</f>
        <v>0.72291666666666676</v>
      </c>
      <c r="C7466" t="str">
        <f>'Inventory as of 12th Aug 2024'!A199</f>
        <v>Kdf</v>
      </c>
      <c r="D7466">
        <v>2</v>
      </c>
      <c r="E7466" s="5">
        <f>Table4[[#This Row],[qty]]*(VLOOKUP(Table4[[#This Row],[item_sold]],Table1[],5,FALSE))</f>
        <v>20</v>
      </c>
      <c r="F7466" s="5">
        <f>(VLOOKUP(Table4[[#This Row],[item_sold]],Table1[],4,FALSE))*Table4[[#This Row],[qty]]</f>
        <v>16.666666666666668</v>
      </c>
      <c r="G7466">
        <f t="shared" si="1381"/>
        <v>3.3333333333333321</v>
      </c>
      <c r="H7466" t="s">
        <v>402</v>
      </c>
    </row>
    <row r="7467" spans="1:12" x14ac:dyDescent="0.25">
      <c r="A7467" s="1">
        <f t="shared" si="1385"/>
        <v>45601</v>
      </c>
      <c r="B7467" s="31">
        <f>TIME(17,28,0)</f>
        <v>0.72777777777777775</v>
      </c>
      <c r="C7467" t="str">
        <f>'Inventory as of 12th Aug 2024'!A267</f>
        <v>Ting Ting</v>
      </c>
      <c r="D7467">
        <v>3</v>
      </c>
      <c r="E7467" s="5">
        <f>Table4[[#This Row],[qty]]*(VLOOKUP(Table4[[#This Row],[item_sold]],Table1[],5,FALSE))</f>
        <v>15</v>
      </c>
      <c r="F7467" s="5">
        <f>(VLOOKUP(Table4[[#This Row],[item_sold]],Table1[],4,FALSE))*Table4[[#This Row],[qty]]</f>
        <v>12.18</v>
      </c>
      <c r="G7467">
        <f t="shared" si="1381"/>
        <v>2.8200000000000003</v>
      </c>
      <c r="H7467" t="s">
        <v>402</v>
      </c>
    </row>
    <row r="7468" spans="1:12" x14ac:dyDescent="0.25">
      <c r="A7468" s="1">
        <f t="shared" si="1385"/>
        <v>45601</v>
      </c>
      <c r="B7468" s="31">
        <f>TIME(17,55,0)</f>
        <v>0.74652777777777779</v>
      </c>
      <c r="C7468" t="str">
        <f>'Inventory as of 12th Aug 2024'!A236</f>
        <v>Gomba</v>
      </c>
      <c r="D7468">
        <v>8</v>
      </c>
      <c r="E7468" s="5">
        <f>Table4[[#This Row],[qty]]*(VLOOKUP(Table4[[#This Row],[item_sold]],Table1[],5,FALSE))</f>
        <v>20</v>
      </c>
      <c r="F7468" s="5">
        <f>(VLOOKUP(Table4[[#This Row],[item_sold]],Table1[],4,FALSE))*Table4[[#This Row],[qty]]</f>
        <v>14.4</v>
      </c>
      <c r="G7468">
        <f t="shared" si="1381"/>
        <v>5.6</v>
      </c>
      <c r="H7468" t="s">
        <v>402</v>
      </c>
    </row>
    <row r="7469" spans="1:12" x14ac:dyDescent="0.25">
      <c r="A7469" s="1">
        <f t="shared" si="1385"/>
        <v>45601</v>
      </c>
      <c r="B7469" s="31">
        <f t="shared" ref="B7469" si="1386">TIME(17,55,0)</f>
        <v>0.74652777777777779</v>
      </c>
      <c r="C7469" t="str">
        <f>'Inventory as of 12th Aug 2024'!A37</f>
        <v>Festive Bread 400g</v>
      </c>
      <c r="D7469">
        <v>2</v>
      </c>
      <c r="E7469" s="5">
        <f>Table4[[#This Row],[qty]]*(VLOOKUP(Table4[[#This Row],[item_sold]],Table1[],5,FALSE))</f>
        <v>130</v>
      </c>
      <c r="F7469" s="5">
        <f>(VLOOKUP(Table4[[#This Row],[item_sold]],Table1[],4,FALSE))*Table4[[#This Row],[qty]]</f>
        <v>120</v>
      </c>
      <c r="G7469">
        <f t="shared" si="1381"/>
        <v>10</v>
      </c>
      <c r="H7469" t="s">
        <v>361</v>
      </c>
    </row>
    <row r="7470" spans="1:12" x14ac:dyDescent="0.25">
      <c r="A7470" s="1">
        <f t="shared" si="1385"/>
        <v>45601</v>
      </c>
      <c r="B7470" s="31">
        <f>TIME(17,29,0)</f>
        <v>0.7284722222222223</v>
      </c>
      <c r="C7470" t="str">
        <f>'Inventory as of 12th Aug 2024'!A213</f>
        <v>soda 500ml glass</v>
      </c>
      <c r="D7470">
        <v>1</v>
      </c>
      <c r="E7470" s="5">
        <f>Table4[[#This Row],[qty]]*(VLOOKUP(Table4[[#This Row],[item_sold]],Table1[],5,FALSE))</f>
        <v>55</v>
      </c>
      <c r="F7470" s="5">
        <f>(VLOOKUP(Table4[[#This Row],[item_sold]],Table1[],4,FALSE))*Table4[[#This Row],[qty]]</f>
        <v>50</v>
      </c>
      <c r="G7470">
        <f t="shared" si="1381"/>
        <v>5</v>
      </c>
      <c r="H7470" t="s">
        <v>361</v>
      </c>
    </row>
    <row r="7471" spans="1:12" x14ac:dyDescent="0.25">
      <c r="A7471" s="1">
        <f t="shared" si="1385"/>
        <v>45601</v>
      </c>
      <c r="B7471" s="31">
        <f>TIME(18,5,0)</f>
        <v>0.75347222222222221</v>
      </c>
      <c r="C7471" t="str">
        <f>'Inventory as of 12th Aug 2024'!A92</f>
        <v>Banana</v>
      </c>
      <c r="D7471">
        <v>3</v>
      </c>
      <c r="E7471" s="5">
        <f>Table4[[#This Row],[qty]]*(VLOOKUP(Table4[[#This Row],[item_sold]],Table1[],5,FALSE))</f>
        <v>30</v>
      </c>
      <c r="F7471" s="5">
        <f>(VLOOKUP(Table4[[#This Row],[item_sold]],Table1[],4,FALSE))*Table4[[#This Row],[qty]]</f>
        <v>25</v>
      </c>
      <c r="G7471">
        <f t="shared" si="1381"/>
        <v>5</v>
      </c>
      <c r="H7471" t="s">
        <v>402</v>
      </c>
    </row>
    <row r="7472" spans="1:12" x14ac:dyDescent="0.25">
      <c r="A7472" s="1">
        <f t="shared" si="1385"/>
        <v>45601</v>
      </c>
      <c r="B7472" s="31">
        <f>TIME(18,20,0)</f>
        <v>0.76388888888888884</v>
      </c>
      <c r="C7472" t="str">
        <f>'Inventory as of 12th Aug 2024'!A200</f>
        <v>Ngumu</v>
      </c>
      <c r="D7472">
        <v>4</v>
      </c>
      <c r="E7472" s="5">
        <f>Table4[[#This Row],[qty]]*(VLOOKUP(Table4[[#This Row],[item_sold]],Table1[],5,FALSE))</f>
        <v>40</v>
      </c>
      <c r="F7472" s="5">
        <f>(VLOOKUP(Table4[[#This Row],[item_sold]],Table1[],4,FALSE))*Table4[[#This Row],[qty]]</f>
        <v>33.333333333333336</v>
      </c>
      <c r="G7472">
        <f t="shared" si="1381"/>
        <v>6.6666666666666643</v>
      </c>
      <c r="H7472" t="s">
        <v>361</v>
      </c>
    </row>
    <row r="7473" spans="1:12" x14ac:dyDescent="0.25">
      <c r="A7473" s="1">
        <f t="shared" si="1385"/>
        <v>45601</v>
      </c>
      <c r="B7473" s="31">
        <f>TIME(18,37,0)</f>
        <v>0.77569444444444446</v>
      </c>
      <c r="C7473" t="str">
        <f>'Inventory as of 12th Aug 2024'!A200</f>
        <v>Ngumu</v>
      </c>
      <c r="D7473">
        <v>4</v>
      </c>
      <c r="E7473" s="5">
        <f>Table4[[#This Row],[qty]]*(VLOOKUP(Table4[[#This Row],[item_sold]],Table1[],5,FALSE))</f>
        <v>40</v>
      </c>
      <c r="F7473" s="5">
        <f>(VLOOKUP(Table4[[#This Row],[item_sold]],Table1[],4,FALSE))*Table4[[#This Row],[qty]]</f>
        <v>33.333333333333336</v>
      </c>
      <c r="G7473">
        <f t="shared" si="1381"/>
        <v>6.6666666666666643</v>
      </c>
      <c r="H7473" t="s">
        <v>402</v>
      </c>
    </row>
    <row r="7474" spans="1:12" x14ac:dyDescent="0.25">
      <c r="A7474" s="1">
        <f t="shared" si="1385"/>
        <v>45601</v>
      </c>
      <c r="B7474" s="31">
        <f>TIME(19,6,0)</f>
        <v>0.79583333333333339</v>
      </c>
      <c r="C7474" t="str">
        <f>'Inventory as of 12th Aug 2024'!A42</f>
        <v>Indomie chicken</v>
      </c>
      <c r="D7474">
        <v>1</v>
      </c>
      <c r="E7474" s="5">
        <f>Table4[[#This Row],[qty]]*(VLOOKUP(Table4[[#This Row],[item_sold]],Table1[],5,FALSE))</f>
        <v>50</v>
      </c>
      <c r="F7474" s="5">
        <f>(VLOOKUP(Table4[[#This Row],[item_sold]],Table1[],4,FALSE))*Table4[[#This Row],[qty]]</f>
        <v>37.5</v>
      </c>
      <c r="G7474">
        <f t="shared" si="1381"/>
        <v>12.5</v>
      </c>
      <c r="H7474" t="s">
        <v>402</v>
      </c>
    </row>
    <row r="7475" spans="1:12" x14ac:dyDescent="0.25">
      <c r="A7475" s="1">
        <f t="shared" si="1385"/>
        <v>45601</v>
      </c>
      <c r="B7475" s="31">
        <f>TIME(19,37,0)</f>
        <v>0.81736111111111109</v>
      </c>
      <c r="C7475" t="str">
        <f>'Inventory as of 12th Aug 2024'!A16</f>
        <v>Mt kenya milk 500ml</v>
      </c>
      <c r="D7475">
        <v>1</v>
      </c>
      <c r="E7475" s="5">
        <f>Table4[[#This Row],[qty]]*(VLOOKUP(Table4[[#This Row],[item_sold]],Table1[],5,FALSE))</f>
        <v>65</v>
      </c>
      <c r="F7475" s="5">
        <f>(VLOOKUP(Table4[[#This Row],[item_sold]],Table1[],4,FALSE))*Table4[[#This Row],[qty]]</f>
        <v>48.333333333333336</v>
      </c>
      <c r="G7475">
        <f t="shared" si="1381"/>
        <v>16.666666666666664</v>
      </c>
      <c r="H7475" t="s">
        <v>402</v>
      </c>
    </row>
    <row r="7476" spans="1:12" x14ac:dyDescent="0.25">
      <c r="A7476" s="1">
        <f t="shared" si="1385"/>
        <v>45601</v>
      </c>
      <c r="B7476" s="31">
        <f t="shared" ref="B7476:B7477" si="1387">TIME(19,37,0)</f>
        <v>0.81736111111111109</v>
      </c>
      <c r="C7476" t="str">
        <f>'Inventory as of 12th Aug 2024'!A91</f>
        <v>Tomatoes</v>
      </c>
      <c r="D7476">
        <v>2</v>
      </c>
      <c r="E7476" s="5">
        <f>Table4[[#This Row],[qty]]*(VLOOKUP(Table4[[#This Row],[item_sold]],Table1[],5,FALSE))</f>
        <v>20</v>
      </c>
      <c r="F7476" s="5">
        <f>(VLOOKUP(Table4[[#This Row],[item_sold]],Table1[],4,FALSE))*Table4[[#This Row],[qty]]</f>
        <v>10</v>
      </c>
      <c r="G7476">
        <f t="shared" si="1381"/>
        <v>10</v>
      </c>
      <c r="H7476" t="s">
        <v>402</v>
      </c>
    </row>
    <row r="7477" spans="1:12" x14ac:dyDescent="0.25">
      <c r="A7477" s="1">
        <f t="shared" si="1385"/>
        <v>45601</v>
      </c>
      <c r="B7477" s="31">
        <f t="shared" si="1387"/>
        <v>0.81736111111111109</v>
      </c>
      <c r="C7477" t="str">
        <f>'Inventory as of 12th Aug 2024'!A192</f>
        <v>Lemon Bisquit</v>
      </c>
      <c r="D7477">
        <v>4</v>
      </c>
      <c r="E7477" s="5">
        <f>Table4[[#This Row],[qty]]*(VLOOKUP(Table4[[#This Row],[item_sold]],Table1[],5,FALSE))</f>
        <v>20</v>
      </c>
      <c r="F7477" s="5">
        <f>(VLOOKUP(Table4[[#This Row],[item_sold]],Table1[],4,FALSE))*Table4[[#This Row],[qty]]</f>
        <v>17.333333333333332</v>
      </c>
      <c r="G7477">
        <f t="shared" si="1381"/>
        <v>2.6666666666666679</v>
      </c>
      <c r="H7477" t="s">
        <v>402</v>
      </c>
    </row>
    <row r="7478" spans="1:12" x14ac:dyDescent="0.25">
      <c r="A7478" s="1">
        <f t="shared" si="1385"/>
        <v>45601</v>
      </c>
      <c r="B7478" s="31">
        <f>TIME(19,56,0)</f>
        <v>0.8305555555555556</v>
      </c>
      <c r="C7478" t="str">
        <f>'Inventory as of 12th Aug 2024'!A58</f>
        <v>Safari</v>
      </c>
      <c r="D7478">
        <v>3</v>
      </c>
      <c r="E7478" s="5">
        <f>Table4[[#This Row],[qty]]*(VLOOKUP(Table4[[#This Row],[item_sold]],Table1[],5,FALSE))</f>
        <v>45</v>
      </c>
      <c r="F7478" s="5">
        <f>(VLOOKUP(Table4[[#This Row],[item_sold]],Table1[],4,FALSE))*Table4[[#This Row],[qty]]</f>
        <v>25.5</v>
      </c>
      <c r="G7478">
        <f t="shared" si="1381"/>
        <v>19.5</v>
      </c>
      <c r="H7478" t="s">
        <v>361</v>
      </c>
      <c r="J7478" t="s">
        <v>394</v>
      </c>
      <c r="K7478">
        <v>220</v>
      </c>
      <c r="L7478" t="s">
        <v>361</v>
      </c>
    </row>
    <row r="7479" spans="1:12" x14ac:dyDescent="0.25">
      <c r="A7479" s="1">
        <f t="shared" si="1385"/>
        <v>45601</v>
      </c>
      <c r="B7479" s="31">
        <f>TIME(20,41,0)</f>
        <v>0.8618055555555556</v>
      </c>
      <c r="C7479" t="str">
        <f>'Inventory as of 12th Aug 2024'!A120</f>
        <v>Maramoja</v>
      </c>
      <c r="D7479">
        <v>2</v>
      </c>
      <c r="E7479" s="5">
        <f>Table4[[#This Row],[qty]]*(VLOOKUP(Table4[[#This Row],[item_sold]],Table1[],5,FALSE))</f>
        <v>20</v>
      </c>
      <c r="F7479" s="5">
        <f>(VLOOKUP(Table4[[#This Row],[item_sold]],Table1[],4,FALSE))*Table4[[#This Row],[qty]]</f>
        <v>14</v>
      </c>
      <c r="G7479">
        <f t="shared" si="1381"/>
        <v>6</v>
      </c>
      <c r="H7479" t="s">
        <v>430</v>
      </c>
      <c r="I7479" t="s">
        <v>409</v>
      </c>
    </row>
    <row r="7480" spans="1:12" x14ac:dyDescent="0.25">
      <c r="A7480" s="1">
        <f>DATE(2024,11,6)</f>
        <v>45602</v>
      </c>
      <c r="B7480" s="31">
        <f>TIME(7,4,0)</f>
        <v>0.29444444444444445</v>
      </c>
      <c r="C7480" t="str">
        <f>'Inventory as of 12th Aug 2024'!A59</f>
        <v>kabras sugar 1kg</v>
      </c>
      <c r="D7480">
        <v>1</v>
      </c>
      <c r="E7480" s="5">
        <f>Table4[[#This Row],[qty]]*(VLOOKUP(Table4[[#This Row],[item_sold]],Table1[],5,FALSE))</f>
        <v>180</v>
      </c>
      <c r="F7480" s="5">
        <f>(VLOOKUP(Table4[[#This Row],[item_sold]],Table1[],4,FALSE))*Table4[[#This Row],[qty]]</f>
        <v>140</v>
      </c>
      <c r="G7480">
        <f t="shared" si="1381"/>
        <v>40</v>
      </c>
      <c r="H7480" t="s">
        <v>402</v>
      </c>
    </row>
    <row r="7481" spans="1:12" x14ac:dyDescent="0.25">
      <c r="A7481" s="1">
        <f t="shared" ref="A7481:A7544" si="1388">DATE(2024,11,6)</f>
        <v>45602</v>
      </c>
      <c r="B7481" s="31">
        <f t="shared" ref="B7481" si="1389">TIME(7,4,0)</f>
        <v>0.29444444444444445</v>
      </c>
      <c r="C7481" t="str">
        <f>'Inventory as of 12th Aug 2024'!A8</f>
        <v>eggs</v>
      </c>
      <c r="D7481">
        <v>2</v>
      </c>
      <c r="E7481" s="5">
        <f>Table4[[#This Row],[qty]]*(VLOOKUP(Table4[[#This Row],[item_sold]],Table1[],5,FALSE))</f>
        <v>40</v>
      </c>
      <c r="F7481" s="5">
        <f>(VLOOKUP(Table4[[#This Row],[item_sold]],Table1[],4,FALSE))*Table4[[#This Row],[qty]]</f>
        <v>28.666666666666668</v>
      </c>
      <c r="G7481">
        <f t="shared" si="1381"/>
        <v>11.333333333333332</v>
      </c>
      <c r="H7481" t="s">
        <v>402</v>
      </c>
    </row>
    <row r="7482" spans="1:12" x14ac:dyDescent="0.25">
      <c r="A7482" s="1">
        <f t="shared" si="1388"/>
        <v>45602</v>
      </c>
      <c r="B7482" s="31">
        <f>TIME(7,37,0)</f>
        <v>0.31736111111111115</v>
      </c>
      <c r="C7482" t="str">
        <f>'Inventory as of 12th Aug 2024'!A91</f>
        <v>Tomatoes</v>
      </c>
      <c r="D7482">
        <v>1</v>
      </c>
      <c r="E7482" s="5">
        <f>Table4[[#This Row],[qty]]*(VLOOKUP(Table4[[#This Row],[item_sold]],Table1[],5,FALSE))</f>
        <v>10</v>
      </c>
      <c r="F7482" s="5">
        <f>(VLOOKUP(Table4[[#This Row],[item_sold]],Table1[],4,FALSE))*Table4[[#This Row],[qty]]</f>
        <v>5</v>
      </c>
      <c r="G7482">
        <f t="shared" si="1381"/>
        <v>5</v>
      </c>
      <c r="H7482" t="s">
        <v>402</v>
      </c>
    </row>
    <row r="7483" spans="1:12" x14ac:dyDescent="0.25">
      <c r="A7483" s="1">
        <f t="shared" si="1388"/>
        <v>45602</v>
      </c>
      <c r="B7483" s="31">
        <f>TIME(8,0,0)</f>
        <v>0.33333333333333331</v>
      </c>
      <c r="C7483" t="str">
        <f>'Inventory as of 12th Aug 2024'!A234</f>
        <v>Bigdaddy</v>
      </c>
      <c r="D7483">
        <v>2</v>
      </c>
      <c r="E7483" s="5">
        <f>Table4[[#This Row],[qty]]*(VLOOKUP(Table4[[#This Row],[item_sold]],Table1[],5,FALSE))</f>
        <v>20</v>
      </c>
      <c r="F7483" s="5">
        <f>(VLOOKUP(Table4[[#This Row],[item_sold]],Table1[],4,FALSE))*Table4[[#This Row],[qty]]</f>
        <v>12</v>
      </c>
      <c r="G7483">
        <f t="shared" si="1381"/>
        <v>8</v>
      </c>
      <c r="H7483" t="s">
        <v>430</v>
      </c>
    </row>
    <row r="7484" spans="1:12" x14ac:dyDescent="0.25">
      <c r="A7484" s="1">
        <f t="shared" si="1388"/>
        <v>45602</v>
      </c>
      <c r="B7484" s="31">
        <f>TIME(8,35,0)</f>
        <v>0.3576388888888889</v>
      </c>
      <c r="C7484" t="str">
        <f>'Inventory as of 12th Aug 2024'!A37</f>
        <v>Festive Bread 400g</v>
      </c>
      <c r="D7484">
        <v>1</v>
      </c>
      <c r="E7484" s="5">
        <f>Table4[[#This Row],[qty]]*(VLOOKUP(Table4[[#This Row],[item_sold]],Table1[],5,FALSE))</f>
        <v>65</v>
      </c>
      <c r="F7484" s="5">
        <f>(VLOOKUP(Table4[[#This Row],[item_sold]],Table1[],4,FALSE))*Table4[[#This Row],[qty]]</f>
        <v>60</v>
      </c>
      <c r="G7484">
        <f t="shared" si="1381"/>
        <v>5</v>
      </c>
      <c r="H7484" t="s">
        <v>402</v>
      </c>
    </row>
    <row r="7485" spans="1:12" x14ac:dyDescent="0.25">
      <c r="A7485" s="1">
        <f t="shared" si="1388"/>
        <v>45602</v>
      </c>
      <c r="B7485" s="31">
        <f>TIME(8,36,0)</f>
        <v>0.35833333333333334</v>
      </c>
      <c r="C7485" t="str">
        <f>'Inventory as of 12th Aug 2024'!A33</f>
        <v>BB Bread 400g</v>
      </c>
      <c r="D7485">
        <v>1</v>
      </c>
      <c r="E7485" s="5">
        <f>Table4[[#This Row],[qty]]*(VLOOKUP(Table4[[#This Row],[item_sold]],Table1[],5,FALSE))</f>
        <v>65</v>
      </c>
      <c r="F7485" s="5">
        <f>(VLOOKUP(Table4[[#This Row],[item_sold]],Table1[],4,FALSE))*Table4[[#This Row],[qty]]</f>
        <v>60</v>
      </c>
      <c r="G7485">
        <f t="shared" si="1381"/>
        <v>5</v>
      </c>
      <c r="H7485" t="s">
        <v>402</v>
      </c>
    </row>
    <row r="7486" spans="1:12" x14ac:dyDescent="0.25">
      <c r="A7486" s="1">
        <f t="shared" si="1388"/>
        <v>45602</v>
      </c>
      <c r="B7486" s="31">
        <f t="shared" ref="B7486" si="1390">TIME(8,36,0)</f>
        <v>0.35833333333333334</v>
      </c>
      <c r="C7486" t="str">
        <f>'Inventory as of 12th Aug 2024'!A191</f>
        <v>Nuvita Bisquit</v>
      </c>
      <c r="D7486">
        <v>1</v>
      </c>
      <c r="E7486" s="5">
        <f>Table4[[#This Row],[qty]]*(VLOOKUP(Table4[[#This Row],[item_sold]],Table1[],5,FALSE))</f>
        <v>5</v>
      </c>
      <c r="F7486" s="5">
        <f>(VLOOKUP(Table4[[#This Row],[item_sold]],Table1[],4,FALSE))*Table4[[#This Row],[qty]]</f>
        <v>4.166666666666667</v>
      </c>
      <c r="G7486">
        <f t="shared" si="1381"/>
        <v>0.83333333333333304</v>
      </c>
      <c r="H7486" t="s">
        <v>402</v>
      </c>
    </row>
    <row r="7487" spans="1:12" x14ac:dyDescent="0.25">
      <c r="A7487" s="1">
        <f t="shared" si="1388"/>
        <v>45602</v>
      </c>
      <c r="B7487" s="31">
        <f>TIME(8,54,0)</f>
        <v>0.37083333333333335</v>
      </c>
      <c r="C7487" t="str">
        <f>'Inventory as of 12th Aug 2024'!A240</f>
        <v>Bigboss</v>
      </c>
      <c r="D7487">
        <v>1</v>
      </c>
      <c r="E7487" s="5">
        <f>Table4[[#This Row],[qty]]*(VLOOKUP(Table4[[#This Row],[item_sold]],Table1[],5,FALSE))</f>
        <v>5</v>
      </c>
      <c r="F7487" s="5">
        <f>(VLOOKUP(Table4[[#This Row],[item_sold]],Table1[],4,FALSE))*Table4[[#This Row],[qty]]</f>
        <v>3.5</v>
      </c>
      <c r="G7487">
        <f t="shared" si="1381"/>
        <v>1.5</v>
      </c>
      <c r="H7487" t="s">
        <v>402</v>
      </c>
    </row>
    <row r="7488" spans="1:12" x14ac:dyDescent="0.25">
      <c r="A7488" s="1">
        <f t="shared" si="1388"/>
        <v>45602</v>
      </c>
      <c r="B7488" s="31">
        <f>TIME(9,19,0)</f>
        <v>0.38819444444444445</v>
      </c>
      <c r="C7488" t="str">
        <f>'Inventory as of 12th Aug 2024'!A42</f>
        <v>Indomie chicken</v>
      </c>
      <c r="D7488">
        <v>1</v>
      </c>
      <c r="E7488" s="5">
        <f>Table4[[#This Row],[qty]]*(VLOOKUP(Table4[[#This Row],[item_sold]],Table1[],5,FALSE))</f>
        <v>50</v>
      </c>
      <c r="F7488" s="5">
        <f>(VLOOKUP(Table4[[#This Row],[item_sold]],Table1[],4,FALSE))*Table4[[#This Row],[qty]]</f>
        <v>37.5</v>
      </c>
      <c r="G7488">
        <f t="shared" si="1381"/>
        <v>12.5</v>
      </c>
      <c r="H7488" t="s">
        <v>361</v>
      </c>
    </row>
    <row r="7489" spans="1:9" x14ac:dyDescent="0.25">
      <c r="A7489" s="1">
        <f t="shared" si="1388"/>
        <v>45602</v>
      </c>
      <c r="B7489" s="31">
        <f>TIME(9,27,0)</f>
        <v>0.39374999999999999</v>
      </c>
      <c r="C7489" t="str">
        <f>'Inventory as of 12th Aug 2024'!A58</f>
        <v>Safari</v>
      </c>
      <c r="D7489">
        <v>1</v>
      </c>
      <c r="E7489" s="5">
        <f>Table4[[#This Row],[qty]]*(VLOOKUP(Table4[[#This Row],[item_sold]],Table1[],5,FALSE))</f>
        <v>15</v>
      </c>
      <c r="F7489" s="5">
        <f>(VLOOKUP(Table4[[#This Row],[item_sold]],Table1[],4,FALSE))*Table4[[#This Row],[qty]]</f>
        <v>8.5</v>
      </c>
      <c r="G7489">
        <f t="shared" si="1381"/>
        <v>6.5</v>
      </c>
      <c r="H7489" t="s">
        <v>402</v>
      </c>
    </row>
    <row r="7490" spans="1:9" x14ac:dyDescent="0.25">
      <c r="A7490" s="1">
        <f t="shared" si="1388"/>
        <v>45602</v>
      </c>
      <c r="B7490" s="31">
        <f>TIME(10,29,0)</f>
        <v>0.4368055555555555</v>
      </c>
      <c r="C7490" t="str">
        <f>'Inventory as of 12th Aug 2024'!A92</f>
        <v>Banana</v>
      </c>
      <c r="D7490">
        <v>7</v>
      </c>
      <c r="E7490" s="5">
        <f>Table4[[#This Row],[qty]]*(VLOOKUP(Table4[[#This Row],[item_sold]],Table1[],5,FALSE))</f>
        <v>70</v>
      </c>
      <c r="F7490" s="5">
        <f>(VLOOKUP(Table4[[#This Row],[item_sold]],Table1[],4,FALSE))*Table4[[#This Row],[qty]]</f>
        <v>58.333333333333336</v>
      </c>
      <c r="G7490">
        <f t="shared" si="1381"/>
        <v>11.666666666666664</v>
      </c>
      <c r="H7490" t="s">
        <v>361</v>
      </c>
    </row>
    <row r="7491" spans="1:9" x14ac:dyDescent="0.25">
      <c r="A7491" s="1">
        <f t="shared" si="1388"/>
        <v>45602</v>
      </c>
      <c r="B7491" s="31">
        <f>TIME(10,34,0)</f>
        <v>0.44027777777777777</v>
      </c>
      <c r="C7491" t="str">
        <f>'Inventory as of 12th Aug 2024'!A58</f>
        <v>Safari</v>
      </c>
      <c r="D7491">
        <v>3</v>
      </c>
      <c r="E7491" s="5">
        <f>Table4[[#This Row],[qty]]*(VLOOKUP(Table4[[#This Row],[item_sold]],Table1[],5,FALSE))</f>
        <v>45</v>
      </c>
      <c r="F7491" s="5">
        <f>(VLOOKUP(Table4[[#This Row],[item_sold]],Table1[],4,FALSE))*Table4[[#This Row],[qty]]</f>
        <v>25.5</v>
      </c>
      <c r="G7491">
        <f t="shared" si="1381"/>
        <v>19.5</v>
      </c>
      <c r="H7491" t="s">
        <v>402</v>
      </c>
    </row>
    <row r="7492" spans="1:9" x14ac:dyDescent="0.25">
      <c r="A7492" s="1">
        <f t="shared" si="1388"/>
        <v>45602</v>
      </c>
      <c r="B7492" s="31">
        <f>TIME(10,34,0)</f>
        <v>0.44027777777777777</v>
      </c>
      <c r="C7492" t="str">
        <f>'Inventory as of 12th Aug 2024'!A232</f>
        <v>coo</v>
      </c>
      <c r="D7492">
        <v>2</v>
      </c>
      <c r="E7492" s="5">
        <f>Table4[[#This Row],[qty]]*(VLOOKUP(Table4[[#This Row],[item_sold]],Table1[],5,FALSE))</f>
        <v>5</v>
      </c>
      <c r="F7492" s="5">
        <f>(VLOOKUP(Table4[[#This Row],[item_sold]],Table1[],4,FALSE))*Table4[[#This Row],[qty]]</f>
        <v>2.4</v>
      </c>
      <c r="G7492">
        <f t="shared" si="1381"/>
        <v>2.6</v>
      </c>
      <c r="H7492" t="s">
        <v>402</v>
      </c>
    </row>
    <row r="7493" spans="1:9" x14ac:dyDescent="0.25">
      <c r="A7493" s="1">
        <f t="shared" si="1388"/>
        <v>45602</v>
      </c>
      <c r="B7493" s="31">
        <f>TIME(10,46,0)</f>
        <v>0.44861111111111113</v>
      </c>
      <c r="C7493" t="str">
        <f>'Inventory as of 12th Aug 2024'!A242</f>
        <v>Icepop</v>
      </c>
      <c r="D7493">
        <v>1</v>
      </c>
      <c r="E7493" s="5">
        <f>Table4[[#This Row],[qty]]*(VLOOKUP(Table4[[#This Row],[item_sold]],Table1[],5,FALSE))</f>
        <v>15</v>
      </c>
      <c r="F7493" s="5">
        <f>(VLOOKUP(Table4[[#This Row],[item_sold]],Table1[],4,FALSE))*Table4[[#This Row],[qty]]</f>
        <v>7.5</v>
      </c>
      <c r="G7493">
        <f t="shared" si="1381"/>
        <v>7.5</v>
      </c>
      <c r="H7493" t="s">
        <v>402</v>
      </c>
    </row>
    <row r="7494" spans="1:9" x14ac:dyDescent="0.25">
      <c r="A7494" s="1">
        <f t="shared" si="1388"/>
        <v>45602</v>
      </c>
      <c r="B7494" s="31">
        <f t="shared" ref="B7494" si="1391">TIME(10,46,0)</f>
        <v>0.44861111111111113</v>
      </c>
      <c r="C7494" t="str">
        <f>'Inventory as of 12th Aug 2024'!A33</f>
        <v>BB Bread 400g</v>
      </c>
      <c r="D7494">
        <v>1</v>
      </c>
      <c r="E7494" s="5">
        <f>Table4[[#This Row],[qty]]*(VLOOKUP(Table4[[#This Row],[item_sold]],Table1[],5,FALSE))</f>
        <v>65</v>
      </c>
      <c r="F7494" s="5">
        <f>(VLOOKUP(Table4[[#This Row],[item_sold]],Table1[],4,FALSE))*Table4[[#This Row],[qty]]</f>
        <v>60</v>
      </c>
      <c r="G7494">
        <f t="shared" si="1381"/>
        <v>5</v>
      </c>
      <c r="H7494" t="s">
        <v>402</v>
      </c>
    </row>
    <row r="7495" spans="1:9" x14ac:dyDescent="0.25">
      <c r="A7495" s="1">
        <f t="shared" si="1388"/>
        <v>45602</v>
      </c>
      <c r="B7495" s="31">
        <f>TIME(10,52,0)</f>
        <v>0.45277777777777778</v>
      </c>
      <c r="C7495" t="str">
        <f>'Inventory as of 12th Aug 2024'!A31</f>
        <v>Drinking Chocolate 20g</v>
      </c>
      <c r="D7495">
        <v>1</v>
      </c>
      <c r="E7495" s="5">
        <f>Table4[[#This Row],[qty]]*(VLOOKUP(Table4[[#This Row],[item_sold]],Table1[],5,FALSE))</f>
        <v>20</v>
      </c>
      <c r="F7495" s="5">
        <f>(VLOOKUP(Table4[[#This Row],[item_sold]],Table1[],4,FALSE))*Table4[[#This Row],[qty]]</f>
        <v>10.416666666666666</v>
      </c>
      <c r="G7495">
        <f t="shared" si="1381"/>
        <v>9.5833333333333339</v>
      </c>
      <c r="H7495" t="s">
        <v>430</v>
      </c>
      <c r="I7495" t="s">
        <v>385</v>
      </c>
    </row>
    <row r="7496" spans="1:9" x14ac:dyDescent="0.25">
      <c r="A7496" s="1">
        <f t="shared" si="1388"/>
        <v>45602</v>
      </c>
      <c r="B7496" s="31">
        <f>TIME(11,40,0)</f>
        <v>0.4861111111111111</v>
      </c>
      <c r="C7496" t="str">
        <f>'Inventory as of 12th Aug 2024'!A214</f>
        <v>smash juice</v>
      </c>
      <c r="D7496">
        <v>1</v>
      </c>
      <c r="E7496" s="5">
        <f>Table4[[#This Row],[qty]]*(VLOOKUP(Table4[[#This Row],[item_sold]],Table1[],5,FALSE))</f>
        <v>20</v>
      </c>
      <c r="F7496" s="5">
        <f>(VLOOKUP(Table4[[#This Row],[item_sold]],Table1[],4,FALSE))*Table4[[#This Row],[qty]]</f>
        <v>15</v>
      </c>
      <c r="G7496">
        <f t="shared" si="1381"/>
        <v>5</v>
      </c>
      <c r="H7496" t="s">
        <v>402</v>
      </c>
    </row>
    <row r="7497" spans="1:9" x14ac:dyDescent="0.25">
      <c r="A7497" s="1">
        <f t="shared" si="1388"/>
        <v>45602</v>
      </c>
      <c r="B7497" s="31">
        <f t="shared" ref="B7497:B7500" si="1392">TIME(11,40,0)</f>
        <v>0.4861111111111111</v>
      </c>
      <c r="C7497" t="str">
        <f>'Inventory as of 12th Aug 2024'!A236</f>
        <v>Gomba</v>
      </c>
      <c r="D7497">
        <v>2</v>
      </c>
      <c r="E7497" s="5">
        <f>Table4[[#This Row],[qty]]*(VLOOKUP(Table4[[#This Row],[item_sold]],Table1[],5,FALSE))</f>
        <v>5</v>
      </c>
      <c r="F7497" s="5">
        <f>(VLOOKUP(Table4[[#This Row],[item_sold]],Table1[],4,FALSE))*Table4[[#This Row],[qty]]</f>
        <v>3.6</v>
      </c>
      <c r="G7497">
        <f t="shared" si="1381"/>
        <v>1.4</v>
      </c>
      <c r="H7497" t="s">
        <v>402</v>
      </c>
    </row>
    <row r="7498" spans="1:9" x14ac:dyDescent="0.25">
      <c r="A7498" s="1">
        <f t="shared" si="1388"/>
        <v>45602</v>
      </c>
      <c r="B7498" s="31">
        <f t="shared" si="1392"/>
        <v>0.4861111111111111</v>
      </c>
      <c r="C7498" t="str">
        <f>'Inventory as of 12th Aug 2024'!A232</f>
        <v>coo</v>
      </c>
      <c r="D7498">
        <v>2</v>
      </c>
      <c r="E7498" s="5">
        <f>Table4[[#This Row],[qty]]*(VLOOKUP(Table4[[#This Row],[item_sold]],Table1[],5,FALSE))</f>
        <v>5</v>
      </c>
      <c r="F7498" s="5">
        <f>(VLOOKUP(Table4[[#This Row],[item_sold]],Table1[],4,FALSE))*Table4[[#This Row],[qty]]</f>
        <v>2.4</v>
      </c>
      <c r="G7498">
        <f t="shared" si="1381"/>
        <v>2.6</v>
      </c>
      <c r="H7498" t="s">
        <v>402</v>
      </c>
    </row>
    <row r="7499" spans="1:9" x14ac:dyDescent="0.25">
      <c r="A7499" s="1">
        <f t="shared" si="1388"/>
        <v>45602</v>
      </c>
      <c r="B7499" s="31">
        <f t="shared" si="1392"/>
        <v>0.4861111111111111</v>
      </c>
      <c r="C7499" t="str">
        <f>'Inventory as of 12th Aug 2024'!A214</f>
        <v>smash juice</v>
      </c>
      <c r="D7499">
        <v>1</v>
      </c>
      <c r="E7499" s="5">
        <f>Table4[[#This Row],[qty]]*(VLOOKUP(Table4[[#This Row],[item_sold]],Table1[],5,FALSE))</f>
        <v>20</v>
      </c>
      <c r="F7499" s="5">
        <f>(VLOOKUP(Table4[[#This Row],[item_sold]],Table1[],4,FALSE))*Table4[[#This Row],[qty]]</f>
        <v>15</v>
      </c>
      <c r="G7499">
        <f t="shared" si="1381"/>
        <v>5</v>
      </c>
      <c r="H7499" t="s">
        <v>402</v>
      </c>
    </row>
    <row r="7500" spans="1:9" x14ac:dyDescent="0.25">
      <c r="A7500" s="1">
        <f t="shared" si="1388"/>
        <v>45602</v>
      </c>
      <c r="B7500" s="31">
        <f t="shared" si="1392"/>
        <v>0.4861111111111111</v>
      </c>
      <c r="C7500" t="str">
        <f>'Inventory as of 12th Aug 2024'!A236</f>
        <v>Gomba</v>
      </c>
      <c r="D7500">
        <v>2</v>
      </c>
      <c r="E7500" s="5">
        <f>Table4[[#This Row],[qty]]*(VLOOKUP(Table4[[#This Row],[item_sold]],Table1[],5,FALSE))</f>
        <v>5</v>
      </c>
      <c r="F7500" s="5">
        <f>(VLOOKUP(Table4[[#This Row],[item_sold]],Table1[],4,FALSE))*Table4[[#This Row],[qty]]</f>
        <v>3.6</v>
      </c>
      <c r="G7500">
        <f t="shared" si="1381"/>
        <v>1.4</v>
      </c>
      <c r="H7500" t="s">
        <v>402</v>
      </c>
    </row>
    <row r="7501" spans="1:9" x14ac:dyDescent="0.25">
      <c r="A7501" s="1">
        <f t="shared" si="1388"/>
        <v>45602</v>
      </c>
      <c r="B7501" s="31">
        <f>TIME(12,4,0)</f>
        <v>0.50277777777777777</v>
      </c>
      <c r="C7501" t="str">
        <f>'Inventory as of 12th Aug 2024'!A58</f>
        <v>Safari</v>
      </c>
      <c r="D7501">
        <v>2</v>
      </c>
      <c r="E7501" s="5">
        <f>Table4[[#This Row],[qty]]*(VLOOKUP(Table4[[#This Row],[item_sold]],Table1[],5,FALSE))</f>
        <v>30</v>
      </c>
      <c r="F7501" s="5">
        <f>(VLOOKUP(Table4[[#This Row],[item_sold]],Table1[],4,FALSE))*Table4[[#This Row],[qty]]</f>
        <v>17</v>
      </c>
      <c r="G7501">
        <f t="shared" si="1381"/>
        <v>13</v>
      </c>
      <c r="H7501" t="s">
        <v>361</v>
      </c>
    </row>
    <row r="7502" spans="1:9" x14ac:dyDescent="0.25">
      <c r="A7502" s="1">
        <f t="shared" si="1388"/>
        <v>45602</v>
      </c>
      <c r="B7502" s="31">
        <f t="shared" ref="B7502:B7504" si="1393">TIME(12,4,0)</f>
        <v>0.50277777777777777</v>
      </c>
      <c r="C7502" t="str">
        <f>'Inventory as of 12th Aug 2024'!A8</f>
        <v>eggs</v>
      </c>
      <c r="D7502">
        <v>3</v>
      </c>
      <c r="E7502" s="5">
        <f>Table4[[#This Row],[qty]]*(VLOOKUP(Table4[[#This Row],[item_sold]],Table1[],5,FALSE))</f>
        <v>60</v>
      </c>
      <c r="F7502" s="5">
        <f>(VLOOKUP(Table4[[#This Row],[item_sold]],Table1[],4,FALSE))*Table4[[#This Row],[qty]]</f>
        <v>43</v>
      </c>
      <c r="G7502">
        <f t="shared" si="1381"/>
        <v>17</v>
      </c>
      <c r="H7502" t="s">
        <v>361</v>
      </c>
    </row>
    <row r="7503" spans="1:9" x14ac:dyDescent="0.25">
      <c r="A7503" s="1">
        <f t="shared" si="1388"/>
        <v>45602</v>
      </c>
      <c r="B7503" s="31">
        <f t="shared" si="1393"/>
        <v>0.50277777777777777</v>
      </c>
      <c r="C7503" t="str">
        <f>'Inventory as of 12th Aug 2024'!A31</f>
        <v>Drinking Chocolate 20g</v>
      </c>
      <c r="D7503">
        <v>1</v>
      </c>
      <c r="E7503" s="5">
        <f>Table4[[#This Row],[qty]]*(VLOOKUP(Table4[[#This Row],[item_sold]],Table1[],5,FALSE))</f>
        <v>20</v>
      </c>
      <c r="F7503" s="5">
        <f>(VLOOKUP(Table4[[#This Row],[item_sold]],Table1[],4,FALSE))*Table4[[#This Row],[qty]]</f>
        <v>10.416666666666666</v>
      </c>
      <c r="G7503">
        <f t="shared" si="1381"/>
        <v>9.5833333333333339</v>
      </c>
      <c r="H7503" t="s">
        <v>361</v>
      </c>
    </row>
    <row r="7504" spans="1:9" x14ac:dyDescent="0.25">
      <c r="A7504" s="1">
        <f t="shared" si="1388"/>
        <v>45602</v>
      </c>
      <c r="B7504" s="31">
        <f t="shared" si="1393"/>
        <v>0.50277777777777777</v>
      </c>
      <c r="C7504" t="str">
        <f>'Inventory as of 12th Aug 2024'!A37</f>
        <v>Festive Bread 400g</v>
      </c>
      <c r="D7504">
        <v>1</v>
      </c>
      <c r="E7504" s="5">
        <f>Table4[[#This Row],[qty]]*(VLOOKUP(Table4[[#This Row],[item_sold]],Table1[],5,FALSE))</f>
        <v>65</v>
      </c>
      <c r="F7504" s="5">
        <f>(VLOOKUP(Table4[[#This Row],[item_sold]],Table1[],4,FALSE))*Table4[[#This Row],[qty]]</f>
        <v>60</v>
      </c>
      <c r="G7504">
        <f t="shared" si="1381"/>
        <v>5</v>
      </c>
      <c r="H7504" t="s">
        <v>361</v>
      </c>
    </row>
    <row r="7505" spans="1:12" x14ac:dyDescent="0.25">
      <c r="A7505" s="1">
        <f t="shared" si="1388"/>
        <v>45602</v>
      </c>
      <c r="B7505" s="31">
        <f>TIME(12,31,0)</f>
        <v>0.52152777777777781</v>
      </c>
      <c r="C7505" t="str">
        <f>'Inventory as of 12th Aug 2024'!A136</f>
        <v>Poa Pekee Tissue</v>
      </c>
      <c r="D7505">
        <v>1</v>
      </c>
      <c r="E7505" s="5">
        <f>Table4[[#This Row],[qty]]*(VLOOKUP(Table4[[#This Row],[item_sold]],Table1[],5,FALSE))</f>
        <v>30</v>
      </c>
      <c r="F7505" s="5">
        <f>(VLOOKUP(Table4[[#This Row],[item_sold]],Table1[],4,FALSE))*Table4[[#This Row],[qty]]</f>
        <v>13.333333333333334</v>
      </c>
      <c r="G7505">
        <f t="shared" si="1381"/>
        <v>16.666666666666664</v>
      </c>
      <c r="H7505" t="s">
        <v>361</v>
      </c>
    </row>
    <row r="7506" spans="1:12" x14ac:dyDescent="0.25">
      <c r="A7506" s="1">
        <f t="shared" si="1388"/>
        <v>45602</v>
      </c>
      <c r="B7506" s="31">
        <f>TIME(12,33,0)</f>
        <v>0.5229166666666667</v>
      </c>
      <c r="C7506" t="str">
        <f>'Inventory as of 12th Aug 2024'!A224</f>
        <v>pens black</v>
      </c>
      <c r="D7506">
        <v>2</v>
      </c>
      <c r="E7506" s="5">
        <f>Table4[[#This Row],[qty]]*(VLOOKUP(Table4[[#This Row],[item_sold]],Table1[],5,FALSE))</f>
        <v>20</v>
      </c>
      <c r="F7506" s="5">
        <f>(VLOOKUP(Table4[[#This Row],[item_sold]],Table1[],4,FALSE))*Table4[[#This Row],[qty]]</f>
        <v>10</v>
      </c>
      <c r="G7506">
        <f t="shared" si="1381"/>
        <v>10</v>
      </c>
      <c r="H7506" t="s">
        <v>402</v>
      </c>
    </row>
    <row r="7507" spans="1:12" x14ac:dyDescent="0.25">
      <c r="A7507" s="1">
        <f t="shared" si="1388"/>
        <v>45602</v>
      </c>
      <c r="B7507" s="31">
        <f>TIME(12,50,0)</f>
        <v>0.53472222222222221</v>
      </c>
      <c r="C7507" t="str">
        <f>'Inventory as of 12th Aug 2024'!A99</f>
        <v>spinach</v>
      </c>
      <c r="D7507">
        <v>3</v>
      </c>
      <c r="E7507" s="5">
        <f>Table4[[#This Row],[qty]]*(VLOOKUP(Table4[[#This Row],[item_sold]],Table1[],5,FALSE))</f>
        <v>60</v>
      </c>
      <c r="F7507" s="5">
        <f>(VLOOKUP(Table4[[#This Row],[item_sold]],Table1[],4,FALSE))*Table4[[#This Row],[qty]]</f>
        <v>30</v>
      </c>
      <c r="G7507">
        <f t="shared" si="1381"/>
        <v>30</v>
      </c>
      <c r="H7507" t="s">
        <v>402</v>
      </c>
    </row>
    <row r="7508" spans="1:12" x14ac:dyDescent="0.25">
      <c r="A7508" s="1">
        <f t="shared" si="1388"/>
        <v>45602</v>
      </c>
      <c r="B7508" s="31">
        <f t="shared" ref="B7508:B7510" si="1394">TIME(12,50,0)</f>
        <v>0.53472222222222221</v>
      </c>
      <c r="C7508" t="str">
        <f>'Inventory as of 12th Aug 2024'!A68</f>
        <v>Royco cubes</v>
      </c>
      <c r="D7508">
        <v>2</v>
      </c>
      <c r="E7508" s="5">
        <f>Table4[[#This Row],[qty]]*(VLOOKUP(Table4[[#This Row],[item_sold]],Table1[],5,FALSE))</f>
        <v>10</v>
      </c>
      <c r="F7508" s="5">
        <f>(VLOOKUP(Table4[[#This Row],[item_sold]],Table1[],4,FALSE))*Table4[[#This Row],[qty]]</f>
        <v>6</v>
      </c>
      <c r="G7508">
        <f t="shared" ref="G7508:G7571" si="1395">E7508-F7508</f>
        <v>4</v>
      </c>
      <c r="H7508" t="s">
        <v>402</v>
      </c>
    </row>
    <row r="7509" spans="1:12" x14ac:dyDescent="0.25">
      <c r="A7509" s="1">
        <f t="shared" si="1388"/>
        <v>45602</v>
      </c>
      <c r="B7509" s="31">
        <f t="shared" si="1394"/>
        <v>0.53472222222222221</v>
      </c>
      <c r="C7509" t="str">
        <f>'Inventory as of 12th Aug 2024'!A9</f>
        <v>Kinangop Fresh Milk 500ml</v>
      </c>
      <c r="D7509">
        <v>1</v>
      </c>
      <c r="E7509" s="5">
        <f>Table4[[#This Row],[qty]]*(VLOOKUP(Table4[[#This Row],[item_sold]],Table1[],5,FALSE))</f>
        <v>60</v>
      </c>
      <c r="F7509" s="5">
        <f>(VLOOKUP(Table4[[#This Row],[item_sold]],Table1[],4,FALSE))*Table4[[#This Row],[qty]]</f>
        <v>55</v>
      </c>
      <c r="G7509">
        <f t="shared" si="1395"/>
        <v>5</v>
      </c>
      <c r="H7509" t="s">
        <v>402</v>
      </c>
    </row>
    <row r="7510" spans="1:12" x14ac:dyDescent="0.25">
      <c r="A7510" s="1">
        <f t="shared" si="1388"/>
        <v>45602</v>
      </c>
      <c r="B7510" s="31">
        <f t="shared" si="1394"/>
        <v>0.53472222222222221</v>
      </c>
      <c r="C7510" t="str">
        <f>'Inventory as of 12th Aug 2024'!A37</f>
        <v>Festive Bread 400g</v>
      </c>
      <c r="D7510">
        <v>1</v>
      </c>
      <c r="E7510" s="5">
        <f>Table4[[#This Row],[qty]]*(VLOOKUP(Table4[[#This Row],[item_sold]],Table1[],5,FALSE))</f>
        <v>65</v>
      </c>
      <c r="F7510" s="5">
        <f>(VLOOKUP(Table4[[#This Row],[item_sold]],Table1[],4,FALSE))*Table4[[#This Row],[qty]]</f>
        <v>60</v>
      </c>
      <c r="G7510">
        <f t="shared" si="1395"/>
        <v>5</v>
      </c>
      <c r="H7510" t="s">
        <v>430</v>
      </c>
      <c r="I7510" t="s">
        <v>588</v>
      </c>
      <c r="J7510" t="s">
        <v>588</v>
      </c>
      <c r="K7510">
        <v>65</v>
      </c>
      <c r="L7510" t="s">
        <v>247</v>
      </c>
    </row>
    <row r="7511" spans="1:12" x14ac:dyDescent="0.25">
      <c r="A7511" s="1">
        <f t="shared" si="1388"/>
        <v>45602</v>
      </c>
      <c r="B7511" s="31">
        <f>TIME(12,55,0)</f>
        <v>0.53819444444444442</v>
      </c>
      <c r="C7511" t="str">
        <f>'Inventory as of 12th Aug 2024'!A234</f>
        <v>Bigdaddy</v>
      </c>
      <c r="D7511">
        <v>1</v>
      </c>
      <c r="E7511" s="5">
        <f>Table4[[#This Row],[qty]]*(VLOOKUP(Table4[[#This Row],[item_sold]],Table1[],5,FALSE))</f>
        <v>10</v>
      </c>
      <c r="F7511" s="5">
        <f>(VLOOKUP(Table4[[#This Row],[item_sold]],Table1[],4,FALSE))*Table4[[#This Row],[qty]]</f>
        <v>6</v>
      </c>
      <c r="G7511">
        <f t="shared" si="1395"/>
        <v>4</v>
      </c>
      <c r="H7511" t="s">
        <v>402</v>
      </c>
    </row>
    <row r="7512" spans="1:12" x14ac:dyDescent="0.25">
      <c r="A7512" s="1">
        <f t="shared" si="1388"/>
        <v>45602</v>
      </c>
      <c r="B7512" s="31">
        <f t="shared" ref="B7512" si="1396">TIME(12,55,0)</f>
        <v>0.53819444444444442</v>
      </c>
      <c r="C7512" t="str">
        <f>'Inventory as of 12th Aug 2024'!A242</f>
        <v>Icepop</v>
      </c>
      <c r="D7512">
        <v>1</v>
      </c>
      <c r="E7512" s="5">
        <f>Table4[[#This Row],[qty]]*(VLOOKUP(Table4[[#This Row],[item_sold]],Table1[],5,FALSE))</f>
        <v>15</v>
      </c>
      <c r="F7512" s="5">
        <f>(VLOOKUP(Table4[[#This Row],[item_sold]],Table1[],4,FALSE))*Table4[[#This Row],[qty]]</f>
        <v>7.5</v>
      </c>
      <c r="G7512">
        <f t="shared" si="1395"/>
        <v>7.5</v>
      </c>
      <c r="H7512" t="s">
        <v>402</v>
      </c>
    </row>
    <row r="7513" spans="1:12" x14ac:dyDescent="0.25">
      <c r="A7513" s="1">
        <f t="shared" si="1388"/>
        <v>45602</v>
      </c>
      <c r="B7513" s="31">
        <f>TIME(13,28,0)</f>
        <v>0.56111111111111112</v>
      </c>
      <c r="C7513" t="str">
        <f>'Inventory as of 12th Aug 2024'!A106</f>
        <v>Steel Wool 15g</v>
      </c>
      <c r="D7513">
        <v>1</v>
      </c>
      <c r="E7513" s="5">
        <f>Table4[[#This Row],[qty]]*(VLOOKUP(Table4[[#This Row],[item_sold]],Table1[],5,FALSE))</f>
        <v>10</v>
      </c>
      <c r="F7513" s="5">
        <f>(VLOOKUP(Table4[[#This Row],[item_sold]],Table1[],4,FALSE))*Table4[[#This Row],[qty]]</f>
        <v>5.2333333333333334</v>
      </c>
      <c r="G7513">
        <f t="shared" si="1395"/>
        <v>4.7666666666666666</v>
      </c>
      <c r="H7513" t="s">
        <v>361</v>
      </c>
    </row>
    <row r="7514" spans="1:12" x14ac:dyDescent="0.25">
      <c r="A7514" s="1">
        <f t="shared" si="1388"/>
        <v>45602</v>
      </c>
      <c r="B7514" s="31">
        <f>TIME(12,33,0)</f>
        <v>0.5229166666666667</v>
      </c>
      <c r="C7514" t="str">
        <f>'Inventory as of 12th Aug 2024'!A68</f>
        <v>Royco cubes</v>
      </c>
      <c r="D7514">
        <v>4</v>
      </c>
      <c r="E7514" s="5">
        <f>Table4[[#This Row],[qty]]*(VLOOKUP(Table4[[#This Row],[item_sold]],Table1[],5,FALSE))</f>
        <v>20</v>
      </c>
      <c r="F7514" s="5">
        <f>(VLOOKUP(Table4[[#This Row],[item_sold]],Table1[],4,FALSE))*Table4[[#This Row],[qty]]</f>
        <v>12</v>
      </c>
      <c r="G7514">
        <f t="shared" si="1395"/>
        <v>8</v>
      </c>
      <c r="H7514" t="s">
        <v>361</v>
      </c>
    </row>
    <row r="7515" spans="1:12" x14ac:dyDescent="0.25">
      <c r="A7515" s="1">
        <f t="shared" si="1388"/>
        <v>45602</v>
      </c>
      <c r="B7515" s="31">
        <f t="shared" ref="B7515" si="1397">TIME(12,33,0)</f>
        <v>0.5229166666666667</v>
      </c>
      <c r="C7515" t="str">
        <f>'Inventory as of 12th Aug 2024'!A193</f>
        <v>Ginger Bisquit</v>
      </c>
      <c r="D7515">
        <v>1</v>
      </c>
      <c r="E7515" s="5">
        <f>Table4[[#This Row],[qty]]*(VLOOKUP(Table4[[#This Row],[item_sold]],Table1[],5,FALSE))</f>
        <v>5</v>
      </c>
      <c r="F7515" s="5">
        <f>(VLOOKUP(Table4[[#This Row],[item_sold]],Table1[],4,FALSE))*Table4[[#This Row],[qty]]</f>
        <v>4.333333333333333</v>
      </c>
      <c r="G7515">
        <f t="shared" si="1395"/>
        <v>0.66666666666666696</v>
      </c>
      <c r="H7515" t="s">
        <v>402</v>
      </c>
    </row>
    <row r="7516" spans="1:12" x14ac:dyDescent="0.25">
      <c r="A7516" s="1">
        <f t="shared" si="1388"/>
        <v>45602</v>
      </c>
      <c r="B7516" s="31">
        <f>TIME(13,45,0)</f>
        <v>0.57291666666666663</v>
      </c>
      <c r="C7516" t="str">
        <f>'Inventory as of 12th Aug 2024'!A242</f>
        <v>Icepop</v>
      </c>
      <c r="D7516">
        <v>3</v>
      </c>
      <c r="E7516" s="5">
        <f>Table4[[#This Row],[qty]]*(VLOOKUP(Table4[[#This Row],[item_sold]],Table1[],5,FALSE))</f>
        <v>45</v>
      </c>
      <c r="F7516" s="5">
        <f>(VLOOKUP(Table4[[#This Row],[item_sold]],Table1[],4,FALSE))*Table4[[#This Row],[qty]]</f>
        <v>22.5</v>
      </c>
      <c r="G7516">
        <f t="shared" si="1395"/>
        <v>22.5</v>
      </c>
      <c r="H7516" t="s">
        <v>402</v>
      </c>
    </row>
    <row r="7517" spans="1:12" x14ac:dyDescent="0.25">
      <c r="A7517" s="1">
        <f t="shared" si="1388"/>
        <v>45602</v>
      </c>
      <c r="B7517" s="31">
        <f>TIME(14,1,0)</f>
        <v>0.58402777777777781</v>
      </c>
      <c r="C7517" t="str">
        <f>'Inventory as of 12th Aug 2024'!A58</f>
        <v>Safari</v>
      </c>
      <c r="D7517">
        <v>2</v>
      </c>
      <c r="E7517" s="5">
        <f>Table4[[#This Row],[qty]]*(VLOOKUP(Table4[[#This Row],[item_sold]],Table1[],5,FALSE))</f>
        <v>30</v>
      </c>
      <c r="F7517" s="5">
        <f>(VLOOKUP(Table4[[#This Row],[item_sold]],Table1[],4,FALSE))*Table4[[#This Row],[qty]]</f>
        <v>17</v>
      </c>
      <c r="G7517">
        <f t="shared" si="1395"/>
        <v>13</v>
      </c>
      <c r="H7517" t="s">
        <v>402</v>
      </c>
    </row>
    <row r="7518" spans="1:12" x14ac:dyDescent="0.25">
      <c r="A7518" s="1">
        <f t="shared" si="1388"/>
        <v>45602</v>
      </c>
      <c r="B7518" s="31">
        <f t="shared" ref="B7518" si="1398">TIME(14,1,0)</f>
        <v>0.58402777777777781</v>
      </c>
      <c r="C7518" t="str">
        <f>'Inventory as of 12th Aug 2024'!A107</f>
        <v>Match Box</v>
      </c>
      <c r="D7518">
        <v>1</v>
      </c>
      <c r="E7518" s="5">
        <f>Table4[[#This Row],[qty]]*(VLOOKUP(Table4[[#This Row],[item_sold]],Table1[],5,FALSE))</f>
        <v>5</v>
      </c>
      <c r="F7518" s="5">
        <f>(VLOOKUP(Table4[[#This Row],[item_sold]],Table1[],4,FALSE))*Table4[[#This Row],[qty]]</f>
        <v>2.3611111111111112</v>
      </c>
      <c r="G7518">
        <f t="shared" si="1395"/>
        <v>2.6388888888888888</v>
      </c>
      <c r="H7518" t="s">
        <v>402</v>
      </c>
    </row>
    <row r="7519" spans="1:12" x14ac:dyDescent="0.25">
      <c r="A7519" s="1">
        <f t="shared" si="1388"/>
        <v>45602</v>
      </c>
      <c r="B7519" s="31">
        <f>TIME(14,10,0)</f>
        <v>0.59027777777777779</v>
      </c>
      <c r="C7519" t="str">
        <f>'Inventory as of 12th Aug 2024'!A42</f>
        <v>Indomie chicken</v>
      </c>
      <c r="D7519">
        <v>1</v>
      </c>
      <c r="E7519" s="5">
        <f>Table4[[#This Row],[qty]]*(VLOOKUP(Table4[[#This Row],[item_sold]],Table1[],5,FALSE))</f>
        <v>50</v>
      </c>
      <c r="F7519" s="5">
        <f>(VLOOKUP(Table4[[#This Row],[item_sold]],Table1[],4,FALSE))*Table4[[#This Row],[qty]]</f>
        <v>37.5</v>
      </c>
      <c r="G7519">
        <f t="shared" si="1395"/>
        <v>12.5</v>
      </c>
      <c r="H7519" t="s">
        <v>361</v>
      </c>
    </row>
    <row r="7520" spans="1:12" x14ac:dyDescent="0.25">
      <c r="A7520" s="1">
        <f t="shared" si="1388"/>
        <v>45602</v>
      </c>
      <c r="B7520" s="31">
        <f t="shared" ref="B7520:B7521" si="1399">TIME(14,10,0)</f>
        <v>0.59027777777777779</v>
      </c>
      <c r="C7520" t="str">
        <f>'Inventory as of 12th Aug 2024'!A242</f>
        <v>Icepop</v>
      </c>
      <c r="D7520">
        <v>2</v>
      </c>
      <c r="E7520" s="5">
        <f>Table4[[#This Row],[qty]]*(VLOOKUP(Table4[[#This Row],[item_sold]],Table1[],5,FALSE))</f>
        <v>30</v>
      </c>
      <c r="F7520" s="5">
        <f>(VLOOKUP(Table4[[#This Row],[item_sold]],Table1[],4,FALSE))*Table4[[#This Row],[qty]]</f>
        <v>15</v>
      </c>
      <c r="G7520">
        <f t="shared" si="1395"/>
        <v>15</v>
      </c>
      <c r="H7520" t="s">
        <v>361</v>
      </c>
    </row>
    <row r="7521" spans="1:12" x14ac:dyDescent="0.25">
      <c r="A7521" s="1">
        <f t="shared" si="1388"/>
        <v>45602</v>
      </c>
      <c r="B7521" s="31">
        <f t="shared" si="1399"/>
        <v>0.59027777777777779</v>
      </c>
      <c r="C7521" t="str">
        <f>'Inventory as of 12th Aug 2024'!A177</f>
        <v>Ringoz Barbeque</v>
      </c>
      <c r="D7521">
        <v>2</v>
      </c>
      <c r="E7521" s="5">
        <f>Table4[[#This Row],[qty]]*(VLOOKUP(Table4[[#This Row],[item_sold]],Table1[],5,FALSE))</f>
        <v>30</v>
      </c>
      <c r="F7521" s="5">
        <f>(VLOOKUP(Table4[[#This Row],[item_sold]],Table1[],4,FALSE))*Table4[[#This Row],[qty]]</f>
        <v>17.2</v>
      </c>
      <c r="G7521">
        <f t="shared" si="1395"/>
        <v>12.8</v>
      </c>
      <c r="H7521" t="s">
        <v>361</v>
      </c>
    </row>
    <row r="7522" spans="1:12" x14ac:dyDescent="0.25">
      <c r="A7522" s="1">
        <f t="shared" si="1388"/>
        <v>45602</v>
      </c>
      <c r="B7522" s="31">
        <f>TIME(14,22,0)</f>
        <v>0.59861111111111109</v>
      </c>
      <c r="C7522" t="str">
        <f>'Inventory as of 12th Aug 2024'!A231</f>
        <v>Patco</v>
      </c>
      <c r="D7522">
        <v>2</v>
      </c>
      <c r="E7522" s="5">
        <f>Table4[[#This Row],[qty]]*(VLOOKUP(Table4[[#This Row],[item_sold]],Table1[],5,FALSE))</f>
        <v>5</v>
      </c>
      <c r="F7522" s="5">
        <f>(VLOOKUP(Table4[[#This Row],[item_sold]],Table1[],4,FALSE))*Table4[[#This Row],[qty]]</f>
        <v>2.4</v>
      </c>
      <c r="G7522">
        <f t="shared" si="1395"/>
        <v>2.6</v>
      </c>
      <c r="H7522" t="s">
        <v>402</v>
      </c>
    </row>
    <row r="7523" spans="1:12" x14ac:dyDescent="0.25">
      <c r="A7523" s="1">
        <f t="shared" si="1388"/>
        <v>45602</v>
      </c>
      <c r="B7523" s="31">
        <f>TIME(14,22,0)</f>
        <v>0.59861111111111109</v>
      </c>
      <c r="C7523" t="str">
        <f>'Inventory as of 12th Aug 2024'!A242</f>
        <v>Icepop</v>
      </c>
      <c r="D7523">
        <v>1</v>
      </c>
      <c r="E7523" s="5">
        <f>Table4[[#This Row],[qty]]*(VLOOKUP(Table4[[#This Row],[item_sold]],Table1[],5,FALSE))</f>
        <v>15</v>
      </c>
      <c r="F7523" s="5">
        <f>(VLOOKUP(Table4[[#This Row],[item_sold]],Table1[],4,FALSE))*Table4[[#This Row],[qty]]</f>
        <v>7.5</v>
      </c>
      <c r="G7523">
        <f t="shared" si="1395"/>
        <v>7.5</v>
      </c>
      <c r="H7523" t="s">
        <v>402</v>
      </c>
    </row>
    <row r="7524" spans="1:12" x14ac:dyDescent="0.25">
      <c r="A7524" s="1">
        <f t="shared" si="1388"/>
        <v>45602</v>
      </c>
      <c r="B7524" s="31">
        <f>TIME(14,57,0)</f>
        <v>0.62291666666666667</v>
      </c>
      <c r="C7524" t="str">
        <f>'Inventory as of 12th Aug 2024'!A242</f>
        <v>Icepop</v>
      </c>
      <c r="D7524">
        <v>2</v>
      </c>
      <c r="E7524" s="5">
        <f>Table4[[#This Row],[qty]]*(VLOOKUP(Table4[[#This Row],[item_sold]],Table1[],5,FALSE))</f>
        <v>30</v>
      </c>
      <c r="F7524" s="5">
        <f>(VLOOKUP(Table4[[#This Row],[item_sold]],Table1[],4,FALSE))*Table4[[#This Row],[qty]]</f>
        <v>15</v>
      </c>
      <c r="G7524">
        <f t="shared" si="1395"/>
        <v>15</v>
      </c>
      <c r="H7524" t="s">
        <v>361</v>
      </c>
    </row>
    <row r="7525" spans="1:12" x14ac:dyDescent="0.25">
      <c r="A7525" s="1">
        <f t="shared" si="1388"/>
        <v>45602</v>
      </c>
      <c r="B7525" s="31">
        <f>TIME(15,0,0)</f>
        <v>0.625</v>
      </c>
      <c r="C7525" t="str">
        <f>'Inventory as of 12th Aug 2024'!A179</f>
        <v>Bitez</v>
      </c>
      <c r="D7525">
        <v>1</v>
      </c>
      <c r="E7525" s="5">
        <f>Table4[[#This Row],[qty]]*(VLOOKUP(Table4[[#This Row],[item_sold]],Table1[],5,FALSE))</f>
        <v>15</v>
      </c>
      <c r="F7525" s="5">
        <f>(VLOOKUP(Table4[[#This Row],[item_sold]],Table1[],4,FALSE))*Table4[[#This Row],[qty]]</f>
        <v>8.8000000000000007</v>
      </c>
      <c r="G7525">
        <f t="shared" si="1395"/>
        <v>6.1999999999999993</v>
      </c>
      <c r="H7525" t="s">
        <v>402</v>
      </c>
    </row>
    <row r="7526" spans="1:12" x14ac:dyDescent="0.25">
      <c r="A7526" s="1">
        <f t="shared" si="1388"/>
        <v>45602</v>
      </c>
      <c r="B7526" s="31">
        <f t="shared" ref="B7526" si="1400">TIME(15,0,0)</f>
        <v>0.625</v>
      </c>
      <c r="C7526" t="str">
        <f>'Inventory as of 12th Aug 2024'!A270</f>
        <v>Milk Bisquit</v>
      </c>
      <c r="D7526">
        <v>1</v>
      </c>
      <c r="E7526" s="5">
        <f>Table4[[#This Row],[qty]]*(VLOOKUP(Table4[[#This Row],[item_sold]],Table1[],5,FALSE))</f>
        <v>5</v>
      </c>
      <c r="F7526" s="5">
        <f>(VLOOKUP(Table4[[#This Row],[item_sold]],Table1[],4,FALSE))*Table4[[#This Row],[qty]]</f>
        <v>4.166666666666667</v>
      </c>
      <c r="G7526">
        <f t="shared" si="1395"/>
        <v>0.83333333333333304</v>
      </c>
      <c r="H7526" t="s">
        <v>402</v>
      </c>
    </row>
    <row r="7527" spans="1:12" x14ac:dyDescent="0.25">
      <c r="A7527" s="1">
        <f t="shared" si="1388"/>
        <v>45602</v>
      </c>
      <c r="B7527" s="31">
        <f>TIME(15,26,0)</f>
        <v>0.6430555555555556</v>
      </c>
      <c r="C7527" t="str">
        <f>'Inventory as of 12th Aug 2024'!A242</f>
        <v>Icepop</v>
      </c>
      <c r="D7527">
        <v>2</v>
      </c>
      <c r="E7527" s="5">
        <f>Table4[[#This Row],[qty]]*(VLOOKUP(Table4[[#This Row],[item_sold]],Table1[],5,FALSE))</f>
        <v>30</v>
      </c>
      <c r="F7527" s="5">
        <f>(VLOOKUP(Table4[[#This Row],[item_sold]],Table1[],4,FALSE))*Table4[[#This Row],[qty]]</f>
        <v>15</v>
      </c>
      <c r="G7527">
        <f t="shared" si="1395"/>
        <v>15</v>
      </c>
      <c r="H7527" t="s">
        <v>402</v>
      </c>
      <c r="J7527" t="s">
        <v>409</v>
      </c>
      <c r="K7527">
        <v>80</v>
      </c>
      <c r="L7527" t="s">
        <v>361</v>
      </c>
    </row>
    <row r="7528" spans="1:12" x14ac:dyDescent="0.25">
      <c r="A7528" s="1">
        <f t="shared" si="1388"/>
        <v>45602</v>
      </c>
      <c r="B7528" s="31">
        <f>TIME(15,33,0)</f>
        <v>0.6479166666666667</v>
      </c>
      <c r="C7528" t="str">
        <f>'Inventory as of 12th Aug 2024'!A187</f>
        <v>Njugu</v>
      </c>
      <c r="D7528">
        <v>1</v>
      </c>
      <c r="E7528" s="5">
        <f>Table4[[#This Row],[qty]]*(VLOOKUP(Table4[[#This Row],[item_sold]],Table1[],5,FALSE))</f>
        <v>20</v>
      </c>
      <c r="F7528" s="5">
        <f>(VLOOKUP(Table4[[#This Row],[item_sold]],Table1[],4,FALSE))*Table4[[#This Row],[qty]]</f>
        <v>10.666666666666666</v>
      </c>
      <c r="G7528">
        <f t="shared" si="1395"/>
        <v>9.3333333333333339</v>
      </c>
      <c r="H7528" t="s">
        <v>361</v>
      </c>
    </row>
    <row r="7529" spans="1:12" x14ac:dyDescent="0.25">
      <c r="A7529" s="1">
        <f t="shared" si="1388"/>
        <v>45602</v>
      </c>
      <c r="B7529" s="31">
        <f>TIME(15,46,0)</f>
        <v>0.65694444444444444</v>
      </c>
      <c r="C7529" t="str">
        <f>'Inventory as of 12th Aug 2024'!A58</f>
        <v>Safari</v>
      </c>
      <c r="D7529">
        <v>1</v>
      </c>
      <c r="E7529" s="5">
        <f>Table4[[#This Row],[qty]]*(VLOOKUP(Table4[[#This Row],[item_sold]],Table1[],5,FALSE))</f>
        <v>15</v>
      </c>
      <c r="F7529" s="5">
        <f>(VLOOKUP(Table4[[#This Row],[item_sold]],Table1[],4,FALSE))*Table4[[#This Row],[qty]]</f>
        <v>8.5</v>
      </c>
      <c r="G7529">
        <f t="shared" si="1395"/>
        <v>6.5</v>
      </c>
      <c r="H7529" t="s">
        <v>430</v>
      </c>
      <c r="I7529" t="s">
        <v>447</v>
      </c>
    </row>
    <row r="7530" spans="1:12" x14ac:dyDescent="0.25">
      <c r="A7530" s="1">
        <f t="shared" si="1388"/>
        <v>45602</v>
      </c>
      <c r="B7530" s="31">
        <f>TIME(15,50,0)</f>
        <v>0.65972222222222221</v>
      </c>
      <c r="C7530" t="str">
        <f>'Inventory as of 12th Aug 2024'!A206</f>
        <v>soda 500ml plastic</v>
      </c>
      <c r="D7530">
        <v>2</v>
      </c>
      <c r="E7530" s="5">
        <f>Table4[[#This Row],[qty]]*(VLOOKUP(Table4[[#This Row],[item_sold]],Table1[],5,FALSE))</f>
        <v>140</v>
      </c>
      <c r="F7530" s="5">
        <f>(VLOOKUP(Table4[[#This Row],[item_sold]],Table1[],4,FALSE))*Table4[[#This Row],[qty]]</f>
        <v>120.83333333333333</v>
      </c>
      <c r="G7530">
        <f t="shared" si="1395"/>
        <v>19.166666666666671</v>
      </c>
      <c r="H7530" t="s">
        <v>402</v>
      </c>
    </row>
    <row r="7531" spans="1:12" x14ac:dyDescent="0.25">
      <c r="A7531" s="1">
        <f t="shared" si="1388"/>
        <v>45602</v>
      </c>
      <c r="B7531" s="31">
        <f t="shared" ref="B7531" si="1401">TIME(15,50,0)</f>
        <v>0.65972222222222221</v>
      </c>
      <c r="C7531" t="str">
        <f>'Inventory as of 12th Aug 2024'!A233</f>
        <v>Lollipop</v>
      </c>
      <c r="D7531">
        <v>2</v>
      </c>
      <c r="E7531" s="5">
        <f>Table4[[#This Row],[qty]]*(VLOOKUP(Table4[[#This Row],[item_sold]],Table1[],5,FALSE))</f>
        <v>10</v>
      </c>
      <c r="F7531" s="5">
        <f>(VLOOKUP(Table4[[#This Row],[item_sold]],Table1[],4,FALSE))*Table4[[#This Row],[qty]]</f>
        <v>4.8</v>
      </c>
      <c r="G7531">
        <f t="shared" si="1395"/>
        <v>5.2</v>
      </c>
      <c r="H7531" t="s">
        <v>402</v>
      </c>
    </row>
    <row r="7532" spans="1:12" x14ac:dyDescent="0.25">
      <c r="A7532" s="1">
        <f t="shared" si="1388"/>
        <v>45602</v>
      </c>
      <c r="B7532" s="31">
        <f>TIME(16,3,0)</f>
        <v>0.66875000000000007</v>
      </c>
      <c r="C7532" t="str">
        <f>'Inventory as of 12th Aug 2024'!A200</f>
        <v>Ngumu</v>
      </c>
      <c r="D7532">
        <v>2</v>
      </c>
      <c r="E7532" s="5">
        <f>Table4[[#This Row],[qty]]*(VLOOKUP(Table4[[#This Row],[item_sold]],Table1[],5,FALSE))</f>
        <v>20</v>
      </c>
      <c r="F7532" s="5">
        <f>(VLOOKUP(Table4[[#This Row],[item_sold]],Table1[],4,FALSE))*Table4[[#This Row],[qty]]</f>
        <v>16.666666666666668</v>
      </c>
      <c r="G7532">
        <f t="shared" si="1395"/>
        <v>3.3333333333333321</v>
      </c>
      <c r="H7532" t="s">
        <v>402</v>
      </c>
    </row>
    <row r="7533" spans="1:12" x14ac:dyDescent="0.25">
      <c r="A7533" s="1">
        <f t="shared" si="1388"/>
        <v>45602</v>
      </c>
      <c r="B7533" s="31">
        <f>TIME(16,22,0)</f>
        <v>0.68194444444444446</v>
      </c>
      <c r="C7533" t="str">
        <f>'Inventory as of 12th Aug 2024'!A232</f>
        <v>coo</v>
      </c>
      <c r="D7533">
        <v>2</v>
      </c>
      <c r="E7533" s="5">
        <f>Table4[[#This Row],[qty]]*(VLOOKUP(Table4[[#This Row],[item_sold]],Table1[],5,FALSE))</f>
        <v>5</v>
      </c>
      <c r="F7533" s="5">
        <f>(VLOOKUP(Table4[[#This Row],[item_sold]],Table1[],4,FALSE))*Table4[[#This Row],[qty]]</f>
        <v>2.4</v>
      </c>
      <c r="G7533">
        <f t="shared" si="1395"/>
        <v>2.6</v>
      </c>
      <c r="H7533" t="s">
        <v>402</v>
      </c>
    </row>
    <row r="7534" spans="1:12" x14ac:dyDescent="0.25">
      <c r="A7534" s="1">
        <f t="shared" si="1388"/>
        <v>45602</v>
      </c>
      <c r="B7534" s="31">
        <f t="shared" ref="B7534:B7535" si="1402">TIME(16,22,0)</f>
        <v>0.68194444444444446</v>
      </c>
      <c r="C7534" t="str">
        <f>'Inventory as of 12th Aug 2024'!A58</f>
        <v>Safari</v>
      </c>
      <c r="D7534">
        <v>1</v>
      </c>
      <c r="E7534" s="5">
        <f>Table4[[#This Row],[qty]]*(VLOOKUP(Table4[[#This Row],[item_sold]],Table1[],5,FALSE))</f>
        <v>15</v>
      </c>
      <c r="F7534" s="5">
        <f>(VLOOKUP(Table4[[#This Row],[item_sold]],Table1[],4,FALSE))*Table4[[#This Row],[qty]]</f>
        <v>8.5</v>
      </c>
      <c r="G7534">
        <f t="shared" si="1395"/>
        <v>6.5</v>
      </c>
      <c r="H7534" t="s">
        <v>402</v>
      </c>
    </row>
    <row r="7535" spans="1:12" x14ac:dyDescent="0.25">
      <c r="A7535" s="1">
        <f t="shared" si="1388"/>
        <v>45602</v>
      </c>
      <c r="B7535" s="31">
        <f t="shared" si="1402"/>
        <v>0.68194444444444446</v>
      </c>
      <c r="C7535" t="str">
        <f>'Inventory as of 12th Aug 2024'!A200</f>
        <v>Ngumu</v>
      </c>
      <c r="D7535">
        <v>1</v>
      </c>
      <c r="E7535" s="5">
        <f>Table4[[#This Row],[qty]]*(VLOOKUP(Table4[[#This Row],[item_sold]],Table1[],5,FALSE))</f>
        <v>10</v>
      </c>
      <c r="F7535" s="5">
        <f>(VLOOKUP(Table4[[#This Row],[item_sold]],Table1[],4,FALSE))*Table4[[#This Row],[qty]]</f>
        <v>8.3333333333333339</v>
      </c>
      <c r="G7535">
        <f t="shared" si="1395"/>
        <v>1.6666666666666661</v>
      </c>
    </row>
    <row r="7536" spans="1:12" x14ac:dyDescent="0.25">
      <c r="A7536" s="1">
        <f t="shared" si="1388"/>
        <v>45602</v>
      </c>
      <c r="B7536" s="31">
        <f>TIME(17,7,0)</f>
        <v>0.71319444444444446</v>
      </c>
      <c r="C7536" t="str">
        <f>'Inventory as of 12th Aug 2024'!A212</f>
        <v>soda 300ml glass</v>
      </c>
      <c r="D7536">
        <v>1</v>
      </c>
      <c r="E7536" s="5">
        <f>Table4[[#This Row],[qty]]*(VLOOKUP(Table4[[#This Row],[item_sold]],Table1[],5,FALSE))</f>
        <v>40</v>
      </c>
      <c r="F7536" s="5">
        <f>(VLOOKUP(Table4[[#This Row],[item_sold]],Table1[],4,FALSE))*Table4[[#This Row],[qty]]</f>
        <v>32.5</v>
      </c>
      <c r="G7536">
        <f t="shared" si="1395"/>
        <v>7.5</v>
      </c>
    </row>
    <row r="7537" spans="1:12" x14ac:dyDescent="0.25">
      <c r="A7537" s="1">
        <f t="shared" si="1388"/>
        <v>45602</v>
      </c>
      <c r="B7537" s="31">
        <f t="shared" ref="B7537" si="1403">TIME(17,7,0)</f>
        <v>0.71319444444444446</v>
      </c>
      <c r="C7537" t="str">
        <f>'Inventory as of 12th Aug 2024'!A200</f>
        <v>Ngumu</v>
      </c>
      <c r="D7537">
        <v>1</v>
      </c>
      <c r="E7537" s="5">
        <f>Table4[[#This Row],[qty]]*(VLOOKUP(Table4[[#This Row],[item_sold]],Table1[],5,FALSE))</f>
        <v>10</v>
      </c>
      <c r="F7537" s="5">
        <f>(VLOOKUP(Table4[[#This Row],[item_sold]],Table1[],4,FALSE))*Table4[[#This Row],[qty]]</f>
        <v>8.3333333333333339</v>
      </c>
      <c r="G7537">
        <f t="shared" si="1395"/>
        <v>1.6666666666666661</v>
      </c>
    </row>
    <row r="7538" spans="1:12" x14ac:dyDescent="0.25">
      <c r="A7538" s="1">
        <f t="shared" si="1388"/>
        <v>45602</v>
      </c>
      <c r="B7538" s="31">
        <f>TIME(17,28,0)</f>
        <v>0.72777777777777775</v>
      </c>
      <c r="C7538" t="str">
        <f>'Inventory as of 12th Aug 2024'!A17</f>
        <v>Brookside milk 500ml</v>
      </c>
      <c r="D7538">
        <v>2</v>
      </c>
      <c r="E7538" s="5">
        <f>Table4[[#This Row],[qty]]*(VLOOKUP(Table4[[#This Row],[item_sold]],Table1[],5,FALSE))</f>
        <v>140</v>
      </c>
      <c r="F7538" s="5">
        <f>(VLOOKUP(Table4[[#This Row],[item_sold]],Table1[],4,FALSE))*Table4[[#This Row],[qty]]</f>
        <v>118</v>
      </c>
      <c r="G7538">
        <f t="shared" si="1395"/>
        <v>22</v>
      </c>
      <c r="H7538" t="s">
        <v>430</v>
      </c>
      <c r="I7538" t="s">
        <v>408</v>
      </c>
    </row>
    <row r="7539" spans="1:12" x14ac:dyDescent="0.25">
      <c r="A7539" s="1">
        <f t="shared" si="1388"/>
        <v>45602</v>
      </c>
      <c r="B7539" s="31">
        <f t="shared" ref="B7539" si="1404">TIME(17,28,0)</f>
        <v>0.72777777777777775</v>
      </c>
      <c r="C7539" t="str">
        <f>'Inventory as of 12th Aug 2024'!A202</f>
        <v>funtime snacks</v>
      </c>
      <c r="D7539">
        <v>3</v>
      </c>
      <c r="E7539" s="5">
        <f>Table4[[#This Row],[qty]]*(VLOOKUP(Table4[[#This Row],[item_sold]],Table1[],5,FALSE))</f>
        <v>45</v>
      </c>
      <c r="F7539" s="5">
        <f>(VLOOKUP(Table4[[#This Row],[item_sold]],Table1[],4,FALSE))*Table4[[#This Row],[qty]]</f>
        <v>27</v>
      </c>
      <c r="G7539">
        <f t="shared" si="1395"/>
        <v>18</v>
      </c>
      <c r="H7539" t="s">
        <v>430</v>
      </c>
      <c r="I7539" t="s">
        <v>408</v>
      </c>
    </row>
    <row r="7540" spans="1:12" x14ac:dyDescent="0.25">
      <c r="A7540" s="1">
        <f t="shared" si="1388"/>
        <v>45602</v>
      </c>
      <c r="B7540" s="31">
        <f>TIME(17,39,0)</f>
        <v>0.73541666666666661</v>
      </c>
      <c r="C7540" t="str">
        <f>'Inventory as of 12th Aug 2024'!A62</f>
        <v>kensalt 1kg</v>
      </c>
      <c r="D7540">
        <v>1</v>
      </c>
      <c r="E7540" s="5">
        <f>Table4[[#This Row],[qty]]*(VLOOKUP(Table4[[#This Row],[item_sold]],Table1[],5,FALSE))</f>
        <v>50</v>
      </c>
      <c r="F7540" s="5">
        <f>(VLOOKUP(Table4[[#This Row],[item_sold]],Table1[],4,FALSE))*Table4[[#This Row],[qty]]</f>
        <v>35</v>
      </c>
      <c r="G7540">
        <f t="shared" si="1395"/>
        <v>15</v>
      </c>
      <c r="H7540" t="s">
        <v>402</v>
      </c>
    </row>
    <row r="7541" spans="1:12" x14ac:dyDescent="0.25">
      <c r="A7541" s="1">
        <f t="shared" si="1388"/>
        <v>45602</v>
      </c>
      <c r="B7541" s="31">
        <f>TIME(17,50,0)</f>
        <v>0.74305555555555547</v>
      </c>
      <c r="C7541" t="str">
        <f>'Inventory as of 12th Aug 2024'!A92</f>
        <v>Banana</v>
      </c>
      <c r="D7541">
        <v>1</v>
      </c>
      <c r="E7541" s="5">
        <f>Table4[[#This Row],[qty]]*(VLOOKUP(Table4[[#This Row],[item_sold]],Table1[],5,FALSE))</f>
        <v>10</v>
      </c>
      <c r="F7541" s="5">
        <f>(VLOOKUP(Table4[[#This Row],[item_sold]],Table1[],4,FALSE))*Table4[[#This Row],[qty]]</f>
        <v>8.3333333333333339</v>
      </c>
      <c r="G7541">
        <f t="shared" si="1395"/>
        <v>1.6666666666666661</v>
      </c>
      <c r="H7541" t="s">
        <v>402</v>
      </c>
    </row>
    <row r="7542" spans="1:12" x14ac:dyDescent="0.25">
      <c r="A7542" s="1">
        <f t="shared" si="1388"/>
        <v>45602</v>
      </c>
      <c r="B7542" s="31">
        <f t="shared" ref="B7542:B7543" si="1405">TIME(17,50,0)</f>
        <v>0.74305555555555547</v>
      </c>
      <c r="C7542" t="str">
        <f>'Inventory as of 12th Aug 2024'!A236</f>
        <v>Gomba</v>
      </c>
      <c r="D7542">
        <v>8</v>
      </c>
      <c r="E7542" s="5">
        <f>Table4[[#This Row],[qty]]*(VLOOKUP(Table4[[#This Row],[item_sold]],Table1[],5,FALSE))</f>
        <v>20</v>
      </c>
      <c r="F7542" s="5">
        <f>(VLOOKUP(Table4[[#This Row],[item_sold]],Table1[],4,FALSE))*Table4[[#This Row],[qty]]</f>
        <v>14.4</v>
      </c>
      <c r="G7542">
        <f t="shared" si="1395"/>
        <v>5.6</v>
      </c>
      <c r="H7542" t="s">
        <v>402</v>
      </c>
    </row>
    <row r="7543" spans="1:12" x14ac:dyDescent="0.25">
      <c r="A7543" s="1">
        <f t="shared" si="1388"/>
        <v>45602</v>
      </c>
      <c r="B7543" s="31">
        <f t="shared" si="1405"/>
        <v>0.74305555555555547</v>
      </c>
      <c r="C7543" t="str">
        <f>'Inventory as of 12th Aug 2024'!A229</f>
        <v>Fresh green</v>
      </c>
      <c r="D7543">
        <v>2</v>
      </c>
      <c r="E7543" s="5">
        <f>Table4[[#This Row],[qty]]*(VLOOKUP(Table4[[#This Row],[item_sold]],Table1[],5,FALSE))</f>
        <v>20</v>
      </c>
      <c r="F7543" s="5">
        <f>(VLOOKUP(Table4[[#This Row],[item_sold]],Table1[],4,FALSE))*Table4[[#This Row],[qty]]</f>
        <v>10</v>
      </c>
      <c r="G7543">
        <f t="shared" si="1395"/>
        <v>10</v>
      </c>
      <c r="H7543" t="s">
        <v>402</v>
      </c>
    </row>
    <row r="7544" spans="1:12" x14ac:dyDescent="0.25">
      <c r="A7544" s="1">
        <f t="shared" si="1388"/>
        <v>45602</v>
      </c>
      <c r="B7544" s="31">
        <f>TIME(18,11,0)</f>
        <v>0.75763888888888886</v>
      </c>
      <c r="C7544" t="str">
        <f>'Inventory as of 12th Aug 2024'!A233</f>
        <v>Lollipop</v>
      </c>
      <c r="D7544">
        <v>4</v>
      </c>
      <c r="E7544" s="5">
        <f>Table4[[#This Row],[qty]]*(VLOOKUP(Table4[[#This Row],[item_sold]],Table1[],5,FALSE))</f>
        <v>20</v>
      </c>
      <c r="F7544" s="5">
        <f>(VLOOKUP(Table4[[#This Row],[item_sold]],Table1[],4,FALSE))*Table4[[#This Row],[qty]]</f>
        <v>9.6</v>
      </c>
      <c r="G7544">
        <f t="shared" si="1395"/>
        <v>10.4</v>
      </c>
      <c r="H7544" t="s">
        <v>361</v>
      </c>
    </row>
    <row r="7545" spans="1:12" x14ac:dyDescent="0.25">
      <c r="A7545" s="1">
        <f t="shared" ref="A7545:A7556" si="1406">DATE(2024,11,6)</f>
        <v>45602</v>
      </c>
      <c r="B7545" s="31">
        <f>TIME(18,16,0)</f>
        <v>0.76111111111111107</v>
      </c>
      <c r="C7545" t="str">
        <f>'Inventory as of 12th Aug 2024'!A192</f>
        <v>Lemon Bisquit</v>
      </c>
      <c r="D7545">
        <v>2</v>
      </c>
      <c r="E7545" s="5">
        <f>Table4[[#This Row],[qty]]*(VLOOKUP(Table4[[#This Row],[item_sold]],Table1[],5,FALSE))</f>
        <v>10</v>
      </c>
      <c r="F7545" s="5">
        <f>(VLOOKUP(Table4[[#This Row],[item_sold]],Table1[],4,FALSE))*Table4[[#This Row],[qty]]</f>
        <v>8.6666666666666661</v>
      </c>
      <c r="G7545">
        <f t="shared" si="1395"/>
        <v>1.3333333333333339</v>
      </c>
      <c r="H7545" t="s">
        <v>402</v>
      </c>
    </row>
    <row r="7546" spans="1:12" x14ac:dyDescent="0.25">
      <c r="A7546" s="1">
        <f t="shared" si="1406"/>
        <v>45602</v>
      </c>
      <c r="B7546" s="31">
        <f t="shared" ref="B7546:B7548" si="1407">TIME(18,16,0)</f>
        <v>0.76111111111111107</v>
      </c>
      <c r="C7546" t="str">
        <f>'Inventory as of 12th Aug 2024'!A271</f>
        <v>Star Cream Bisquit</v>
      </c>
      <c r="D7546">
        <v>2</v>
      </c>
      <c r="E7546" s="5">
        <f>Table4[[#This Row],[qty]]*(VLOOKUP(Table4[[#This Row],[item_sold]],Table1[],5,FALSE))</f>
        <v>10</v>
      </c>
      <c r="F7546" s="5">
        <f>(VLOOKUP(Table4[[#This Row],[item_sold]],Table1[],4,FALSE))*Table4[[#This Row],[qty]]</f>
        <v>8.4666666666666668</v>
      </c>
      <c r="G7546">
        <f t="shared" si="1395"/>
        <v>1.5333333333333332</v>
      </c>
      <c r="H7546" t="s">
        <v>402</v>
      </c>
    </row>
    <row r="7547" spans="1:12" x14ac:dyDescent="0.25">
      <c r="A7547" s="1">
        <f t="shared" si="1406"/>
        <v>45602</v>
      </c>
      <c r="B7547" s="31">
        <f t="shared" si="1407"/>
        <v>0.76111111111111107</v>
      </c>
      <c r="C7547" t="str">
        <f>'Inventory as of 12th Aug 2024'!A179</f>
        <v>Bitez</v>
      </c>
      <c r="D7547">
        <v>2</v>
      </c>
      <c r="E7547" s="5">
        <f>Table4[[#This Row],[qty]]*(VLOOKUP(Table4[[#This Row],[item_sold]],Table1[],5,FALSE))</f>
        <v>30</v>
      </c>
      <c r="F7547" s="5">
        <f>(VLOOKUP(Table4[[#This Row],[item_sold]],Table1[],4,FALSE))*Table4[[#This Row],[qty]]</f>
        <v>17.600000000000001</v>
      </c>
      <c r="G7547">
        <f t="shared" si="1395"/>
        <v>12.399999999999999</v>
      </c>
      <c r="H7547" t="s">
        <v>402</v>
      </c>
    </row>
    <row r="7548" spans="1:12" x14ac:dyDescent="0.25">
      <c r="A7548" s="1">
        <f t="shared" si="1406"/>
        <v>45602</v>
      </c>
      <c r="B7548" s="31">
        <f t="shared" si="1407"/>
        <v>0.76111111111111107</v>
      </c>
      <c r="C7548" t="str">
        <f>'Inventory as of 12th Aug 2024'!A177</f>
        <v>Ringoz Barbeque</v>
      </c>
      <c r="D7548">
        <v>2</v>
      </c>
      <c r="E7548" s="5">
        <f>Table4[[#This Row],[qty]]*(VLOOKUP(Table4[[#This Row],[item_sold]],Table1[],5,FALSE))</f>
        <v>30</v>
      </c>
      <c r="F7548" s="5">
        <f>(VLOOKUP(Table4[[#This Row],[item_sold]],Table1[],4,FALSE))*Table4[[#This Row],[qty]]</f>
        <v>17.2</v>
      </c>
      <c r="G7548">
        <f t="shared" si="1395"/>
        <v>12.8</v>
      </c>
      <c r="H7548" t="s">
        <v>402</v>
      </c>
    </row>
    <row r="7549" spans="1:12" x14ac:dyDescent="0.25">
      <c r="A7549" s="1">
        <f t="shared" si="1406"/>
        <v>45602</v>
      </c>
      <c r="B7549" s="31">
        <f>TIME(19,2,0)</f>
        <v>0.79305555555555562</v>
      </c>
      <c r="C7549" t="str">
        <f>'Inventory as of 12th Aug 2024'!A209</f>
        <v>afia 500ml</v>
      </c>
      <c r="D7549">
        <v>1</v>
      </c>
      <c r="E7549" s="5">
        <f>Table4[[#This Row],[qty]]*(VLOOKUP(Table4[[#This Row],[item_sold]],Table1[],5,FALSE))</f>
        <v>85</v>
      </c>
      <c r="F7549" s="5">
        <f>(VLOOKUP(Table4[[#This Row],[item_sold]],Table1[],4,FALSE))*Table4[[#This Row],[qty]]</f>
        <v>70.833333333333329</v>
      </c>
      <c r="G7549">
        <f t="shared" si="1395"/>
        <v>14.166666666666671</v>
      </c>
      <c r="H7549" t="s">
        <v>361</v>
      </c>
    </row>
    <row r="7550" spans="1:12" x14ac:dyDescent="0.25">
      <c r="A7550" s="1">
        <f t="shared" si="1406"/>
        <v>45602</v>
      </c>
      <c r="B7550" s="31">
        <f>TIME(19,11,0)</f>
        <v>0.7993055555555556</v>
      </c>
      <c r="C7550" t="str">
        <f>'Inventory as of 12th Aug 2024'!A99</f>
        <v>spinach</v>
      </c>
      <c r="D7550">
        <v>2</v>
      </c>
      <c r="E7550" s="5">
        <f>Table4[[#This Row],[qty]]*(VLOOKUP(Table4[[#This Row],[item_sold]],Table1[],5,FALSE))</f>
        <v>40</v>
      </c>
      <c r="F7550" s="5">
        <f>(VLOOKUP(Table4[[#This Row],[item_sold]],Table1[],4,FALSE))*Table4[[#This Row],[qty]]</f>
        <v>20</v>
      </c>
      <c r="G7550">
        <f t="shared" si="1395"/>
        <v>20</v>
      </c>
      <c r="H7550" t="s">
        <v>430</v>
      </c>
      <c r="I7550" t="s">
        <v>631</v>
      </c>
    </row>
    <row r="7551" spans="1:12" x14ac:dyDescent="0.25">
      <c r="A7551" s="1">
        <f t="shared" si="1406"/>
        <v>45602</v>
      </c>
      <c r="B7551" s="31">
        <f t="shared" ref="B7551" si="1408">TIME(19,11,0)</f>
        <v>0.7993055555555556</v>
      </c>
      <c r="C7551" t="str">
        <f>'Inventory as of 12th Aug 2024'!A91</f>
        <v>Tomatoes</v>
      </c>
      <c r="D7551">
        <v>2</v>
      </c>
      <c r="E7551" s="5">
        <f>Table4[[#This Row],[qty]]*(VLOOKUP(Table4[[#This Row],[item_sold]],Table1[],5,FALSE))</f>
        <v>20</v>
      </c>
      <c r="F7551" s="5">
        <f>(VLOOKUP(Table4[[#This Row],[item_sold]],Table1[],4,FALSE))*Table4[[#This Row],[qty]]</f>
        <v>10</v>
      </c>
      <c r="G7551">
        <f t="shared" si="1395"/>
        <v>10</v>
      </c>
      <c r="H7551" t="s">
        <v>430</v>
      </c>
      <c r="I7551" t="s">
        <v>631</v>
      </c>
    </row>
    <row r="7552" spans="1:12" x14ac:dyDescent="0.25">
      <c r="A7552" s="1">
        <f t="shared" si="1406"/>
        <v>45602</v>
      </c>
      <c r="B7552" s="31">
        <f>TIME(19,19,0)</f>
        <v>0.80486111111111114</v>
      </c>
      <c r="C7552" t="str">
        <f>'Inventory as of 12th Aug 2024'!A58</f>
        <v>Safari</v>
      </c>
      <c r="D7552">
        <v>1</v>
      </c>
      <c r="E7552" s="5">
        <f>Table4[[#This Row],[qty]]*(VLOOKUP(Table4[[#This Row],[item_sold]],Table1[],5,FALSE))</f>
        <v>15</v>
      </c>
      <c r="F7552" s="5">
        <f>(VLOOKUP(Table4[[#This Row],[item_sold]],Table1[],4,FALSE))*Table4[[#This Row],[qty]]</f>
        <v>8.5</v>
      </c>
      <c r="G7552">
        <f t="shared" si="1395"/>
        <v>6.5</v>
      </c>
      <c r="H7552" t="s">
        <v>361</v>
      </c>
      <c r="J7552" t="s">
        <v>447</v>
      </c>
      <c r="K7552">
        <v>20</v>
      </c>
      <c r="L7552" t="s">
        <v>361</v>
      </c>
    </row>
    <row r="7553" spans="1:9" x14ac:dyDescent="0.25">
      <c r="A7553" s="1">
        <f t="shared" si="1406"/>
        <v>45602</v>
      </c>
      <c r="B7553" s="31">
        <f>TIME(19,28,0)</f>
        <v>0.81111111111111101</v>
      </c>
      <c r="C7553" t="str">
        <f>'Inventory as of 12th Aug 2024'!A153</f>
        <v>mosquito stick</v>
      </c>
      <c r="D7553">
        <v>2</v>
      </c>
      <c r="E7553" s="5">
        <f>Table4[[#This Row],[qty]]*(VLOOKUP(Table4[[#This Row],[item_sold]],Table1[],5,FALSE))</f>
        <v>20</v>
      </c>
      <c r="F7553" s="5">
        <f>(VLOOKUP(Table4[[#This Row],[item_sold]],Table1[],4,FALSE))*Table4[[#This Row],[qty]]</f>
        <v>18</v>
      </c>
      <c r="G7553">
        <f t="shared" si="1395"/>
        <v>2</v>
      </c>
      <c r="H7553" t="s">
        <v>402</v>
      </c>
    </row>
    <row r="7554" spans="1:9" x14ac:dyDescent="0.25">
      <c r="A7554" s="1">
        <f t="shared" si="1406"/>
        <v>45602</v>
      </c>
      <c r="B7554" s="31">
        <f t="shared" ref="B7554:B7556" si="1409">TIME(19,28,0)</f>
        <v>0.81111111111111101</v>
      </c>
      <c r="C7554" t="str">
        <f>'Inventory as of 12th Aug 2024'!A16</f>
        <v>Mt kenya milk 500ml</v>
      </c>
      <c r="D7554">
        <v>1</v>
      </c>
      <c r="E7554" s="5">
        <f>Table4[[#This Row],[qty]]*(VLOOKUP(Table4[[#This Row],[item_sold]],Table1[],5,FALSE))</f>
        <v>65</v>
      </c>
      <c r="F7554" s="5">
        <f>(VLOOKUP(Table4[[#This Row],[item_sold]],Table1[],4,FALSE))*Table4[[#This Row],[qty]]</f>
        <v>48.333333333333336</v>
      </c>
      <c r="G7554">
        <f t="shared" si="1395"/>
        <v>16.666666666666664</v>
      </c>
      <c r="H7554" t="s">
        <v>402</v>
      </c>
    </row>
    <row r="7555" spans="1:9" x14ac:dyDescent="0.25">
      <c r="A7555" s="1">
        <f t="shared" si="1406"/>
        <v>45602</v>
      </c>
      <c r="B7555" s="31">
        <f t="shared" si="1409"/>
        <v>0.81111111111111101</v>
      </c>
      <c r="C7555" t="str">
        <f>'Inventory as of 12th Aug 2024'!A135</f>
        <v>Bella Tissue</v>
      </c>
      <c r="D7555">
        <v>1</v>
      </c>
      <c r="E7555" s="5">
        <f>Table4[[#This Row],[qty]]*(VLOOKUP(Table4[[#This Row],[item_sold]],Table1[],5,FALSE))</f>
        <v>50</v>
      </c>
      <c r="F7555" s="5">
        <f>(VLOOKUP(Table4[[#This Row],[item_sold]],Table1[],4,FALSE))*Table4[[#This Row],[qty]]</f>
        <v>35</v>
      </c>
      <c r="G7555">
        <f t="shared" si="1395"/>
        <v>15</v>
      </c>
      <c r="H7555" t="s">
        <v>402</v>
      </c>
    </row>
    <row r="7556" spans="1:9" x14ac:dyDescent="0.25">
      <c r="A7556" s="1">
        <f t="shared" si="1406"/>
        <v>45602</v>
      </c>
      <c r="B7556" s="31">
        <f t="shared" si="1409"/>
        <v>0.81111111111111101</v>
      </c>
      <c r="C7556" t="str">
        <f>'Inventory as of 12th Aug 2024'!A50</f>
        <v>Pishori rice</v>
      </c>
      <c r="D7556">
        <v>0.25</v>
      </c>
      <c r="E7556" s="5">
        <f>Table4[[#This Row],[qty]]*(VLOOKUP(Table4[[#This Row],[item_sold]],Table1[],5,FALSE))</f>
        <v>55</v>
      </c>
      <c r="F7556" s="5">
        <f>(VLOOKUP(Table4[[#This Row],[item_sold]],Table1[],4,FALSE))*Table4[[#This Row],[qty]]</f>
        <v>45</v>
      </c>
      <c r="G7556">
        <f t="shared" si="1395"/>
        <v>10</v>
      </c>
      <c r="H7556" t="s">
        <v>402</v>
      </c>
    </row>
    <row r="7557" spans="1:9" x14ac:dyDescent="0.25">
      <c r="A7557" s="1">
        <f>DATE(2024,11,7)</f>
        <v>45603</v>
      </c>
      <c r="B7557" s="31">
        <f>TIME(7,21,0)</f>
        <v>0.30624999999999997</v>
      </c>
      <c r="C7557" t="str">
        <f>'Inventory as of 12th Aug 2024'!A58</f>
        <v>Safari</v>
      </c>
      <c r="D7557">
        <v>1</v>
      </c>
      <c r="E7557" s="5">
        <f>Table4[[#This Row],[qty]]*(VLOOKUP(Table4[[#This Row],[item_sold]],Table1[],5,FALSE))</f>
        <v>15</v>
      </c>
      <c r="F7557" s="5">
        <f>(VLOOKUP(Table4[[#This Row],[item_sold]],Table1[],4,FALSE))*Table4[[#This Row],[qty]]</f>
        <v>8.5</v>
      </c>
      <c r="G7557">
        <f t="shared" si="1395"/>
        <v>6.5</v>
      </c>
      <c r="H7557" t="s">
        <v>361</v>
      </c>
    </row>
    <row r="7558" spans="1:9" x14ac:dyDescent="0.25">
      <c r="A7558" s="1">
        <f t="shared" ref="A7558:A7621" si="1410">DATE(2024,11,7)</f>
        <v>45603</v>
      </c>
      <c r="B7558" s="31">
        <f>TIME(7,57,0)</f>
        <v>0.33124999999999999</v>
      </c>
      <c r="C7558" t="str">
        <f>'Inventory as of 12th Aug 2024'!A10</f>
        <v>Mt Kenya milk 200ml</v>
      </c>
      <c r="D7558">
        <v>1</v>
      </c>
      <c r="E7558" s="5">
        <f>Table4[[#This Row],[qty]]*(VLOOKUP(Table4[[#This Row],[item_sold]],Table1[],5,FALSE))</f>
        <v>35</v>
      </c>
      <c r="F7558" s="5">
        <f>(VLOOKUP(Table4[[#This Row],[item_sold]],Table1[],4,FALSE))*Table4[[#This Row],[qty]]</f>
        <v>24.285714285714285</v>
      </c>
      <c r="G7558">
        <f t="shared" si="1395"/>
        <v>10.714285714285715</v>
      </c>
      <c r="H7558" t="s">
        <v>361</v>
      </c>
    </row>
    <row r="7559" spans="1:9" x14ac:dyDescent="0.25">
      <c r="A7559" s="1">
        <f t="shared" si="1410"/>
        <v>45603</v>
      </c>
      <c r="B7559" s="31">
        <f>TIME(7,34,0)</f>
        <v>0.31527777777777777</v>
      </c>
      <c r="C7559" t="str">
        <f>'Inventory as of 12th Aug 2024'!A135</f>
        <v>Bella Tissue</v>
      </c>
      <c r="D7559">
        <v>1</v>
      </c>
      <c r="E7559" s="5">
        <f>Table4[[#This Row],[qty]]*(VLOOKUP(Table4[[#This Row],[item_sold]],Table1[],5,FALSE))</f>
        <v>50</v>
      </c>
      <c r="F7559" s="5">
        <f>(VLOOKUP(Table4[[#This Row],[item_sold]],Table1[],4,FALSE))*Table4[[#This Row],[qty]]</f>
        <v>35</v>
      </c>
      <c r="G7559">
        <f t="shared" si="1395"/>
        <v>15</v>
      </c>
      <c r="H7559" t="s">
        <v>430</v>
      </c>
      <c r="I7559" t="s">
        <v>390</v>
      </c>
    </row>
    <row r="7560" spans="1:9" x14ac:dyDescent="0.25">
      <c r="A7560" s="1">
        <f t="shared" si="1410"/>
        <v>45603</v>
      </c>
      <c r="B7560" s="31">
        <f>TIME(8,37,0)</f>
        <v>0.35902777777777778</v>
      </c>
      <c r="C7560" t="str">
        <f>'Inventory as of 12th Aug 2024'!A193</f>
        <v>Ginger Bisquit</v>
      </c>
      <c r="D7560">
        <v>2</v>
      </c>
      <c r="E7560" s="5">
        <f>Table4[[#This Row],[qty]]*(VLOOKUP(Table4[[#This Row],[item_sold]],Table1[],5,FALSE))</f>
        <v>10</v>
      </c>
      <c r="F7560" s="5">
        <f>(VLOOKUP(Table4[[#This Row],[item_sold]],Table1[],4,FALSE))*Table4[[#This Row],[qty]]</f>
        <v>8.6666666666666661</v>
      </c>
      <c r="G7560">
        <f t="shared" si="1395"/>
        <v>1.3333333333333339</v>
      </c>
      <c r="H7560" t="s">
        <v>402</v>
      </c>
    </row>
    <row r="7561" spans="1:9" x14ac:dyDescent="0.25">
      <c r="A7561" s="1">
        <f t="shared" si="1410"/>
        <v>45603</v>
      </c>
      <c r="B7561" s="31">
        <f t="shared" ref="B7561:B7562" si="1411">TIME(8,37,0)</f>
        <v>0.35902777777777778</v>
      </c>
      <c r="C7561" t="str">
        <f>'Inventory as of 12th Aug 2024'!A142</f>
        <v>Colgate Herbal 70g</v>
      </c>
      <c r="D7561">
        <v>1</v>
      </c>
      <c r="E7561" s="5">
        <f>Table4[[#This Row],[qty]]*(VLOOKUP(Table4[[#This Row],[item_sold]],Table1[],5,FALSE))</f>
        <v>160</v>
      </c>
      <c r="F7561" s="5">
        <f>(VLOOKUP(Table4[[#This Row],[item_sold]],Table1[],4,FALSE))*Table4[[#This Row],[qty]]</f>
        <v>133.33333333333334</v>
      </c>
      <c r="G7561">
        <f t="shared" si="1395"/>
        <v>26.666666666666657</v>
      </c>
      <c r="H7561" t="s">
        <v>402</v>
      </c>
    </row>
    <row r="7562" spans="1:9" x14ac:dyDescent="0.25">
      <c r="A7562" s="1">
        <f t="shared" si="1410"/>
        <v>45603</v>
      </c>
      <c r="B7562" s="31">
        <f t="shared" si="1411"/>
        <v>0.35902777777777778</v>
      </c>
      <c r="C7562" t="str">
        <f>'Inventory as of 12th Aug 2024'!A224</f>
        <v>pens black</v>
      </c>
      <c r="D7562">
        <v>1</v>
      </c>
      <c r="E7562" s="5">
        <f>Table4[[#This Row],[qty]]*(VLOOKUP(Table4[[#This Row],[item_sold]],Table1[],5,FALSE))</f>
        <v>10</v>
      </c>
      <c r="F7562" s="5">
        <f>(VLOOKUP(Table4[[#This Row],[item_sold]],Table1[],4,FALSE))*Table4[[#This Row],[qty]]</f>
        <v>5</v>
      </c>
      <c r="G7562">
        <f t="shared" si="1395"/>
        <v>5</v>
      </c>
      <c r="H7562" t="s">
        <v>402</v>
      </c>
    </row>
    <row r="7563" spans="1:9" x14ac:dyDescent="0.25">
      <c r="A7563" s="1">
        <f t="shared" si="1410"/>
        <v>45603</v>
      </c>
      <c r="B7563" s="31">
        <f>TIME(9,47,0)</f>
        <v>0.40763888888888888</v>
      </c>
      <c r="C7563" t="str">
        <f>'Inventory as of 12th Aug 2024'!A37</f>
        <v>Festive Bread 400g</v>
      </c>
      <c r="D7563">
        <v>1</v>
      </c>
      <c r="E7563" s="5">
        <f>Table4[[#This Row],[qty]]*(VLOOKUP(Table4[[#This Row],[item_sold]],Table1[],5,FALSE))</f>
        <v>65</v>
      </c>
      <c r="F7563" s="5">
        <f>(VLOOKUP(Table4[[#This Row],[item_sold]],Table1[],4,FALSE))*Table4[[#This Row],[qty]]</f>
        <v>60</v>
      </c>
      <c r="G7563">
        <f t="shared" si="1395"/>
        <v>5</v>
      </c>
      <c r="H7563" t="s">
        <v>361</v>
      </c>
    </row>
    <row r="7564" spans="1:9" x14ac:dyDescent="0.25">
      <c r="A7564" s="1">
        <f t="shared" si="1410"/>
        <v>45603</v>
      </c>
      <c r="B7564" s="31">
        <f>TIME(9,47,0)</f>
        <v>0.40763888888888888</v>
      </c>
      <c r="C7564" t="str">
        <f>'Inventory as of 12th Aug 2024'!A58</f>
        <v>Safari</v>
      </c>
      <c r="D7564">
        <v>1</v>
      </c>
      <c r="E7564" s="5">
        <f>Table4[[#This Row],[qty]]*(VLOOKUP(Table4[[#This Row],[item_sold]],Table1[],5,FALSE))</f>
        <v>15</v>
      </c>
      <c r="F7564" s="5">
        <f>(VLOOKUP(Table4[[#This Row],[item_sold]],Table1[],4,FALSE))*Table4[[#This Row],[qty]]</f>
        <v>8.5</v>
      </c>
      <c r="G7564">
        <f t="shared" si="1395"/>
        <v>6.5</v>
      </c>
      <c r="H7564" t="s">
        <v>402</v>
      </c>
    </row>
    <row r="7565" spans="1:9" x14ac:dyDescent="0.25">
      <c r="A7565" s="1">
        <f t="shared" si="1410"/>
        <v>45603</v>
      </c>
      <c r="B7565" s="31">
        <f>TIME(10,12,0)</f>
        <v>0.42499999999999999</v>
      </c>
      <c r="C7565" t="str">
        <f>'Inventory as of 12th Aug 2024'!A37</f>
        <v>Festive Bread 400g</v>
      </c>
      <c r="D7565">
        <v>1</v>
      </c>
      <c r="E7565" s="5">
        <f>Table4[[#This Row],[qty]]*(VLOOKUP(Table4[[#This Row],[item_sold]],Table1[],5,FALSE))</f>
        <v>65</v>
      </c>
      <c r="F7565" s="5">
        <f>(VLOOKUP(Table4[[#This Row],[item_sold]],Table1[],4,FALSE))*Table4[[#This Row],[qty]]</f>
        <v>60</v>
      </c>
      <c r="G7565">
        <f t="shared" si="1395"/>
        <v>5</v>
      </c>
      <c r="H7565" t="s">
        <v>402</v>
      </c>
    </row>
    <row r="7566" spans="1:9" x14ac:dyDescent="0.25">
      <c r="A7566" s="1">
        <f t="shared" si="1410"/>
        <v>45603</v>
      </c>
      <c r="B7566" s="31">
        <f>TIME(10,30,0)</f>
        <v>0.4375</v>
      </c>
      <c r="C7566" t="str">
        <f>'Inventory as of 12th Aug 2024'!A233</f>
        <v>Lollipop</v>
      </c>
      <c r="D7566">
        <v>1</v>
      </c>
      <c r="E7566" s="5">
        <f>Table4[[#This Row],[qty]]*(VLOOKUP(Table4[[#This Row],[item_sold]],Table1[],5,FALSE))</f>
        <v>5</v>
      </c>
      <c r="F7566" s="5">
        <f>(VLOOKUP(Table4[[#This Row],[item_sold]],Table1[],4,FALSE))*Table4[[#This Row],[qty]]</f>
        <v>2.4</v>
      </c>
      <c r="G7566">
        <f t="shared" si="1395"/>
        <v>2.6</v>
      </c>
      <c r="H7566" t="s">
        <v>402</v>
      </c>
    </row>
    <row r="7567" spans="1:9" x14ac:dyDescent="0.25">
      <c r="A7567" s="1">
        <f t="shared" si="1410"/>
        <v>45603</v>
      </c>
      <c r="B7567" s="31">
        <f t="shared" ref="B7567" si="1412">TIME(10,30,0)</f>
        <v>0.4375</v>
      </c>
      <c r="C7567" t="str">
        <f>'Inventory as of 12th Aug 2024'!A267</f>
        <v>Ting Ting</v>
      </c>
      <c r="D7567">
        <v>3</v>
      </c>
      <c r="E7567" s="5">
        <f>Table4[[#This Row],[qty]]*(VLOOKUP(Table4[[#This Row],[item_sold]],Table1[],5,FALSE))</f>
        <v>15</v>
      </c>
      <c r="F7567" s="5">
        <f>(VLOOKUP(Table4[[#This Row],[item_sold]],Table1[],4,FALSE))*Table4[[#This Row],[qty]]</f>
        <v>12.18</v>
      </c>
      <c r="G7567">
        <f t="shared" si="1395"/>
        <v>2.8200000000000003</v>
      </c>
      <c r="H7567" t="s">
        <v>402</v>
      </c>
    </row>
    <row r="7568" spans="1:9" x14ac:dyDescent="0.25">
      <c r="A7568" s="1">
        <f t="shared" si="1410"/>
        <v>45603</v>
      </c>
      <c r="B7568" s="31">
        <f>TIME(10,33,0)</f>
        <v>0.43958333333333338</v>
      </c>
      <c r="C7568" t="str">
        <f>'Inventory as of 12th Aug 2024'!A238</f>
        <v>Tropical</v>
      </c>
      <c r="D7568">
        <v>3</v>
      </c>
      <c r="E7568" s="5">
        <f>Table4[[#This Row],[qty]]*(VLOOKUP(Table4[[#This Row],[item_sold]],Table1[],5,FALSE))</f>
        <v>15</v>
      </c>
      <c r="F7568" s="5">
        <f>(VLOOKUP(Table4[[#This Row],[item_sold]],Table1[],4,FALSE))*Table4[[#This Row],[qty]]</f>
        <v>4.5</v>
      </c>
      <c r="G7568">
        <f t="shared" si="1395"/>
        <v>10.5</v>
      </c>
      <c r="H7568" t="s">
        <v>402</v>
      </c>
    </row>
    <row r="7569" spans="1:8" x14ac:dyDescent="0.25">
      <c r="A7569" s="1">
        <f t="shared" si="1410"/>
        <v>45603</v>
      </c>
      <c r="B7569" s="31">
        <f>TIME(10,54,0)</f>
        <v>0.45416666666666666</v>
      </c>
      <c r="C7569" t="str">
        <f>'Inventory as of 12th Aug 2024'!A92</f>
        <v>Banana</v>
      </c>
      <c r="D7569">
        <v>1</v>
      </c>
      <c r="E7569" s="5">
        <f>Table4[[#This Row],[qty]]*(VLOOKUP(Table4[[#This Row],[item_sold]],Table1[],5,FALSE))</f>
        <v>10</v>
      </c>
      <c r="F7569" s="5">
        <f>(VLOOKUP(Table4[[#This Row],[item_sold]],Table1[],4,FALSE))*Table4[[#This Row],[qty]]</f>
        <v>8.3333333333333339</v>
      </c>
      <c r="G7569">
        <f t="shared" si="1395"/>
        <v>1.6666666666666661</v>
      </c>
      <c r="H7569" t="s">
        <v>402</v>
      </c>
    </row>
    <row r="7570" spans="1:8" x14ac:dyDescent="0.25">
      <c r="A7570" s="1">
        <f t="shared" si="1410"/>
        <v>45603</v>
      </c>
      <c r="B7570" s="31">
        <f t="shared" ref="B7570" si="1413">TIME(10,54,0)</f>
        <v>0.45416666666666666</v>
      </c>
      <c r="C7570" t="str">
        <f>'Inventory as of 12th Aug 2024'!A5</f>
        <v>Airtel 20 Credit</v>
      </c>
      <c r="D7570">
        <v>1</v>
      </c>
      <c r="E7570" s="5">
        <f>Table4[[#This Row],[qty]]*(VLOOKUP(Table4[[#This Row],[item_sold]],Table1[],5,FALSE))</f>
        <v>20</v>
      </c>
      <c r="F7570" s="5">
        <f>(VLOOKUP(Table4[[#This Row],[item_sold]],Table1[],4,FALSE))*Table4[[#This Row],[qty]]</f>
        <v>18</v>
      </c>
      <c r="G7570">
        <f t="shared" si="1395"/>
        <v>2</v>
      </c>
      <c r="H7570" t="s">
        <v>402</v>
      </c>
    </row>
    <row r="7571" spans="1:8" x14ac:dyDescent="0.25">
      <c r="A7571" s="1">
        <f t="shared" si="1410"/>
        <v>45603</v>
      </c>
      <c r="B7571" s="31">
        <f>TIME(11,34,0)</f>
        <v>0.48194444444444445</v>
      </c>
      <c r="C7571" t="str">
        <f>'Inventory as of 12th Aug 2024'!A212</f>
        <v>soda 300ml glass</v>
      </c>
      <c r="D7571">
        <v>1</v>
      </c>
      <c r="E7571" s="5">
        <f>Table4[[#This Row],[qty]]*(VLOOKUP(Table4[[#This Row],[item_sold]],Table1[],5,FALSE))</f>
        <v>40</v>
      </c>
      <c r="F7571" s="5">
        <f>(VLOOKUP(Table4[[#This Row],[item_sold]],Table1[],4,FALSE))*Table4[[#This Row],[qty]]</f>
        <v>32.5</v>
      </c>
      <c r="G7571">
        <f t="shared" si="1395"/>
        <v>7.5</v>
      </c>
      <c r="H7571" t="s">
        <v>402</v>
      </c>
    </row>
    <row r="7572" spans="1:8" x14ac:dyDescent="0.25">
      <c r="A7572" s="1">
        <f t="shared" si="1410"/>
        <v>45603</v>
      </c>
      <c r="B7572" s="31">
        <f>TIME(11,24,0)</f>
        <v>0.47500000000000003</v>
      </c>
      <c r="C7572" t="str">
        <f>'Inventory as of 12th Aug 2024'!A199</f>
        <v>Kdf</v>
      </c>
      <c r="D7572">
        <v>2</v>
      </c>
      <c r="E7572" s="5">
        <f>Table4[[#This Row],[qty]]*(VLOOKUP(Table4[[#This Row],[item_sold]],Table1[],5,FALSE))</f>
        <v>20</v>
      </c>
      <c r="F7572" s="5">
        <f>(VLOOKUP(Table4[[#This Row],[item_sold]],Table1[],4,FALSE))*Table4[[#This Row],[qty]]</f>
        <v>16.666666666666668</v>
      </c>
      <c r="G7572">
        <f t="shared" ref="G7572:G7635" si="1414">E7572-F7572</f>
        <v>3.3333333333333321</v>
      </c>
      <c r="H7572" t="s">
        <v>402</v>
      </c>
    </row>
    <row r="7573" spans="1:8" x14ac:dyDescent="0.25">
      <c r="A7573" s="1">
        <f t="shared" si="1410"/>
        <v>45603</v>
      </c>
      <c r="B7573" s="31">
        <f>TIME(11,27,0)</f>
        <v>0.4770833333333333</v>
      </c>
      <c r="C7573" t="str">
        <f>'Inventory as of 12th Aug 2024'!A200</f>
        <v>Ngumu</v>
      </c>
      <c r="D7573">
        <v>1</v>
      </c>
      <c r="E7573" s="5">
        <f>Table4[[#This Row],[qty]]*(VLOOKUP(Table4[[#This Row],[item_sold]],Table1[],5,FALSE))</f>
        <v>10</v>
      </c>
      <c r="F7573" s="5">
        <f>(VLOOKUP(Table4[[#This Row],[item_sold]],Table1[],4,FALSE))*Table4[[#This Row],[qty]]</f>
        <v>8.3333333333333339</v>
      </c>
      <c r="G7573">
        <f t="shared" si="1414"/>
        <v>1.6666666666666661</v>
      </c>
      <c r="H7573" t="s">
        <v>402</v>
      </c>
    </row>
    <row r="7574" spans="1:8" x14ac:dyDescent="0.25">
      <c r="A7574" s="1">
        <f t="shared" si="1410"/>
        <v>45603</v>
      </c>
      <c r="B7574" s="31">
        <f>TIME(11,27,0)</f>
        <v>0.4770833333333333</v>
      </c>
      <c r="C7574" t="str">
        <f>'Inventory as of 12th Aug 2024'!A92</f>
        <v>Banana</v>
      </c>
      <c r="D7574">
        <v>1</v>
      </c>
      <c r="E7574" s="5">
        <f>Table4[[#This Row],[qty]]*(VLOOKUP(Table4[[#This Row],[item_sold]],Table1[],5,FALSE))</f>
        <v>10</v>
      </c>
      <c r="F7574" s="5">
        <f>(VLOOKUP(Table4[[#This Row],[item_sold]],Table1[],4,FALSE))*Table4[[#This Row],[qty]]</f>
        <v>8.3333333333333339</v>
      </c>
      <c r="G7574">
        <f t="shared" si="1414"/>
        <v>1.6666666666666661</v>
      </c>
      <c r="H7574" t="s">
        <v>402</v>
      </c>
    </row>
    <row r="7575" spans="1:8" x14ac:dyDescent="0.25">
      <c r="A7575" s="1">
        <f t="shared" si="1410"/>
        <v>45603</v>
      </c>
      <c r="B7575" s="31">
        <f>TIME(11,30,0)</f>
        <v>0.47916666666666669</v>
      </c>
      <c r="C7575" t="str">
        <f>'Inventory as of 12th Aug 2024'!A187</f>
        <v>Njugu</v>
      </c>
      <c r="D7575">
        <v>2</v>
      </c>
      <c r="E7575" s="5">
        <f>Table4[[#This Row],[qty]]*(VLOOKUP(Table4[[#This Row],[item_sold]],Table1[],5,FALSE))</f>
        <v>40</v>
      </c>
      <c r="F7575" s="5">
        <f>(VLOOKUP(Table4[[#This Row],[item_sold]],Table1[],4,FALSE))*Table4[[#This Row],[qty]]</f>
        <v>21.333333333333332</v>
      </c>
      <c r="G7575">
        <f t="shared" si="1414"/>
        <v>18.666666666666668</v>
      </c>
      <c r="H7575" t="s">
        <v>402</v>
      </c>
    </row>
    <row r="7576" spans="1:8" x14ac:dyDescent="0.25">
      <c r="A7576" s="1">
        <f t="shared" si="1410"/>
        <v>45603</v>
      </c>
      <c r="B7576" s="31">
        <f t="shared" ref="B7576:B7581" si="1415">TIME(11,30,0)</f>
        <v>0.47916666666666669</v>
      </c>
      <c r="C7576" t="str">
        <f>'Inventory as of 12th Aug 2024'!A243</f>
        <v>Ballon</v>
      </c>
      <c r="D7576">
        <v>1</v>
      </c>
      <c r="E7576" s="5">
        <f>Table4[[#This Row],[qty]]*(VLOOKUP(Table4[[#This Row],[item_sold]],Table1[],5,FALSE))</f>
        <v>10</v>
      </c>
      <c r="F7576" s="5">
        <f>(VLOOKUP(Table4[[#This Row],[item_sold]],Table1[],4,FALSE))*Table4[[#This Row],[qty]]</f>
        <v>7.5</v>
      </c>
      <c r="G7576">
        <f t="shared" si="1414"/>
        <v>2.5</v>
      </c>
      <c r="H7576" t="s">
        <v>361</v>
      </c>
    </row>
    <row r="7577" spans="1:8" x14ac:dyDescent="0.25">
      <c r="A7577" s="1">
        <f t="shared" si="1410"/>
        <v>45603</v>
      </c>
      <c r="B7577" s="31">
        <f t="shared" si="1415"/>
        <v>0.47916666666666669</v>
      </c>
      <c r="C7577" t="str">
        <f>'Inventory as of 12th Aug 2024'!A233</f>
        <v>Lollipop</v>
      </c>
      <c r="D7577">
        <v>3</v>
      </c>
      <c r="E7577" s="5">
        <f>Table4[[#This Row],[qty]]*(VLOOKUP(Table4[[#This Row],[item_sold]],Table1[],5,FALSE))</f>
        <v>15</v>
      </c>
      <c r="F7577" s="5">
        <f>(VLOOKUP(Table4[[#This Row],[item_sold]],Table1[],4,FALSE))*Table4[[#This Row],[qty]]</f>
        <v>7.1999999999999993</v>
      </c>
      <c r="G7577">
        <f t="shared" si="1414"/>
        <v>7.8000000000000007</v>
      </c>
      <c r="H7577" t="s">
        <v>361</v>
      </c>
    </row>
    <row r="7578" spans="1:8" x14ac:dyDescent="0.25">
      <c r="A7578" s="1">
        <f t="shared" si="1410"/>
        <v>45603</v>
      </c>
      <c r="B7578" s="31">
        <f t="shared" si="1415"/>
        <v>0.47916666666666669</v>
      </c>
      <c r="C7578" t="str">
        <f>'Inventory as of 12th Aug 2024'!A172</f>
        <v>Carrier bag small</v>
      </c>
      <c r="D7578">
        <v>1</v>
      </c>
      <c r="E7578" s="5">
        <f>Table4[[#This Row],[qty]]*(VLOOKUP(Table4[[#This Row],[item_sold]],Table1[],5,FALSE))</f>
        <v>10</v>
      </c>
      <c r="F7578" s="5">
        <f>(VLOOKUP(Table4[[#This Row],[item_sold]],Table1[],4,FALSE))*Table4[[#This Row],[qty]]</f>
        <v>3</v>
      </c>
      <c r="G7578">
        <f t="shared" si="1414"/>
        <v>7</v>
      </c>
      <c r="H7578" t="s">
        <v>361</v>
      </c>
    </row>
    <row r="7579" spans="1:8" x14ac:dyDescent="0.25">
      <c r="A7579" s="1">
        <f t="shared" si="1410"/>
        <v>45603</v>
      </c>
      <c r="B7579" s="31">
        <f t="shared" si="1415"/>
        <v>0.47916666666666669</v>
      </c>
      <c r="C7579" t="str">
        <f>'Inventory as of 12th Aug 2024'!A17</f>
        <v>Brookside milk 500ml</v>
      </c>
      <c r="D7579">
        <v>3</v>
      </c>
      <c r="E7579" s="5">
        <f>Table4[[#This Row],[qty]]*(VLOOKUP(Table4[[#This Row],[item_sold]],Table1[],5,FALSE))</f>
        <v>210</v>
      </c>
      <c r="F7579" s="5">
        <f>(VLOOKUP(Table4[[#This Row],[item_sold]],Table1[],4,FALSE))*Table4[[#This Row],[qty]]</f>
        <v>177</v>
      </c>
      <c r="G7579">
        <f t="shared" si="1414"/>
        <v>33</v>
      </c>
      <c r="H7579" t="s">
        <v>361</v>
      </c>
    </row>
    <row r="7580" spans="1:8" x14ac:dyDescent="0.25">
      <c r="A7580" s="1">
        <f t="shared" si="1410"/>
        <v>45603</v>
      </c>
      <c r="B7580" s="31">
        <f t="shared" si="1415"/>
        <v>0.47916666666666669</v>
      </c>
      <c r="C7580" t="str">
        <f>'Inventory as of 12th Aug 2024'!A41</f>
        <v>Indomie beef</v>
      </c>
      <c r="D7580">
        <v>1</v>
      </c>
      <c r="E7580" s="5">
        <f>Table4[[#This Row],[qty]]*(VLOOKUP(Table4[[#This Row],[item_sold]],Table1[],5,FALSE))</f>
        <v>50</v>
      </c>
      <c r="F7580" s="5">
        <f>(VLOOKUP(Table4[[#This Row],[item_sold]],Table1[],4,FALSE))*Table4[[#This Row],[qty]]</f>
        <v>38</v>
      </c>
      <c r="G7580">
        <f t="shared" si="1414"/>
        <v>12</v>
      </c>
      <c r="H7580" t="s">
        <v>361</v>
      </c>
    </row>
    <row r="7581" spans="1:8" x14ac:dyDescent="0.25">
      <c r="A7581" s="1">
        <f t="shared" si="1410"/>
        <v>45603</v>
      </c>
      <c r="B7581" s="31">
        <f t="shared" si="1415"/>
        <v>0.47916666666666669</v>
      </c>
      <c r="C7581" t="str">
        <f>'Inventory as of 12th Aug 2024'!A65</f>
        <v>Tomato sauce</v>
      </c>
      <c r="D7581">
        <v>1</v>
      </c>
      <c r="E7581" s="5">
        <f>Table4[[#This Row],[qty]]*(VLOOKUP(Table4[[#This Row],[item_sold]],Table1[],5,FALSE))</f>
        <v>70</v>
      </c>
      <c r="F7581" s="5">
        <f>(VLOOKUP(Table4[[#This Row],[item_sold]],Table1[],4,FALSE))*Table4[[#This Row],[qty]]</f>
        <v>50</v>
      </c>
      <c r="G7581">
        <f t="shared" si="1414"/>
        <v>20</v>
      </c>
      <c r="H7581" t="s">
        <v>402</v>
      </c>
    </row>
    <row r="7582" spans="1:8" x14ac:dyDescent="0.25">
      <c r="A7582" s="1">
        <f t="shared" si="1410"/>
        <v>45603</v>
      </c>
      <c r="B7582" s="31">
        <f>TIME(13,0,0)</f>
        <v>0.54166666666666663</v>
      </c>
      <c r="C7582" t="str">
        <f>'Inventory as of 12th Aug 2024'!A199</f>
        <v>Kdf</v>
      </c>
      <c r="D7582">
        <v>6</v>
      </c>
      <c r="E7582" s="5">
        <f>Table4[[#This Row],[qty]]*(VLOOKUP(Table4[[#This Row],[item_sold]],Table1[],5,FALSE))</f>
        <v>60</v>
      </c>
      <c r="F7582" s="5">
        <f>(VLOOKUP(Table4[[#This Row],[item_sold]],Table1[],4,FALSE))*Table4[[#This Row],[qty]]</f>
        <v>50</v>
      </c>
      <c r="G7582">
        <f t="shared" si="1414"/>
        <v>10</v>
      </c>
      <c r="H7582" t="s">
        <v>402</v>
      </c>
    </row>
    <row r="7583" spans="1:8" x14ac:dyDescent="0.25">
      <c r="A7583" s="1">
        <f t="shared" si="1410"/>
        <v>45603</v>
      </c>
      <c r="B7583" s="31">
        <f>TIME(13,0,0)</f>
        <v>0.54166666666666663</v>
      </c>
      <c r="C7583" t="str">
        <f>'Inventory as of 12th Aug 2024'!A213</f>
        <v>soda 500ml glass</v>
      </c>
      <c r="D7583">
        <v>2</v>
      </c>
      <c r="E7583" s="5">
        <f>Table4[[#This Row],[qty]]*(VLOOKUP(Table4[[#This Row],[item_sold]],Table1[],5,FALSE))</f>
        <v>110</v>
      </c>
      <c r="F7583" s="5">
        <f>(VLOOKUP(Table4[[#This Row],[item_sold]],Table1[],4,FALSE))*Table4[[#This Row],[qty]]</f>
        <v>100</v>
      </c>
      <c r="G7583">
        <f t="shared" si="1414"/>
        <v>10</v>
      </c>
      <c r="H7583" t="s">
        <v>402</v>
      </c>
    </row>
    <row r="7584" spans="1:8" x14ac:dyDescent="0.25">
      <c r="A7584" s="1">
        <f t="shared" si="1410"/>
        <v>45603</v>
      </c>
      <c r="B7584" s="31">
        <f>TIME(13,1,0)</f>
        <v>0.54236111111111118</v>
      </c>
      <c r="C7584" t="str">
        <f>'Inventory as of 12th Aug 2024'!A193</f>
        <v>Ginger Bisquit</v>
      </c>
      <c r="D7584">
        <v>1</v>
      </c>
      <c r="E7584" s="5">
        <f>Table4[[#This Row],[qty]]*(VLOOKUP(Table4[[#This Row],[item_sold]],Table1[],5,FALSE))</f>
        <v>5</v>
      </c>
      <c r="F7584" s="5">
        <f>(VLOOKUP(Table4[[#This Row],[item_sold]],Table1[],4,FALSE))*Table4[[#This Row],[qty]]</f>
        <v>4.333333333333333</v>
      </c>
      <c r="G7584">
        <f t="shared" si="1414"/>
        <v>0.66666666666666696</v>
      </c>
      <c r="H7584" t="s">
        <v>361</v>
      </c>
    </row>
    <row r="7585" spans="1:8" x14ac:dyDescent="0.25">
      <c r="A7585" s="1">
        <f t="shared" si="1410"/>
        <v>45603</v>
      </c>
      <c r="B7585" s="31">
        <f t="shared" ref="B7585:B7587" si="1416">TIME(13,1,0)</f>
        <v>0.54236111111111118</v>
      </c>
      <c r="C7585" t="str">
        <f>'Inventory as of 12th Aug 2024'!A236</f>
        <v>Gomba</v>
      </c>
      <c r="D7585">
        <v>8</v>
      </c>
      <c r="E7585" s="5">
        <f>Table4[[#This Row],[qty]]*(VLOOKUP(Table4[[#This Row],[item_sold]],Table1[],5,FALSE))</f>
        <v>20</v>
      </c>
      <c r="F7585" s="5">
        <f>(VLOOKUP(Table4[[#This Row],[item_sold]],Table1[],4,FALSE))*Table4[[#This Row],[qty]]</f>
        <v>14.4</v>
      </c>
      <c r="G7585">
        <f t="shared" si="1414"/>
        <v>5.6</v>
      </c>
      <c r="H7585" t="s">
        <v>361</v>
      </c>
    </row>
    <row r="7586" spans="1:8" x14ac:dyDescent="0.25">
      <c r="A7586" s="1">
        <f t="shared" si="1410"/>
        <v>45603</v>
      </c>
      <c r="B7586" s="31">
        <f t="shared" si="1416"/>
        <v>0.54236111111111118</v>
      </c>
      <c r="C7586" t="str">
        <f>'Inventory as of 12th Aug 2024'!A215</f>
        <v>Blueband 100g</v>
      </c>
      <c r="D7586">
        <v>1</v>
      </c>
      <c r="E7586" s="5">
        <f>Table4[[#This Row],[qty]]*(VLOOKUP(Table4[[#This Row],[item_sold]],Table1[],5,FALSE))</f>
        <v>70</v>
      </c>
      <c r="F7586" s="5">
        <f>(VLOOKUP(Table4[[#This Row],[item_sold]],Table1[],4,FALSE))*Table4[[#This Row],[qty]]</f>
        <v>58.333333333333336</v>
      </c>
      <c r="G7586">
        <f t="shared" si="1414"/>
        <v>11.666666666666664</v>
      </c>
      <c r="H7586" t="s">
        <v>361</v>
      </c>
    </row>
    <row r="7587" spans="1:8" x14ac:dyDescent="0.25">
      <c r="A7587" s="1">
        <f t="shared" si="1410"/>
        <v>45603</v>
      </c>
      <c r="B7587" s="31">
        <f t="shared" si="1416"/>
        <v>0.54236111111111118</v>
      </c>
      <c r="C7587" t="str">
        <f>'Inventory as of 12th Aug 2024'!A16</f>
        <v>Mt kenya milk 500ml</v>
      </c>
      <c r="D7587">
        <v>1</v>
      </c>
      <c r="E7587" s="5">
        <f>Table4[[#This Row],[qty]]*(VLOOKUP(Table4[[#This Row],[item_sold]],Table1[],5,FALSE))</f>
        <v>65</v>
      </c>
      <c r="F7587" s="5">
        <f>(VLOOKUP(Table4[[#This Row],[item_sold]],Table1[],4,FALSE))*Table4[[#This Row],[qty]]</f>
        <v>48.333333333333336</v>
      </c>
      <c r="G7587">
        <f t="shared" si="1414"/>
        <v>16.666666666666664</v>
      </c>
      <c r="H7587" t="s">
        <v>361</v>
      </c>
    </row>
    <row r="7588" spans="1:8" x14ac:dyDescent="0.25">
      <c r="A7588" s="1">
        <f t="shared" si="1410"/>
        <v>45603</v>
      </c>
      <c r="B7588" s="31">
        <f>TIME(13,12,0)</f>
        <v>0.54999999999999993</v>
      </c>
      <c r="C7588" t="str">
        <f>'Inventory as of 12th Aug 2024'!A58</f>
        <v>Safari</v>
      </c>
      <c r="D7588">
        <v>1</v>
      </c>
      <c r="E7588" s="5">
        <f>Table4[[#This Row],[qty]]*(VLOOKUP(Table4[[#This Row],[item_sold]],Table1[],5,FALSE))</f>
        <v>15</v>
      </c>
      <c r="F7588" s="5">
        <f>(VLOOKUP(Table4[[#This Row],[item_sold]],Table1[],4,FALSE))*Table4[[#This Row],[qty]]</f>
        <v>8.5</v>
      </c>
      <c r="G7588">
        <f t="shared" si="1414"/>
        <v>6.5</v>
      </c>
      <c r="H7588" t="s">
        <v>361</v>
      </c>
    </row>
    <row r="7589" spans="1:8" x14ac:dyDescent="0.25">
      <c r="A7589" s="1">
        <f t="shared" si="1410"/>
        <v>45603</v>
      </c>
      <c r="B7589" s="31">
        <f>TIME(13,51,0)</f>
        <v>0.57708333333333328</v>
      </c>
      <c r="C7589" t="str">
        <f>'Inventory as of 12th Aug 2024'!A58</f>
        <v>Safari</v>
      </c>
      <c r="D7589">
        <v>3</v>
      </c>
      <c r="E7589" s="5">
        <f>Table4[[#This Row],[qty]]*(VLOOKUP(Table4[[#This Row],[item_sold]],Table1[],5,FALSE))</f>
        <v>45</v>
      </c>
      <c r="F7589" s="5">
        <f>(VLOOKUP(Table4[[#This Row],[item_sold]],Table1[],4,FALSE))*Table4[[#This Row],[qty]]</f>
        <v>25.5</v>
      </c>
      <c r="G7589">
        <f t="shared" si="1414"/>
        <v>19.5</v>
      </c>
      <c r="H7589" t="s">
        <v>402</v>
      </c>
    </row>
    <row r="7590" spans="1:8" x14ac:dyDescent="0.25">
      <c r="A7590" s="1">
        <f t="shared" si="1410"/>
        <v>45603</v>
      </c>
      <c r="B7590" s="31">
        <f>TIME(13,54,0)</f>
        <v>0.57916666666666672</v>
      </c>
      <c r="C7590" t="str">
        <f>'Inventory as of 12th Aug 2024'!A58</f>
        <v>Safari</v>
      </c>
      <c r="D7590">
        <v>2</v>
      </c>
      <c r="E7590" s="5">
        <f>Table4[[#This Row],[qty]]*(VLOOKUP(Table4[[#This Row],[item_sold]],Table1[],5,FALSE))</f>
        <v>30</v>
      </c>
      <c r="F7590" s="5">
        <f>(VLOOKUP(Table4[[#This Row],[item_sold]],Table1[],4,FALSE))*Table4[[#This Row],[qty]]</f>
        <v>17</v>
      </c>
      <c r="G7590">
        <f t="shared" si="1414"/>
        <v>13</v>
      </c>
      <c r="H7590" s="25" t="s">
        <v>402</v>
      </c>
    </row>
    <row r="7591" spans="1:8" x14ac:dyDescent="0.25">
      <c r="A7591" s="1">
        <f t="shared" si="1410"/>
        <v>45603</v>
      </c>
      <c r="B7591" s="31">
        <f>TIME(13,55,0)</f>
        <v>0.57986111111111105</v>
      </c>
      <c r="C7591" t="str">
        <f>'Inventory as of 12th Aug 2024'!A121</f>
        <v>Panadol Extra</v>
      </c>
      <c r="D7591">
        <v>1</v>
      </c>
      <c r="E7591" s="5">
        <f>Table4[[#This Row],[qty]]*(VLOOKUP(Table4[[#This Row],[item_sold]],Table1[],5,FALSE))</f>
        <v>20</v>
      </c>
      <c r="F7591" s="5">
        <f>(VLOOKUP(Table4[[#This Row],[item_sold]],Table1[],4,FALSE))*Table4[[#This Row],[qty]]</f>
        <v>13</v>
      </c>
      <c r="G7591">
        <f t="shared" si="1414"/>
        <v>7</v>
      </c>
      <c r="H7591" t="s">
        <v>361</v>
      </c>
    </row>
    <row r="7592" spans="1:8" x14ac:dyDescent="0.25">
      <c r="A7592" s="1">
        <f t="shared" si="1410"/>
        <v>45603</v>
      </c>
      <c r="B7592" s="31">
        <f>TIME(14,52,0)</f>
        <v>0.61944444444444446</v>
      </c>
      <c r="C7592" t="str">
        <f>'Inventory as of 12th Aug 2024'!A58</f>
        <v>Safari</v>
      </c>
      <c r="D7592">
        <v>1</v>
      </c>
      <c r="E7592" s="5">
        <f>Table4[[#This Row],[qty]]*(VLOOKUP(Table4[[#This Row],[item_sold]],Table1[],5,FALSE))</f>
        <v>15</v>
      </c>
      <c r="F7592" s="5">
        <f>(VLOOKUP(Table4[[#This Row],[item_sold]],Table1[],4,FALSE))*Table4[[#This Row],[qty]]</f>
        <v>8.5</v>
      </c>
      <c r="G7592">
        <f t="shared" si="1414"/>
        <v>6.5</v>
      </c>
      <c r="H7592" t="s">
        <v>361</v>
      </c>
    </row>
    <row r="7593" spans="1:8" x14ac:dyDescent="0.25">
      <c r="A7593" s="1">
        <f t="shared" si="1410"/>
        <v>45603</v>
      </c>
      <c r="B7593" s="31">
        <f>TIME(15,9,0)</f>
        <v>0.63124999999999998</v>
      </c>
      <c r="C7593" t="str">
        <f>'Inventory as of 12th Aug 2024'!A5</f>
        <v>Airtel 20 Credit</v>
      </c>
      <c r="D7593">
        <v>4</v>
      </c>
      <c r="E7593" s="5">
        <f>Table4[[#This Row],[qty]]*(VLOOKUP(Table4[[#This Row],[item_sold]],Table1[],5,FALSE))</f>
        <v>80</v>
      </c>
      <c r="F7593" s="5">
        <f>(VLOOKUP(Table4[[#This Row],[item_sold]],Table1[],4,FALSE))*Table4[[#This Row],[qty]]</f>
        <v>72</v>
      </c>
      <c r="G7593">
        <f t="shared" si="1414"/>
        <v>8</v>
      </c>
      <c r="H7593" t="s">
        <v>402</v>
      </c>
    </row>
    <row r="7594" spans="1:8" x14ac:dyDescent="0.25">
      <c r="A7594" s="1">
        <f t="shared" si="1410"/>
        <v>45603</v>
      </c>
      <c r="B7594" s="31">
        <f>TIME(15,12,0)</f>
        <v>0.6333333333333333</v>
      </c>
      <c r="C7594" t="str">
        <f>'Inventory as of 12th Aug 2024'!A42</f>
        <v>Indomie chicken</v>
      </c>
      <c r="D7594">
        <v>1</v>
      </c>
      <c r="E7594" s="5">
        <f>Table4[[#This Row],[qty]]*(VLOOKUP(Table4[[#This Row],[item_sold]],Table1[],5,FALSE))</f>
        <v>50</v>
      </c>
      <c r="F7594" s="5">
        <f>(VLOOKUP(Table4[[#This Row],[item_sold]],Table1[],4,FALSE))*Table4[[#This Row],[qty]]</f>
        <v>37.5</v>
      </c>
      <c r="G7594">
        <f t="shared" si="1414"/>
        <v>12.5</v>
      </c>
      <c r="H7594" t="s">
        <v>402</v>
      </c>
    </row>
    <row r="7595" spans="1:8" x14ac:dyDescent="0.25">
      <c r="A7595" s="1">
        <f t="shared" si="1410"/>
        <v>45603</v>
      </c>
      <c r="B7595" s="31">
        <f>TIME(15,29,0)</f>
        <v>0.64513888888888882</v>
      </c>
      <c r="C7595" t="str">
        <f>'Inventory as of 12th Aug 2024'!A267</f>
        <v>Ting Ting</v>
      </c>
      <c r="D7595">
        <v>2</v>
      </c>
      <c r="E7595" s="5">
        <f>Table4[[#This Row],[qty]]*(VLOOKUP(Table4[[#This Row],[item_sold]],Table1[],5,FALSE))</f>
        <v>10</v>
      </c>
      <c r="F7595" s="5">
        <f>(VLOOKUP(Table4[[#This Row],[item_sold]],Table1[],4,FALSE))*Table4[[#This Row],[qty]]</f>
        <v>8.1199999999999992</v>
      </c>
      <c r="G7595">
        <f t="shared" si="1414"/>
        <v>1.8800000000000008</v>
      </c>
      <c r="H7595" t="s">
        <v>402</v>
      </c>
    </row>
    <row r="7596" spans="1:8" x14ac:dyDescent="0.25">
      <c r="A7596" s="1">
        <f t="shared" si="1410"/>
        <v>45603</v>
      </c>
      <c r="B7596" s="31">
        <f>TIME(16,1,0)</f>
        <v>0.66736111111111107</v>
      </c>
      <c r="C7596" t="str">
        <f>'Inventory as of 12th Aug 2024'!A199</f>
        <v>Kdf</v>
      </c>
      <c r="D7596">
        <v>6</v>
      </c>
      <c r="E7596" s="5">
        <f>Table4[[#This Row],[qty]]*(VLOOKUP(Table4[[#This Row],[item_sold]],Table1[],5,FALSE))</f>
        <v>60</v>
      </c>
      <c r="F7596" s="5">
        <f>(VLOOKUP(Table4[[#This Row],[item_sold]],Table1[],4,FALSE))*Table4[[#This Row],[qty]]</f>
        <v>50</v>
      </c>
      <c r="G7596">
        <f t="shared" si="1414"/>
        <v>10</v>
      </c>
      <c r="H7596" t="s">
        <v>402</v>
      </c>
    </row>
    <row r="7597" spans="1:8" x14ac:dyDescent="0.25">
      <c r="A7597" s="1">
        <f t="shared" si="1410"/>
        <v>45603</v>
      </c>
      <c r="B7597" s="31">
        <f>TIME(16,20,0)</f>
        <v>0.68055555555555547</v>
      </c>
      <c r="C7597" t="str">
        <f>'Inventory as of 12th Aug 2024'!A16</f>
        <v>Mt kenya milk 500ml</v>
      </c>
      <c r="D7597">
        <v>1</v>
      </c>
      <c r="E7597" s="5">
        <f>Table4[[#This Row],[qty]]*(VLOOKUP(Table4[[#This Row],[item_sold]],Table1[],5,FALSE))</f>
        <v>65</v>
      </c>
      <c r="F7597" s="5">
        <f>(VLOOKUP(Table4[[#This Row],[item_sold]],Table1[],4,FALSE))*Table4[[#This Row],[qty]]</f>
        <v>48.333333333333336</v>
      </c>
      <c r="G7597">
        <f t="shared" si="1414"/>
        <v>16.666666666666664</v>
      </c>
      <c r="H7597" t="s">
        <v>402</v>
      </c>
    </row>
    <row r="7598" spans="1:8" x14ac:dyDescent="0.25">
      <c r="A7598" s="1">
        <f t="shared" si="1410"/>
        <v>45603</v>
      </c>
      <c r="B7598" s="31">
        <f>TIME(16,25,0)</f>
        <v>0.68402777777777779</v>
      </c>
      <c r="C7598" t="str">
        <f>'Inventory as of 12th Aug 2024'!A242</f>
        <v>Icepop</v>
      </c>
      <c r="D7598">
        <v>1</v>
      </c>
      <c r="E7598" s="5">
        <f>Table4[[#This Row],[qty]]*(VLOOKUP(Table4[[#This Row],[item_sold]],Table1[],5,FALSE))</f>
        <v>15</v>
      </c>
      <c r="F7598" s="5">
        <f>(VLOOKUP(Table4[[#This Row],[item_sold]],Table1[],4,FALSE))*Table4[[#This Row],[qty]]</f>
        <v>7.5</v>
      </c>
      <c r="G7598">
        <f t="shared" si="1414"/>
        <v>7.5</v>
      </c>
      <c r="H7598" t="s">
        <v>402</v>
      </c>
    </row>
    <row r="7599" spans="1:8" x14ac:dyDescent="0.25">
      <c r="A7599" s="1">
        <f t="shared" si="1410"/>
        <v>45603</v>
      </c>
      <c r="B7599" s="31">
        <f>TIME(16,25,0)</f>
        <v>0.68402777777777779</v>
      </c>
      <c r="C7599" t="str">
        <f>'Inventory as of 12th Aug 2024'!A267</f>
        <v>Ting Ting</v>
      </c>
      <c r="D7599">
        <v>2</v>
      </c>
      <c r="E7599" s="5">
        <f>Table4[[#This Row],[qty]]*(VLOOKUP(Table4[[#This Row],[item_sold]],Table1[],5,FALSE))</f>
        <v>10</v>
      </c>
      <c r="F7599" s="5">
        <f>(VLOOKUP(Table4[[#This Row],[item_sold]],Table1[],4,FALSE))*Table4[[#This Row],[qty]]</f>
        <v>8.1199999999999992</v>
      </c>
      <c r="G7599">
        <f t="shared" si="1414"/>
        <v>1.8800000000000008</v>
      </c>
      <c r="H7599" t="s">
        <v>402</v>
      </c>
    </row>
    <row r="7600" spans="1:8" x14ac:dyDescent="0.25">
      <c r="A7600" s="1">
        <f t="shared" si="1410"/>
        <v>45603</v>
      </c>
      <c r="B7600" s="31">
        <f>TIME(16,25,0)</f>
        <v>0.68402777777777779</v>
      </c>
      <c r="C7600" t="str">
        <f>'Inventory as of 12th Aug 2024'!A240</f>
        <v>Bigboss</v>
      </c>
      <c r="D7600">
        <v>1</v>
      </c>
      <c r="E7600" s="5">
        <f>Table4[[#This Row],[qty]]*(VLOOKUP(Table4[[#This Row],[item_sold]],Table1[],5,FALSE))</f>
        <v>5</v>
      </c>
      <c r="F7600" s="5">
        <f>(VLOOKUP(Table4[[#This Row],[item_sold]],Table1[],4,FALSE))*Table4[[#This Row],[qty]]</f>
        <v>3.5</v>
      </c>
      <c r="G7600">
        <f t="shared" si="1414"/>
        <v>1.5</v>
      </c>
      <c r="H7600" t="s">
        <v>402</v>
      </c>
    </row>
    <row r="7601" spans="1:12" x14ac:dyDescent="0.25">
      <c r="A7601" s="1">
        <f t="shared" si="1410"/>
        <v>45603</v>
      </c>
      <c r="B7601" s="31">
        <f>TIME(18,11,0)</f>
        <v>0.75763888888888886</v>
      </c>
      <c r="C7601" t="str">
        <f>'Inventory as of 12th Aug 2024'!A58</f>
        <v>Safari</v>
      </c>
      <c r="D7601">
        <v>1</v>
      </c>
      <c r="E7601" s="5">
        <f>Table4[[#This Row],[qty]]*(VLOOKUP(Table4[[#This Row],[item_sold]],Table1[],5,FALSE))</f>
        <v>15</v>
      </c>
      <c r="F7601" s="5">
        <f>(VLOOKUP(Table4[[#This Row],[item_sold]],Table1[],4,FALSE))*Table4[[#This Row],[qty]]</f>
        <v>8.5</v>
      </c>
      <c r="G7601">
        <f t="shared" si="1414"/>
        <v>6.5</v>
      </c>
      <c r="H7601" t="s">
        <v>361</v>
      </c>
    </row>
    <row r="7602" spans="1:12" x14ac:dyDescent="0.25">
      <c r="A7602" s="1">
        <f t="shared" si="1410"/>
        <v>45603</v>
      </c>
      <c r="B7602" s="31">
        <f>TIME(18,30,0)</f>
        <v>0.77083333333333337</v>
      </c>
      <c r="C7602" t="str">
        <f>'Inventory as of 12th Aug 2024'!A124</f>
        <v>Kaluma King</v>
      </c>
      <c r="D7602">
        <v>1</v>
      </c>
      <c r="E7602" s="5">
        <f>Table4[[#This Row],[qty]]*(VLOOKUP(Table4[[#This Row],[item_sold]],Table1[],5,FALSE))</f>
        <v>20</v>
      </c>
      <c r="F7602" s="5">
        <f>(VLOOKUP(Table4[[#This Row],[item_sold]],Table1[],4,FALSE))*Table4[[#This Row],[qty]]</f>
        <v>13</v>
      </c>
      <c r="G7602">
        <f t="shared" si="1414"/>
        <v>7</v>
      </c>
      <c r="H7602" t="s">
        <v>402</v>
      </c>
    </row>
    <row r="7603" spans="1:12" x14ac:dyDescent="0.25">
      <c r="A7603" s="1">
        <f t="shared" si="1410"/>
        <v>45603</v>
      </c>
      <c r="B7603" s="31">
        <f t="shared" ref="B7603:B7604" si="1417">TIME(18,30,0)</f>
        <v>0.77083333333333337</v>
      </c>
      <c r="C7603" t="str">
        <f>'Inventory as of 12th Aug 2024'!A31</f>
        <v>Drinking Chocolate 20g</v>
      </c>
      <c r="D7603">
        <v>1</v>
      </c>
      <c r="E7603" s="5">
        <f>Table4[[#This Row],[qty]]*(VLOOKUP(Table4[[#This Row],[item_sold]],Table1[],5,FALSE))</f>
        <v>20</v>
      </c>
      <c r="F7603" s="5">
        <f>(VLOOKUP(Table4[[#This Row],[item_sold]],Table1[],4,FALSE))*Table4[[#This Row],[qty]]</f>
        <v>10.416666666666666</v>
      </c>
      <c r="G7603">
        <f t="shared" si="1414"/>
        <v>9.5833333333333339</v>
      </c>
      <c r="H7603" t="s">
        <v>402</v>
      </c>
    </row>
    <row r="7604" spans="1:12" x14ac:dyDescent="0.25">
      <c r="A7604" s="1">
        <f t="shared" si="1410"/>
        <v>45603</v>
      </c>
      <c r="B7604" s="31">
        <f t="shared" si="1417"/>
        <v>0.77083333333333337</v>
      </c>
      <c r="C7604" t="str">
        <f>'Inventory as of 12th Aug 2024'!A107</f>
        <v>Match Box</v>
      </c>
      <c r="D7604">
        <v>2</v>
      </c>
      <c r="E7604" s="5">
        <f>Table4[[#This Row],[qty]]*(VLOOKUP(Table4[[#This Row],[item_sold]],Table1[],5,FALSE))</f>
        <v>10</v>
      </c>
      <c r="F7604" s="5">
        <f>(VLOOKUP(Table4[[#This Row],[item_sold]],Table1[],4,FALSE))*Table4[[#This Row],[qty]]</f>
        <v>4.7222222222222223</v>
      </c>
      <c r="G7604">
        <f t="shared" si="1414"/>
        <v>5.2777777777777777</v>
      </c>
      <c r="H7604" t="s">
        <v>402</v>
      </c>
    </row>
    <row r="7605" spans="1:12" x14ac:dyDescent="0.25">
      <c r="A7605" s="1">
        <f t="shared" si="1410"/>
        <v>45603</v>
      </c>
      <c r="B7605" s="31">
        <f>TIME(18,36,0)</f>
        <v>0.77500000000000002</v>
      </c>
      <c r="C7605" t="str">
        <f>'Inventory as of 12th Aug 2024'!A199</f>
        <v>Kdf</v>
      </c>
      <c r="D7605">
        <v>1</v>
      </c>
      <c r="E7605" s="5">
        <f>Table4[[#This Row],[qty]]*(VLOOKUP(Table4[[#This Row],[item_sold]],Table1[],5,FALSE))</f>
        <v>10</v>
      </c>
      <c r="F7605" s="5">
        <f>(VLOOKUP(Table4[[#This Row],[item_sold]],Table1[],4,FALSE))*Table4[[#This Row],[qty]]</f>
        <v>8.3333333333333339</v>
      </c>
      <c r="G7605">
        <f t="shared" si="1414"/>
        <v>1.6666666666666661</v>
      </c>
      <c r="H7605" t="s">
        <v>361</v>
      </c>
      <c r="J7605" t="s">
        <v>385</v>
      </c>
      <c r="K7605">
        <v>140</v>
      </c>
      <c r="L7605" t="s">
        <v>361</v>
      </c>
    </row>
    <row r="7606" spans="1:12" x14ac:dyDescent="0.25">
      <c r="A7606" s="1">
        <f t="shared" si="1410"/>
        <v>45603</v>
      </c>
      <c r="B7606" s="31">
        <f t="shared" ref="B7606:B7607" si="1418">TIME(18,36,0)</f>
        <v>0.77500000000000002</v>
      </c>
      <c r="C7606" t="str">
        <f>'Inventory as of 12th Aug 2024'!A267</f>
        <v>Ting Ting</v>
      </c>
      <c r="D7606">
        <v>2</v>
      </c>
      <c r="E7606" s="5">
        <f>Table4[[#This Row],[qty]]*(VLOOKUP(Table4[[#This Row],[item_sold]],Table1[],5,FALSE))</f>
        <v>10</v>
      </c>
      <c r="F7606" s="5">
        <f>(VLOOKUP(Table4[[#This Row],[item_sold]],Table1[],4,FALSE))*Table4[[#This Row],[qty]]</f>
        <v>8.1199999999999992</v>
      </c>
      <c r="G7606">
        <f t="shared" si="1414"/>
        <v>1.8800000000000008</v>
      </c>
      <c r="H7606" t="s">
        <v>361</v>
      </c>
    </row>
    <row r="7607" spans="1:12" x14ac:dyDescent="0.25">
      <c r="A7607" s="1">
        <f t="shared" si="1410"/>
        <v>45603</v>
      </c>
      <c r="B7607" s="31">
        <f t="shared" si="1418"/>
        <v>0.77500000000000002</v>
      </c>
      <c r="C7607" t="str">
        <f>'Inventory as of 12th Aug 2024'!A239</f>
        <v>Gumballs</v>
      </c>
      <c r="D7607">
        <v>5</v>
      </c>
      <c r="E7607" s="5">
        <f>Table4[[#This Row],[qty]]*(VLOOKUP(Table4[[#This Row],[item_sold]],Table1[],5,FALSE))</f>
        <v>5</v>
      </c>
      <c r="F7607" s="5">
        <f>(VLOOKUP(Table4[[#This Row],[item_sold]],Table1[],4,FALSE))*Table4[[#This Row],[qty]]</f>
        <v>3.5</v>
      </c>
      <c r="G7607">
        <f t="shared" si="1414"/>
        <v>1.5</v>
      </c>
      <c r="H7607" t="s">
        <v>361</v>
      </c>
    </row>
    <row r="7608" spans="1:12" x14ac:dyDescent="0.25">
      <c r="A7608" s="1">
        <f t="shared" si="1410"/>
        <v>45603</v>
      </c>
      <c r="B7608" s="31">
        <f>TIME(18,30,0)</f>
        <v>0.77083333333333337</v>
      </c>
      <c r="C7608" t="str">
        <f>'Inventory as of 12th Aug 2024'!A99</f>
        <v>spinach</v>
      </c>
      <c r="D7608">
        <v>5</v>
      </c>
      <c r="E7608" s="5">
        <f>Table4[[#This Row],[qty]]*(VLOOKUP(Table4[[#This Row],[item_sold]],Table1[],5,FALSE))</f>
        <v>100</v>
      </c>
      <c r="F7608" s="5">
        <f>(VLOOKUP(Table4[[#This Row],[item_sold]],Table1[],4,FALSE))*Table4[[#This Row],[qty]]</f>
        <v>50</v>
      </c>
      <c r="G7608">
        <f t="shared" si="1414"/>
        <v>50</v>
      </c>
      <c r="H7608" t="s">
        <v>430</v>
      </c>
      <c r="I7608" t="s">
        <v>390</v>
      </c>
    </row>
    <row r="7609" spans="1:12" x14ac:dyDescent="0.25">
      <c r="A7609" s="1">
        <f t="shared" si="1410"/>
        <v>45603</v>
      </c>
      <c r="B7609" s="31">
        <f>TIME(18,57,0)</f>
        <v>0.7895833333333333</v>
      </c>
      <c r="C7609" t="str">
        <f>'Inventory as of 12th Aug 2024'!A214</f>
        <v>smash juice</v>
      </c>
      <c r="D7609">
        <v>2</v>
      </c>
      <c r="E7609" s="5">
        <f>Table4[[#This Row],[qty]]*(VLOOKUP(Table4[[#This Row],[item_sold]],Table1[],5,FALSE))</f>
        <v>40</v>
      </c>
      <c r="F7609" s="5">
        <f>(VLOOKUP(Table4[[#This Row],[item_sold]],Table1[],4,FALSE))*Table4[[#This Row],[qty]]</f>
        <v>30</v>
      </c>
      <c r="G7609">
        <f t="shared" si="1414"/>
        <v>10</v>
      </c>
      <c r="H7609" t="s">
        <v>361</v>
      </c>
    </row>
    <row r="7610" spans="1:12" x14ac:dyDescent="0.25">
      <c r="A7610" s="1">
        <f t="shared" si="1410"/>
        <v>45603</v>
      </c>
      <c r="B7610" s="31">
        <f t="shared" ref="B7610:B7614" si="1419">TIME(18,57,0)</f>
        <v>0.7895833333333333</v>
      </c>
      <c r="C7610" t="str">
        <f>'Inventory as of 12th Aug 2024'!A50</f>
        <v>Pishori rice</v>
      </c>
      <c r="D7610">
        <v>1</v>
      </c>
      <c r="E7610" s="5">
        <f>Table4[[#This Row],[qty]]*(VLOOKUP(Table4[[#This Row],[item_sold]],Table1[],5,FALSE))</f>
        <v>220</v>
      </c>
      <c r="F7610" s="5">
        <f>(VLOOKUP(Table4[[#This Row],[item_sold]],Table1[],4,FALSE))*Table4[[#This Row],[qty]]</f>
        <v>180</v>
      </c>
      <c r="G7610">
        <f t="shared" si="1414"/>
        <v>40</v>
      </c>
      <c r="H7610" t="s">
        <v>361</v>
      </c>
    </row>
    <row r="7611" spans="1:12" x14ac:dyDescent="0.25">
      <c r="A7611" s="1">
        <f t="shared" si="1410"/>
        <v>45603</v>
      </c>
      <c r="B7611" s="31">
        <f t="shared" si="1419"/>
        <v>0.7895833333333333</v>
      </c>
      <c r="C7611" t="str">
        <f>'Inventory as of 12th Aug 2024'!A192</f>
        <v>Lemon Bisquit</v>
      </c>
      <c r="D7611">
        <v>1</v>
      </c>
      <c r="E7611" s="5">
        <f>Table4[[#This Row],[qty]]*(VLOOKUP(Table4[[#This Row],[item_sold]],Table1[],5,FALSE))</f>
        <v>5</v>
      </c>
      <c r="F7611" s="5">
        <f>(VLOOKUP(Table4[[#This Row],[item_sold]],Table1[],4,FALSE))*Table4[[#This Row],[qty]]</f>
        <v>4.333333333333333</v>
      </c>
      <c r="G7611">
        <f t="shared" si="1414"/>
        <v>0.66666666666666696</v>
      </c>
      <c r="H7611" t="s">
        <v>361</v>
      </c>
    </row>
    <row r="7612" spans="1:12" x14ac:dyDescent="0.25">
      <c r="A7612" s="1">
        <f t="shared" si="1410"/>
        <v>45603</v>
      </c>
      <c r="B7612" s="31">
        <f t="shared" si="1419"/>
        <v>0.7895833333333333</v>
      </c>
      <c r="C7612" t="str">
        <f>'Inventory as of 12th Aug 2024'!A193</f>
        <v>Ginger Bisquit</v>
      </c>
      <c r="D7612">
        <v>1</v>
      </c>
      <c r="E7612" s="5">
        <f>Table4[[#This Row],[qty]]*(VLOOKUP(Table4[[#This Row],[item_sold]],Table1[],5,FALSE))</f>
        <v>5</v>
      </c>
      <c r="F7612" s="5">
        <f>(VLOOKUP(Table4[[#This Row],[item_sold]],Table1[],4,FALSE))*Table4[[#This Row],[qty]]</f>
        <v>4.333333333333333</v>
      </c>
      <c r="G7612">
        <f t="shared" si="1414"/>
        <v>0.66666666666666696</v>
      </c>
      <c r="H7612" t="s">
        <v>361</v>
      </c>
    </row>
    <row r="7613" spans="1:12" x14ac:dyDescent="0.25">
      <c r="A7613" s="1">
        <f t="shared" si="1410"/>
        <v>45603</v>
      </c>
      <c r="B7613" s="31">
        <f t="shared" si="1419"/>
        <v>0.7895833333333333</v>
      </c>
      <c r="C7613" t="str">
        <f>'Inventory as of 12th Aug 2024'!A271</f>
        <v>Star Cream Bisquit</v>
      </c>
      <c r="D7613">
        <v>1</v>
      </c>
      <c r="E7613" s="5">
        <f>Table4[[#This Row],[qty]]*(VLOOKUP(Table4[[#This Row],[item_sold]],Table1[],5,FALSE))</f>
        <v>5</v>
      </c>
      <c r="F7613" s="5">
        <f>(VLOOKUP(Table4[[#This Row],[item_sold]],Table1[],4,FALSE))*Table4[[#This Row],[qty]]</f>
        <v>4.2333333333333334</v>
      </c>
      <c r="G7613">
        <f t="shared" si="1414"/>
        <v>0.76666666666666661</v>
      </c>
      <c r="H7613" t="s">
        <v>361</v>
      </c>
    </row>
    <row r="7614" spans="1:12" x14ac:dyDescent="0.25">
      <c r="A7614" s="1">
        <f t="shared" si="1410"/>
        <v>45603</v>
      </c>
      <c r="B7614" s="31">
        <f t="shared" si="1419"/>
        <v>0.7895833333333333</v>
      </c>
      <c r="C7614" t="str">
        <f>'Inventory as of 12th Aug 2024'!A37</f>
        <v>Festive Bread 400g</v>
      </c>
      <c r="D7614">
        <v>1</v>
      </c>
      <c r="E7614" s="5">
        <f>Table4[[#This Row],[qty]]*(VLOOKUP(Table4[[#This Row],[item_sold]],Table1[],5,FALSE))</f>
        <v>65</v>
      </c>
      <c r="F7614" s="5">
        <f>(VLOOKUP(Table4[[#This Row],[item_sold]],Table1[],4,FALSE))*Table4[[#This Row],[qty]]</f>
        <v>60</v>
      </c>
      <c r="G7614">
        <f t="shared" si="1414"/>
        <v>5</v>
      </c>
      <c r="H7614" t="s">
        <v>361</v>
      </c>
    </row>
    <row r="7615" spans="1:12" x14ac:dyDescent="0.25">
      <c r="A7615" s="1">
        <f t="shared" si="1410"/>
        <v>45603</v>
      </c>
      <c r="B7615" s="31">
        <f>TIME(19,4,0)</f>
        <v>0.7944444444444444</v>
      </c>
      <c r="C7615" t="str">
        <f>'Inventory as of 12th Aug 2024'!A91</f>
        <v>Tomatoes</v>
      </c>
      <c r="D7615">
        <v>5</v>
      </c>
      <c r="E7615" s="5">
        <f>Table4[[#This Row],[qty]]*(VLOOKUP(Table4[[#This Row],[item_sold]],Table1[],5,FALSE))</f>
        <v>50</v>
      </c>
      <c r="F7615" s="5">
        <f>(VLOOKUP(Table4[[#This Row],[item_sold]],Table1[],4,FALSE))*Table4[[#This Row],[qty]]</f>
        <v>25</v>
      </c>
      <c r="G7615">
        <f t="shared" si="1414"/>
        <v>25</v>
      </c>
      <c r="H7615" t="s">
        <v>361</v>
      </c>
    </row>
    <row r="7616" spans="1:12" x14ac:dyDescent="0.25">
      <c r="A7616" s="1">
        <f t="shared" si="1410"/>
        <v>45603</v>
      </c>
      <c r="B7616" s="31">
        <f>TIME(19,4,0)</f>
        <v>0.7944444444444444</v>
      </c>
      <c r="C7616" t="str">
        <f>'Inventory as of 12th Aug 2024'!A107</f>
        <v>Match Box</v>
      </c>
      <c r="D7616">
        <v>1</v>
      </c>
      <c r="E7616" s="5">
        <f>Table4[[#This Row],[qty]]*(VLOOKUP(Table4[[#This Row],[item_sold]],Table1[],5,FALSE))</f>
        <v>5</v>
      </c>
      <c r="F7616" s="5">
        <f>(VLOOKUP(Table4[[#This Row],[item_sold]],Table1[],4,FALSE))*Table4[[#This Row],[qty]]</f>
        <v>2.3611111111111112</v>
      </c>
      <c r="G7616">
        <f t="shared" si="1414"/>
        <v>2.6388888888888888</v>
      </c>
      <c r="H7616" t="s">
        <v>361</v>
      </c>
    </row>
    <row r="7617" spans="1:12" x14ac:dyDescent="0.25">
      <c r="A7617" s="1">
        <f t="shared" si="1410"/>
        <v>45603</v>
      </c>
      <c r="B7617" s="31">
        <f>TIME(19,35,0)</f>
        <v>0.81597222222222221</v>
      </c>
      <c r="C7617" t="str">
        <f>'Inventory as of 12th Aug 2024'!A8</f>
        <v>eggs</v>
      </c>
      <c r="D7617">
        <v>4</v>
      </c>
      <c r="E7617" s="5">
        <f>Table4[[#This Row],[qty]]*(VLOOKUP(Table4[[#This Row],[item_sold]],Table1[],5,FALSE))</f>
        <v>80</v>
      </c>
      <c r="F7617" s="5">
        <f>(VLOOKUP(Table4[[#This Row],[item_sold]],Table1[],4,FALSE))*Table4[[#This Row],[qty]]</f>
        <v>57.333333333333336</v>
      </c>
      <c r="G7617">
        <f t="shared" si="1414"/>
        <v>22.666666666666664</v>
      </c>
      <c r="H7617" t="s">
        <v>402</v>
      </c>
    </row>
    <row r="7618" spans="1:12" x14ac:dyDescent="0.25">
      <c r="A7618" s="1">
        <f t="shared" si="1410"/>
        <v>45603</v>
      </c>
      <c r="B7618" s="31">
        <f>TIME(19,37,0)</f>
        <v>0.81736111111111109</v>
      </c>
      <c r="C7618" t="str">
        <f>'Inventory as of 12th Aug 2024'!A8</f>
        <v>eggs</v>
      </c>
      <c r="D7618">
        <v>4</v>
      </c>
      <c r="E7618" s="5">
        <f>Table4[[#This Row],[qty]]*(VLOOKUP(Table4[[#This Row],[item_sold]],Table1[],5,FALSE))</f>
        <v>80</v>
      </c>
      <c r="F7618" s="5">
        <f>(VLOOKUP(Table4[[#This Row],[item_sold]],Table1[],4,FALSE))*Table4[[#This Row],[qty]]</f>
        <v>57.333333333333336</v>
      </c>
      <c r="G7618">
        <f t="shared" si="1414"/>
        <v>22.666666666666664</v>
      </c>
      <c r="H7618" t="s">
        <v>430</v>
      </c>
      <c r="I7618" t="s">
        <v>456</v>
      </c>
    </row>
    <row r="7619" spans="1:12" x14ac:dyDescent="0.25">
      <c r="A7619" s="1">
        <f t="shared" si="1410"/>
        <v>45603</v>
      </c>
      <c r="B7619" s="31">
        <f>TIME(19,40,0)</f>
        <v>0.81944444444444453</v>
      </c>
      <c r="C7619" t="str">
        <f>'Inventory as of 12th Aug 2024'!A267</f>
        <v>Ting Ting</v>
      </c>
      <c r="D7619">
        <v>1</v>
      </c>
      <c r="E7619" s="5">
        <f>Table4[[#This Row],[qty]]*(VLOOKUP(Table4[[#This Row],[item_sold]],Table1[],5,FALSE))</f>
        <v>5</v>
      </c>
      <c r="F7619" s="5">
        <f>(VLOOKUP(Table4[[#This Row],[item_sold]],Table1[],4,FALSE))*Table4[[#This Row],[qty]]</f>
        <v>4.0599999999999996</v>
      </c>
      <c r="G7619">
        <f t="shared" si="1414"/>
        <v>0.94000000000000039</v>
      </c>
      <c r="H7619" t="s">
        <v>402</v>
      </c>
    </row>
    <row r="7620" spans="1:12" x14ac:dyDescent="0.25">
      <c r="A7620" s="1">
        <f t="shared" si="1410"/>
        <v>45603</v>
      </c>
      <c r="B7620" s="31">
        <f>TIME(19,40,0)</f>
        <v>0.81944444444444453</v>
      </c>
      <c r="C7620" t="str">
        <f>'Inventory as of 12th Aug 2024'!A193</f>
        <v>Ginger Bisquit</v>
      </c>
      <c r="D7620">
        <v>2</v>
      </c>
      <c r="E7620" s="5">
        <f>Table4[[#This Row],[qty]]*(VLOOKUP(Table4[[#This Row],[item_sold]],Table1[],5,FALSE))</f>
        <v>10</v>
      </c>
      <c r="F7620" s="5">
        <f>(VLOOKUP(Table4[[#This Row],[item_sold]],Table1[],4,FALSE))*Table4[[#This Row],[qty]]</f>
        <v>8.6666666666666661</v>
      </c>
      <c r="G7620">
        <f t="shared" si="1414"/>
        <v>1.3333333333333339</v>
      </c>
      <c r="H7620" t="s">
        <v>402</v>
      </c>
    </row>
    <row r="7621" spans="1:12" x14ac:dyDescent="0.25">
      <c r="A7621" s="1">
        <f t="shared" si="1410"/>
        <v>45603</v>
      </c>
      <c r="B7621" s="31">
        <f t="shared" ref="B7621" si="1420">TIME(19,40,0)</f>
        <v>0.81944444444444453</v>
      </c>
      <c r="C7621" t="str">
        <f>'Inventory as of 12th Aug 2024'!A190</f>
        <v>Goodday Cookies</v>
      </c>
      <c r="D7621">
        <v>1</v>
      </c>
      <c r="E7621" s="5">
        <f>Table4[[#This Row],[qty]]*(VLOOKUP(Table4[[#This Row],[item_sold]],Table1[],5,FALSE))</f>
        <v>15</v>
      </c>
      <c r="F7621" s="5">
        <f>(VLOOKUP(Table4[[#This Row],[item_sold]],Table1[],4,FALSE))*Table4[[#This Row],[qty]]</f>
        <v>9.3333333333333339</v>
      </c>
      <c r="G7621">
        <f t="shared" si="1414"/>
        <v>5.6666666666666661</v>
      </c>
      <c r="H7621" t="s">
        <v>402</v>
      </c>
    </row>
    <row r="7622" spans="1:12" x14ac:dyDescent="0.25">
      <c r="A7622" s="1">
        <f t="shared" ref="A7622:A7625" si="1421">DATE(2024,11,7)</f>
        <v>45603</v>
      </c>
      <c r="B7622" s="31">
        <f>TIME(19,45,0)</f>
        <v>0.82291666666666663</v>
      </c>
      <c r="C7622" t="str">
        <f>'Inventory as of 12th Aug 2024'!A58</f>
        <v>Safari</v>
      </c>
      <c r="D7622">
        <v>1</v>
      </c>
      <c r="E7622" s="5">
        <f>Table4[[#This Row],[qty]]*(VLOOKUP(Table4[[#This Row],[item_sold]],Table1[],5,FALSE))</f>
        <v>15</v>
      </c>
      <c r="F7622" s="5">
        <f>(VLOOKUP(Table4[[#This Row],[item_sold]],Table1[],4,FALSE))*Table4[[#This Row],[qty]]</f>
        <v>8.5</v>
      </c>
      <c r="G7622">
        <f t="shared" si="1414"/>
        <v>6.5</v>
      </c>
      <c r="H7622" t="s">
        <v>361</v>
      </c>
    </row>
    <row r="7623" spans="1:12" x14ac:dyDescent="0.25">
      <c r="A7623" s="1">
        <f t="shared" si="1421"/>
        <v>45603</v>
      </c>
      <c r="B7623" s="31">
        <f>TIME(19,45,0)</f>
        <v>0.82291666666666663</v>
      </c>
      <c r="C7623" t="str">
        <f>'Inventory as of 12th Aug 2024'!A40</f>
        <v>Spagetti</v>
      </c>
      <c r="D7623">
        <v>1</v>
      </c>
      <c r="E7623" s="5">
        <f>Table4[[#This Row],[qty]]*(VLOOKUP(Table4[[#This Row],[item_sold]],Table1[],5,FALSE))</f>
        <v>85</v>
      </c>
      <c r="F7623" s="5">
        <f>(VLOOKUP(Table4[[#This Row],[item_sold]],Table1[],4,FALSE))*Table4[[#This Row],[qty]]</f>
        <v>75.599999999999994</v>
      </c>
      <c r="G7623">
        <f t="shared" si="1414"/>
        <v>9.4000000000000057</v>
      </c>
      <c r="H7623" t="s">
        <v>361</v>
      </c>
    </row>
    <row r="7624" spans="1:12" x14ac:dyDescent="0.25">
      <c r="A7624" s="1">
        <f t="shared" si="1421"/>
        <v>45603</v>
      </c>
      <c r="B7624" s="31">
        <f>TIME(20,16,0)</f>
        <v>0.84444444444444444</v>
      </c>
      <c r="C7624" t="str">
        <f>'Inventory as of 12th Aug 2024'!A16</f>
        <v>Mt kenya milk 500ml</v>
      </c>
      <c r="D7624">
        <v>1</v>
      </c>
      <c r="E7624" s="5">
        <f>Table4[[#This Row],[qty]]*(VLOOKUP(Table4[[#This Row],[item_sold]],Table1[],5,FALSE))</f>
        <v>65</v>
      </c>
      <c r="F7624" s="5">
        <f>(VLOOKUP(Table4[[#This Row],[item_sold]],Table1[],4,FALSE))*Table4[[#This Row],[qty]]</f>
        <v>48.333333333333336</v>
      </c>
      <c r="G7624">
        <f t="shared" si="1414"/>
        <v>16.666666666666664</v>
      </c>
      <c r="H7624" t="s">
        <v>361</v>
      </c>
    </row>
    <row r="7625" spans="1:12" x14ac:dyDescent="0.25">
      <c r="A7625" s="1">
        <f t="shared" si="1421"/>
        <v>45603</v>
      </c>
      <c r="B7625" s="31">
        <f>TIME(20,47,0)</f>
        <v>0.86597222222222225</v>
      </c>
      <c r="C7625" t="str">
        <f>'Inventory as of 12th Aug 2024'!A5</f>
        <v>Airtel 20 Credit</v>
      </c>
      <c r="D7625">
        <v>1</v>
      </c>
      <c r="E7625" s="5">
        <f>Table4[[#This Row],[qty]]*(VLOOKUP(Table4[[#This Row],[item_sold]],Table1[],5,FALSE))</f>
        <v>20</v>
      </c>
      <c r="F7625" s="5">
        <f>(VLOOKUP(Table4[[#This Row],[item_sold]],Table1[],4,FALSE))*Table4[[#This Row],[qty]]</f>
        <v>18</v>
      </c>
      <c r="G7625">
        <f t="shared" si="1414"/>
        <v>2</v>
      </c>
      <c r="H7625" t="s">
        <v>402</v>
      </c>
    </row>
    <row r="7626" spans="1:12" x14ac:dyDescent="0.25">
      <c r="A7626" s="1">
        <f>DATE(2024,11,8)</f>
        <v>45604</v>
      </c>
      <c r="B7626" s="31">
        <f>TIME(6,59,0)</f>
        <v>0.29097222222222224</v>
      </c>
      <c r="C7626" t="str">
        <f>'Inventory as of 12th Aug 2024'!A58</f>
        <v>Safari</v>
      </c>
      <c r="D7626">
        <v>1</v>
      </c>
      <c r="E7626" s="5">
        <f>Table4[[#This Row],[qty]]*(VLOOKUP(Table4[[#This Row],[item_sold]],Table1[],5,FALSE))</f>
        <v>15</v>
      </c>
      <c r="F7626" s="5">
        <f>(VLOOKUP(Table4[[#This Row],[item_sold]],Table1[],4,FALSE))*Table4[[#This Row],[qty]]</f>
        <v>8.5</v>
      </c>
      <c r="G7626">
        <f t="shared" si="1414"/>
        <v>6.5</v>
      </c>
      <c r="H7626" t="s">
        <v>361</v>
      </c>
    </row>
    <row r="7627" spans="1:12" x14ac:dyDescent="0.25">
      <c r="A7627" s="1">
        <f t="shared" ref="A7627:A7690" si="1422">DATE(2024,11,8)</f>
        <v>45604</v>
      </c>
      <c r="B7627" s="31">
        <f>TIME(7,39,0)</f>
        <v>0.31875000000000003</v>
      </c>
      <c r="C7627" t="str">
        <f>'Inventory as of 12th Aug 2024'!A199</f>
        <v>Kdf</v>
      </c>
      <c r="D7627">
        <v>2</v>
      </c>
      <c r="E7627" s="5">
        <f>Table4[[#This Row],[qty]]*(VLOOKUP(Table4[[#This Row],[item_sold]],Table1[],5,FALSE))</f>
        <v>20</v>
      </c>
      <c r="F7627" s="5">
        <f>(VLOOKUP(Table4[[#This Row],[item_sold]],Table1[],4,FALSE))*Table4[[#This Row],[qty]]</f>
        <v>16.666666666666668</v>
      </c>
      <c r="G7627">
        <f t="shared" si="1414"/>
        <v>3.3333333333333321</v>
      </c>
      <c r="H7627" t="s">
        <v>361</v>
      </c>
    </row>
    <row r="7628" spans="1:12" x14ac:dyDescent="0.25">
      <c r="A7628" s="1">
        <f t="shared" si="1422"/>
        <v>45604</v>
      </c>
      <c r="B7628" s="31">
        <f t="shared" ref="B7628" si="1423">TIME(7,39,0)</f>
        <v>0.31875000000000003</v>
      </c>
      <c r="C7628" t="str">
        <f>'Inventory as of 12th Aug 2024'!A200</f>
        <v>Ngumu</v>
      </c>
      <c r="D7628">
        <v>2</v>
      </c>
      <c r="E7628" s="5">
        <f>Table4[[#This Row],[qty]]*(VLOOKUP(Table4[[#This Row],[item_sold]],Table1[],5,FALSE))</f>
        <v>20</v>
      </c>
      <c r="F7628" s="5">
        <f>(VLOOKUP(Table4[[#This Row],[item_sold]],Table1[],4,FALSE))*Table4[[#This Row],[qty]]</f>
        <v>16.666666666666668</v>
      </c>
      <c r="G7628">
        <f t="shared" si="1414"/>
        <v>3.3333333333333321</v>
      </c>
      <c r="H7628" t="s">
        <v>361</v>
      </c>
      <c r="J7628" t="s">
        <v>385</v>
      </c>
      <c r="K7628">
        <v>290</v>
      </c>
      <c r="L7628" t="s">
        <v>361</v>
      </c>
    </row>
    <row r="7629" spans="1:12" x14ac:dyDescent="0.25">
      <c r="A7629" s="1">
        <f t="shared" si="1422"/>
        <v>45604</v>
      </c>
      <c r="B7629" s="31">
        <f>TIME(9,33,0)</f>
        <v>0.3979166666666667</v>
      </c>
      <c r="C7629" t="str">
        <f>'Inventory as of 12th Aug 2024'!A58</f>
        <v>Safari</v>
      </c>
      <c r="D7629">
        <v>1</v>
      </c>
      <c r="E7629" s="5">
        <f>Table4[[#This Row],[qty]]*(VLOOKUP(Table4[[#This Row],[item_sold]],Table1[],5,FALSE))</f>
        <v>15</v>
      </c>
      <c r="F7629" s="5">
        <f>(VLOOKUP(Table4[[#This Row],[item_sold]],Table1[],4,FALSE))*Table4[[#This Row],[qty]]</f>
        <v>8.5</v>
      </c>
      <c r="G7629">
        <f t="shared" si="1414"/>
        <v>6.5</v>
      </c>
      <c r="H7629" t="s">
        <v>361</v>
      </c>
    </row>
    <row r="7630" spans="1:12" x14ac:dyDescent="0.25">
      <c r="A7630" s="1">
        <f t="shared" si="1422"/>
        <v>45604</v>
      </c>
      <c r="B7630" s="31">
        <f>TIME(9,36,0)</f>
        <v>0.39999999999999997</v>
      </c>
      <c r="C7630" t="str">
        <f>'Inventory as of 12th Aug 2024'!A33</f>
        <v>BB Bread 400g</v>
      </c>
      <c r="D7630">
        <v>2</v>
      </c>
      <c r="E7630" s="5">
        <f>Table4[[#This Row],[qty]]*(VLOOKUP(Table4[[#This Row],[item_sold]],Table1[],5,FALSE))</f>
        <v>130</v>
      </c>
      <c r="F7630" s="5">
        <f>(VLOOKUP(Table4[[#This Row],[item_sold]],Table1[],4,FALSE))*Table4[[#This Row],[qty]]</f>
        <v>120</v>
      </c>
      <c r="G7630">
        <f t="shared" si="1414"/>
        <v>10</v>
      </c>
      <c r="H7630" t="s">
        <v>361</v>
      </c>
    </row>
    <row r="7631" spans="1:12" x14ac:dyDescent="0.25">
      <c r="A7631" s="1">
        <f t="shared" si="1422"/>
        <v>45604</v>
      </c>
      <c r="B7631" s="31">
        <f t="shared" ref="B7631" si="1424">TIME(9,36,0)</f>
        <v>0.39999999999999997</v>
      </c>
      <c r="C7631" t="str">
        <f>'Inventory as of 12th Aug 2024'!A71</f>
        <v>Sugar 1/4 kg</v>
      </c>
      <c r="D7631">
        <v>2</v>
      </c>
      <c r="E7631" s="5">
        <f>Table4[[#This Row],[qty]]*(VLOOKUP(Table4[[#This Row],[item_sold]],Table1[],5,FALSE))</f>
        <v>90</v>
      </c>
      <c r="F7631" s="5">
        <f>(VLOOKUP(Table4[[#This Row],[item_sold]],Table1[],4,FALSE))*Table4[[#This Row],[qty]]</f>
        <v>60</v>
      </c>
      <c r="G7631">
        <f t="shared" si="1414"/>
        <v>30</v>
      </c>
      <c r="H7631" t="s">
        <v>361</v>
      </c>
    </row>
    <row r="7632" spans="1:12" x14ac:dyDescent="0.25">
      <c r="A7632" s="1">
        <f t="shared" si="1422"/>
        <v>45604</v>
      </c>
      <c r="B7632" s="31">
        <f>TIME(10,7,0)</f>
        <v>0.42152777777777778</v>
      </c>
      <c r="C7632" t="str">
        <f>'Inventory as of 12th Aug 2024'!A58</f>
        <v>Safari</v>
      </c>
      <c r="D7632">
        <v>1</v>
      </c>
      <c r="E7632" s="5">
        <f>Table4[[#This Row],[qty]]*(VLOOKUP(Table4[[#This Row],[item_sold]],Table1[],5,FALSE))</f>
        <v>15</v>
      </c>
      <c r="F7632" s="5">
        <f>(VLOOKUP(Table4[[#This Row],[item_sold]],Table1[],4,FALSE))*Table4[[#This Row],[qty]]</f>
        <v>8.5</v>
      </c>
      <c r="G7632">
        <f t="shared" si="1414"/>
        <v>6.5</v>
      </c>
      <c r="H7632" t="s">
        <v>402</v>
      </c>
    </row>
    <row r="7633" spans="1:12" x14ac:dyDescent="0.25">
      <c r="A7633" s="1">
        <f t="shared" si="1422"/>
        <v>45604</v>
      </c>
      <c r="B7633" s="31">
        <f>TIME(10,15,0)</f>
        <v>0.42708333333333331</v>
      </c>
      <c r="C7633" t="str">
        <f>'Inventory as of 12th Aug 2024'!A146</f>
        <v>Black Shampoo</v>
      </c>
      <c r="D7633">
        <v>1</v>
      </c>
      <c r="E7633" s="5">
        <f>Table4[[#This Row],[qty]]*(VLOOKUP(Table4[[#This Row],[item_sold]],Table1[],5,FALSE))</f>
        <v>50</v>
      </c>
      <c r="F7633" s="5">
        <f>(VLOOKUP(Table4[[#This Row],[item_sold]],Table1[],4,FALSE))*Table4[[#This Row],[qty]]</f>
        <v>28</v>
      </c>
      <c r="G7633">
        <f t="shared" si="1414"/>
        <v>22</v>
      </c>
      <c r="H7633" t="s">
        <v>361</v>
      </c>
      <c r="J7633" t="s">
        <v>588</v>
      </c>
      <c r="K7633">
        <v>65</v>
      </c>
      <c r="L7633" t="s">
        <v>361</v>
      </c>
    </row>
    <row r="7634" spans="1:12" x14ac:dyDescent="0.25">
      <c r="A7634" s="1">
        <f t="shared" si="1422"/>
        <v>45604</v>
      </c>
      <c r="B7634" s="31">
        <f t="shared" ref="B7634" si="1425">TIME(10,15,0)</f>
        <v>0.42708333333333331</v>
      </c>
      <c r="C7634" t="str">
        <f>'Inventory as of 12th Aug 2024'!A37</f>
        <v>Festive Bread 400g</v>
      </c>
      <c r="D7634">
        <v>1</v>
      </c>
      <c r="E7634" s="5">
        <f>Table4[[#This Row],[qty]]*(VLOOKUP(Table4[[#This Row],[item_sold]],Table1[],5,FALSE))</f>
        <v>65</v>
      </c>
      <c r="F7634" s="5">
        <f>(VLOOKUP(Table4[[#This Row],[item_sold]],Table1[],4,FALSE))*Table4[[#This Row],[qty]]</f>
        <v>60</v>
      </c>
      <c r="G7634">
        <f t="shared" si="1414"/>
        <v>5</v>
      </c>
      <c r="H7634" t="s">
        <v>361</v>
      </c>
    </row>
    <row r="7635" spans="1:12" x14ac:dyDescent="0.25">
      <c r="A7635" s="1">
        <f t="shared" si="1422"/>
        <v>45604</v>
      </c>
      <c r="B7635" s="31">
        <f>TIME(10,34,0)</f>
        <v>0.44027777777777777</v>
      </c>
      <c r="C7635" t="str">
        <f>'Inventory as of 12th Aug 2024'!A37</f>
        <v>Festive Bread 400g</v>
      </c>
      <c r="D7635">
        <v>1</v>
      </c>
      <c r="E7635" s="5">
        <f>Table4[[#This Row],[qty]]*(VLOOKUP(Table4[[#This Row],[item_sold]],Table1[],5,FALSE))</f>
        <v>65</v>
      </c>
      <c r="F7635" s="5">
        <f>(VLOOKUP(Table4[[#This Row],[item_sold]],Table1[],4,FALSE))*Table4[[#This Row],[qty]]</f>
        <v>60</v>
      </c>
      <c r="G7635">
        <f t="shared" si="1414"/>
        <v>5</v>
      </c>
      <c r="H7635" t="s">
        <v>402</v>
      </c>
    </row>
    <row r="7636" spans="1:12" x14ac:dyDescent="0.25">
      <c r="A7636" s="1">
        <f t="shared" si="1422"/>
        <v>45604</v>
      </c>
      <c r="B7636" s="31">
        <f>TIME(10,34,0)</f>
        <v>0.44027777777777777</v>
      </c>
      <c r="C7636" t="str">
        <f>'Inventory as of 12th Aug 2024'!A267</f>
        <v>Ting Ting</v>
      </c>
      <c r="D7636">
        <v>2</v>
      </c>
      <c r="E7636" s="5">
        <f>Table4[[#This Row],[qty]]*(VLOOKUP(Table4[[#This Row],[item_sold]],Table1[],5,FALSE))</f>
        <v>10</v>
      </c>
      <c r="F7636" s="5">
        <f>(VLOOKUP(Table4[[#This Row],[item_sold]],Table1[],4,FALSE))*Table4[[#This Row],[qty]]</f>
        <v>8.1199999999999992</v>
      </c>
      <c r="G7636">
        <f t="shared" ref="G7636:G7699" si="1426">E7636-F7636</f>
        <v>1.8800000000000008</v>
      </c>
      <c r="H7636" t="s">
        <v>402</v>
      </c>
    </row>
    <row r="7637" spans="1:12" x14ac:dyDescent="0.25">
      <c r="A7637" s="1">
        <f t="shared" si="1422"/>
        <v>45604</v>
      </c>
      <c r="B7637" s="31">
        <f>TIME(10,50,0)</f>
        <v>0.4513888888888889</v>
      </c>
      <c r="C7637" t="str">
        <f>'Inventory as of 12th Aug 2024'!A9</f>
        <v>Kinangop Fresh Milk 500ml</v>
      </c>
      <c r="D7637">
        <v>1</v>
      </c>
      <c r="E7637" s="5">
        <f>Table4[[#This Row],[qty]]*(VLOOKUP(Table4[[#This Row],[item_sold]],Table1[],5,FALSE))</f>
        <v>60</v>
      </c>
      <c r="F7637" s="5">
        <f>(VLOOKUP(Table4[[#This Row],[item_sold]],Table1[],4,FALSE))*Table4[[#This Row],[qty]]</f>
        <v>55</v>
      </c>
      <c r="G7637">
        <f t="shared" si="1426"/>
        <v>5</v>
      </c>
      <c r="H7637" t="s">
        <v>402</v>
      </c>
    </row>
    <row r="7638" spans="1:12" x14ac:dyDescent="0.25">
      <c r="A7638" s="1">
        <f t="shared" si="1422"/>
        <v>45604</v>
      </c>
      <c r="B7638" s="31">
        <f>TIME(10,54,0)</f>
        <v>0.45416666666666666</v>
      </c>
      <c r="C7638" t="str">
        <f>'Inventory as of 12th Aug 2024'!A50</f>
        <v>Pishori rice</v>
      </c>
      <c r="D7638">
        <v>0.5</v>
      </c>
      <c r="E7638" s="5">
        <f>Table4[[#This Row],[qty]]*(VLOOKUP(Table4[[#This Row],[item_sold]],Table1[],5,FALSE))</f>
        <v>110</v>
      </c>
      <c r="F7638" s="5">
        <f>(VLOOKUP(Table4[[#This Row],[item_sold]],Table1[],4,FALSE))*Table4[[#This Row],[qty]]</f>
        <v>90</v>
      </c>
      <c r="G7638">
        <f t="shared" si="1426"/>
        <v>20</v>
      </c>
      <c r="H7638" t="s">
        <v>402</v>
      </c>
    </row>
    <row r="7639" spans="1:12" x14ac:dyDescent="0.25">
      <c r="A7639" s="1">
        <f t="shared" si="1422"/>
        <v>45604</v>
      </c>
      <c r="B7639" s="31">
        <f>TIME(10,56,0)</f>
        <v>0.45555555555555555</v>
      </c>
      <c r="C7639" t="str">
        <f>'Inventory as of 12th Aug 2024'!A5</f>
        <v>Airtel 20 Credit</v>
      </c>
      <c r="D7639">
        <v>1</v>
      </c>
      <c r="E7639" s="5">
        <f>Table4[[#This Row],[qty]]*(VLOOKUP(Table4[[#This Row],[item_sold]],Table1[],5,FALSE))</f>
        <v>20</v>
      </c>
      <c r="F7639" s="5">
        <f>(VLOOKUP(Table4[[#This Row],[item_sold]],Table1[],4,FALSE))*Table4[[#This Row],[qty]]</f>
        <v>18</v>
      </c>
      <c r="G7639">
        <f t="shared" si="1426"/>
        <v>2</v>
      </c>
      <c r="H7639" t="s">
        <v>361</v>
      </c>
    </row>
    <row r="7640" spans="1:12" x14ac:dyDescent="0.25">
      <c r="A7640" s="1">
        <f t="shared" si="1422"/>
        <v>45604</v>
      </c>
      <c r="B7640" s="31">
        <f t="shared" ref="B7640:B7641" si="1427">TIME(10,56,0)</f>
        <v>0.45555555555555555</v>
      </c>
      <c r="C7640" t="str">
        <f>'Inventory as of 12th Aug 2024'!A6</f>
        <v>Airtel 10 Credit</v>
      </c>
      <c r="D7640">
        <v>1</v>
      </c>
      <c r="E7640" s="5">
        <f>Table4[[#This Row],[qty]]*(VLOOKUP(Table4[[#This Row],[item_sold]],Table1[],5,FALSE))</f>
        <v>10</v>
      </c>
      <c r="F7640" s="5">
        <f>(VLOOKUP(Table4[[#This Row],[item_sold]],Table1[],4,FALSE))*Table4[[#This Row],[qty]]</f>
        <v>9</v>
      </c>
      <c r="G7640">
        <f t="shared" si="1426"/>
        <v>1</v>
      </c>
      <c r="H7640" t="s">
        <v>361</v>
      </c>
    </row>
    <row r="7641" spans="1:12" x14ac:dyDescent="0.25">
      <c r="A7641" s="1">
        <f t="shared" si="1422"/>
        <v>45604</v>
      </c>
      <c r="B7641" s="31">
        <f t="shared" si="1427"/>
        <v>0.45555555555555555</v>
      </c>
      <c r="C7641" t="str">
        <f>'Inventory as of 12th Aug 2024'!A9</f>
        <v>Kinangop Fresh Milk 500ml</v>
      </c>
      <c r="D7641">
        <v>1</v>
      </c>
      <c r="E7641" s="5">
        <f>Table4[[#This Row],[qty]]*(VLOOKUP(Table4[[#This Row],[item_sold]],Table1[],5,FALSE))</f>
        <v>60</v>
      </c>
      <c r="F7641" s="5">
        <f>(VLOOKUP(Table4[[#This Row],[item_sold]],Table1[],4,FALSE))*Table4[[#This Row],[qty]]</f>
        <v>55</v>
      </c>
      <c r="G7641">
        <f t="shared" si="1426"/>
        <v>5</v>
      </c>
      <c r="H7641" t="s">
        <v>430</v>
      </c>
      <c r="I7641" t="s">
        <v>385</v>
      </c>
    </row>
    <row r="7642" spans="1:12" x14ac:dyDescent="0.25">
      <c r="A7642" s="1">
        <f t="shared" si="1422"/>
        <v>45604</v>
      </c>
      <c r="B7642" s="31">
        <f>TIME(11,13,0)</f>
        <v>0.46736111111111112</v>
      </c>
      <c r="C7642" t="str">
        <f>'Inventory as of 12th Aug 2024'!A122</f>
        <v>Sonaplast</v>
      </c>
      <c r="D7642">
        <v>1</v>
      </c>
      <c r="E7642" s="5">
        <f>Table4[[#This Row],[qty]]*(VLOOKUP(Table4[[#This Row],[item_sold]],Table1[],5,FALSE))</f>
        <v>10</v>
      </c>
      <c r="F7642" s="5">
        <f>(VLOOKUP(Table4[[#This Row],[item_sold]],Table1[],4,FALSE))*Table4[[#This Row],[qty]]</f>
        <v>7</v>
      </c>
      <c r="G7642">
        <f t="shared" si="1426"/>
        <v>3</v>
      </c>
      <c r="H7642" t="s">
        <v>361</v>
      </c>
    </row>
    <row r="7643" spans="1:12" x14ac:dyDescent="0.25">
      <c r="A7643" s="1">
        <f t="shared" si="1422"/>
        <v>45604</v>
      </c>
      <c r="B7643" s="31">
        <f t="shared" ref="B7643" si="1428">TIME(11,13,0)</f>
        <v>0.46736111111111112</v>
      </c>
      <c r="C7643" t="str">
        <f>'Inventory as of 12th Aug 2024'!A267</f>
        <v>Ting Ting</v>
      </c>
      <c r="D7643">
        <v>2</v>
      </c>
      <c r="E7643" s="5">
        <f>Table4[[#This Row],[qty]]*(VLOOKUP(Table4[[#This Row],[item_sold]],Table1[],5,FALSE))</f>
        <v>10</v>
      </c>
      <c r="F7643" s="5">
        <f>(VLOOKUP(Table4[[#This Row],[item_sold]],Table1[],4,FALSE))*Table4[[#This Row],[qty]]</f>
        <v>8.1199999999999992</v>
      </c>
      <c r="G7643">
        <f t="shared" si="1426"/>
        <v>1.8800000000000008</v>
      </c>
      <c r="H7643" t="s">
        <v>361</v>
      </c>
    </row>
    <row r="7644" spans="1:12" x14ac:dyDescent="0.25">
      <c r="A7644" s="1">
        <f t="shared" si="1422"/>
        <v>45604</v>
      </c>
      <c r="B7644" s="31">
        <f>TIME(11,53,0)</f>
        <v>0.49513888888888885</v>
      </c>
      <c r="C7644" t="str">
        <f>'Inventory as of 12th Aug 2024'!A58</f>
        <v>Safari</v>
      </c>
      <c r="D7644">
        <v>1</v>
      </c>
      <c r="E7644" s="5">
        <f>Table4[[#This Row],[qty]]*(VLOOKUP(Table4[[#This Row],[item_sold]],Table1[],5,FALSE))</f>
        <v>15</v>
      </c>
      <c r="F7644" s="5">
        <f>(VLOOKUP(Table4[[#This Row],[item_sold]],Table1[],4,FALSE))*Table4[[#This Row],[qty]]</f>
        <v>8.5</v>
      </c>
      <c r="G7644">
        <f t="shared" si="1426"/>
        <v>6.5</v>
      </c>
      <c r="H7644" t="s">
        <v>430</v>
      </c>
      <c r="I7644" t="s">
        <v>447</v>
      </c>
      <c r="J7644" t="s">
        <v>447</v>
      </c>
      <c r="K7644">
        <v>10</v>
      </c>
      <c r="L7644" t="s">
        <v>361</v>
      </c>
    </row>
    <row r="7645" spans="1:12" x14ac:dyDescent="0.25">
      <c r="A7645" s="1">
        <f t="shared" si="1422"/>
        <v>45604</v>
      </c>
      <c r="B7645" s="31">
        <f>TIME(12,0,0)</f>
        <v>0.5</v>
      </c>
      <c r="C7645" t="str">
        <f>'Inventory as of 12th Aug 2024'!A138</f>
        <v>Softcare pads</v>
      </c>
      <c r="D7645">
        <v>1</v>
      </c>
      <c r="E7645" s="5">
        <f>Table4[[#This Row],[qty]]*(VLOOKUP(Table4[[#This Row],[item_sold]],Table1[],5,FALSE))</f>
        <v>85</v>
      </c>
      <c r="F7645" s="5">
        <f>(VLOOKUP(Table4[[#This Row],[item_sold]],Table1[],4,FALSE))*Table4[[#This Row],[qty]]</f>
        <v>66</v>
      </c>
      <c r="G7645">
        <f t="shared" si="1426"/>
        <v>19</v>
      </c>
      <c r="H7645" t="s">
        <v>402</v>
      </c>
    </row>
    <row r="7646" spans="1:12" x14ac:dyDescent="0.25">
      <c r="A7646" s="1">
        <f t="shared" si="1422"/>
        <v>45604</v>
      </c>
      <c r="B7646" s="31">
        <f t="shared" ref="B7646:B7647" si="1429">TIME(12,0,0)</f>
        <v>0.5</v>
      </c>
      <c r="C7646" t="str">
        <f>'Inventory as of 12th Aug 2024'!A191</f>
        <v>Nuvita Bisquit</v>
      </c>
      <c r="D7646">
        <v>1</v>
      </c>
      <c r="E7646" s="5">
        <f>Table4[[#This Row],[qty]]*(VLOOKUP(Table4[[#This Row],[item_sold]],Table1[],5,FALSE))</f>
        <v>5</v>
      </c>
      <c r="F7646" s="5">
        <f>(VLOOKUP(Table4[[#This Row],[item_sold]],Table1[],4,FALSE))*Table4[[#This Row],[qty]]</f>
        <v>4.166666666666667</v>
      </c>
      <c r="G7646">
        <f t="shared" si="1426"/>
        <v>0.83333333333333304</v>
      </c>
      <c r="H7646" t="s">
        <v>402</v>
      </c>
    </row>
    <row r="7647" spans="1:12" x14ac:dyDescent="0.25">
      <c r="A7647" s="1">
        <f t="shared" si="1422"/>
        <v>45604</v>
      </c>
      <c r="B7647" s="31">
        <f t="shared" si="1429"/>
        <v>0.5</v>
      </c>
      <c r="C7647" t="str">
        <f>'Inventory as of 12th Aug 2024'!A207</f>
        <v>soda 350ml plastic</v>
      </c>
      <c r="D7647">
        <v>1</v>
      </c>
      <c r="E7647" s="5">
        <f>Table4[[#This Row],[qty]]*(VLOOKUP(Table4[[#This Row],[item_sold]],Table1[],5,FALSE))</f>
        <v>50</v>
      </c>
      <c r="F7647" s="5">
        <f>(VLOOKUP(Table4[[#This Row],[item_sold]],Table1[],4,FALSE))*Table4[[#This Row],[qty]]</f>
        <v>41.666666666666664</v>
      </c>
      <c r="G7647">
        <f t="shared" si="1426"/>
        <v>8.3333333333333357</v>
      </c>
      <c r="H7647" t="s">
        <v>402</v>
      </c>
    </row>
    <row r="7648" spans="1:12" x14ac:dyDescent="0.25">
      <c r="A7648" s="1">
        <f t="shared" si="1422"/>
        <v>45604</v>
      </c>
      <c r="B7648" s="31">
        <f>TIME(12,12,0)</f>
        <v>0.5083333333333333</v>
      </c>
      <c r="C7648" t="str">
        <f>'Inventory as of 12th Aug 2024'!A58</f>
        <v>Safari</v>
      </c>
      <c r="D7648">
        <v>1</v>
      </c>
      <c r="E7648" s="5">
        <f>Table4[[#This Row],[qty]]*(VLOOKUP(Table4[[#This Row],[item_sold]],Table1[],5,FALSE))</f>
        <v>15</v>
      </c>
      <c r="F7648" s="5">
        <f>(VLOOKUP(Table4[[#This Row],[item_sold]],Table1[],4,FALSE))*Table4[[#This Row],[qty]]</f>
        <v>8.5</v>
      </c>
      <c r="G7648">
        <f t="shared" si="1426"/>
        <v>6.5</v>
      </c>
      <c r="H7648" t="s">
        <v>402</v>
      </c>
    </row>
    <row r="7649" spans="1:8" x14ac:dyDescent="0.25">
      <c r="A7649" s="1">
        <f t="shared" si="1422"/>
        <v>45604</v>
      </c>
      <c r="B7649" s="31">
        <f>TIME(12,12,0)</f>
        <v>0.5083333333333333</v>
      </c>
      <c r="C7649" t="str">
        <f>'Inventory as of 12th Aug 2024'!A232</f>
        <v>coo</v>
      </c>
      <c r="D7649">
        <v>2</v>
      </c>
      <c r="E7649" s="5">
        <f>Table4[[#This Row],[qty]]*(VLOOKUP(Table4[[#This Row],[item_sold]],Table1[],5,FALSE))</f>
        <v>5</v>
      </c>
      <c r="F7649" s="5">
        <f>(VLOOKUP(Table4[[#This Row],[item_sold]],Table1[],4,FALSE))*Table4[[#This Row],[qty]]</f>
        <v>2.4</v>
      </c>
      <c r="G7649">
        <f t="shared" si="1426"/>
        <v>2.6</v>
      </c>
      <c r="H7649" t="s">
        <v>402</v>
      </c>
    </row>
    <row r="7650" spans="1:8" x14ac:dyDescent="0.25">
      <c r="A7650" s="1">
        <f t="shared" si="1422"/>
        <v>45604</v>
      </c>
      <c r="B7650" s="31">
        <f>TIME(12,21,0)</f>
        <v>0.51458333333333328</v>
      </c>
      <c r="C7650" t="str">
        <f>'Inventory as of 12th Aug 2024'!A200</f>
        <v>Ngumu</v>
      </c>
      <c r="D7650">
        <v>5</v>
      </c>
      <c r="E7650" s="5">
        <f>Table4[[#This Row],[qty]]*(VLOOKUP(Table4[[#This Row],[item_sold]],Table1[],5,FALSE))</f>
        <v>50</v>
      </c>
      <c r="F7650" s="5">
        <f>(VLOOKUP(Table4[[#This Row],[item_sold]],Table1[],4,FALSE))*Table4[[#This Row],[qty]]</f>
        <v>41.666666666666671</v>
      </c>
      <c r="G7650">
        <f t="shared" si="1426"/>
        <v>8.3333333333333286</v>
      </c>
      <c r="H7650" t="s">
        <v>361</v>
      </c>
    </row>
    <row r="7651" spans="1:8" x14ac:dyDescent="0.25">
      <c r="A7651" s="1">
        <f t="shared" si="1422"/>
        <v>45604</v>
      </c>
      <c r="B7651" s="31">
        <f t="shared" ref="B7651:B7652" si="1430">TIME(12,21,0)</f>
        <v>0.51458333333333328</v>
      </c>
      <c r="C7651" t="str">
        <f>'Inventory as of 12th Aug 2024'!A238</f>
        <v>Tropical</v>
      </c>
      <c r="D7651">
        <v>1</v>
      </c>
      <c r="E7651" s="5">
        <f>Table4[[#This Row],[qty]]*(VLOOKUP(Table4[[#This Row],[item_sold]],Table1[],5,FALSE))</f>
        <v>5</v>
      </c>
      <c r="F7651" s="5">
        <f>(VLOOKUP(Table4[[#This Row],[item_sold]],Table1[],4,FALSE))*Table4[[#This Row],[qty]]</f>
        <v>1.5</v>
      </c>
      <c r="G7651">
        <f t="shared" si="1426"/>
        <v>3.5</v>
      </c>
      <c r="H7651" t="s">
        <v>361</v>
      </c>
    </row>
    <row r="7652" spans="1:8" x14ac:dyDescent="0.25">
      <c r="A7652" s="1">
        <f t="shared" si="1422"/>
        <v>45604</v>
      </c>
      <c r="B7652" s="31">
        <f t="shared" si="1430"/>
        <v>0.51458333333333328</v>
      </c>
      <c r="C7652" t="str">
        <f>'Inventory as of 12th Aug 2024'!A85</f>
        <v>Downy lavender</v>
      </c>
      <c r="D7652">
        <v>3</v>
      </c>
      <c r="E7652" s="5">
        <f>Table4[[#This Row],[qty]]*(VLOOKUP(Table4[[#This Row],[item_sold]],Table1[],5,FALSE))</f>
        <v>60</v>
      </c>
      <c r="F7652" s="5">
        <f>(VLOOKUP(Table4[[#This Row],[item_sold]],Table1[],4,FALSE))*Table4[[#This Row],[qty]]</f>
        <v>52</v>
      </c>
      <c r="G7652">
        <f t="shared" si="1426"/>
        <v>8</v>
      </c>
      <c r="H7652" t="s">
        <v>361</v>
      </c>
    </row>
    <row r="7653" spans="1:8" x14ac:dyDescent="0.25">
      <c r="A7653" s="1">
        <f t="shared" si="1422"/>
        <v>45604</v>
      </c>
      <c r="B7653" s="31">
        <f>TIME(12,53,0)</f>
        <v>0.53680555555555554</v>
      </c>
      <c r="C7653" t="str">
        <f>'Inventory as of 12th Aug 2024'!A199</f>
        <v>Kdf</v>
      </c>
      <c r="D7653">
        <v>2</v>
      </c>
      <c r="E7653" s="5">
        <f>Table4[[#This Row],[qty]]*(VLOOKUP(Table4[[#This Row],[item_sold]],Table1[],5,FALSE))</f>
        <v>20</v>
      </c>
      <c r="F7653" s="5">
        <f>(VLOOKUP(Table4[[#This Row],[item_sold]],Table1[],4,FALSE))*Table4[[#This Row],[qty]]</f>
        <v>16.666666666666668</v>
      </c>
      <c r="G7653">
        <f t="shared" si="1426"/>
        <v>3.3333333333333321</v>
      </c>
      <c r="H7653" t="s">
        <v>361</v>
      </c>
    </row>
    <row r="7654" spans="1:8" x14ac:dyDescent="0.25">
      <c r="A7654" s="1">
        <f t="shared" si="1422"/>
        <v>45604</v>
      </c>
      <c r="B7654" s="31">
        <f>TIME(13,1,0)</f>
        <v>0.54236111111111118</v>
      </c>
      <c r="C7654" t="str">
        <f>'Inventory as of 12th Aug 2024'!A121</f>
        <v>Panadol Extra</v>
      </c>
      <c r="D7654">
        <v>1</v>
      </c>
      <c r="E7654" s="5">
        <f>Table4[[#This Row],[qty]]*(VLOOKUP(Table4[[#This Row],[item_sold]],Table1[],5,FALSE))</f>
        <v>20</v>
      </c>
      <c r="F7654" s="5">
        <f>(VLOOKUP(Table4[[#This Row],[item_sold]],Table1[],4,FALSE))*Table4[[#This Row],[qty]]</f>
        <v>13</v>
      </c>
      <c r="G7654">
        <f t="shared" si="1426"/>
        <v>7</v>
      </c>
      <c r="H7654" t="s">
        <v>402</v>
      </c>
    </row>
    <row r="7655" spans="1:8" x14ac:dyDescent="0.25">
      <c r="A7655" s="1">
        <f t="shared" si="1422"/>
        <v>45604</v>
      </c>
      <c r="B7655" s="31">
        <f t="shared" ref="B7655" si="1431">TIME(13,1,0)</f>
        <v>0.54236111111111118</v>
      </c>
      <c r="C7655" t="str">
        <f>'Inventory as of 12th Aug 2024'!A229</f>
        <v>Fresh green</v>
      </c>
      <c r="D7655">
        <v>2</v>
      </c>
      <c r="E7655" s="5">
        <f>Table4[[#This Row],[qty]]*(VLOOKUP(Table4[[#This Row],[item_sold]],Table1[],5,FALSE))</f>
        <v>20</v>
      </c>
      <c r="F7655" s="5">
        <f>(VLOOKUP(Table4[[#This Row],[item_sold]],Table1[],4,FALSE))*Table4[[#This Row],[qty]]</f>
        <v>10</v>
      </c>
      <c r="G7655">
        <f t="shared" si="1426"/>
        <v>10</v>
      </c>
      <c r="H7655" t="s">
        <v>402</v>
      </c>
    </row>
    <row r="7656" spans="1:8" x14ac:dyDescent="0.25">
      <c r="A7656" s="1">
        <f t="shared" si="1422"/>
        <v>45604</v>
      </c>
      <c r="B7656" s="31">
        <f>TIME(13,21,0)</f>
        <v>0.55625000000000002</v>
      </c>
      <c r="C7656" t="str">
        <f>'Inventory as of 12th Aug 2024'!A236</f>
        <v>Gomba</v>
      </c>
      <c r="D7656">
        <v>4</v>
      </c>
      <c r="E7656" s="5">
        <f>Table4[[#This Row],[qty]]*(VLOOKUP(Table4[[#This Row],[item_sold]],Table1[],5,FALSE))</f>
        <v>10</v>
      </c>
      <c r="F7656" s="5">
        <f>(VLOOKUP(Table4[[#This Row],[item_sold]],Table1[],4,FALSE))*Table4[[#This Row],[qty]]</f>
        <v>7.2</v>
      </c>
      <c r="G7656">
        <f t="shared" si="1426"/>
        <v>2.8</v>
      </c>
      <c r="H7656" t="s">
        <v>361</v>
      </c>
    </row>
    <row r="7657" spans="1:8" x14ac:dyDescent="0.25">
      <c r="A7657" s="1">
        <f t="shared" si="1422"/>
        <v>45604</v>
      </c>
      <c r="B7657" s="31">
        <f t="shared" ref="B7657" si="1432">TIME(13,21,0)</f>
        <v>0.55625000000000002</v>
      </c>
      <c r="C7657" t="str">
        <f>'Inventory as of 12th Aug 2024'!A92</f>
        <v>Banana</v>
      </c>
      <c r="D7657">
        <v>3</v>
      </c>
      <c r="E7657" s="5">
        <f>Table4[[#This Row],[qty]]*(VLOOKUP(Table4[[#This Row],[item_sold]],Table1[],5,FALSE))</f>
        <v>30</v>
      </c>
      <c r="F7657" s="5">
        <f>(VLOOKUP(Table4[[#This Row],[item_sold]],Table1[],4,FALSE))*Table4[[#This Row],[qty]]</f>
        <v>25</v>
      </c>
      <c r="G7657">
        <f t="shared" si="1426"/>
        <v>5</v>
      </c>
      <c r="H7657" t="s">
        <v>361</v>
      </c>
    </row>
    <row r="7658" spans="1:8" x14ac:dyDescent="0.25">
      <c r="A7658" s="1">
        <f t="shared" si="1422"/>
        <v>45604</v>
      </c>
      <c r="B7658" s="31">
        <f>TIME(13,38,0)</f>
        <v>0.56805555555555554</v>
      </c>
      <c r="C7658" t="str">
        <f>'Inventory as of 12th Aug 2024'!A58</f>
        <v>Safari</v>
      </c>
      <c r="D7658">
        <v>2</v>
      </c>
      <c r="E7658" s="5">
        <f>Table4[[#This Row],[qty]]*(VLOOKUP(Table4[[#This Row],[item_sold]],Table1[],5,FALSE))</f>
        <v>30</v>
      </c>
      <c r="F7658" s="5">
        <f>(VLOOKUP(Table4[[#This Row],[item_sold]],Table1[],4,FALSE))*Table4[[#This Row],[qty]]</f>
        <v>17</v>
      </c>
      <c r="G7658">
        <f t="shared" si="1426"/>
        <v>13</v>
      </c>
      <c r="H7658" t="s">
        <v>402</v>
      </c>
    </row>
    <row r="7659" spans="1:8" x14ac:dyDescent="0.25">
      <c r="A7659" s="1">
        <f t="shared" si="1422"/>
        <v>45604</v>
      </c>
      <c r="B7659" s="31">
        <f>TIME(13,40,0)</f>
        <v>0.56944444444444442</v>
      </c>
      <c r="C7659" t="str">
        <f>'Inventory as of 12th Aug 2024'!A200</f>
        <v>Ngumu</v>
      </c>
      <c r="D7659">
        <v>3</v>
      </c>
      <c r="E7659" s="5">
        <f>Table4[[#This Row],[qty]]*(VLOOKUP(Table4[[#This Row],[item_sold]],Table1[],5,FALSE))</f>
        <v>30</v>
      </c>
      <c r="F7659" s="5">
        <f>(VLOOKUP(Table4[[#This Row],[item_sold]],Table1[],4,FALSE))*Table4[[#This Row],[qty]]</f>
        <v>25</v>
      </c>
      <c r="G7659">
        <f t="shared" si="1426"/>
        <v>5</v>
      </c>
      <c r="H7659" t="s">
        <v>361</v>
      </c>
    </row>
    <row r="7660" spans="1:8" x14ac:dyDescent="0.25">
      <c r="A7660" s="1">
        <f t="shared" si="1422"/>
        <v>45604</v>
      </c>
      <c r="B7660" s="31">
        <f t="shared" ref="B7660:B7664" si="1433">TIME(13,40,0)</f>
        <v>0.56944444444444442</v>
      </c>
      <c r="C7660" t="str">
        <f>'Inventory as of 12th Aug 2024'!A33</f>
        <v>BB Bread 400g</v>
      </c>
      <c r="D7660">
        <v>1</v>
      </c>
      <c r="E7660" s="5">
        <f>Table4[[#This Row],[qty]]*(VLOOKUP(Table4[[#This Row],[item_sold]],Table1[],5,FALSE))</f>
        <v>65</v>
      </c>
      <c r="F7660" s="5">
        <f>(VLOOKUP(Table4[[#This Row],[item_sold]],Table1[],4,FALSE))*Table4[[#This Row],[qty]]</f>
        <v>60</v>
      </c>
      <c r="G7660">
        <f t="shared" si="1426"/>
        <v>5</v>
      </c>
      <c r="H7660" t="s">
        <v>402</v>
      </c>
    </row>
    <row r="7661" spans="1:8" x14ac:dyDescent="0.25">
      <c r="A7661" s="1">
        <f t="shared" si="1422"/>
        <v>45604</v>
      </c>
      <c r="B7661" s="31">
        <f t="shared" si="1433"/>
        <v>0.56944444444444442</v>
      </c>
      <c r="C7661" t="str">
        <f>'Inventory as of 12th Aug 2024'!A212</f>
        <v>soda 300ml glass</v>
      </c>
      <c r="D7661">
        <v>1</v>
      </c>
      <c r="E7661" s="5">
        <f>Table4[[#This Row],[qty]]*(VLOOKUP(Table4[[#This Row],[item_sold]],Table1[],5,FALSE))</f>
        <v>40</v>
      </c>
      <c r="F7661" s="5">
        <f>(VLOOKUP(Table4[[#This Row],[item_sold]],Table1[],4,FALSE))*Table4[[#This Row],[qty]]</f>
        <v>32.5</v>
      </c>
      <c r="G7661">
        <f t="shared" si="1426"/>
        <v>7.5</v>
      </c>
      <c r="H7661" t="s">
        <v>402</v>
      </c>
    </row>
    <row r="7662" spans="1:8" x14ac:dyDescent="0.25">
      <c r="A7662" s="1">
        <f t="shared" si="1422"/>
        <v>45604</v>
      </c>
      <c r="B7662" s="31">
        <f t="shared" si="1433"/>
        <v>0.56944444444444442</v>
      </c>
      <c r="C7662" t="str">
        <f>'Inventory as of 12th Aug 2024'!A212</f>
        <v>soda 300ml glass</v>
      </c>
      <c r="D7662">
        <v>1</v>
      </c>
      <c r="E7662" s="5">
        <f>Table4[[#This Row],[qty]]*(VLOOKUP(Table4[[#This Row],[item_sold]],Table1[],5,FALSE))</f>
        <v>40</v>
      </c>
      <c r="F7662" s="5">
        <f>(VLOOKUP(Table4[[#This Row],[item_sold]],Table1[],4,FALSE))*Table4[[#This Row],[qty]]</f>
        <v>32.5</v>
      </c>
      <c r="G7662">
        <f t="shared" si="1426"/>
        <v>7.5</v>
      </c>
      <c r="H7662" t="s">
        <v>402</v>
      </c>
    </row>
    <row r="7663" spans="1:8" x14ac:dyDescent="0.25">
      <c r="A7663" s="1">
        <f t="shared" si="1422"/>
        <v>45604</v>
      </c>
      <c r="B7663" s="31">
        <f t="shared" si="1433"/>
        <v>0.56944444444444442</v>
      </c>
      <c r="C7663" t="str">
        <f>'Inventory as of 12th Aug 2024'!A92</f>
        <v>Banana</v>
      </c>
      <c r="D7663">
        <v>3</v>
      </c>
      <c r="E7663" s="5">
        <f>Table4[[#This Row],[qty]]*(VLOOKUP(Table4[[#This Row],[item_sold]],Table1[],5,FALSE))</f>
        <v>30</v>
      </c>
      <c r="F7663" s="5">
        <f>(VLOOKUP(Table4[[#This Row],[item_sold]],Table1[],4,FALSE))*Table4[[#This Row],[qty]]</f>
        <v>25</v>
      </c>
      <c r="G7663">
        <f t="shared" si="1426"/>
        <v>5</v>
      </c>
      <c r="H7663" t="s">
        <v>402</v>
      </c>
    </row>
    <row r="7664" spans="1:8" x14ac:dyDescent="0.25">
      <c r="A7664" s="1">
        <f t="shared" si="1422"/>
        <v>45604</v>
      </c>
      <c r="B7664" s="31">
        <f t="shared" si="1433"/>
        <v>0.56944444444444442</v>
      </c>
      <c r="C7664" t="str">
        <f>'Inventory as of 12th Aug 2024'!A92</f>
        <v>Banana</v>
      </c>
      <c r="D7664">
        <v>1</v>
      </c>
      <c r="E7664" s="5">
        <f>Table4[[#This Row],[qty]]*(VLOOKUP(Table4[[#This Row],[item_sold]],Table1[],5,FALSE))</f>
        <v>10</v>
      </c>
      <c r="F7664" s="5">
        <f>(VLOOKUP(Table4[[#This Row],[item_sold]],Table1[],4,FALSE))*Table4[[#This Row],[qty]]</f>
        <v>8.3333333333333339</v>
      </c>
      <c r="G7664">
        <f t="shared" si="1426"/>
        <v>1.6666666666666661</v>
      </c>
      <c r="H7664" t="s">
        <v>361</v>
      </c>
    </row>
    <row r="7665" spans="1:9" x14ac:dyDescent="0.25">
      <c r="A7665" s="1">
        <f t="shared" si="1422"/>
        <v>45604</v>
      </c>
      <c r="B7665" s="31">
        <f>TIME(13,57,0)</f>
        <v>0.58124999999999993</v>
      </c>
      <c r="C7665" t="str">
        <f>'Inventory as of 12th Aug 2024'!A58</f>
        <v>Safari</v>
      </c>
      <c r="D7665">
        <v>3</v>
      </c>
      <c r="E7665" s="5">
        <f>Table4[[#This Row],[qty]]*(VLOOKUP(Table4[[#This Row],[item_sold]],Table1[],5,FALSE))</f>
        <v>45</v>
      </c>
      <c r="F7665" s="5">
        <f>(VLOOKUP(Table4[[#This Row],[item_sold]],Table1[],4,FALSE))*Table4[[#This Row],[qty]]</f>
        <v>25.5</v>
      </c>
      <c r="G7665">
        <f t="shared" si="1426"/>
        <v>19.5</v>
      </c>
      <c r="H7665" t="s">
        <v>402</v>
      </c>
    </row>
    <row r="7666" spans="1:9" x14ac:dyDescent="0.25">
      <c r="A7666" s="1">
        <f t="shared" si="1422"/>
        <v>45604</v>
      </c>
      <c r="B7666" s="31">
        <f t="shared" ref="B7666" si="1434">TIME(13,57,0)</f>
        <v>0.58124999999999993</v>
      </c>
      <c r="C7666" t="str">
        <f>'Inventory as of 12th Aug 2024'!A213</f>
        <v>soda 500ml glass</v>
      </c>
      <c r="D7666">
        <v>1</v>
      </c>
      <c r="E7666" s="5">
        <f>Table4[[#This Row],[qty]]*(VLOOKUP(Table4[[#This Row],[item_sold]],Table1[],5,FALSE))</f>
        <v>55</v>
      </c>
      <c r="F7666" s="5">
        <f>(VLOOKUP(Table4[[#This Row],[item_sold]],Table1[],4,FALSE))*Table4[[#This Row],[qty]]</f>
        <v>50</v>
      </c>
      <c r="G7666">
        <f t="shared" si="1426"/>
        <v>5</v>
      </c>
      <c r="H7666" t="s">
        <v>402</v>
      </c>
    </row>
    <row r="7667" spans="1:9" x14ac:dyDescent="0.25">
      <c r="A7667" s="1">
        <f t="shared" si="1422"/>
        <v>45604</v>
      </c>
      <c r="B7667" s="31">
        <f>TIME(14,,0)</f>
        <v>0.58333333333333337</v>
      </c>
      <c r="C7667" t="str">
        <f>'Inventory as of 12th Aug 2024'!A92</f>
        <v>Banana</v>
      </c>
      <c r="D7667">
        <v>1</v>
      </c>
      <c r="E7667" s="5">
        <f>Table4[[#This Row],[qty]]*(VLOOKUP(Table4[[#This Row],[item_sold]],Table1[],5,FALSE))</f>
        <v>10</v>
      </c>
      <c r="F7667" s="5">
        <f>(VLOOKUP(Table4[[#This Row],[item_sold]],Table1[],4,FALSE))*Table4[[#This Row],[qty]]</f>
        <v>8.3333333333333339</v>
      </c>
      <c r="G7667">
        <f t="shared" si="1426"/>
        <v>1.6666666666666661</v>
      </c>
      <c r="H7667" t="s">
        <v>361</v>
      </c>
    </row>
    <row r="7668" spans="1:9" x14ac:dyDescent="0.25">
      <c r="A7668" s="1">
        <f t="shared" si="1422"/>
        <v>45604</v>
      </c>
      <c r="B7668" s="31">
        <f t="shared" ref="B7668" si="1435">TIME(14,,0)</f>
        <v>0.58333333333333337</v>
      </c>
      <c r="C7668" t="str">
        <f>'Inventory as of 12th Aug 2024'!A200</f>
        <v>Ngumu</v>
      </c>
      <c r="D7668">
        <v>1</v>
      </c>
      <c r="E7668" s="5">
        <f>Table4[[#This Row],[qty]]*(VLOOKUP(Table4[[#This Row],[item_sold]],Table1[],5,FALSE))</f>
        <v>10</v>
      </c>
      <c r="F7668" s="5">
        <f>(VLOOKUP(Table4[[#This Row],[item_sold]],Table1[],4,FALSE))*Table4[[#This Row],[qty]]</f>
        <v>8.3333333333333339</v>
      </c>
      <c r="G7668">
        <f t="shared" si="1426"/>
        <v>1.6666666666666661</v>
      </c>
      <c r="H7668" t="s">
        <v>361</v>
      </c>
    </row>
    <row r="7669" spans="1:9" x14ac:dyDescent="0.25">
      <c r="A7669" s="1">
        <f t="shared" si="1422"/>
        <v>45604</v>
      </c>
      <c r="B7669" s="31">
        <f>TIME(14,29,0)</f>
        <v>0.60347222222222219</v>
      </c>
      <c r="C7669" t="str">
        <f>'Inventory as of 12th Aug 2024'!A151</f>
        <v>Arimis big</v>
      </c>
      <c r="D7669">
        <v>1</v>
      </c>
      <c r="E7669" s="5">
        <f>Table4[[#This Row],[qty]]*(VLOOKUP(Table4[[#This Row],[item_sold]],Table1[],5,FALSE))</f>
        <v>60</v>
      </c>
      <c r="F7669" s="5">
        <f>(VLOOKUP(Table4[[#This Row],[item_sold]],Table1[],4,FALSE))*Table4[[#This Row],[qty]]</f>
        <v>45.833333333333336</v>
      </c>
      <c r="G7669">
        <f t="shared" si="1426"/>
        <v>14.166666666666664</v>
      </c>
      <c r="H7669" t="s">
        <v>430</v>
      </c>
      <c r="I7669" t="s">
        <v>385</v>
      </c>
    </row>
    <row r="7670" spans="1:9" x14ac:dyDescent="0.25">
      <c r="A7670" s="1">
        <f t="shared" si="1422"/>
        <v>45604</v>
      </c>
      <c r="B7670" s="31">
        <f>TIME(16,13,0)</f>
        <v>0.67569444444444438</v>
      </c>
      <c r="C7670" t="str">
        <f>'Inventory as of 12th Aug 2024'!A76</f>
        <v>Rina 1ltr</v>
      </c>
      <c r="D7670">
        <v>1</v>
      </c>
      <c r="E7670" s="5">
        <f>Table4[[#This Row],[qty]]*(VLOOKUP(Table4[[#This Row],[item_sold]],Table1[],5,FALSE))</f>
        <v>350</v>
      </c>
      <c r="F7670" s="5">
        <f>(VLOOKUP(Table4[[#This Row],[item_sold]],Table1[],4,FALSE))*Table4[[#This Row],[qty]]</f>
        <v>290</v>
      </c>
      <c r="G7670">
        <f t="shared" si="1426"/>
        <v>60</v>
      </c>
      <c r="H7670" t="s">
        <v>361</v>
      </c>
    </row>
    <row r="7671" spans="1:9" x14ac:dyDescent="0.25">
      <c r="A7671" s="1">
        <f t="shared" si="1422"/>
        <v>45604</v>
      </c>
      <c r="B7671" s="31">
        <f t="shared" ref="B7671:B7673" si="1436">TIME(16,13,0)</f>
        <v>0.67569444444444438</v>
      </c>
      <c r="C7671" t="str">
        <f>'Inventory as of 12th Aug 2024'!A17</f>
        <v>Brookside milk 500ml</v>
      </c>
      <c r="D7671">
        <v>2</v>
      </c>
      <c r="E7671" s="5">
        <f>Table4[[#This Row],[qty]]*(VLOOKUP(Table4[[#This Row],[item_sold]],Table1[],5,FALSE))</f>
        <v>140</v>
      </c>
      <c r="F7671" s="5">
        <f>(VLOOKUP(Table4[[#This Row],[item_sold]],Table1[],4,FALSE))*Table4[[#This Row],[qty]]</f>
        <v>118</v>
      </c>
      <c r="G7671">
        <f t="shared" si="1426"/>
        <v>22</v>
      </c>
      <c r="H7671" t="s">
        <v>361</v>
      </c>
    </row>
    <row r="7672" spans="1:9" x14ac:dyDescent="0.25">
      <c r="A7672" s="1">
        <f t="shared" si="1422"/>
        <v>45604</v>
      </c>
      <c r="B7672" s="31">
        <f t="shared" si="1436"/>
        <v>0.67569444444444438</v>
      </c>
      <c r="C7672" t="str">
        <f>'Inventory as of 12th Aug 2024'!A90</f>
        <v>Onion</v>
      </c>
      <c r="D7672">
        <v>5</v>
      </c>
      <c r="E7672" s="5">
        <f>Table4[[#This Row],[qty]]*(VLOOKUP(Table4[[#This Row],[item_sold]],Table1[],5,FALSE))</f>
        <v>50</v>
      </c>
      <c r="F7672" s="5">
        <f>(VLOOKUP(Table4[[#This Row],[item_sold]],Table1[],4,FALSE))*Table4[[#This Row],[qty]]</f>
        <v>40</v>
      </c>
      <c r="G7672">
        <f t="shared" si="1426"/>
        <v>10</v>
      </c>
      <c r="H7672" t="s">
        <v>361</v>
      </c>
    </row>
    <row r="7673" spans="1:9" x14ac:dyDescent="0.25">
      <c r="A7673" s="1">
        <f t="shared" si="1422"/>
        <v>45604</v>
      </c>
      <c r="B7673" s="31">
        <f t="shared" si="1436"/>
        <v>0.67569444444444438</v>
      </c>
      <c r="C7673" t="str">
        <f>'Inventory as of 12th Aug 2024'!A37</f>
        <v>Festive Bread 400g</v>
      </c>
      <c r="D7673">
        <v>2</v>
      </c>
      <c r="E7673" s="5">
        <f>Table4[[#This Row],[qty]]*(VLOOKUP(Table4[[#This Row],[item_sold]],Table1[],5,FALSE))</f>
        <v>130</v>
      </c>
      <c r="F7673" s="5">
        <f>(VLOOKUP(Table4[[#This Row],[item_sold]],Table1[],4,FALSE))*Table4[[#This Row],[qty]]</f>
        <v>120</v>
      </c>
      <c r="G7673">
        <f t="shared" si="1426"/>
        <v>10</v>
      </c>
      <c r="H7673" t="s">
        <v>361</v>
      </c>
    </row>
    <row r="7674" spans="1:9" x14ac:dyDescent="0.25">
      <c r="A7674" s="1">
        <f t="shared" si="1422"/>
        <v>45604</v>
      </c>
      <c r="B7674" s="31">
        <f>TIME(17,0,0)</f>
        <v>0.70833333333333337</v>
      </c>
      <c r="C7674" t="str">
        <f>'Inventory as of 12th Aug 2024'!A199</f>
        <v>Kdf</v>
      </c>
      <c r="D7674">
        <v>2</v>
      </c>
      <c r="E7674" s="5">
        <f>Table4[[#This Row],[qty]]*(VLOOKUP(Table4[[#This Row],[item_sold]],Table1[],5,FALSE))</f>
        <v>20</v>
      </c>
      <c r="F7674" s="5">
        <f>(VLOOKUP(Table4[[#This Row],[item_sold]],Table1[],4,FALSE))*Table4[[#This Row],[qty]]</f>
        <v>16.666666666666668</v>
      </c>
      <c r="G7674">
        <f t="shared" si="1426"/>
        <v>3.3333333333333321</v>
      </c>
      <c r="H7674" t="s">
        <v>402</v>
      </c>
    </row>
    <row r="7675" spans="1:9" x14ac:dyDescent="0.25">
      <c r="A7675" s="1">
        <f t="shared" si="1422"/>
        <v>45604</v>
      </c>
      <c r="B7675" s="31">
        <f t="shared" ref="B7675:B7676" si="1437">TIME(17,0,0)</f>
        <v>0.70833333333333337</v>
      </c>
      <c r="C7675" t="str">
        <f>'Inventory as of 12th Aug 2024'!A16</f>
        <v>Mt kenya milk 500ml</v>
      </c>
      <c r="D7675">
        <v>1</v>
      </c>
      <c r="E7675" s="5">
        <f>Table4[[#This Row],[qty]]*(VLOOKUP(Table4[[#This Row],[item_sold]],Table1[],5,FALSE))</f>
        <v>65</v>
      </c>
      <c r="F7675" s="5">
        <f>(VLOOKUP(Table4[[#This Row],[item_sold]],Table1[],4,FALSE))*Table4[[#This Row],[qty]]</f>
        <v>48.333333333333336</v>
      </c>
      <c r="G7675">
        <f t="shared" si="1426"/>
        <v>16.666666666666664</v>
      </c>
      <c r="H7675" t="s">
        <v>402</v>
      </c>
    </row>
    <row r="7676" spans="1:9" x14ac:dyDescent="0.25">
      <c r="A7676" s="1">
        <f t="shared" si="1422"/>
        <v>45604</v>
      </c>
      <c r="B7676" s="31">
        <f t="shared" si="1437"/>
        <v>0.70833333333333337</v>
      </c>
      <c r="C7676" t="str">
        <f>'Inventory as of 12th Aug 2024'!A214</f>
        <v>smash juice</v>
      </c>
      <c r="D7676">
        <v>1</v>
      </c>
      <c r="E7676" s="5">
        <f>Table4[[#This Row],[qty]]*(VLOOKUP(Table4[[#This Row],[item_sold]],Table1[],5,FALSE))</f>
        <v>20</v>
      </c>
      <c r="F7676" s="5">
        <f>(VLOOKUP(Table4[[#This Row],[item_sold]],Table1[],4,FALSE))*Table4[[#This Row],[qty]]</f>
        <v>15</v>
      </c>
      <c r="G7676">
        <f t="shared" si="1426"/>
        <v>5</v>
      </c>
      <c r="H7676" t="s">
        <v>430</v>
      </c>
      <c r="I7676" t="s">
        <v>629</v>
      </c>
    </row>
    <row r="7677" spans="1:9" x14ac:dyDescent="0.25">
      <c r="A7677" s="1">
        <f t="shared" si="1422"/>
        <v>45604</v>
      </c>
      <c r="B7677" s="31">
        <f>TIME(18,0,0)</f>
        <v>0.75</v>
      </c>
      <c r="C7677" t="str">
        <f>'Inventory as of 12th Aug 2024'!A37</f>
        <v>Festive Bread 400g</v>
      </c>
      <c r="D7677">
        <v>1</v>
      </c>
      <c r="E7677" s="5">
        <f>Table4[[#This Row],[qty]]*(VLOOKUP(Table4[[#This Row],[item_sold]],Table1[],5,FALSE))</f>
        <v>65</v>
      </c>
      <c r="F7677" s="5">
        <f>(VLOOKUP(Table4[[#This Row],[item_sold]],Table1[],4,FALSE))*Table4[[#This Row],[qty]]</f>
        <v>60</v>
      </c>
      <c r="G7677">
        <f t="shared" si="1426"/>
        <v>5</v>
      </c>
      <c r="H7677" t="s">
        <v>402</v>
      </c>
    </row>
    <row r="7678" spans="1:9" x14ac:dyDescent="0.25">
      <c r="A7678" s="1">
        <f t="shared" si="1422"/>
        <v>45604</v>
      </c>
      <c r="B7678" s="31">
        <f>TIME(18,0,0)</f>
        <v>0.75</v>
      </c>
      <c r="C7678" t="str">
        <f>'Inventory as of 12th Aug 2024'!A99</f>
        <v>spinach</v>
      </c>
      <c r="D7678">
        <v>1</v>
      </c>
      <c r="E7678" s="5">
        <f>Table4[[#This Row],[qty]]*(VLOOKUP(Table4[[#This Row],[item_sold]],Table1[],5,FALSE))</f>
        <v>20</v>
      </c>
      <c r="F7678" s="5">
        <f>(VLOOKUP(Table4[[#This Row],[item_sold]],Table1[],4,FALSE))*Table4[[#This Row],[qty]]</f>
        <v>10</v>
      </c>
      <c r="G7678">
        <f t="shared" si="1426"/>
        <v>10</v>
      </c>
      <c r="H7678" t="s">
        <v>402</v>
      </c>
    </row>
    <row r="7679" spans="1:9" x14ac:dyDescent="0.25">
      <c r="A7679" s="1">
        <f t="shared" si="1422"/>
        <v>45604</v>
      </c>
      <c r="B7679" s="31">
        <f>TIME(18,59,0)</f>
        <v>0.7909722222222223</v>
      </c>
      <c r="C7679" t="str">
        <f>'Inventory as of 12th Aug 2024'!A61</f>
        <v>kensalt 500g</v>
      </c>
      <c r="D7679">
        <v>1</v>
      </c>
      <c r="E7679" s="5">
        <f>Table4[[#This Row],[qty]]*(VLOOKUP(Table4[[#This Row],[item_sold]],Table1[],5,FALSE))</f>
        <v>25</v>
      </c>
      <c r="F7679" s="5">
        <f>(VLOOKUP(Table4[[#This Row],[item_sold]],Table1[],4,FALSE))*Table4[[#This Row],[qty]]</f>
        <v>14</v>
      </c>
      <c r="G7679">
        <f t="shared" si="1426"/>
        <v>11</v>
      </c>
      <c r="H7679" t="s">
        <v>361</v>
      </c>
    </row>
    <row r="7680" spans="1:9" x14ac:dyDescent="0.25">
      <c r="A7680" s="1">
        <f t="shared" si="1422"/>
        <v>45604</v>
      </c>
      <c r="B7680" s="31">
        <f>TIME(19,7,0)</f>
        <v>0.79652777777777783</v>
      </c>
      <c r="C7680" t="str">
        <f>'Inventory as of 12th Aug 2024'!A45</f>
        <v>Ajab 1kg</v>
      </c>
      <c r="D7680">
        <v>1</v>
      </c>
      <c r="E7680" s="5">
        <f>Table4[[#This Row],[qty]]*(VLOOKUP(Table4[[#This Row],[item_sold]],Table1[],5,FALSE))</f>
        <v>120</v>
      </c>
      <c r="F7680" s="5">
        <f>(VLOOKUP(Table4[[#This Row],[item_sold]],Table1[],4,FALSE))*Table4[[#This Row],[qty]]</f>
        <v>87.5</v>
      </c>
      <c r="G7680">
        <f t="shared" si="1426"/>
        <v>32.5</v>
      </c>
      <c r="H7680" t="s">
        <v>430</v>
      </c>
      <c r="I7680" t="s">
        <v>404</v>
      </c>
    </row>
    <row r="7681" spans="1:9" x14ac:dyDescent="0.25">
      <c r="A7681" s="1">
        <f t="shared" si="1422"/>
        <v>45604</v>
      </c>
      <c r="B7681" s="31">
        <f t="shared" ref="B7681:B7687" si="1438">TIME(19,7,0)</f>
        <v>0.79652777777777783</v>
      </c>
      <c r="C7681" t="str">
        <f>'Inventory as of 12th Aug 2024'!A71</f>
        <v>Sugar 1/4 kg</v>
      </c>
      <c r="D7681">
        <v>2</v>
      </c>
      <c r="E7681" s="5">
        <f>Table4[[#This Row],[qty]]*(VLOOKUP(Table4[[#This Row],[item_sold]],Table1[],5,FALSE))</f>
        <v>90</v>
      </c>
      <c r="F7681" s="5">
        <f>(VLOOKUP(Table4[[#This Row],[item_sold]],Table1[],4,FALSE))*Table4[[#This Row],[qty]]</f>
        <v>60</v>
      </c>
      <c r="G7681">
        <f t="shared" si="1426"/>
        <v>30</v>
      </c>
      <c r="H7681" t="s">
        <v>430</v>
      </c>
      <c r="I7681" t="s">
        <v>404</v>
      </c>
    </row>
    <row r="7682" spans="1:9" x14ac:dyDescent="0.25">
      <c r="A7682" s="1">
        <f t="shared" si="1422"/>
        <v>45604</v>
      </c>
      <c r="B7682" s="31">
        <f t="shared" si="1438"/>
        <v>0.79652777777777783</v>
      </c>
      <c r="C7682" t="str">
        <f>'Inventory as of 12th Aug 2024'!A79</f>
        <v xml:space="preserve">Whitewash </v>
      </c>
      <c r="D7682">
        <v>1</v>
      </c>
      <c r="E7682" s="5">
        <f>Table4[[#This Row],[qty]]*(VLOOKUP(Table4[[#This Row],[item_sold]],Table1[],5,FALSE))</f>
        <v>50</v>
      </c>
      <c r="F7682" s="5">
        <f>(VLOOKUP(Table4[[#This Row],[item_sold]],Table1[],4,FALSE))*Table4[[#This Row],[qty]]</f>
        <v>33.75</v>
      </c>
      <c r="G7682">
        <f t="shared" si="1426"/>
        <v>16.25</v>
      </c>
      <c r="H7682" t="s">
        <v>430</v>
      </c>
      <c r="I7682" t="s">
        <v>404</v>
      </c>
    </row>
    <row r="7683" spans="1:9" x14ac:dyDescent="0.25">
      <c r="A7683" s="1">
        <f t="shared" si="1422"/>
        <v>45604</v>
      </c>
      <c r="B7683" s="31">
        <f t="shared" si="1438"/>
        <v>0.79652777777777783</v>
      </c>
      <c r="C7683" t="str">
        <f>'Inventory as of 12th Aug 2024'!A76</f>
        <v>Rina 1ltr</v>
      </c>
      <c r="D7683">
        <v>1</v>
      </c>
      <c r="E7683" s="5">
        <f>Table4[[#This Row],[qty]]*(VLOOKUP(Table4[[#This Row],[item_sold]],Table1[],5,FALSE))</f>
        <v>350</v>
      </c>
      <c r="F7683" s="5">
        <f>(VLOOKUP(Table4[[#This Row],[item_sold]],Table1[],4,FALSE))*Table4[[#This Row],[qty]]</f>
        <v>290</v>
      </c>
      <c r="G7683">
        <f t="shared" si="1426"/>
        <v>60</v>
      </c>
      <c r="H7683" t="s">
        <v>430</v>
      </c>
      <c r="I7683" t="s">
        <v>404</v>
      </c>
    </row>
    <row r="7684" spans="1:9" x14ac:dyDescent="0.25">
      <c r="A7684" s="1">
        <f t="shared" si="1422"/>
        <v>45604</v>
      </c>
      <c r="B7684" s="31">
        <f t="shared" si="1438"/>
        <v>0.79652777777777783</v>
      </c>
      <c r="C7684" t="str">
        <f>'Inventory as of 12th Aug 2024'!A213</f>
        <v>soda 500ml glass</v>
      </c>
      <c r="D7684">
        <v>2</v>
      </c>
      <c r="E7684" s="5">
        <f>Table4[[#This Row],[qty]]*(VLOOKUP(Table4[[#This Row],[item_sold]],Table1[],5,FALSE))</f>
        <v>110</v>
      </c>
      <c r="F7684" s="5">
        <f>(VLOOKUP(Table4[[#This Row],[item_sold]],Table1[],4,FALSE))*Table4[[#This Row],[qty]]</f>
        <v>100</v>
      </c>
      <c r="G7684">
        <f t="shared" si="1426"/>
        <v>10</v>
      </c>
      <c r="H7684" t="s">
        <v>430</v>
      </c>
      <c r="I7684" t="s">
        <v>404</v>
      </c>
    </row>
    <row r="7685" spans="1:9" x14ac:dyDescent="0.25">
      <c r="A7685" s="1">
        <f t="shared" si="1422"/>
        <v>45604</v>
      </c>
      <c r="B7685" s="31">
        <f t="shared" si="1438"/>
        <v>0.79652777777777783</v>
      </c>
      <c r="C7685" t="str">
        <f>'Inventory as of 12th Aug 2024'!A215</f>
        <v>Blueband 100g</v>
      </c>
      <c r="D7685">
        <v>1</v>
      </c>
      <c r="E7685" s="5">
        <f>Table4[[#This Row],[qty]]*(VLOOKUP(Table4[[#This Row],[item_sold]],Table1[],5,FALSE))</f>
        <v>70</v>
      </c>
      <c r="F7685" s="5">
        <f>(VLOOKUP(Table4[[#This Row],[item_sold]],Table1[],4,FALSE))*Table4[[#This Row],[qty]]</f>
        <v>58.333333333333336</v>
      </c>
      <c r="G7685">
        <f t="shared" si="1426"/>
        <v>11.666666666666664</v>
      </c>
      <c r="H7685" t="s">
        <v>430</v>
      </c>
      <c r="I7685" t="s">
        <v>404</v>
      </c>
    </row>
    <row r="7686" spans="1:9" x14ac:dyDescent="0.25">
      <c r="A7686" s="1">
        <f t="shared" si="1422"/>
        <v>45604</v>
      </c>
      <c r="B7686" s="31">
        <f t="shared" si="1438"/>
        <v>0.79652777777777783</v>
      </c>
      <c r="C7686" t="str">
        <f>'Inventory as of 12th Aug 2024'!A234</f>
        <v>Bigdaddy</v>
      </c>
      <c r="D7686">
        <v>2</v>
      </c>
      <c r="E7686" s="5">
        <f>Table4[[#This Row],[qty]]*(VLOOKUP(Table4[[#This Row],[item_sold]],Table1[],5,FALSE))</f>
        <v>20</v>
      </c>
      <c r="F7686" s="5">
        <f>(VLOOKUP(Table4[[#This Row],[item_sold]],Table1[],4,FALSE))*Table4[[#This Row],[qty]]</f>
        <v>12</v>
      </c>
      <c r="G7686">
        <f t="shared" si="1426"/>
        <v>8</v>
      </c>
      <c r="H7686" t="s">
        <v>430</v>
      </c>
      <c r="I7686" t="s">
        <v>404</v>
      </c>
    </row>
    <row r="7687" spans="1:9" x14ac:dyDescent="0.25">
      <c r="A7687" s="1">
        <f t="shared" si="1422"/>
        <v>45604</v>
      </c>
      <c r="B7687" s="31">
        <f t="shared" si="1438"/>
        <v>0.79652777777777783</v>
      </c>
      <c r="C7687" t="str">
        <f>'Inventory as of 12th Aug 2024'!A197</f>
        <v>Canned cookies</v>
      </c>
      <c r="D7687">
        <v>1</v>
      </c>
      <c r="E7687" s="5">
        <f>Table4[[#This Row],[qty]]*(VLOOKUP(Table4[[#This Row],[item_sold]],Table1[],5,FALSE))</f>
        <v>60</v>
      </c>
      <c r="F7687" s="5">
        <f>(VLOOKUP(Table4[[#This Row],[item_sold]],Table1[],4,FALSE))*Table4[[#This Row],[qty]]</f>
        <v>50</v>
      </c>
      <c r="G7687">
        <f t="shared" si="1426"/>
        <v>10</v>
      </c>
      <c r="H7687" t="s">
        <v>430</v>
      </c>
      <c r="I7687" t="s">
        <v>404</v>
      </c>
    </row>
    <row r="7688" spans="1:9" x14ac:dyDescent="0.25">
      <c r="A7688" s="1">
        <f t="shared" si="1422"/>
        <v>45604</v>
      </c>
      <c r="B7688" s="31">
        <f>TIME(19,24,0)</f>
        <v>0.80833333333333324</v>
      </c>
      <c r="C7688" t="str">
        <f>'Inventory as of 12th Aug 2024'!A248</f>
        <v>Soko Maize meal</v>
      </c>
      <c r="D7688">
        <v>1</v>
      </c>
      <c r="E7688" s="5">
        <f>Table4[[#This Row],[qty]]*(VLOOKUP(Table4[[#This Row],[item_sold]],Table1[],5,FALSE))</f>
        <v>160</v>
      </c>
      <c r="F7688" s="5">
        <f>(VLOOKUP(Table4[[#This Row],[item_sold]],Table1[],4,FALSE))*Table4[[#This Row],[qty]]</f>
        <v>125</v>
      </c>
      <c r="G7688">
        <f t="shared" si="1426"/>
        <v>35</v>
      </c>
      <c r="H7688" t="s">
        <v>430</v>
      </c>
      <c r="I7688" t="s">
        <v>456</v>
      </c>
    </row>
    <row r="7689" spans="1:9" x14ac:dyDescent="0.25">
      <c r="A7689" s="1">
        <f t="shared" si="1422"/>
        <v>45604</v>
      </c>
      <c r="B7689" s="31">
        <f>TIME(19,24,0)</f>
        <v>0.80833333333333324</v>
      </c>
      <c r="C7689" t="str">
        <f>'Inventory as of 12th Aug 2024'!A62</f>
        <v>kensalt 1kg</v>
      </c>
      <c r="D7689">
        <v>1</v>
      </c>
      <c r="E7689" s="5">
        <f>Table4[[#This Row],[qty]]*(VLOOKUP(Table4[[#This Row],[item_sold]],Table1[],5,FALSE))</f>
        <v>50</v>
      </c>
      <c r="F7689" s="5">
        <f>(VLOOKUP(Table4[[#This Row],[item_sold]],Table1[],4,FALSE))*Table4[[#This Row],[qty]]</f>
        <v>35</v>
      </c>
      <c r="G7689">
        <f t="shared" si="1426"/>
        <v>15</v>
      </c>
      <c r="H7689" t="s">
        <v>430</v>
      </c>
      <c r="I7689" t="s">
        <v>456</v>
      </c>
    </row>
    <row r="7690" spans="1:9" x14ac:dyDescent="0.25">
      <c r="A7690" s="1">
        <f t="shared" si="1422"/>
        <v>45604</v>
      </c>
      <c r="B7690" s="31">
        <f>TIME(19,28,0)</f>
        <v>0.81111111111111101</v>
      </c>
      <c r="C7690" t="str">
        <f>'Inventory as of 12th Aug 2024'!A37</f>
        <v>Festive Bread 400g</v>
      </c>
      <c r="D7690">
        <v>1</v>
      </c>
      <c r="E7690" s="5">
        <f>Table4[[#This Row],[qty]]*(VLOOKUP(Table4[[#This Row],[item_sold]],Table1[],5,FALSE))</f>
        <v>65</v>
      </c>
      <c r="F7690" s="5">
        <f>(VLOOKUP(Table4[[#This Row],[item_sold]],Table1[],4,FALSE))*Table4[[#This Row],[qty]]</f>
        <v>60</v>
      </c>
      <c r="G7690">
        <f t="shared" si="1426"/>
        <v>5</v>
      </c>
      <c r="H7690" t="s">
        <v>402</v>
      </c>
    </row>
    <row r="7691" spans="1:9" x14ac:dyDescent="0.25">
      <c r="A7691" s="1">
        <f t="shared" ref="A7691:A7696" si="1439">DATE(2024,11,8)</f>
        <v>45604</v>
      </c>
      <c r="B7691" s="31">
        <f>TIME(19,28,0)</f>
        <v>0.81111111111111101</v>
      </c>
      <c r="C7691" t="str">
        <f>'Inventory as of 12th Aug 2024'!A112</f>
        <v>Kichungi Big</v>
      </c>
      <c r="D7691">
        <v>1</v>
      </c>
      <c r="E7691" s="5">
        <f>Table4[[#This Row],[qty]]*(VLOOKUP(Table4[[#This Row],[item_sold]],Table1[],5,FALSE))</f>
        <v>30</v>
      </c>
      <c r="F7691" s="5">
        <f>(VLOOKUP(Table4[[#This Row],[item_sold]],Table1[],4,FALSE))*Table4[[#This Row],[qty]]</f>
        <v>17</v>
      </c>
      <c r="G7691">
        <f t="shared" si="1426"/>
        <v>13</v>
      </c>
      <c r="H7691" t="s">
        <v>402</v>
      </c>
    </row>
    <row r="7692" spans="1:9" x14ac:dyDescent="0.25">
      <c r="A7692" s="1">
        <f t="shared" si="1439"/>
        <v>45604</v>
      </c>
      <c r="B7692" s="31">
        <f>TIME(19,38,0)</f>
        <v>0.81805555555555554</v>
      </c>
      <c r="C7692" t="str">
        <f>'Inventory as of 12th Aug 2024'!A135</f>
        <v>Bella Tissue</v>
      </c>
      <c r="D7692">
        <v>1</v>
      </c>
      <c r="E7692" s="5">
        <f>Table4[[#This Row],[qty]]*(VLOOKUP(Table4[[#This Row],[item_sold]],Table1[],5,FALSE))</f>
        <v>50</v>
      </c>
      <c r="F7692" s="5">
        <f>(VLOOKUP(Table4[[#This Row],[item_sold]],Table1[],4,FALSE))*Table4[[#This Row],[qty]]</f>
        <v>35</v>
      </c>
      <c r="G7692">
        <f t="shared" si="1426"/>
        <v>15</v>
      </c>
      <c r="H7692" t="s">
        <v>361</v>
      </c>
    </row>
    <row r="7693" spans="1:9" x14ac:dyDescent="0.25">
      <c r="A7693" s="1">
        <f t="shared" si="1439"/>
        <v>45604</v>
      </c>
      <c r="B7693" s="31">
        <f>TIME(19,45,0)</f>
        <v>0.82291666666666663</v>
      </c>
      <c r="C7693" t="str">
        <f>'Inventory as of 12th Aug 2024'!A266</f>
        <v>Zenta Bar Soap</v>
      </c>
      <c r="D7693">
        <v>0.2</v>
      </c>
      <c r="E7693" s="5">
        <f>Table4[[#This Row],[qty]]*(VLOOKUP(Table4[[#This Row],[item_sold]],Table1[],5,FALSE))</f>
        <v>50</v>
      </c>
      <c r="F7693" s="5">
        <f>(VLOOKUP(Table4[[#This Row],[item_sold]],Table1[],4,FALSE))*Table4[[#This Row],[qty]]</f>
        <v>32</v>
      </c>
      <c r="G7693">
        <f t="shared" si="1426"/>
        <v>18</v>
      </c>
      <c r="H7693" t="s">
        <v>430</v>
      </c>
      <c r="I7693" t="s">
        <v>456</v>
      </c>
    </row>
    <row r="7694" spans="1:9" x14ac:dyDescent="0.25">
      <c r="A7694" s="1">
        <f t="shared" si="1439"/>
        <v>45604</v>
      </c>
      <c r="B7694" s="31">
        <f>TIME(20,14,0)</f>
        <v>0.84305555555555556</v>
      </c>
      <c r="C7694" t="str">
        <f>'Inventory as of 12th Aug 2024'!A58</f>
        <v>Safari</v>
      </c>
      <c r="D7694">
        <v>1</v>
      </c>
      <c r="E7694" s="5">
        <f>Table4[[#This Row],[qty]]*(VLOOKUP(Table4[[#This Row],[item_sold]],Table1[],5,FALSE))</f>
        <v>15</v>
      </c>
      <c r="F7694" s="5">
        <f>(VLOOKUP(Table4[[#This Row],[item_sold]],Table1[],4,FALSE))*Table4[[#This Row],[qty]]</f>
        <v>8.5</v>
      </c>
      <c r="G7694">
        <f t="shared" si="1426"/>
        <v>6.5</v>
      </c>
      <c r="H7694" t="s">
        <v>361</v>
      </c>
    </row>
    <row r="7695" spans="1:9" x14ac:dyDescent="0.25">
      <c r="A7695" s="1">
        <f t="shared" si="1439"/>
        <v>45604</v>
      </c>
      <c r="B7695" s="31">
        <f>TIME(20,21,0)</f>
        <v>0.84791666666666676</v>
      </c>
      <c r="C7695" t="str">
        <f>'Inventory as of 12th Aug 2024'!A29</f>
        <v>Fahari Tea 50g</v>
      </c>
      <c r="D7695">
        <v>1</v>
      </c>
      <c r="E7695" s="5">
        <f>Table4[[#This Row],[qty]]*(VLOOKUP(Table4[[#This Row],[item_sold]],Table1[],5,FALSE))</f>
        <v>30</v>
      </c>
      <c r="F7695" s="5">
        <f>(VLOOKUP(Table4[[#This Row],[item_sold]],Table1[],4,FALSE))*Table4[[#This Row],[qty]]</f>
        <v>17.5</v>
      </c>
      <c r="G7695">
        <f t="shared" si="1426"/>
        <v>12.5</v>
      </c>
      <c r="H7695" t="s">
        <v>402</v>
      </c>
    </row>
    <row r="7696" spans="1:9" x14ac:dyDescent="0.25">
      <c r="A7696" s="1">
        <f t="shared" si="1439"/>
        <v>45604</v>
      </c>
      <c r="B7696" s="31">
        <f>TIME(20,21,0)</f>
        <v>0.84791666666666676</v>
      </c>
      <c r="C7696" t="str">
        <f>'Inventory as of 12th Aug 2024'!A91</f>
        <v>Tomatoes</v>
      </c>
      <c r="D7696">
        <v>2</v>
      </c>
      <c r="E7696" s="5">
        <f>Table4[[#This Row],[qty]]*(VLOOKUP(Table4[[#This Row],[item_sold]],Table1[],5,FALSE))</f>
        <v>20</v>
      </c>
      <c r="F7696" s="5">
        <f>(VLOOKUP(Table4[[#This Row],[item_sold]],Table1[],4,FALSE))*Table4[[#This Row],[qty]]</f>
        <v>10</v>
      </c>
      <c r="G7696">
        <f t="shared" si="1426"/>
        <v>10</v>
      </c>
      <c r="H7696" t="s">
        <v>402</v>
      </c>
    </row>
    <row r="7697" spans="1:9" x14ac:dyDescent="0.25">
      <c r="A7697" s="1">
        <f>DATE(2024,11,9)</f>
        <v>45605</v>
      </c>
      <c r="B7697" s="31">
        <f>TIME(7,7,0)</f>
        <v>0.29652777777777778</v>
      </c>
      <c r="C7697" t="str">
        <f>'Inventory as of 12th Aug 2024'!A140</f>
        <v>Colgate 15g</v>
      </c>
      <c r="D7697">
        <v>1</v>
      </c>
      <c r="E7697" s="5">
        <f>Table4[[#This Row],[qty]]*(VLOOKUP(Table4[[#This Row],[item_sold]],Table1[],5,FALSE))</f>
        <v>50</v>
      </c>
      <c r="F7697" s="5">
        <f>(VLOOKUP(Table4[[#This Row],[item_sold]],Table1[],4,FALSE))*Table4[[#This Row],[qty]]</f>
        <v>36.25</v>
      </c>
      <c r="G7697">
        <f t="shared" si="1426"/>
        <v>13.75</v>
      </c>
      <c r="H7697" t="s">
        <v>430</v>
      </c>
      <c r="I7697" t="s">
        <v>385</v>
      </c>
    </row>
    <row r="7698" spans="1:9" x14ac:dyDescent="0.25">
      <c r="A7698" s="1">
        <f t="shared" ref="A7698:A7752" si="1440">DATE(2024,11,9)</f>
        <v>45605</v>
      </c>
      <c r="B7698" s="31">
        <f>TIME(7,10,0)</f>
        <v>0.2986111111111111</v>
      </c>
      <c r="C7698" t="str">
        <f>'Inventory as of 12th Aug 2024'!A238</f>
        <v>Tropical</v>
      </c>
      <c r="D7698">
        <v>1</v>
      </c>
      <c r="E7698" s="5">
        <f>Table4[[#This Row],[qty]]*(VLOOKUP(Table4[[#This Row],[item_sold]],Table1[],5,FALSE))</f>
        <v>5</v>
      </c>
      <c r="F7698" s="5">
        <f>(VLOOKUP(Table4[[#This Row],[item_sold]],Table1[],4,FALSE))*Table4[[#This Row],[qty]]</f>
        <v>1.5</v>
      </c>
      <c r="G7698">
        <f t="shared" si="1426"/>
        <v>3.5</v>
      </c>
      <c r="H7698" t="s">
        <v>402</v>
      </c>
    </row>
    <row r="7699" spans="1:9" x14ac:dyDescent="0.25">
      <c r="A7699" s="1">
        <f t="shared" si="1440"/>
        <v>45605</v>
      </c>
      <c r="B7699" s="31">
        <f>TIME(7,46,0)</f>
        <v>0.32361111111111113</v>
      </c>
      <c r="C7699" t="str">
        <f>'Inventory as of 12th Aug 2024'!A33</f>
        <v>BB Bread 400g</v>
      </c>
      <c r="D7699">
        <v>1</v>
      </c>
      <c r="E7699" s="5">
        <f>Table4[[#This Row],[qty]]*(VLOOKUP(Table4[[#This Row],[item_sold]],Table1[],5,FALSE))</f>
        <v>65</v>
      </c>
      <c r="F7699" s="5">
        <f>(VLOOKUP(Table4[[#This Row],[item_sold]],Table1[],4,FALSE))*Table4[[#This Row],[qty]]</f>
        <v>60</v>
      </c>
      <c r="G7699">
        <f t="shared" si="1426"/>
        <v>5</v>
      </c>
      <c r="H7699" t="s">
        <v>430</v>
      </c>
      <c r="I7699" t="s">
        <v>390</v>
      </c>
    </row>
    <row r="7700" spans="1:9" x14ac:dyDescent="0.25">
      <c r="A7700" s="1">
        <f t="shared" si="1440"/>
        <v>45605</v>
      </c>
      <c r="B7700" s="31">
        <f>TIME(7,448,0)</f>
        <v>0.60277777777777775</v>
      </c>
      <c r="C7700" t="str">
        <f>'Inventory as of 12th Aug 2024'!A8</f>
        <v>eggs</v>
      </c>
      <c r="D7700">
        <v>3</v>
      </c>
      <c r="E7700" s="5">
        <f>Table4[[#This Row],[qty]]*(VLOOKUP(Table4[[#This Row],[item_sold]],Table1[],5,FALSE))</f>
        <v>60</v>
      </c>
      <c r="F7700" s="5">
        <f>(VLOOKUP(Table4[[#This Row],[item_sold]],Table1[],4,FALSE))*Table4[[#This Row],[qty]]</f>
        <v>43</v>
      </c>
      <c r="G7700">
        <f t="shared" ref="G7700:G7763" si="1441">E7700-F7700</f>
        <v>17</v>
      </c>
      <c r="H7700" t="s">
        <v>430</v>
      </c>
      <c r="I7700" t="s">
        <v>390</v>
      </c>
    </row>
    <row r="7701" spans="1:9" x14ac:dyDescent="0.25">
      <c r="A7701" s="1">
        <f t="shared" si="1440"/>
        <v>45605</v>
      </c>
      <c r="B7701" s="31">
        <f t="shared" ref="B7701" si="1442">TIME(7,448,0)</f>
        <v>0.60277777777777775</v>
      </c>
      <c r="C7701" t="str">
        <f>'Inventory as of 12th Aug 2024'!A33</f>
        <v>BB Bread 400g</v>
      </c>
      <c r="D7701">
        <v>1</v>
      </c>
      <c r="E7701" s="5">
        <f>Table4[[#This Row],[qty]]*(VLOOKUP(Table4[[#This Row],[item_sold]],Table1[],5,FALSE))</f>
        <v>65</v>
      </c>
      <c r="F7701" s="5">
        <f>(VLOOKUP(Table4[[#This Row],[item_sold]],Table1[],4,FALSE))*Table4[[#This Row],[qty]]</f>
        <v>60</v>
      </c>
      <c r="G7701">
        <f t="shared" si="1441"/>
        <v>5</v>
      </c>
      <c r="H7701" t="s">
        <v>402</v>
      </c>
    </row>
    <row r="7702" spans="1:9" x14ac:dyDescent="0.25">
      <c r="A7702" s="1">
        <f t="shared" si="1440"/>
        <v>45605</v>
      </c>
      <c r="B7702" s="31">
        <f>TIME(9,7,0)</f>
        <v>0.37986111111111115</v>
      </c>
      <c r="C7702" t="str">
        <f>'Inventory as of 12th Aug 2024'!A234</f>
        <v>Bigdaddy</v>
      </c>
      <c r="D7702">
        <v>2</v>
      </c>
      <c r="E7702" s="5">
        <f>Table4[[#This Row],[qty]]*(VLOOKUP(Table4[[#This Row],[item_sold]],Table1[],5,FALSE))</f>
        <v>20</v>
      </c>
      <c r="F7702" s="5">
        <f>(VLOOKUP(Table4[[#This Row],[item_sold]],Table1[],4,FALSE))*Table4[[#This Row],[qty]]</f>
        <v>12</v>
      </c>
      <c r="G7702">
        <f t="shared" si="1441"/>
        <v>8</v>
      </c>
      <c r="H7702" t="s">
        <v>402</v>
      </c>
    </row>
    <row r="7703" spans="1:9" x14ac:dyDescent="0.25">
      <c r="A7703" s="1">
        <f t="shared" si="1440"/>
        <v>45605</v>
      </c>
      <c r="B7703" s="31">
        <f t="shared" ref="B7703:B7708" si="1443">TIME(9,7,0)</f>
        <v>0.37986111111111115</v>
      </c>
      <c r="C7703" t="str">
        <f>'Inventory as of 12th Aug 2024'!A9</f>
        <v>Kinangop Fresh Milk 500ml</v>
      </c>
      <c r="D7703">
        <v>1</v>
      </c>
      <c r="E7703" s="5">
        <f>Table4[[#This Row],[qty]]*(VLOOKUP(Table4[[#This Row],[item_sold]],Table1[],5,FALSE))</f>
        <v>60</v>
      </c>
      <c r="F7703" s="5">
        <f>(VLOOKUP(Table4[[#This Row],[item_sold]],Table1[],4,FALSE))*Table4[[#This Row],[qty]]</f>
        <v>55</v>
      </c>
      <c r="G7703">
        <f t="shared" si="1441"/>
        <v>5</v>
      </c>
      <c r="H7703" t="s">
        <v>402</v>
      </c>
    </row>
    <row r="7704" spans="1:9" x14ac:dyDescent="0.25">
      <c r="A7704" s="1">
        <f t="shared" si="1440"/>
        <v>45605</v>
      </c>
      <c r="B7704" s="31">
        <f t="shared" si="1443"/>
        <v>0.37986111111111115</v>
      </c>
      <c r="C7704" t="str">
        <f>'Inventory as of 12th Aug 2024'!A199</f>
        <v>Kdf</v>
      </c>
      <c r="D7704">
        <v>2</v>
      </c>
      <c r="E7704" s="5">
        <f>Table4[[#This Row],[qty]]*(VLOOKUP(Table4[[#This Row],[item_sold]],Table1[],5,FALSE))</f>
        <v>20</v>
      </c>
      <c r="F7704" s="5">
        <f>(VLOOKUP(Table4[[#This Row],[item_sold]],Table1[],4,FALSE))*Table4[[#This Row],[qty]]</f>
        <v>16.666666666666668</v>
      </c>
      <c r="G7704">
        <f t="shared" si="1441"/>
        <v>3.3333333333333321</v>
      </c>
      <c r="H7704" t="s">
        <v>402</v>
      </c>
    </row>
    <row r="7705" spans="1:9" x14ac:dyDescent="0.25">
      <c r="A7705" s="1">
        <f t="shared" si="1440"/>
        <v>45605</v>
      </c>
      <c r="B7705" s="31">
        <f t="shared" si="1443"/>
        <v>0.37986111111111115</v>
      </c>
      <c r="C7705" t="str">
        <f>'Inventory as of 12th Aug 2024'!A7</f>
        <v>Airtel 50 Credit</v>
      </c>
      <c r="D7705">
        <v>1</v>
      </c>
      <c r="E7705" s="5">
        <f>Table4[[#This Row],[qty]]*(VLOOKUP(Table4[[#This Row],[item_sold]],Table1[],5,FALSE))</f>
        <v>50</v>
      </c>
      <c r="F7705" s="5">
        <f>(VLOOKUP(Table4[[#This Row],[item_sold]],Table1[],4,FALSE))*Table4[[#This Row],[qty]]</f>
        <v>47</v>
      </c>
      <c r="G7705">
        <f t="shared" si="1441"/>
        <v>3</v>
      </c>
      <c r="H7705" t="s">
        <v>402</v>
      </c>
    </row>
    <row r="7706" spans="1:9" x14ac:dyDescent="0.25">
      <c r="A7706" s="1">
        <f t="shared" si="1440"/>
        <v>45605</v>
      </c>
      <c r="B7706" s="31">
        <f t="shared" si="1443"/>
        <v>0.37986111111111115</v>
      </c>
      <c r="C7706" t="str">
        <f>'Inventory as of 12th Aug 2024'!A267</f>
        <v>Ting Ting</v>
      </c>
      <c r="D7706">
        <v>3</v>
      </c>
      <c r="E7706" s="5">
        <f>Table4[[#This Row],[qty]]*(VLOOKUP(Table4[[#This Row],[item_sold]],Table1[],5,FALSE))</f>
        <v>15</v>
      </c>
      <c r="F7706" s="5">
        <f>(VLOOKUP(Table4[[#This Row],[item_sold]],Table1[],4,FALSE))*Table4[[#This Row],[qty]]</f>
        <v>12.18</v>
      </c>
      <c r="G7706">
        <f t="shared" si="1441"/>
        <v>2.8200000000000003</v>
      </c>
      <c r="H7706" t="s">
        <v>402</v>
      </c>
    </row>
    <row r="7707" spans="1:9" x14ac:dyDescent="0.25">
      <c r="A7707" s="1">
        <f t="shared" si="1440"/>
        <v>45605</v>
      </c>
      <c r="B7707" s="31">
        <f t="shared" si="1443"/>
        <v>0.37986111111111115</v>
      </c>
      <c r="C7707" t="str">
        <f>'Inventory as of 12th Aug 2024'!A179</f>
        <v>Bitez</v>
      </c>
      <c r="D7707">
        <v>3</v>
      </c>
      <c r="E7707" s="5">
        <f>Table4[[#This Row],[qty]]*(VLOOKUP(Table4[[#This Row],[item_sold]],Table1[],5,FALSE))</f>
        <v>45</v>
      </c>
      <c r="F7707" s="5">
        <f>(VLOOKUP(Table4[[#This Row],[item_sold]],Table1[],4,FALSE))*Table4[[#This Row],[qty]]</f>
        <v>26.400000000000002</v>
      </c>
      <c r="G7707">
        <f t="shared" si="1441"/>
        <v>18.599999999999998</v>
      </c>
      <c r="H7707" t="s">
        <v>402</v>
      </c>
    </row>
    <row r="7708" spans="1:9" x14ac:dyDescent="0.25">
      <c r="A7708" s="1">
        <f t="shared" si="1440"/>
        <v>45605</v>
      </c>
      <c r="B7708" s="31">
        <f t="shared" si="1443"/>
        <v>0.37986111111111115</v>
      </c>
      <c r="C7708" t="str">
        <f>'Inventory as of 12th Aug 2024'!A242</f>
        <v>Icepop</v>
      </c>
      <c r="D7708">
        <v>1</v>
      </c>
      <c r="E7708" s="5">
        <f>Table4[[#This Row],[qty]]*(VLOOKUP(Table4[[#This Row],[item_sold]],Table1[],5,FALSE))</f>
        <v>15</v>
      </c>
      <c r="F7708" s="5">
        <f>(VLOOKUP(Table4[[#This Row],[item_sold]],Table1[],4,FALSE))*Table4[[#This Row],[qty]]</f>
        <v>7.5</v>
      </c>
      <c r="G7708">
        <f t="shared" si="1441"/>
        <v>7.5</v>
      </c>
      <c r="H7708" t="s">
        <v>402</v>
      </c>
    </row>
    <row r="7709" spans="1:9" x14ac:dyDescent="0.25">
      <c r="A7709" s="1">
        <f t="shared" si="1440"/>
        <v>45605</v>
      </c>
      <c r="B7709" s="31">
        <f>TIME(9,20,0)</f>
        <v>0.3888888888888889</v>
      </c>
      <c r="C7709" t="str">
        <f>'Inventory as of 12th Aug 2024'!A199</f>
        <v>Kdf</v>
      </c>
      <c r="D7709">
        <v>2</v>
      </c>
      <c r="E7709" s="5">
        <f>Table4[[#This Row],[qty]]*(VLOOKUP(Table4[[#This Row],[item_sold]],Table1[],5,FALSE))</f>
        <v>20</v>
      </c>
      <c r="F7709" s="5">
        <f>(VLOOKUP(Table4[[#This Row],[item_sold]],Table1[],4,FALSE))*Table4[[#This Row],[qty]]</f>
        <v>16.666666666666668</v>
      </c>
      <c r="G7709">
        <f t="shared" si="1441"/>
        <v>3.3333333333333321</v>
      </c>
      <c r="H7709" t="s">
        <v>361</v>
      </c>
    </row>
    <row r="7710" spans="1:9" x14ac:dyDescent="0.25">
      <c r="A7710" s="1">
        <f t="shared" si="1440"/>
        <v>45605</v>
      </c>
      <c r="B7710" s="31">
        <f>TIME(9,6,0)</f>
        <v>0.37916666666666665</v>
      </c>
      <c r="C7710" t="str">
        <f>'Inventory as of 12th Aug 2024'!A120</f>
        <v>Maramoja</v>
      </c>
      <c r="D7710">
        <v>5</v>
      </c>
      <c r="E7710" s="5">
        <f>Table4[[#This Row],[qty]]*(VLOOKUP(Table4[[#This Row],[item_sold]],Table1[],5,FALSE))</f>
        <v>50</v>
      </c>
      <c r="F7710" s="5">
        <f>(VLOOKUP(Table4[[#This Row],[item_sold]],Table1[],4,FALSE))*Table4[[#This Row],[qty]]</f>
        <v>35</v>
      </c>
      <c r="G7710">
        <f t="shared" si="1441"/>
        <v>15</v>
      </c>
      <c r="H7710" t="s">
        <v>361</v>
      </c>
    </row>
    <row r="7711" spans="1:9" x14ac:dyDescent="0.25">
      <c r="A7711" s="1">
        <f t="shared" si="1440"/>
        <v>45605</v>
      </c>
      <c r="B7711" s="31">
        <f>TIME(8,57,0)</f>
        <v>0.37291666666666662</v>
      </c>
      <c r="C7711" t="str">
        <f>'Inventory as of 12th Aug 2024'!A33</f>
        <v>BB Bread 400g</v>
      </c>
      <c r="D7711">
        <v>1</v>
      </c>
      <c r="E7711" s="5">
        <f>Table4[[#This Row],[qty]]*(VLOOKUP(Table4[[#This Row],[item_sold]],Table1[],5,FALSE))</f>
        <v>65</v>
      </c>
      <c r="F7711" s="5">
        <f>(VLOOKUP(Table4[[#This Row],[item_sold]],Table1[],4,FALSE))*Table4[[#This Row],[qty]]</f>
        <v>60</v>
      </c>
      <c r="G7711">
        <f t="shared" si="1441"/>
        <v>5</v>
      </c>
      <c r="H7711" t="s">
        <v>430</v>
      </c>
      <c r="I7711" t="s">
        <v>385</v>
      </c>
    </row>
    <row r="7712" spans="1:9" x14ac:dyDescent="0.25">
      <c r="A7712" s="1">
        <f t="shared" si="1440"/>
        <v>45605</v>
      </c>
      <c r="B7712" s="31">
        <f t="shared" ref="B7712" si="1444">TIME(8,57,0)</f>
        <v>0.37291666666666662</v>
      </c>
      <c r="C7712" t="str">
        <f>'Inventory as of 12th Aug 2024'!A16</f>
        <v>Mt kenya milk 500ml</v>
      </c>
      <c r="D7712">
        <v>1</v>
      </c>
      <c r="E7712" s="5">
        <f>Table4[[#This Row],[qty]]*(VLOOKUP(Table4[[#This Row],[item_sold]],Table1[],5,FALSE))</f>
        <v>65</v>
      </c>
      <c r="F7712" s="5">
        <f>(VLOOKUP(Table4[[#This Row],[item_sold]],Table1[],4,FALSE))*Table4[[#This Row],[qty]]</f>
        <v>48.333333333333336</v>
      </c>
      <c r="G7712">
        <f t="shared" si="1441"/>
        <v>16.666666666666664</v>
      </c>
      <c r="H7712" t="s">
        <v>430</v>
      </c>
      <c r="I7712" t="s">
        <v>385</v>
      </c>
    </row>
    <row r="7713" spans="1:9" x14ac:dyDescent="0.25">
      <c r="A7713" s="1">
        <f t="shared" si="1440"/>
        <v>45605</v>
      </c>
      <c r="B7713" s="31">
        <f>TIME(10,20,0)</f>
        <v>0.43055555555555558</v>
      </c>
      <c r="C7713" t="str">
        <f>'Inventory as of 12th Aug 2024'!A33</f>
        <v>BB Bread 400g</v>
      </c>
      <c r="D7713">
        <v>2</v>
      </c>
      <c r="E7713" s="5">
        <f>Table4[[#This Row],[qty]]*(VLOOKUP(Table4[[#This Row],[item_sold]],Table1[],5,FALSE))</f>
        <v>130</v>
      </c>
      <c r="F7713" s="5">
        <f>(VLOOKUP(Table4[[#This Row],[item_sold]],Table1[],4,FALSE))*Table4[[#This Row],[qty]]</f>
        <v>120</v>
      </c>
      <c r="G7713">
        <f t="shared" si="1441"/>
        <v>10</v>
      </c>
      <c r="H7713" t="s">
        <v>361</v>
      </c>
    </row>
    <row r="7714" spans="1:9" x14ac:dyDescent="0.25">
      <c r="A7714" s="1">
        <f t="shared" si="1440"/>
        <v>45605</v>
      </c>
      <c r="B7714" s="31">
        <f t="shared" ref="B7714:B7717" si="1445">TIME(10,20,0)</f>
        <v>0.43055555555555558</v>
      </c>
      <c r="C7714" t="str">
        <f>'Inventory as of 12th Aug 2024'!A33</f>
        <v>BB Bread 400g</v>
      </c>
      <c r="D7714">
        <v>1</v>
      </c>
      <c r="E7714" s="5">
        <f>Table4[[#This Row],[qty]]*(VLOOKUP(Table4[[#This Row],[item_sold]],Table1[],5,FALSE))</f>
        <v>65</v>
      </c>
      <c r="F7714" s="5">
        <f>(VLOOKUP(Table4[[#This Row],[item_sold]],Table1[],4,FALSE))*Table4[[#This Row],[qty]]</f>
        <v>60</v>
      </c>
      <c r="G7714">
        <f t="shared" si="1441"/>
        <v>5</v>
      </c>
      <c r="H7714" t="s">
        <v>361</v>
      </c>
    </row>
    <row r="7715" spans="1:9" x14ac:dyDescent="0.25">
      <c r="A7715" s="1">
        <f t="shared" si="1440"/>
        <v>45605</v>
      </c>
      <c r="B7715" s="31">
        <f t="shared" si="1445"/>
        <v>0.43055555555555558</v>
      </c>
      <c r="C7715" t="str">
        <f>'Inventory as of 12th Aug 2024'!A8</f>
        <v>eggs</v>
      </c>
      <c r="D7715">
        <v>4</v>
      </c>
      <c r="E7715" s="5">
        <f>Table4[[#This Row],[qty]]*(VLOOKUP(Table4[[#This Row],[item_sold]],Table1[],5,FALSE))</f>
        <v>80</v>
      </c>
      <c r="F7715" s="5">
        <f>(VLOOKUP(Table4[[#This Row],[item_sold]],Table1[],4,FALSE))*Table4[[#This Row],[qty]]</f>
        <v>57.333333333333336</v>
      </c>
      <c r="G7715">
        <f t="shared" si="1441"/>
        <v>22.666666666666664</v>
      </c>
      <c r="H7715" t="s">
        <v>361</v>
      </c>
    </row>
    <row r="7716" spans="1:9" x14ac:dyDescent="0.25">
      <c r="A7716" s="1">
        <f t="shared" si="1440"/>
        <v>45605</v>
      </c>
      <c r="B7716" s="31">
        <f t="shared" si="1445"/>
        <v>0.43055555555555558</v>
      </c>
      <c r="C7716" t="str">
        <f>'Inventory as of 12th Aug 2024'!A16</f>
        <v>Mt kenya milk 500ml</v>
      </c>
      <c r="D7716">
        <v>1</v>
      </c>
      <c r="E7716" s="5">
        <f>Table4[[#This Row],[qty]]*(VLOOKUP(Table4[[#This Row],[item_sold]],Table1[],5,FALSE))</f>
        <v>65</v>
      </c>
      <c r="F7716" s="5">
        <f>(VLOOKUP(Table4[[#This Row],[item_sold]],Table1[],4,FALSE))*Table4[[#This Row],[qty]]</f>
        <v>48.333333333333336</v>
      </c>
      <c r="G7716">
        <f t="shared" si="1441"/>
        <v>16.666666666666664</v>
      </c>
      <c r="H7716" t="s">
        <v>361</v>
      </c>
    </row>
    <row r="7717" spans="1:9" x14ac:dyDescent="0.25">
      <c r="A7717" s="1">
        <f t="shared" si="1440"/>
        <v>45605</v>
      </c>
      <c r="B7717" s="31">
        <f t="shared" si="1445"/>
        <v>0.43055555555555558</v>
      </c>
      <c r="C7717" t="str">
        <f>'Inventory as of 12th Aug 2024'!A83</f>
        <v>omo 75g</v>
      </c>
      <c r="D7717">
        <v>1</v>
      </c>
      <c r="E7717" s="5">
        <f>Table4[[#This Row],[qty]]*(VLOOKUP(Table4[[#This Row],[item_sold]],Table1[],5,FALSE))</f>
        <v>35</v>
      </c>
      <c r="F7717" s="5">
        <f>(VLOOKUP(Table4[[#This Row],[item_sold]],Table1[],4,FALSE))*Table4[[#This Row],[qty]]</f>
        <v>27.5</v>
      </c>
      <c r="G7717">
        <f t="shared" si="1441"/>
        <v>7.5</v>
      </c>
      <c r="H7717" t="s">
        <v>361</v>
      </c>
    </row>
    <row r="7718" spans="1:9" x14ac:dyDescent="0.25">
      <c r="A7718" s="1">
        <f t="shared" si="1440"/>
        <v>45605</v>
      </c>
      <c r="B7718" s="31">
        <f>TIME(11,13,0)</f>
        <v>0.46736111111111112</v>
      </c>
      <c r="C7718" t="str">
        <f>'Inventory as of 12th Aug 2024'!A58</f>
        <v>Safari</v>
      </c>
      <c r="D7718">
        <v>1</v>
      </c>
      <c r="E7718" s="5">
        <f>Table4[[#This Row],[qty]]*(VLOOKUP(Table4[[#This Row],[item_sold]],Table1[],5,FALSE))</f>
        <v>15</v>
      </c>
      <c r="F7718" s="5">
        <f>(VLOOKUP(Table4[[#This Row],[item_sold]],Table1[],4,FALSE))*Table4[[#This Row],[qty]]</f>
        <v>8.5</v>
      </c>
      <c r="G7718">
        <f t="shared" si="1441"/>
        <v>6.5</v>
      </c>
      <c r="H7718" t="s">
        <v>430</v>
      </c>
      <c r="I7718" t="s">
        <v>447</v>
      </c>
    </row>
    <row r="7719" spans="1:9" x14ac:dyDescent="0.25">
      <c r="A7719" s="1">
        <f t="shared" si="1440"/>
        <v>45605</v>
      </c>
      <c r="B7719" s="31">
        <f t="shared" ref="B7719" si="1446">TIME(11,13,0)</f>
        <v>0.46736111111111112</v>
      </c>
      <c r="C7719" t="str">
        <f>'Inventory as of 12th Aug 2024'!A266</f>
        <v>Zenta Bar Soap</v>
      </c>
      <c r="D7719">
        <v>0.2</v>
      </c>
      <c r="E7719" s="5">
        <f>Table4[[#This Row],[qty]]*(VLOOKUP(Table4[[#This Row],[item_sold]],Table1[],5,FALSE))</f>
        <v>50</v>
      </c>
      <c r="F7719" s="5">
        <f>(VLOOKUP(Table4[[#This Row],[item_sold]],Table1[],4,FALSE))*Table4[[#This Row],[qty]]</f>
        <v>32</v>
      </c>
      <c r="G7719">
        <f t="shared" si="1441"/>
        <v>18</v>
      </c>
      <c r="H7719" t="s">
        <v>430</v>
      </c>
      <c r="I7719" t="s">
        <v>447</v>
      </c>
    </row>
    <row r="7720" spans="1:9" x14ac:dyDescent="0.25">
      <c r="A7720" s="1">
        <f t="shared" si="1440"/>
        <v>45605</v>
      </c>
      <c r="B7720" s="31">
        <f>TIME(11,51,0)</f>
        <v>0.49374999999999997</v>
      </c>
      <c r="C7720" t="str">
        <f>'Inventory as of 12th Aug 2024'!A91</f>
        <v>Tomatoes</v>
      </c>
      <c r="D7720">
        <v>15</v>
      </c>
      <c r="E7720" s="5">
        <f>Table4[[#This Row],[qty]]*(VLOOKUP(Table4[[#This Row],[item_sold]],Table1[],5,FALSE))</f>
        <v>150</v>
      </c>
      <c r="F7720" s="5">
        <f>(VLOOKUP(Table4[[#This Row],[item_sold]],Table1[],4,FALSE))*Table4[[#This Row],[qty]]</f>
        <v>75</v>
      </c>
      <c r="G7720">
        <f t="shared" si="1441"/>
        <v>75</v>
      </c>
      <c r="H7720" t="s">
        <v>430</v>
      </c>
      <c r="I7720" t="s">
        <v>408</v>
      </c>
    </row>
    <row r="7721" spans="1:9" x14ac:dyDescent="0.25">
      <c r="A7721" s="1">
        <f t="shared" si="1440"/>
        <v>45605</v>
      </c>
      <c r="B7721" s="31">
        <f t="shared" ref="B7721" si="1447">TIME(11,51,0)</f>
        <v>0.49374999999999997</v>
      </c>
      <c r="C7721" t="str">
        <f>'Inventory as of 12th Aug 2024'!A173</f>
        <v>Carrier bag big</v>
      </c>
      <c r="D7721">
        <v>1</v>
      </c>
      <c r="E7721" s="5">
        <f>Table4[[#This Row],[qty]]*(VLOOKUP(Table4[[#This Row],[item_sold]],Table1[],5,FALSE))</f>
        <v>20</v>
      </c>
      <c r="F7721" s="5">
        <f>(VLOOKUP(Table4[[#This Row],[item_sold]],Table1[],4,FALSE))*Table4[[#This Row],[qty]]</f>
        <v>5</v>
      </c>
      <c r="G7721">
        <f t="shared" si="1441"/>
        <v>15</v>
      </c>
      <c r="H7721" t="s">
        <v>430</v>
      </c>
      <c r="I7721" t="s">
        <v>408</v>
      </c>
    </row>
    <row r="7722" spans="1:9" x14ac:dyDescent="0.25">
      <c r="A7722" s="1">
        <f t="shared" si="1440"/>
        <v>45605</v>
      </c>
      <c r="B7722" s="31">
        <f>TIME(12,29,0)</f>
        <v>0.52013888888888882</v>
      </c>
      <c r="C7722" t="str">
        <f>'Inventory as of 12th Aug 2024'!A58</f>
        <v>Safari</v>
      </c>
      <c r="D7722">
        <v>1</v>
      </c>
      <c r="E7722" s="5">
        <f>Table4[[#This Row],[qty]]*(VLOOKUP(Table4[[#This Row],[item_sold]],Table1[],5,FALSE))</f>
        <v>15</v>
      </c>
      <c r="F7722" s="5">
        <f>(VLOOKUP(Table4[[#This Row],[item_sold]],Table1[],4,FALSE))*Table4[[#This Row],[qty]]</f>
        <v>8.5</v>
      </c>
      <c r="G7722">
        <f t="shared" si="1441"/>
        <v>6.5</v>
      </c>
      <c r="H7722" t="s">
        <v>361</v>
      </c>
    </row>
    <row r="7723" spans="1:9" x14ac:dyDescent="0.25">
      <c r="A7723" s="1">
        <f t="shared" si="1440"/>
        <v>45605</v>
      </c>
      <c r="B7723" s="31">
        <f t="shared" ref="B7723" si="1448">TIME(12,29,0)</f>
        <v>0.52013888888888882</v>
      </c>
      <c r="C7723" t="str">
        <f>'Inventory as of 12th Aug 2024'!A154</f>
        <v>toothpick</v>
      </c>
      <c r="D7723">
        <v>2</v>
      </c>
      <c r="E7723" s="5">
        <f>Table4[[#This Row],[qty]]*(VLOOKUP(Table4[[#This Row],[item_sold]],Table1[],5,FALSE))</f>
        <v>40</v>
      </c>
      <c r="F7723" s="5">
        <f>(VLOOKUP(Table4[[#This Row],[item_sold]],Table1[],4,FALSE))*Table4[[#This Row],[qty]]</f>
        <v>30</v>
      </c>
      <c r="G7723">
        <f t="shared" si="1441"/>
        <v>10</v>
      </c>
      <c r="H7723" t="s">
        <v>430</v>
      </c>
      <c r="I7723" t="s">
        <v>408</v>
      </c>
    </row>
    <row r="7724" spans="1:9" x14ac:dyDescent="0.25">
      <c r="A7724" s="1">
        <f t="shared" si="1440"/>
        <v>45605</v>
      </c>
      <c r="B7724" s="31">
        <f>TIME(13,39,0)</f>
        <v>0.56874999999999998</v>
      </c>
      <c r="C7724" t="str">
        <f>'Inventory as of 12th Aug 2024'!A58</f>
        <v>Safari</v>
      </c>
      <c r="D7724">
        <v>1</v>
      </c>
      <c r="E7724" s="5">
        <f>Table4[[#This Row],[qty]]*(VLOOKUP(Table4[[#This Row],[item_sold]],Table1[],5,FALSE))</f>
        <v>15</v>
      </c>
      <c r="F7724" s="5">
        <f>(VLOOKUP(Table4[[#This Row],[item_sold]],Table1[],4,FALSE))*Table4[[#This Row],[qty]]</f>
        <v>8.5</v>
      </c>
      <c r="G7724">
        <f t="shared" si="1441"/>
        <v>6.5</v>
      </c>
      <c r="H7724" t="s">
        <v>361</v>
      </c>
    </row>
    <row r="7725" spans="1:9" x14ac:dyDescent="0.25">
      <c r="A7725" s="1">
        <f t="shared" si="1440"/>
        <v>45605</v>
      </c>
      <c r="B7725" s="31">
        <f>TIME(13,48,0)</f>
        <v>0.57500000000000007</v>
      </c>
      <c r="C7725" t="str">
        <f>'Inventory as of 12th Aug 2024'!A211</f>
        <v>predator</v>
      </c>
      <c r="D7725">
        <v>1</v>
      </c>
      <c r="E7725" s="5">
        <f>Table4[[#This Row],[qty]]*(VLOOKUP(Table4[[#This Row],[item_sold]],Table1[],5,FALSE))</f>
        <v>70</v>
      </c>
      <c r="F7725" s="5">
        <f>(VLOOKUP(Table4[[#This Row],[item_sold]],Table1[],4,FALSE))*Table4[[#This Row],[qty]]</f>
        <v>54.166666666666664</v>
      </c>
      <c r="G7725">
        <f t="shared" si="1441"/>
        <v>15.833333333333336</v>
      </c>
      <c r="H7725" t="s">
        <v>402</v>
      </c>
    </row>
    <row r="7726" spans="1:9" x14ac:dyDescent="0.25">
      <c r="A7726" s="1">
        <f t="shared" si="1440"/>
        <v>45605</v>
      </c>
      <c r="B7726" s="31">
        <f t="shared" ref="B7726" si="1449">TIME(13,48,0)</f>
        <v>0.57500000000000007</v>
      </c>
      <c r="C7726" t="str">
        <f>'Inventory as of 12th Aug 2024'!A58</f>
        <v>Safari</v>
      </c>
      <c r="D7726">
        <v>3</v>
      </c>
      <c r="E7726" s="5">
        <f>Table4[[#This Row],[qty]]*(VLOOKUP(Table4[[#This Row],[item_sold]],Table1[],5,FALSE))</f>
        <v>45</v>
      </c>
      <c r="F7726" s="5">
        <f>(VLOOKUP(Table4[[#This Row],[item_sold]],Table1[],4,FALSE))*Table4[[#This Row],[qty]]</f>
        <v>25.5</v>
      </c>
      <c r="G7726">
        <f t="shared" si="1441"/>
        <v>19.5</v>
      </c>
      <c r="H7726" t="s">
        <v>402</v>
      </c>
    </row>
    <row r="7727" spans="1:9" x14ac:dyDescent="0.25">
      <c r="A7727" s="1">
        <f t="shared" si="1440"/>
        <v>45605</v>
      </c>
      <c r="B7727" s="31">
        <f>TIME(13,53,0)</f>
        <v>0.57847222222222217</v>
      </c>
      <c r="C7727" t="str">
        <f>'Inventory as of 12th Aug 2024'!A8</f>
        <v>eggs</v>
      </c>
      <c r="D7727">
        <v>4</v>
      </c>
      <c r="E7727" s="5">
        <f>Table4[[#This Row],[qty]]*(VLOOKUP(Table4[[#This Row],[item_sold]],Table1[],5,FALSE))</f>
        <v>80</v>
      </c>
      <c r="F7727" s="5">
        <f>(VLOOKUP(Table4[[#This Row],[item_sold]],Table1[],4,FALSE))*Table4[[#This Row],[qty]]</f>
        <v>57.333333333333336</v>
      </c>
      <c r="G7727">
        <f t="shared" si="1441"/>
        <v>22.666666666666664</v>
      </c>
      <c r="H7727" t="s">
        <v>402</v>
      </c>
    </row>
    <row r="7728" spans="1:9" x14ac:dyDescent="0.25">
      <c r="A7728" s="1">
        <f t="shared" si="1440"/>
        <v>45605</v>
      </c>
      <c r="B7728" s="31">
        <f>TIME(14,25,0)</f>
        <v>0.60069444444444442</v>
      </c>
      <c r="C7728" t="str">
        <f>'Inventory as of 12th Aug 2024'!A16</f>
        <v>Mt kenya milk 500ml</v>
      </c>
      <c r="D7728">
        <v>1</v>
      </c>
      <c r="E7728" s="5">
        <f>Table4[[#This Row],[qty]]*(VLOOKUP(Table4[[#This Row],[item_sold]],Table1[],5,FALSE))</f>
        <v>65</v>
      </c>
      <c r="F7728" s="5">
        <f>(VLOOKUP(Table4[[#This Row],[item_sold]],Table1[],4,FALSE))*Table4[[#This Row],[qty]]</f>
        <v>48.333333333333336</v>
      </c>
      <c r="G7728">
        <f t="shared" si="1441"/>
        <v>16.666666666666664</v>
      </c>
      <c r="H7728" t="s">
        <v>402</v>
      </c>
    </row>
    <row r="7729" spans="1:12" x14ac:dyDescent="0.25">
      <c r="A7729" s="1">
        <f t="shared" si="1440"/>
        <v>45605</v>
      </c>
      <c r="B7729" s="31">
        <f t="shared" ref="B7729" si="1450">TIME(14,25,0)</f>
        <v>0.60069444444444442</v>
      </c>
      <c r="C7729" t="str">
        <f>'Inventory as of 12th Aug 2024'!A92</f>
        <v>Banana</v>
      </c>
      <c r="D7729">
        <v>3</v>
      </c>
      <c r="E7729" s="5">
        <f>Table4[[#This Row],[qty]]*(VLOOKUP(Table4[[#This Row],[item_sold]],Table1[],5,FALSE))</f>
        <v>30</v>
      </c>
      <c r="F7729" s="5">
        <f>(VLOOKUP(Table4[[#This Row],[item_sold]],Table1[],4,FALSE))*Table4[[#This Row],[qty]]</f>
        <v>25</v>
      </c>
      <c r="G7729">
        <f t="shared" si="1441"/>
        <v>5</v>
      </c>
      <c r="H7729" t="s">
        <v>402</v>
      </c>
    </row>
    <row r="7730" spans="1:12" x14ac:dyDescent="0.25">
      <c r="A7730" s="1">
        <f t="shared" si="1440"/>
        <v>45605</v>
      </c>
      <c r="B7730" s="31">
        <f>TIME(14,27,0)</f>
        <v>0.6020833333333333</v>
      </c>
      <c r="C7730" t="str">
        <f>'Inventory as of 12th Aug 2024'!A42</f>
        <v>Indomie chicken</v>
      </c>
      <c r="D7730">
        <v>2</v>
      </c>
      <c r="E7730" s="5">
        <f>Table4[[#This Row],[qty]]*(VLOOKUP(Table4[[#This Row],[item_sold]],Table1[],5,FALSE))</f>
        <v>100</v>
      </c>
      <c r="F7730" s="5">
        <f>(VLOOKUP(Table4[[#This Row],[item_sold]],Table1[],4,FALSE))*Table4[[#This Row],[qty]]</f>
        <v>75</v>
      </c>
      <c r="G7730">
        <f t="shared" si="1441"/>
        <v>25</v>
      </c>
      <c r="H7730" t="s">
        <v>361</v>
      </c>
    </row>
    <row r="7731" spans="1:12" x14ac:dyDescent="0.25">
      <c r="A7731" s="1">
        <f t="shared" si="1440"/>
        <v>45605</v>
      </c>
      <c r="B7731" s="31">
        <f>TIME(15,51,0)</f>
        <v>0.66041666666666665</v>
      </c>
      <c r="C7731" t="str">
        <f>'Inventory as of 12th Aug 2024'!A209</f>
        <v>afia 500ml</v>
      </c>
      <c r="D7731">
        <v>1</v>
      </c>
      <c r="E7731" s="5">
        <f>Table4[[#This Row],[qty]]*(VLOOKUP(Table4[[#This Row],[item_sold]],Table1[],5,FALSE))</f>
        <v>85</v>
      </c>
      <c r="F7731" s="5">
        <f>(VLOOKUP(Table4[[#This Row],[item_sold]],Table1[],4,FALSE))*Table4[[#This Row],[qty]]</f>
        <v>70.833333333333329</v>
      </c>
      <c r="G7731">
        <f t="shared" si="1441"/>
        <v>14.166666666666671</v>
      </c>
      <c r="H7731" t="s">
        <v>402</v>
      </c>
    </row>
    <row r="7732" spans="1:12" x14ac:dyDescent="0.25">
      <c r="A7732" s="1">
        <f t="shared" si="1440"/>
        <v>45605</v>
      </c>
      <c r="B7732" s="31">
        <f>TIME(16,18,0)</f>
        <v>0.6791666666666667</v>
      </c>
      <c r="C7732" t="str">
        <f>'Inventory as of 12th Aug 2024'!A212</f>
        <v>soda 300ml glass</v>
      </c>
      <c r="D7732">
        <v>1</v>
      </c>
      <c r="E7732" s="5">
        <f>Table4[[#This Row],[qty]]*(VLOOKUP(Table4[[#This Row],[item_sold]],Table1[],5,FALSE))</f>
        <v>40</v>
      </c>
      <c r="F7732" s="5">
        <f>(VLOOKUP(Table4[[#This Row],[item_sold]],Table1[],4,FALSE))*Table4[[#This Row],[qty]]</f>
        <v>32.5</v>
      </c>
      <c r="G7732">
        <f t="shared" si="1441"/>
        <v>7.5</v>
      </c>
      <c r="H7732" t="s">
        <v>361</v>
      </c>
    </row>
    <row r="7733" spans="1:12" x14ac:dyDescent="0.25">
      <c r="A7733" s="1">
        <f t="shared" si="1440"/>
        <v>45605</v>
      </c>
      <c r="B7733" s="31">
        <f>TIME(16,18,0)</f>
        <v>0.6791666666666667</v>
      </c>
      <c r="C7733" t="str">
        <f>'Inventory as of 12th Aug 2024'!A58</f>
        <v>Safari</v>
      </c>
      <c r="D7733">
        <v>2</v>
      </c>
      <c r="E7733" s="5">
        <f>Table4[[#This Row],[qty]]*(VLOOKUP(Table4[[#This Row],[item_sold]],Table1[],5,FALSE))</f>
        <v>30</v>
      </c>
      <c r="F7733" s="5">
        <f>(VLOOKUP(Table4[[#This Row],[item_sold]],Table1[],4,FALSE))*Table4[[#This Row],[qty]]</f>
        <v>17</v>
      </c>
      <c r="G7733">
        <f t="shared" si="1441"/>
        <v>13</v>
      </c>
      <c r="H7733" t="s">
        <v>361</v>
      </c>
    </row>
    <row r="7734" spans="1:12" x14ac:dyDescent="0.25">
      <c r="A7734" s="1">
        <f t="shared" si="1440"/>
        <v>45605</v>
      </c>
      <c r="B7734" s="31">
        <f>TIME(16,27,0)</f>
        <v>0.68541666666666667</v>
      </c>
      <c r="C7734" t="str">
        <f>'Inventory as of 12th Aug 2024'!A16</f>
        <v>Mt kenya milk 500ml</v>
      </c>
      <c r="D7734">
        <v>1</v>
      </c>
      <c r="E7734" s="5">
        <f>Table4[[#This Row],[qty]]*(VLOOKUP(Table4[[#This Row],[item_sold]],Table1[],5,FALSE))</f>
        <v>65</v>
      </c>
      <c r="F7734" s="5">
        <f>(VLOOKUP(Table4[[#This Row],[item_sold]],Table1[],4,FALSE))*Table4[[#This Row],[qty]]</f>
        <v>48.333333333333336</v>
      </c>
      <c r="G7734">
        <f t="shared" si="1441"/>
        <v>16.666666666666664</v>
      </c>
      <c r="H7734" t="s">
        <v>402</v>
      </c>
    </row>
    <row r="7735" spans="1:12" x14ac:dyDescent="0.25">
      <c r="A7735" s="1">
        <f t="shared" si="1440"/>
        <v>45605</v>
      </c>
      <c r="B7735" s="31">
        <f>TIME(16,27,0)</f>
        <v>0.68541666666666667</v>
      </c>
      <c r="C7735" t="str">
        <f>'Inventory as of 12th Aug 2024'!A208</f>
        <v>minutemaid 400ml</v>
      </c>
      <c r="D7735">
        <v>1</v>
      </c>
      <c r="E7735" s="5">
        <f>Table4[[#This Row],[qty]]*(VLOOKUP(Table4[[#This Row],[item_sold]],Table1[],5,FALSE))</f>
        <v>85</v>
      </c>
      <c r="F7735" s="5">
        <f>(VLOOKUP(Table4[[#This Row],[item_sold]],Table1[],4,FALSE))*Table4[[#This Row],[qty]]</f>
        <v>62.5</v>
      </c>
      <c r="G7735">
        <f t="shared" si="1441"/>
        <v>22.5</v>
      </c>
      <c r="H7735" t="s">
        <v>402</v>
      </c>
    </row>
    <row r="7736" spans="1:12" x14ac:dyDescent="0.25">
      <c r="A7736" s="1">
        <f t="shared" si="1440"/>
        <v>45605</v>
      </c>
      <c r="B7736" s="31">
        <f>TIME(17,37,0)</f>
        <v>0.73402777777777783</v>
      </c>
      <c r="C7736" t="str">
        <f>'Inventory as of 12th Aug 2024'!A248</f>
        <v>Soko Maize meal</v>
      </c>
      <c r="D7736">
        <v>1</v>
      </c>
      <c r="E7736" s="5">
        <f>Table4[[#This Row],[qty]]*(VLOOKUP(Table4[[#This Row],[item_sold]],Table1[],5,FALSE))</f>
        <v>160</v>
      </c>
      <c r="F7736" s="5">
        <f>(VLOOKUP(Table4[[#This Row],[item_sold]],Table1[],4,FALSE))*Table4[[#This Row],[qty]]</f>
        <v>125</v>
      </c>
      <c r="G7736">
        <f t="shared" si="1441"/>
        <v>35</v>
      </c>
      <c r="H7736" t="s">
        <v>402</v>
      </c>
    </row>
    <row r="7737" spans="1:12" x14ac:dyDescent="0.25">
      <c r="A7737" s="1">
        <f t="shared" si="1440"/>
        <v>45605</v>
      </c>
      <c r="B7737" s="31">
        <f>TIME(19,7,0)</f>
        <v>0.79652777777777783</v>
      </c>
      <c r="C7737" t="str">
        <f>'Inventory as of 12th Aug 2024'!A97</f>
        <v>Garlic</v>
      </c>
      <c r="D7737">
        <v>1</v>
      </c>
      <c r="E7737" s="5">
        <f>Table4[[#This Row],[qty]]*(VLOOKUP(Table4[[#This Row],[item_sold]],Table1[],5,FALSE))</f>
        <v>30</v>
      </c>
      <c r="F7737" s="5">
        <f>(VLOOKUP(Table4[[#This Row],[item_sold]],Table1[],4,FALSE))*Table4[[#This Row],[qty]]</f>
        <v>20</v>
      </c>
      <c r="G7737">
        <f t="shared" si="1441"/>
        <v>10</v>
      </c>
      <c r="H7737" t="s">
        <v>402</v>
      </c>
    </row>
    <row r="7738" spans="1:12" x14ac:dyDescent="0.25">
      <c r="A7738" s="1">
        <f t="shared" si="1440"/>
        <v>45605</v>
      </c>
      <c r="B7738" s="31">
        <f>TIME(19,20,0)</f>
        <v>0.80555555555555547</v>
      </c>
      <c r="C7738" t="str">
        <f>'Inventory as of 12th Aug 2024'!A10</f>
        <v>Mt Kenya milk 200ml</v>
      </c>
      <c r="D7738">
        <v>1</v>
      </c>
      <c r="E7738" s="5">
        <f>Table4[[#This Row],[qty]]*(VLOOKUP(Table4[[#This Row],[item_sold]],Table1[],5,FALSE))</f>
        <v>35</v>
      </c>
      <c r="F7738" s="5">
        <f>(VLOOKUP(Table4[[#This Row],[item_sold]],Table1[],4,FALSE))*Table4[[#This Row],[qty]]</f>
        <v>24.285714285714285</v>
      </c>
      <c r="G7738">
        <f t="shared" si="1441"/>
        <v>10.714285714285715</v>
      </c>
      <c r="H7738" t="s">
        <v>361</v>
      </c>
    </row>
    <row r="7739" spans="1:12" x14ac:dyDescent="0.25">
      <c r="A7739" s="1">
        <f t="shared" si="1440"/>
        <v>45605</v>
      </c>
      <c r="B7739" s="31">
        <f t="shared" ref="B7739:B7740" si="1451">TIME(19,20,0)</f>
        <v>0.80555555555555547</v>
      </c>
      <c r="C7739" t="str">
        <f>'Inventory as of 12th Aug 2024'!A68</f>
        <v>Royco cubes</v>
      </c>
      <c r="D7739">
        <v>2</v>
      </c>
      <c r="E7739" s="5">
        <f>Table4[[#This Row],[qty]]*(VLOOKUP(Table4[[#This Row],[item_sold]],Table1[],5,FALSE))</f>
        <v>10</v>
      </c>
      <c r="F7739" s="5">
        <f>(VLOOKUP(Table4[[#This Row],[item_sold]],Table1[],4,FALSE))*Table4[[#This Row],[qty]]</f>
        <v>6</v>
      </c>
      <c r="G7739">
        <f t="shared" si="1441"/>
        <v>4</v>
      </c>
      <c r="H7739" t="s">
        <v>361</v>
      </c>
    </row>
    <row r="7740" spans="1:12" x14ac:dyDescent="0.25">
      <c r="A7740" s="1">
        <f t="shared" si="1440"/>
        <v>45605</v>
      </c>
      <c r="B7740" s="31">
        <f t="shared" si="1451"/>
        <v>0.80555555555555547</v>
      </c>
      <c r="C7740" t="str">
        <f>'Inventory as of 12th Aug 2024'!A199</f>
        <v>Kdf</v>
      </c>
      <c r="D7740">
        <v>3</v>
      </c>
      <c r="E7740" s="5">
        <f>Table4[[#This Row],[qty]]*(VLOOKUP(Table4[[#This Row],[item_sold]],Table1[],5,FALSE))</f>
        <v>30</v>
      </c>
      <c r="F7740" s="5">
        <f>(VLOOKUP(Table4[[#This Row],[item_sold]],Table1[],4,FALSE))*Table4[[#This Row],[qty]]</f>
        <v>25</v>
      </c>
      <c r="G7740">
        <f t="shared" si="1441"/>
        <v>5</v>
      </c>
      <c r="H7740" t="s">
        <v>361</v>
      </c>
    </row>
    <row r="7741" spans="1:12" x14ac:dyDescent="0.25">
      <c r="A7741" s="1">
        <f t="shared" si="1440"/>
        <v>45605</v>
      </c>
      <c r="B7741" s="31">
        <f>TIME(19,31,0)</f>
        <v>0.81319444444444444</v>
      </c>
      <c r="C7741" t="str">
        <f>'Inventory as of 12th Aug 2024'!A33</f>
        <v>BB Bread 400g</v>
      </c>
      <c r="D7741">
        <v>2</v>
      </c>
      <c r="E7741" s="5">
        <f>Table4[[#This Row],[qty]]*(VLOOKUP(Table4[[#This Row],[item_sold]],Table1[],5,FALSE))</f>
        <v>130</v>
      </c>
      <c r="F7741" s="5">
        <f>(VLOOKUP(Table4[[#This Row],[item_sold]],Table1[],4,FALSE))*Table4[[#This Row],[qty]]</f>
        <v>120</v>
      </c>
      <c r="G7741">
        <f t="shared" si="1441"/>
        <v>10</v>
      </c>
      <c r="H7741" t="s">
        <v>361</v>
      </c>
      <c r="J7741" t="s">
        <v>447</v>
      </c>
      <c r="K7741">
        <v>85</v>
      </c>
      <c r="L7741" t="s">
        <v>247</v>
      </c>
    </row>
    <row r="7742" spans="1:12" x14ac:dyDescent="0.25">
      <c r="A7742" s="1">
        <f t="shared" si="1440"/>
        <v>45605</v>
      </c>
      <c r="B7742" s="31">
        <f t="shared" ref="B7742" si="1452">TIME(19,31,0)</f>
        <v>0.81319444444444444</v>
      </c>
      <c r="C7742" t="str">
        <f>'Inventory as of 12th Aug 2024'!A135</f>
        <v>Bella Tissue</v>
      </c>
      <c r="D7742">
        <v>1</v>
      </c>
      <c r="E7742" s="5">
        <f>Table4[[#This Row],[qty]]*(VLOOKUP(Table4[[#This Row],[item_sold]],Table1[],5,FALSE))</f>
        <v>50</v>
      </c>
      <c r="F7742" s="5">
        <f>(VLOOKUP(Table4[[#This Row],[item_sold]],Table1[],4,FALSE))*Table4[[#This Row],[qty]]</f>
        <v>35</v>
      </c>
      <c r="G7742">
        <f t="shared" si="1441"/>
        <v>15</v>
      </c>
      <c r="H7742" t="s">
        <v>361</v>
      </c>
    </row>
    <row r="7743" spans="1:12" x14ac:dyDescent="0.25">
      <c r="A7743" s="1">
        <f t="shared" si="1440"/>
        <v>45605</v>
      </c>
      <c r="B7743" s="31">
        <f>TIME(19,32,0)</f>
        <v>0.81388888888888899</v>
      </c>
      <c r="C7743" t="str">
        <f>'Inventory as of 12th Aug 2024'!A107</f>
        <v>Match Box</v>
      </c>
      <c r="D7743">
        <v>1</v>
      </c>
      <c r="E7743" s="5">
        <f>Table4[[#This Row],[qty]]*(VLOOKUP(Table4[[#This Row],[item_sold]],Table1[],5,FALSE))</f>
        <v>5</v>
      </c>
      <c r="F7743" s="5">
        <f>(VLOOKUP(Table4[[#This Row],[item_sold]],Table1[],4,FALSE))*Table4[[#This Row],[qty]]</f>
        <v>2.3611111111111112</v>
      </c>
      <c r="G7743">
        <f t="shared" si="1441"/>
        <v>2.6388888888888888</v>
      </c>
      <c r="H7743" t="s">
        <v>402</v>
      </c>
    </row>
    <row r="7744" spans="1:12" x14ac:dyDescent="0.25">
      <c r="A7744" s="1">
        <f t="shared" si="1440"/>
        <v>45605</v>
      </c>
      <c r="B7744" s="31">
        <f>TIME(19,32,0)</f>
        <v>0.81388888888888899</v>
      </c>
      <c r="C7744" t="str">
        <f>'Inventory as of 12th Aug 2024'!A58</f>
        <v>Safari</v>
      </c>
      <c r="D7744">
        <v>1</v>
      </c>
      <c r="E7744" s="5">
        <f>Table4[[#This Row],[qty]]*(VLOOKUP(Table4[[#This Row],[item_sold]],Table1[],5,FALSE))</f>
        <v>15</v>
      </c>
      <c r="F7744" s="5">
        <f>(VLOOKUP(Table4[[#This Row],[item_sold]],Table1[],4,FALSE))*Table4[[#This Row],[qty]]</f>
        <v>8.5</v>
      </c>
      <c r="G7744">
        <f t="shared" si="1441"/>
        <v>6.5</v>
      </c>
      <c r="H7744" t="s">
        <v>402</v>
      </c>
    </row>
    <row r="7745" spans="1:9" x14ac:dyDescent="0.25">
      <c r="A7745" s="1">
        <f t="shared" si="1440"/>
        <v>45605</v>
      </c>
      <c r="B7745" s="31">
        <f>TIME(19,49,0)</f>
        <v>0.8256944444444444</v>
      </c>
      <c r="C7745" t="str">
        <f>'Inventory as of 12th Aug 2024'!A92</f>
        <v>Banana</v>
      </c>
      <c r="D7745">
        <v>2</v>
      </c>
      <c r="E7745" s="5">
        <f>Table4[[#This Row],[qty]]*(VLOOKUP(Table4[[#This Row],[item_sold]],Table1[],5,FALSE))</f>
        <v>20</v>
      </c>
      <c r="F7745" s="5">
        <f>(VLOOKUP(Table4[[#This Row],[item_sold]],Table1[],4,FALSE))*Table4[[#This Row],[qty]]</f>
        <v>16.666666666666668</v>
      </c>
      <c r="G7745">
        <f t="shared" si="1441"/>
        <v>3.3333333333333321</v>
      </c>
      <c r="H7745" t="s">
        <v>402</v>
      </c>
    </row>
    <row r="7746" spans="1:9" x14ac:dyDescent="0.25">
      <c r="A7746" s="1">
        <f t="shared" si="1440"/>
        <v>45605</v>
      </c>
      <c r="B7746" s="31">
        <f>TIME(20,9,0)</f>
        <v>0.83958333333333324</v>
      </c>
      <c r="C7746" t="str">
        <f>'Inventory as of 12th Aug 2024'!A212</f>
        <v>soda 300ml glass</v>
      </c>
      <c r="D7746">
        <v>1</v>
      </c>
      <c r="E7746" s="5">
        <f>Table4[[#This Row],[qty]]*(VLOOKUP(Table4[[#This Row],[item_sold]],Table1[],5,FALSE))</f>
        <v>40</v>
      </c>
      <c r="F7746" s="5">
        <f>(VLOOKUP(Table4[[#This Row],[item_sold]],Table1[],4,FALSE))*Table4[[#This Row],[qty]]</f>
        <v>32.5</v>
      </c>
      <c r="G7746">
        <f t="shared" si="1441"/>
        <v>7.5</v>
      </c>
      <c r="H7746" t="s">
        <v>361</v>
      </c>
    </row>
    <row r="7747" spans="1:9" x14ac:dyDescent="0.25">
      <c r="A7747" s="1">
        <f t="shared" si="1440"/>
        <v>45605</v>
      </c>
      <c r="B7747" s="31">
        <f t="shared" ref="B7747:B7748" si="1453">TIME(20,9,0)</f>
        <v>0.83958333333333324</v>
      </c>
      <c r="C7747" t="str">
        <f>'Inventory as of 12th Aug 2024'!A193</f>
        <v>Ginger Bisquit</v>
      </c>
      <c r="D7747">
        <v>2</v>
      </c>
      <c r="E7747" s="5">
        <f>Table4[[#This Row],[qty]]*(VLOOKUP(Table4[[#This Row],[item_sold]],Table1[],5,FALSE))</f>
        <v>10</v>
      </c>
      <c r="F7747" s="5">
        <f>(VLOOKUP(Table4[[#This Row],[item_sold]],Table1[],4,FALSE))*Table4[[#This Row],[qty]]</f>
        <v>8.6666666666666661</v>
      </c>
      <c r="G7747">
        <f t="shared" si="1441"/>
        <v>1.3333333333333339</v>
      </c>
      <c r="H7747" t="s">
        <v>402</v>
      </c>
    </row>
    <row r="7748" spans="1:9" x14ac:dyDescent="0.25">
      <c r="A7748" s="1">
        <f t="shared" si="1440"/>
        <v>45605</v>
      </c>
      <c r="B7748" s="31">
        <f t="shared" si="1453"/>
        <v>0.83958333333333324</v>
      </c>
      <c r="C7748" t="str">
        <f>'Inventory as of 12th Aug 2024'!A71</f>
        <v>Sugar 1/4 kg</v>
      </c>
      <c r="D7748">
        <v>2</v>
      </c>
      <c r="E7748" s="5">
        <f>Table4[[#This Row],[qty]]*(VLOOKUP(Table4[[#This Row],[item_sold]],Table1[],5,FALSE))</f>
        <v>90</v>
      </c>
      <c r="F7748" s="5">
        <f>(VLOOKUP(Table4[[#This Row],[item_sold]],Table1[],4,FALSE))*Table4[[#This Row],[qty]]</f>
        <v>60</v>
      </c>
      <c r="G7748">
        <f t="shared" si="1441"/>
        <v>30</v>
      </c>
      <c r="H7748" t="s">
        <v>402</v>
      </c>
    </row>
    <row r="7749" spans="1:9" x14ac:dyDescent="0.25">
      <c r="A7749" s="1">
        <f t="shared" si="1440"/>
        <v>45605</v>
      </c>
      <c r="B7749" s="31">
        <f>TIME(20,30,0)</f>
        <v>0.85416666666666663</v>
      </c>
      <c r="C7749" t="str">
        <f>'Inventory as of 12th Aug 2024'!A58</f>
        <v>Safari</v>
      </c>
      <c r="D7749">
        <v>1</v>
      </c>
      <c r="E7749" s="5">
        <f>Table4[[#This Row],[qty]]*(VLOOKUP(Table4[[#This Row],[item_sold]],Table1[],5,FALSE))</f>
        <v>15</v>
      </c>
      <c r="F7749" s="5">
        <f>(VLOOKUP(Table4[[#This Row],[item_sold]],Table1[],4,FALSE))*Table4[[#This Row],[qty]]</f>
        <v>8.5</v>
      </c>
      <c r="G7749">
        <f t="shared" si="1441"/>
        <v>6.5</v>
      </c>
      <c r="H7749" t="s">
        <v>402</v>
      </c>
    </row>
    <row r="7750" spans="1:9" x14ac:dyDescent="0.25">
      <c r="A7750" s="1">
        <f t="shared" si="1440"/>
        <v>45605</v>
      </c>
      <c r="B7750" s="31">
        <f>TIME(20,44,0)</f>
        <v>0.86388888888888893</v>
      </c>
      <c r="C7750" t="str">
        <f>'Inventory as of 12th Aug 2024'!A8</f>
        <v>eggs</v>
      </c>
      <c r="D7750">
        <v>2</v>
      </c>
      <c r="E7750" s="5">
        <f>Table4[[#This Row],[qty]]*(VLOOKUP(Table4[[#This Row],[item_sold]],Table1[],5,FALSE))</f>
        <v>40</v>
      </c>
      <c r="F7750" s="5">
        <f>(VLOOKUP(Table4[[#This Row],[item_sold]],Table1[],4,FALSE))*Table4[[#This Row],[qty]]</f>
        <v>28.666666666666668</v>
      </c>
      <c r="G7750">
        <f t="shared" si="1441"/>
        <v>11.333333333333332</v>
      </c>
      <c r="H7750" t="s">
        <v>361</v>
      </c>
    </row>
    <row r="7751" spans="1:9" x14ac:dyDescent="0.25">
      <c r="A7751" s="1">
        <f t="shared" si="1440"/>
        <v>45605</v>
      </c>
      <c r="B7751" s="31">
        <f>TIME(20,46,0)</f>
        <v>0.8652777777777777</v>
      </c>
      <c r="C7751" t="str">
        <f>'Inventory as of 12th Aug 2024'!A208</f>
        <v>minutemaid 400ml</v>
      </c>
      <c r="D7751">
        <v>1</v>
      </c>
      <c r="E7751" s="5">
        <f>Table4[[#This Row],[qty]]*(VLOOKUP(Table4[[#This Row],[item_sold]],Table1[],5,FALSE))</f>
        <v>85</v>
      </c>
      <c r="F7751" s="5">
        <f>(VLOOKUP(Table4[[#This Row],[item_sold]],Table1[],4,FALSE))*Table4[[#This Row],[qty]]</f>
        <v>62.5</v>
      </c>
      <c r="G7751">
        <f t="shared" si="1441"/>
        <v>22.5</v>
      </c>
      <c r="H7751" t="s">
        <v>361</v>
      </c>
    </row>
    <row r="7752" spans="1:9" x14ac:dyDescent="0.25">
      <c r="A7752" s="1">
        <f t="shared" si="1440"/>
        <v>45605</v>
      </c>
      <c r="B7752" s="31">
        <f>TIME(20,46,0)</f>
        <v>0.8652777777777777</v>
      </c>
      <c r="C7752" t="str">
        <f>'Inventory as of 12th Aug 2024'!A121</f>
        <v>Panadol Extra</v>
      </c>
      <c r="D7752">
        <v>1</v>
      </c>
      <c r="E7752" s="5">
        <f>Table4[[#This Row],[qty]]*(VLOOKUP(Table4[[#This Row],[item_sold]],Table1[],5,FALSE))</f>
        <v>20</v>
      </c>
      <c r="F7752" s="5">
        <f>(VLOOKUP(Table4[[#This Row],[item_sold]],Table1[],4,FALSE))*Table4[[#This Row],[qty]]</f>
        <v>13</v>
      </c>
      <c r="G7752">
        <f t="shared" si="1441"/>
        <v>7</v>
      </c>
      <c r="H7752" t="s">
        <v>402</v>
      </c>
    </row>
    <row r="7753" spans="1:9" x14ac:dyDescent="0.25">
      <c r="A7753" s="1">
        <f t="shared" ref="A7753:A7814" si="1454">DATE(2024,11,10)</f>
        <v>45606</v>
      </c>
      <c r="B7753" s="31">
        <f>TIME(6,55,0)</f>
        <v>0.28819444444444448</v>
      </c>
      <c r="C7753" t="str">
        <f>'Inventory as of 12th Aug 2024'!A58</f>
        <v>Safari</v>
      </c>
      <c r="D7753">
        <v>1</v>
      </c>
      <c r="E7753" s="5">
        <f>Table4[[#This Row],[qty]]*(VLOOKUP(Table4[[#This Row],[item_sold]],Table1[],5,FALSE))</f>
        <v>15</v>
      </c>
      <c r="F7753" s="5">
        <f>(VLOOKUP(Table4[[#This Row],[item_sold]],Table1[],4,FALSE))*Table4[[#This Row],[qty]]</f>
        <v>8.5</v>
      </c>
      <c r="G7753">
        <f t="shared" si="1441"/>
        <v>6.5</v>
      </c>
      <c r="H7753" t="s">
        <v>402</v>
      </c>
    </row>
    <row r="7754" spans="1:9" x14ac:dyDescent="0.25">
      <c r="A7754" s="1">
        <f t="shared" si="1454"/>
        <v>45606</v>
      </c>
      <c r="B7754" s="31">
        <f>TIME(7,28,0)</f>
        <v>0.31111111111111112</v>
      </c>
      <c r="C7754" t="str">
        <f>'Inventory as of 12th Aug 2024'!A37</f>
        <v>Festive Bread 400g</v>
      </c>
      <c r="D7754">
        <v>1</v>
      </c>
      <c r="E7754" s="5">
        <f>Table4[[#This Row],[qty]]*(VLOOKUP(Table4[[#This Row],[item_sold]],Table1[],5,FALSE))</f>
        <v>65</v>
      </c>
      <c r="F7754" s="5">
        <f>(VLOOKUP(Table4[[#This Row],[item_sold]],Table1[],4,FALSE))*Table4[[#This Row],[qty]]</f>
        <v>60</v>
      </c>
      <c r="G7754">
        <f t="shared" si="1441"/>
        <v>5</v>
      </c>
      <c r="H7754" t="s">
        <v>402</v>
      </c>
    </row>
    <row r="7755" spans="1:9" x14ac:dyDescent="0.25">
      <c r="A7755" s="1">
        <f t="shared" si="1454"/>
        <v>45606</v>
      </c>
      <c r="B7755" s="31">
        <f>TIME(7,47,0)</f>
        <v>0.32430555555555557</v>
      </c>
      <c r="C7755" t="str">
        <f>'Inventory as of 12th Aug 2024'!A199</f>
        <v>Kdf</v>
      </c>
      <c r="D7755">
        <v>2</v>
      </c>
      <c r="E7755" s="5">
        <f>Table4[[#This Row],[qty]]*(VLOOKUP(Table4[[#This Row],[item_sold]],Table1[],5,FALSE))</f>
        <v>20</v>
      </c>
      <c r="F7755" s="5">
        <f>(VLOOKUP(Table4[[#This Row],[item_sold]],Table1[],4,FALSE))*Table4[[#This Row],[qty]]</f>
        <v>16.666666666666668</v>
      </c>
      <c r="G7755">
        <f t="shared" si="1441"/>
        <v>3.3333333333333321</v>
      </c>
      <c r="H7755" t="s">
        <v>402</v>
      </c>
    </row>
    <row r="7756" spans="1:9" x14ac:dyDescent="0.25">
      <c r="A7756" s="1">
        <f t="shared" si="1454"/>
        <v>45606</v>
      </c>
      <c r="B7756" s="31">
        <f t="shared" ref="B7756:B7757" si="1455">TIME(7,47,0)</f>
        <v>0.32430555555555557</v>
      </c>
      <c r="C7756" t="str">
        <f>'Inventory as of 12th Aug 2024'!A10</f>
        <v>Mt Kenya milk 200ml</v>
      </c>
      <c r="D7756">
        <v>1</v>
      </c>
      <c r="E7756" s="5">
        <f>Table4[[#This Row],[qty]]*(VLOOKUP(Table4[[#This Row],[item_sold]],Table1[],5,FALSE))</f>
        <v>35</v>
      </c>
      <c r="F7756" s="5">
        <f>(VLOOKUP(Table4[[#This Row],[item_sold]],Table1[],4,FALSE))*Table4[[#This Row],[qty]]</f>
        <v>24.285714285714285</v>
      </c>
      <c r="G7756">
        <f t="shared" si="1441"/>
        <v>10.714285714285715</v>
      </c>
      <c r="H7756" t="s">
        <v>402</v>
      </c>
    </row>
    <row r="7757" spans="1:9" x14ac:dyDescent="0.25">
      <c r="A7757" s="1">
        <f t="shared" si="1454"/>
        <v>45606</v>
      </c>
      <c r="B7757" s="31">
        <f t="shared" si="1455"/>
        <v>0.32430555555555557</v>
      </c>
      <c r="C7757" t="str">
        <f>'Inventory as of 12th Aug 2024'!A238</f>
        <v>Tropical</v>
      </c>
      <c r="D7757">
        <v>2</v>
      </c>
      <c r="E7757" s="5">
        <f>Table4[[#This Row],[qty]]*(VLOOKUP(Table4[[#This Row],[item_sold]],Table1[],5,FALSE))</f>
        <v>10</v>
      </c>
      <c r="F7757" s="5">
        <f>(VLOOKUP(Table4[[#This Row],[item_sold]],Table1[],4,FALSE))*Table4[[#This Row],[qty]]</f>
        <v>3</v>
      </c>
      <c r="G7757">
        <f t="shared" si="1441"/>
        <v>7</v>
      </c>
      <c r="H7757" t="s">
        <v>402</v>
      </c>
    </row>
    <row r="7758" spans="1:9" x14ac:dyDescent="0.25">
      <c r="A7758" s="1">
        <f t="shared" si="1454"/>
        <v>45606</v>
      </c>
      <c r="B7758" s="31">
        <f>TIME(8,7,0)</f>
        <v>0.33819444444444446</v>
      </c>
      <c r="C7758" t="str">
        <f>'Inventory as of 12th Aug 2024'!A16</f>
        <v>Mt kenya milk 500ml</v>
      </c>
      <c r="D7758">
        <v>2</v>
      </c>
      <c r="E7758" s="5">
        <f>Table4[[#This Row],[qty]]*(VLOOKUP(Table4[[#This Row],[item_sold]],Table1[],5,FALSE))</f>
        <v>130</v>
      </c>
      <c r="F7758" s="5">
        <f>(VLOOKUP(Table4[[#This Row],[item_sold]],Table1[],4,FALSE))*Table4[[#This Row],[qty]]</f>
        <v>96.666666666666671</v>
      </c>
      <c r="G7758">
        <f t="shared" si="1441"/>
        <v>33.333333333333329</v>
      </c>
      <c r="H7758" t="s">
        <v>430</v>
      </c>
      <c r="I7758" t="s">
        <v>456</v>
      </c>
    </row>
    <row r="7759" spans="1:9" x14ac:dyDescent="0.25">
      <c r="A7759" s="1">
        <f t="shared" si="1454"/>
        <v>45606</v>
      </c>
      <c r="B7759" s="31">
        <f>TIME(8,7,0)</f>
        <v>0.33819444444444446</v>
      </c>
      <c r="C7759" t="str">
        <f>'Inventory as of 12th Aug 2024'!A133</f>
        <v>Medium Colgate Toothbrush</v>
      </c>
      <c r="D7759">
        <v>1</v>
      </c>
      <c r="E7759" s="5">
        <f>Table4[[#This Row],[qty]]*(VLOOKUP(Table4[[#This Row],[item_sold]],Table1[],5,FALSE))</f>
        <v>40</v>
      </c>
      <c r="F7759" s="5">
        <f>(VLOOKUP(Table4[[#This Row],[item_sold]],Table1[],4,FALSE))*Table4[[#This Row],[qty]]</f>
        <v>25</v>
      </c>
      <c r="G7759">
        <f t="shared" si="1441"/>
        <v>15</v>
      </c>
      <c r="H7759" t="s">
        <v>430</v>
      </c>
      <c r="I7759" t="s">
        <v>456</v>
      </c>
    </row>
    <row r="7760" spans="1:9" x14ac:dyDescent="0.25">
      <c r="A7760" s="1">
        <f t="shared" si="1454"/>
        <v>45606</v>
      </c>
      <c r="B7760" s="31">
        <f>TIME(8,22,0)</f>
        <v>0.34861111111111115</v>
      </c>
      <c r="C7760" t="str">
        <f>'Inventory as of 12th Aug 2024'!A199</f>
        <v>Kdf</v>
      </c>
      <c r="D7760">
        <v>2</v>
      </c>
      <c r="E7760" s="5">
        <f>Table4[[#This Row],[qty]]*(VLOOKUP(Table4[[#This Row],[item_sold]],Table1[],5,FALSE))</f>
        <v>20</v>
      </c>
      <c r="F7760" s="5">
        <f>(VLOOKUP(Table4[[#This Row],[item_sold]],Table1[],4,FALSE))*Table4[[#This Row],[qty]]</f>
        <v>16.666666666666668</v>
      </c>
      <c r="G7760">
        <f t="shared" si="1441"/>
        <v>3.3333333333333321</v>
      </c>
      <c r="H7760" t="s">
        <v>361</v>
      </c>
    </row>
    <row r="7761" spans="1:9" x14ac:dyDescent="0.25">
      <c r="A7761" s="1">
        <f t="shared" si="1454"/>
        <v>45606</v>
      </c>
      <c r="B7761" s="31">
        <f>TIME(8,38,0)</f>
        <v>0.35972222222222222</v>
      </c>
      <c r="C7761" t="str">
        <f>'Inventory as of 12th Aug 2024'!A58</f>
        <v>Safari</v>
      </c>
      <c r="D7761">
        <v>2</v>
      </c>
      <c r="E7761" s="5">
        <f>Table4[[#This Row],[qty]]*(VLOOKUP(Table4[[#This Row],[item_sold]],Table1[],5,FALSE))</f>
        <v>30</v>
      </c>
      <c r="F7761" s="5">
        <f>(VLOOKUP(Table4[[#This Row],[item_sold]],Table1[],4,FALSE))*Table4[[#This Row],[qty]]</f>
        <v>17</v>
      </c>
      <c r="G7761">
        <f t="shared" si="1441"/>
        <v>13</v>
      </c>
      <c r="H7761" t="s">
        <v>361</v>
      </c>
    </row>
    <row r="7762" spans="1:9" x14ac:dyDescent="0.25">
      <c r="A7762" s="1">
        <f t="shared" si="1454"/>
        <v>45606</v>
      </c>
      <c r="B7762" s="31">
        <f t="shared" ref="B7762" si="1456">TIME(8,38,0)</f>
        <v>0.35972222222222222</v>
      </c>
      <c r="C7762" t="str">
        <f>'Inventory as of 12th Aug 2024'!A10</f>
        <v>Mt Kenya milk 200ml</v>
      </c>
      <c r="D7762">
        <v>1</v>
      </c>
      <c r="E7762" s="5">
        <f>Table4[[#This Row],[qty]]*(VLOOKUP(Table4[[#This Row],[item_sold]],Table1[],5,FALSE))</f>
        <v>35</v>
      </c>
      <c r="F7762" s="5">
        <f>(VLOOKUP(Table4[[#This Row],[item_sold]],Table1[],4,FALSE))*Table4[[#This Row],[qty]]</f>
        <v>24.285714285714285</v>
      </c>
      <c r="G7762">
        <f t="shared" si="1441"/>
        <v>10.714285714285715</v>
      </c>
      <c r="H7762" t="s">
        <v>361</v>
      </c>
    </row>
    <row r="7763" spans="1:9" x14ac:dyDescent="0.25">
      <c r="A7763" s="1">
        <f t="shared" si="1454"/>
        <v>45606</v>
      </c>
      <c r="B7763" s="31">
        <f>TIME(9,12,0)</f>
        <v>0.3833333333333333</v>
      </c>
      <c r="C7763" t="str">
        <f>'Inventory as of 12th Aug 2024'!A199</f>
        <v>Kdf</v>
      </c>
      <c r="D7763">
        <v>4</v>
      </c>
      <c r="E7763" s="5">
        <f>Table4[[#This Row],[qty]]*(VLOOKUP(Table4[[#This Row],[item_sold]],Table1[],5,FALSE))</f>
        <v>40</v>
      </c>
      <c r="F7763" s="5">
        <f>(VLOOKUP(Table4[[#This Row],[item_sold]],Table1[],4,FALSE))*Table4[[#This Row],[qty]]</f>
        <v>33.333333333333336</v>
      </c>
      <c r="G7763">
        <f t="shared" si="1441"/>
        <v>6.6666666666666643</v>
      </c>
      <c r="H7763" t="s">
        <v>402</v>
      </c>
    </row>
    <row r="7764" spans="1:9" x14ac:dyDescent="0.25">
      <c r="A7764" s="1">
        <f t="shared" si="1454"/>
        <v>45606</v>
      </c>
      <c r="B7764" s="31">
        <f t="shared" ref="B7764:B7765" si="1457">TIME(9,12,0)</f>
        <v>0.3833333333333333</v>
      </c>
      <c r="C7764" t="str">
        <f>'Inventory as of 12th Aug 2024'!A16</f>
        <v>Mt kenya milk 500ml</v>
      </c>
      <c r="D7764">
        <v>1</v>
      </c>
      <c r="E7764" s="5">
        <f>Table4[[#This Row],[qty]]*(VLOOKUP(Table4[[#This Row],[item_sold]],Table1[],5,FALSE))</f>
        <v>65</v>
      </c>
      <c r="F7764" s="5">
        <f>(VLOOKUP(Table4[[#This Row],[item_sold]],Table1[],4,FALSE))*Table4[[#This Row],[qty]]</f>
        <v>48.333333333333336</v>
      </c>
      <c r="G7764">
        <f t="shared" ref="G7764:G7827" si="1458">E7764-F7764</f>
        <v>16.666666666666664</v>
      </c>
      <c r="H7764" t="s">
        <v>402</v>
      </c>
    </row>
    <row r="7765" spans="1:9" x14ac:dyDescent="0.25">
      <c r="A7765" s="1">
        <f t="shared" si="1454"/>
        <v>45606</v>
      </c>
      <c r="B7765" s="31">
        <f t="shared" si="1457"/>
        <v>0.3833333333333333</v>
      </c>
      <c r="C7765" t="str">
        <f>'Inventory as of 12th Aug 2024'!A16</f>
        <v>Mt kenya milk 500ml</v>
      </c>
      <c r="D7765">
        <v>1</v>
      </c>
      <c r="E7765" s="5">
        <f>Table4[[#This Row],[qty]]*(VLOOKUP(Table4[[#This Row],[item_sold]],Table1[],5,FALSE))</f>
        <v>65</v>
      </c>
      <c r="F7765" s="5">
        <f>(VLOOKUP(Table4[[#This Row],[item_sold]],Table1[],4,FALSE))*Table4[[#This Row],[qty]]</f>
        <v>48.333333333333336</v>
      </c>
      <c r="G7765">
        <f t="shared" si="1458"/>
        <v>16.666666666666664</v>
      </c>
      <c r="H7765" t="s">
        <v>594</v>
      </c>
      <c r="I7765" t="s">
        <v>435</v>
      </c>
    </row>
    <row r="7766" spans="1:9" x14ac:dyDescent="0.25">
      <c r="A7766" s="1">
        <f t="shared" si="1454"/>
        <v>45606</v>
      </c>
      <c r="B7766" s="31">
        <f>TIME(9,16,0)</f>
        <v>0.38611111111111113</v>
      </c>
      <c r="C7766" t="str">
        <f>'Inventory as of 12th Aug 2024'!A37</f>
        <v>Festive Bread 400g</v>
      </c>
      <c r="D7766">
        <v>1</v>
      </c>
      <c r="E7766" s="5">
        <f>Table4[[#This Row],[qty]]*(VLOOKUP(Table4[[#This Row],[item_sold]],Table1[],5,FALSE))</f>
        <v>65</v>
      </c>
      <c r="F7766" s="5">
        <f>(VLOOKUP(Table4[[#This Row],[item_sold]],Table1[],4,FALSE))*Table4[[#This Row],[qty]]</f>
        <v>60</v>
      </c>
      <c r="G7766">
        <f t="shared" si="1458"/>
        <v>5</v>
      </c>
      <c r="H7766" t="s">
        <v>402</v>
      </c>
    </row>
    <row r="7767" spans="1:9" x14ac:dyDescent="0.25">
      <c r="A7767" s="1">
        <f t="shared" si="1454"/>
        <v>45606</v>
      </c>
      <c r="B7767" s="31">
        <f>TIME(9,16,0)</f>
        <v>0.38611111111111113</v>
      </c>
      <c r="C7767" t="str">
        <f>'Inventory as of 12th Aug 2024'!A92</f>
        <v>Banana</v>
      </c>
      <c r="D7767">
        <v>4</v>
      </c>
      <c r="E7767" s="5">
        <f>Table4[[#This Row],[qty]]*(VLOOKUP(Table4[[#This Row],[item_sold]],Table1[],5,FALSE))</f>
        <v>40</v>
      </c>
      <c r="F7767" s="5">
        <f>(VLOOKUP(Table4[[#This Row],[item_sold]],Table1[],4,FALSE))*Table4[[#This Row],[qty]]</f>
        <v>33.333333333333336</v>
      </c>
      <c r="G7767">
        <f t="shared" si="1458"/>
        <v>6.6666666666666643</v>
      </c>
      <c r="H7767" t="s">
        <v>402</v>
      </c>
    </row>
    <row r="7768" spans="1:9" x14ac:dyDescent="0.25">
      <c r="A7768" s="1">
        <f t="shared" si="1454"/>
        <v>45606</v>
      </c>
      <c r="B7768" s="31">
        <f>TIME(10,12,0)</f>
        <v>0.42499999999999999</v>
      </c>
      <c r="C7768" t="str">
        <f>'Inventory as of 12th Aug 2024'!A37</f>
        <v>Festive Bread 400g</v>
      </c>
      <c r="D7768">
        <v>1</v>
      </c>
      <c r="E7768" s="5">
        <f>Table4[[#This Row],[qty]]*(VLOOKUP(Table4[[#This Row],[item_sold]],Table1[],5,FALSE))</f>
        <v>65</v>
      </c>
      <c r="F7768" s="5">
        <f>(VLOOKUP(Table4[[#This Row],[item_sold]],Table1[],4,FALSE))*Table4[[#This Row],[qty]]</f>
        <v>60</v>
      </c>
      <c r="G7768">
        <f t="shared" si="1458"/>
        <v>5</v>
      </c>
      <c r="H7768" t="s">
        <v>430</v>
      </c>
      <c r="I7768" t="s">
        <v>443</v>
      </c>
    </row>
    <row r="7769" spans="1:9" x14ac:dyDescent="0.25">
      <c r="A7769" s="1">
        <f t="shared" si="1454"/>
        <v>45606</v>
      </c>
      <c r="B7769" s="31">
        <f t="shared" ref="B7769:B7771" si="1459">TIME(10,12,0)</f>
        <v>0.42499999999999999</v>
      </c>
      <c r="C7769" t="str">
        <f>'Inventory as of 12th Aug 2024'!A197</f>
        <v>Canned cookies</v>
      </c>
      <c r="D7769">
        <v>2</v>
      </c>
      <c r="E7769" s="5">
        <f>Table4[[#This Row],[qty]]*(VLOOKUP(Table4[[#This Row],[item_sold]],Table1[],5,FALSE))</f>
        <v>120</v>
      </c>
      <c r="F7769" s="5">
        <f>(VLOOKUP(Table4[[#This Row],[item_sold]],Table1[],4,FALSE))*Table4[[#This Row],[qty]]</f>
        <v>100</v>
      </c>
      <c r="G7769">
        <f t="shared" si="1458"/>
        <v>20</v>
      </c>
      <c r="H7769" t="s">
        <v>430</v>
      </c>
      <c r="I7769" t="s">
        <v>456</v>
      </c>
    </row>
    <row r="7770" spans="1:9" x14ac:dyDescent="0.25">
      <c r="A7770" s="1">
        <f t="shared" si="1454"/>
        <v>45606</v>
      </c>
      <c r="B7770" s="31">
        <f t="shared" si="1459"/>
        <v>0.42499999999999999</v>
      </c>
      <c r="C7770" t="str">
        <f>'Inventory as of 12th Aug 2024'!A208</f>
        <v>minutemaid 400ml</v>
      </c>
      <c r="D7770">
        <v>2</v>
      </c>
      <c r="E7770" s="5">
        <f>Table4[[#This Row],[qty]]*(VLOOKUP(Table4[[#This Row],[item_sold]],Table1[],5,FALSE))</f>
        <v>170</v>
      </c>
      <c r="F7770" s="5">
        <f>(VLOOKUP(Table4[[#This Row],[item_sold]],Table1[],4,FALSE))*Table4[[#This Row],[qty]]</f>
        <v>125</v>
      </c>
      <c r="G7770">
        <f t="shared" si="1458"/>
        <v>45</v>
      </c>
      <c r="H7770" t="s">
        <v>430</v>
      </c>
      <c r="I7770" t="s">
        <v>456</v>
      </c>
    </row>
    <row r="7771" spans="1:9" x14ac:dyDescent="0.25">
      <c r="A7771" s="1">
        <f t="shared" si="1454"/>
        <v>45606</v>
      </c>
      <c r="B7771" s="31">
        <f t="shared" si="1459"/>
        <v>0.42499999999999999</v>
      </c>
      <c r="C7771" t="str">
        <f>'Inventory as of 12th Aug 2024'!A177</f>
        <v>Ringoz Barbeque</v>
      </c>
      <c r="D7771">
        <v>4</v>
      </c>
      <c r="E7771" s="5">
        <f>Table4[[#This Row],[qty]]*(VLOOKUP(Table4[[#This Row],[item_sold]],Table1[],5,FALSE))</f>
        <v>60</v>
      </c>
      <c r="F7771" s="5">
        <f>(VLOOKUP(Table4[[#This Row],[item_sold]],Table1[],4,FALSE))*Table4[[#This Row],[qty]]</f>
        <v>34.4</v>
      </c>
      <c r="G7771">
        <f t="shared" si="1458"/>
        <v>25.6</v>
      </c>
      <c r="H7771" t="s">
        <v>430</v>
      </c>
      <c r="I7771" t="s">
        <v>456</v>
      </c>
    </row>
    <row r="7772" spans="1:9" x14ac:dyDescent="0.25">
      <c r="A7772" s="1">
        <f t="shared" si="1454"/>
        <v>45606</v>
      </c>
      <c r="B7772" s="31">
        <f>TIME(10,20,0)</f>
        <v>0.43055555555555558</v>
      </c>
      <c r="C7772" t="str">
        <f>'Inventory as of 12th Aug 2024'!A199</f>
        <v>Kdf</v>
      </c>
      <c r="D7772">
        <v>1</v>
      </c>
      <c r="E7772" s="5">
        <f>Table4[[#This Row],[qty]]*(VLOOKUP(Table4[[#This Row],[item_sold]],Table1[],5,FALSE))</f>
        <v>10</v>
      </c>
      <c r="F7772" s="5">
        <f>(VLOOKUP(Table4[[#This Row],[item_sold]],Table1[],4,FALSE))*Table4[[#This Row],[qty]]</f>
        <v>8.3333333333333339</v>
      </c>
      <c r="G7772">
        <f t="shared" si="1458"/>
        <v>1.6666666666666661</v>
      </c>
      <c r="H7772" t="s">
        <v>361</v>
      </c>
    </row>
    <row r="7773" spans="1:9" x14ac:dyDescent="0.25">
      <c r="A7773" s="1">
        <f t="shared" si="1454"/>
        <v>45606</v>
      </c>
      <c r="B7773" s="31">
        <f>TIME(11,0,0)</f>
        <v>0.45833333333333331</v>
      </c>
      <c r="C7773" t="str">
        <f>'Inventory as of 12th Aug 2024'!A266</f>
        <v>Zenta Bar Soap</v>
      </c>
      <c r="D7773">
        <v>0.4</v>
      </c>
      <c r="E7773" s="5">
        <f>Table4[[#This Row],[qty]]*(VLOOKUP(Table4[[#This Row],[item_sold]],Table1[],5,FALSE))</f>
        <v>100</v>
      </c>
      <c r="F7773" s="5">
        <f>(VLOOKUP(Table4[[#This Row],[item_sold]],Table1[],4,FALSE))*Table4[[#This Row],[qty]]</f>
        <v>64</v>
      </c>
      <c r="G7773">
        <f t="shared" si="1458"/>
        <v>36</v>
      </c>
      <c r="H7773" t="s">
        <v>361</v>
      </c>
    </row>
    <row r="7774" spans="1:9" x14ac:dyDescent="0.25">
      <c r="A7774" s="1">
        <f t="shared" si="1454"/>
        <v>45606</v>
      </c>
      <c r="B7774" s="31">
        <f t="shared" ref="B7774:B7775" si="1460">TIME(11,0,0)</f>
        <v>0.45833333333333331</v>
      </c>
      <c r="C7774" t="str">
        <f>'Inventory as of 12th Aug 2024'!A16</f>
        <v>Mt kenya milk 500ml</v>
      </c>
      <c r="D7774">
        <v>1</v>
      </c>
      <c r="E7774" s="5">
        <f>Table4[[#This Row],[qty]]*(VLOOKUP(Table4[[#This Row],[item_sold]],Table1[],5,FALSE))</f>
        <v>65</v>
      </c>
      <c r="F7774" s="5">
        <f>(VLOOKUP(Table4[[#This Row],[item_sold]],Table1[],4,FALSE))*Table4[[#This Row],[qty]]</f>
        <v>48.333333333333336</v>
      </c>
      <c r="G7774">
        <f t="shared" si="1458"/>
        <v>16.666666666666664</v>
      </c>
      <c r="H7774" t="s">
        <v>361</v>
      </c>
    </row>
    <row r="7775" spans="1:9" x14ac:dyDescent="0.25">
      <c r="A7775" s="1">
        <f t="shared" si="1454"/>
        <v>45606</v>
      </c>
      <c r="B7775" s="31">
        <f t="shared" si="1460"/>
        <v>0.45833333333333331</v>
      </c>
      <c r="C7775" t="str">
        <f>'Inventory as of 12th Aug 2024'!A83</f>
        <v>omo 75g</v>
      </c>
      <c r="D7775">
        <v>2</v>
      </c>
      <c r="E7775" s="5">
        <f>Table4[[#This Row],[qty]]*(VLOOKUP(Table4[[#This Row],[item_sold]],Table1[],5,FALSE))</f>
        <v>70</v>
      </c>
      <c r="F7775" s="5">
        <f>(VLOOKUP(Table4[[#This Row],[item_sold]],Table1[],4,FALSE))*Table4[[#This Row],[qty]]</f>
        <v>55</v>
      </c>
      <c r="G7775">
        <f t="shared" si="1458"/>
        <v>15</v>
      </c>
      <c r="H7775" t="s">
        <v>361</v>
      </c>
    </row>
    <row r="7776" spans="1:9" x14ac:dyDescent="0.25">
      <c r="A7776" s="1">
        <f t="shared" si="1454"/>
        <v>45606</v>
      </c>
      <c r="B7776" s="31">
        <f>TIME(11,45,0)</f>
        <v>0.48958333333333331</v>
      </c>
      <c r="C7776" t="str">
        <f>'Inventory as of 12th Aug 2024'!A212</f>
        <v>soda 300ml glass</v>
      </c>
      <c r="D7776">
        <v>2</v>
      </c>
      <c r="E7776" s="5">
        <f>Table4[[#This Row],[qty]]*(VLOOKUP(Table4[[#This Row],[item_sold]],Table1[],5,FALSE))</f>
        <v>80</v>
      </c>
      <c r="F7776" s="5">
        <f>(VLOOKUP(Table4[[#This Row],[item_sold]],Table1[],4,FALSE))*Table4[[#This Row],[qty]]</f>
        <v>65</v>
      </c>
      <c r="G7776">
        <f t="shared" si="1458"/>
        <v>15</v>
      </c>
      <c r="H7776" t="s">
        <v>361</v>
      </c>
    </row>
    <row r="7777" spans="1:8" x14ac:dyDescent="0.25">
      <c r="A7777" s="1">
        <f t="shared" si="1454"/>
        <v>45606</v>
      </c>
      <c r="B7777" s="31">
        <f>TIME(11,45,0)</f>
        <v>0.48958333333333331</v>
      </c>
      <c r="C7777" t="str">
        <f>'Inventory as of 12th Aug 2024'!A37</f>
        <v>Festive Bread 400g</v>
      </c>
      <c r="D7777">
        <v>1</v>
      </c>
      <c r="E7777" s="5">
        <f>Table4[[#This Row],[qty]]*(VLOOKUP(Table4[[#This Row],[item_sold]],Table1[],5,FALSE))</f>
        <v>65</v>
      </c>
      <c r="F7777" s="5">
        <f>(VLOOKUP(Table4[[#This Row],[item_sold]],Table1[],4,FALSE))*Table4[[#This Row],[qty]]</f>
        <v>60</v>
      </c>
      <c r="G7777">
        <f t="shared" si="1458"/>
        <v>5</v>
      </c>
      <c r="H7777" t="s">
        <v>361</v>
      </c>
    </row>
    <row r="7778" spans="1:8" x14ac:dyDescent="0.25">
      <c r="A7778" s="1">
        <f t="shared" si="1454"/>
        <v>45606</v>
      </c>
      <c r="B7778" s="31">
        <f>TIME(11,47,0)</f>
        <v>0.4909722222222222</v>
      </c>
      <c r="C7778" t="str">
        <f>'Inventory as of 12th Aug 2024'!A234</f>
        <v>Bigdaddy</v>
      </c>
      <c r="D7778">
        <v>5</v>
      </c>
      <c r="E7778" s="5">
        <f>Table4[[#This Row],[qty]]*(VLOOKUP(Table4[[#This Row],[item_sold]],Table1[],5,FALSE))</f>
        <v>50</v>
      </c>
      <c r="F7778" s="5">
        <f>(VLOOKUP(Table4[[#This Row],[item_sold]],Table1[],4,FALSE))*Table4[[#This Row],[qty]]</f>
        <v>30</v>
      </c>
      <c r="G7778">
        <f t="shared" si="1458"/>
        <v>20</v>
      </c>
      <c r="H7778" t="s">
        <v>402</v>
      </c>
    </row>
    <row r="7779" spans="1:8" x14ac:dyDescent="0.25">
      <c r="A7779" s="1">
        <f t="shared" si="1454"/>
        <v>45606</v>
      </c>
      <c r="B7779" s="31">
        <f>TIME(11,47,0)</f>
        <v>0.4909722222222222</v>
      </c>
      <c r="C7779" t="str">
        <f>'Inventory as of 12th Aug 2024'!A233</f>
        <v>Lollipop</v>
      </c>
      <c r="D7779">
        <v>1</v>
      </c>
      <c r="E7779" s="5">
        <f>Table4[[#This Row],[qty]]*(VLOOKUP(Table4[[#This Row],[item_sold]],Table1[],5,FALSE))</f>
        <v>5</v>
      </c>
      <c r="F7779" s="5">
        <f>(VLOOKUP(Table4[[#This Row],[item_sold]],Table1[],4,FALSE))*Table4[[#This Row],[qty]]</f>
        <v>2.4</v>
      </c>
      <c r="G7779">
        <f t="shared" si="1458"/>
        <v>2.6</v>
      </c>
      <c r="H7779" t="s">
        <v>402</v>
      </c>
    </row>
    <row r="7780" spans="1:8" x14ac:dyDescent="0.25">
      <c r="A7780" s="1">
        <f t="shared" si="1454"/>
        <v>45606</v>
      </c>
      <c r="B7780" s="31">
        <f>TIME(11,57,0)</f>
        <v>0.49791666666666662</v>
      </c>
      <c r="C7780" t="str">
        <f>'Inventory as of 12th Aug 2024'!A238</f>
        <v>Tropical</v>
      </c>
      <c r="D7780">
        <v>4</v>
      </c>
      <c r="E7780" s="5">
        <f>Table4[[#This Row],[qty]]*(VLOOKUP(Table4[[#This Row],[item_sold]],Table1[],5,FALSE))</f>
        <v>20</v>
      </c>
      <c r="F7780" s="5">
        <f>(VLOOKUP(Table4[[#This Row],[item_sold]],Table1[],4,FALSE))*Table4[[#This Row],[qty]]</f>
        <v>6</v>
      </c>
      <c r="G7780">
        <f t="shared" si="1458"/>
        <v>14</v>
      </c>
      <c r="H7780" t="s">
        <v>402</v>
      </c>
    </row>
    <row r="7781" spans="1:8" x14ac:dyDescent="0.25">
      <c r="A7781" s="1">
        <f t="shared" si="1454"/>
        <v>45606</v>
      </c>
      <c r="B7781" s="31">
        <f t="shared" ref="B7781:B7783" si="1461">TIME(11,57,0)</f>
        <v>0.49791666666666662</v>
      </c>
      <c r="C7781" t="str">
        <f>'Inventory as of 12th Aug 2024'!A229</f>
        <v>Fresh green</v>
      </c>
      <c r="D7781">
        <v>1</v>
      </c>
      <c r="E7781" s="5">
        <f>Table4[[#This Row],[qty]]*(VLOOKUP(Table4[[#This Row],[item_sold]],Table1[],5,FALSE))</f>
        <v>10</v>
      </c>
      <c r="F7781" s="5">
        <f>(VLOOKUP(Table4[[#This Row],[item_sold]],Table1[],4,FALSE))*Table4[[#This Row],[qty]]</f>
        <v>5</v>
      </c>
      <c r="G7781">
        <f t="shared" si="1458"/>
        <v>5</v>
      </c>
      <c r="H7781" t="s">
        <v>402</v>
      </c>
    </row>
    <row r="7782" spans="1:8" x14ac:dyDescent="0.25">
      <c r="A7782" s="1">
        <f t="shared" si="1454"/>
        <v>45606</v>
      </c>
      <c r="B7782" s="31">
        <f t="shared" si="1461"/>
        <v>0.49791666666666662</v>
      </c>
      <c r="C7782" t="str">
        <f>'Inventory as of 12th Aug 2024'!A199</f>
        <v>Kdf</v>
      </c>
      <c r="D7782">
        <v>2</v>
      </c>
      <c r="E7782" s="5">
        <f>Table4[[#This Row],[qty]]*(VLOOKUP(Table4[[#This Row],[item_sold]],Table1[],5,FALSE))</f>
        <v>20</v>
      </c>
      <c r="F7782" s="5">
        <f>(VLOOKUP(Table4[[#This Row],[item_sold]],Table1[],4,FALSE))*Table4[[#This Row],[qty]]</f>
        <v>16.666666666666668</v>
      </c>
      <c r="G7782">
        <f t="shared" si="1458"/>
        <v>3.3333333333333321</v>
      </c>
      <c r="H7782" t="s">
        <v>402</v>
      </c>
    </row>
    <row r="7783" spans="1:8" x14ac:dyDescent="0.25">
      <c r="A7783" s="1">
        <f t="shared" si="1454"/>
        <v>45606</v>
      </c>
      <c r="B7783" s="31">
        <f t="shared" si="1461"/>
        <v>0.49791666666666662</v>
      </c>
      <c r="C7783" t="str">
        <f>'Inventory as of 12th Aug 2024'!A92</f>
        <v>Banana</v>
      </c>
      <c r="D7783">
        <v>3</v>
      </c>
      <c r="E7783" s="5">
        <f>Table4[[#This Row],[qty]]*(VLOOKUP(Table4[[#This Row],[item_sold]],Table1[],5,FALSE))</f>
        <v>30</v>
      </c>
      <c r="F7783" s="5">
        <f>(VLOOKUP(Table4[[#This Row],[item_sold]],Table1[],4,FALSE))*Table4[[#This Row],[qty]]</f>
        <v>25</v>
      </c>
      <c r="G7783">
        <f t="shared" si="1458"/>
        <v>5</v>
      </c>
      <c r="H7783" t="s">
        <v>402</v>
      </c>
    </row>
    <row r="7784" spans="1:8" x14ac:dyDescent="0.25">
      <c r="A7784" s="1">
        <f t="shared" si="1454"/>
        <v>45606</v>
      </c>
      <c r="B7784" s="31">
        <f>TIME(12,29,0)</f>
        <v>0.52013888888888882</v>
      </c>
      <c r="C7784" t="str">
        <f>'Inventory as of 12th Aug 2024'!A16</f>
        <v>Mt kenya milk 500ml</v>
      </c>
      <c r="D7784">
        <v>1</v>
      </c>
      <c r="E7784" s="5">
        <f>Table4[[#This Row],[qty]]*(VLOOKUP(Table4[[#This Row],[item_sold]],Table1[],5,FALSE))</f>
        <v>65</v>
      </c>
      <c r="F7784" s="5">
        <f>(VLOOKUP(Table4[[#This Row],[item_sold]],Table1[],4,FALSE))*Table4[[#This Row],[qty]]</f>
        <v>48.333333333333336</v>
      </c>
      <c r="G7784">
        <f t="shared" si="1458"/>
        <v>16.666666666666664</v>
      </c>
      <c r="H7784" t="s">
        <v>402</v>
      </c>
    </row>
    <row r="7785" spans="1:8" x14ac:dyDescent="0.25">
      <c r="A7785" s="1">
        <f t="shared" si="1454"/>
        <v>45606</v>
      </c>
      <c r="B7785" s="31">
        <f t="shared" ref="B7785:B7786" si="1462">TIME(12,29,0)</f>
        <v>0.52013888888888882</v>
      </c>
      <c r="C7785" t="str">
        <f>'Inventory as of 12th Aug 2024'!A37</f>
        <v>Festive Bread 400g</v>
      </c>
      <c r="D7785">
        <v>1</v>
      </c>
      <c r="E7785" s="5">
        <f>Table4[[#This Row],[qty]]*(VLOOKUP(Table4[[#This Row],[item_sold]],Table1[],5,FALSE))</f>
        <v>65</v>
      </c>
      <c r="F7785" s="5">
        <f>(VLOOKUP(Table4[[#This Row],[item_sold]],Table1[],4,FALSE))*Table4[[#This Row],[qty]]</f>
        <v>60</v>
      </c>
      <c r="G7785">
        <f t="shared" si="1458"/>
        <v>5</v>
      </c>
      <c r="H7785" t="s">
        <v>361</v>
      </c>
    </row>
    <row r="7786" spans="1:8" x14ac:dyDescent="0.25">
      <c r="A7786" s="1">
        <f t="shared" si="1454"/>
        <v>45606</v>
      </c>
      <c r="B7786" s="31">
        <f t="shared" si="1462"/>
        <v>0.52013888888888882</v>
      </c>
      <c r="C7786" t="str">
        <f>'Inventory as of 12th Aug 2024'!A138</f>
        <v>Softcare pads</v>
      </c>
      <c r="D7786">
        <v>1</v>
      </c>
      <c r="E7786" s="5">
        <f>Table4[[#This Row],[qty]]*(VLOOKUP(Table4[[#This Row],[item_sold]],Table1[],5,FALSE))</f>
        <v>85</v>
      </c>
      <c r="F7786" s="5">
        <f>(VLOOKUP(Table4[[#This Row],[item_sold]],Table1[],4,FALSE))*Table4[[#This Row],[qty]]</f>
        <v>66</v>
      </c>
      <c r="G7786">
        <f t="shared" si="1458"/>
        <v>19</v>
      </c>
      <c r="H7786" t="s">
        <v>361</v>
      </c>
    </row>
    <row r="7787" spans="1:8" x14ac:dyDescent="0.25">
      <c r="A7787" s="1">
        <f t="shared" si="1454"/>
        <v>45606</v>
      </c>
      <c r="B7787" s="31">
        <f>TIME(12,40,0)</f>
        <v>0.52777777777777779</v>
      </c>
      <c r="C7787" t="str">
        <f>'Inventory as of 12th Aug 2024'!A92</f>
        <v>Banana</v>
      </c>
      <c r="D7787">
        <v>2</v>
      </c>
      <c r="E7787" s="5">
        <f>Table4[[#This Row],[qty]]*(VLOOKUP(Table4[[#This Row],[item_sold]],Table1[],5,FALSE))</f>
        <v>20</v>
      </c>
      <c r="F7787" s="5">
        <f>(VLOOKUP(Table4[[#This Row],[item_sold]],Table1[],4,FALSE))*Table4[[#This Row],[qty]]</f>
        <v>16.666666666666668</v>
      </c>
      <c r="G7787">
        <f t="shared" si="1458"/>
        <v>3.3333333333333321</v>
      </c>
      <c r="H7787" t="s">
        <v>402</v>
      </c>
    </row>
    <row r="7788" spans="1:8" x14ac:dyDescent="0.25">
      <c r="A7788" s="1">
        <f t="shared" si="1454"/>
        <v>45606</v>
      </c>
      <c r="B7788" s="31">
        <f t="shared" ref="B7788:B7789" si="1463">TIME(12,40,0)</f>
        <v>0.52777777777777779</v>
      </c>
      <c r="C7788" t="str">
        <f>'Inventory as of 12th Aug 2024'!A68</f>
        <v>Royco cubes</v>
      </c>
      <c r="D7788">
        <v>4</v>
      </c>
      <c r="E7788" s="5">
        <f>Table4[[#This Row],[qty]]*(VLOOKUP(Table4[[#This Row],[item_sold]],Table1[],5,FALSE))</f>
        <v>20</v>
      </c>
      <c r="F7788" s="5">
        <f>(VLOOKUP(Table4[[#This Row],[item_sold]],Table1[],4,FALSE))*Table4[[#This Row],[qty]]</f>
        <v>12</v>
      </c>
      <c r="G7788">
        <f t="shared" si="1458"/>
        <v>8</v>
      </c>
      <c r="H7788" t="s">
        <v>402</v>
      </c>
    </row>
    <row r="7789" spans="1:8" x14ac:dyDescent="0.25">
      <c r="A7789" s="1">
        <f t="shared" si="1454"/>
        <v>45606</v>
      </c>
      <c r="B7789" s="31">
        <f t="shared" si="1463"/>
        <v>0.52777777777777779</v>
      </c>
      <c r="C7789" t="str">
        <f>'Inventory as of 12th Aug 2024'!A242</f>
        <v>Icepop</v>
      </c>
      <c r="D7789">
        <v>2</v>
      </c>
      <c r="E7789" s="5">
        <f>Table4[[#This Row],[qty]]*(VLOOKUP(Table4[[#This Row],[item_sold]],Table1[],5,FALSE))</f>
        <v>30</v>
      </c>
      <c r="F7789" s="5">
        <f>(VLOOKUP(Table4[[#This Row],[item_sold]],Table1[],4,FALSE))*Table4[[#This Row],[qty]]</f>
        <v>15</v>
      </c>
      <c r="G7789">
        <f t="shared" si="1458"/>
        <v>15</v>
      </c>
      <c r="H7789" t="s">
        <v>402</v>
      </c>
    </row>
    <row r="7790" spans="1:8" x14ac:dyDescent="0.25">
      <c r="A7790" s="1">
        <f t="shared" si="1454"/>
        <v>45606</v>
      </c>
      <c r="B7790" s="31">
        <f>TIME(12,55,0)</f>
        <v>0.53819444444444442</v>
      </c>
      <c r="C7790" t="str">
        <f>'Inventory as of 12th Aug 2024'!A185</f>
        <v>Glucose 10g</v>
      </c>
      <c r="D7790">
        <v>1</v>
      </c>
      <c r="E7790" s="5">
        <f>Table4[[#This Row],[qty]]*(VLOOKUP(Table4[[#This Row],[item_sold]],Table1[],5,FALSE))</f>
        <v>5</v>
      </c>
      <c r="F7790" s="5">
        <f>(VLOOKUP(Table4[[#This Row],[item_sold]],Table1[],4,FALSE))*Table4[[#This Row],[qty]]</f>
        <v>3.75</v>
      </c>
      <c r="G7790">
        <f t="shared" si="1458"/>
        <v>1.25</v>
      </c>
      <c r="H7790" t="s">
        <v>402</v>
      </c>
    </row>
    <row r="7791" spans="1:8" x14ac:dyDescent="0.25">
      <c r="A7791" s="1">
        <f t="shared" si="1454"/>
        <v>45606</v>
      </c>
      <c r="B7791" s="31">
        <f>TIME(13,10,0)</f>
        <v>0.54861111111111105</v>
      </c>
      <c r="C7791" t="str">
        <f>'Inventory as of 12th Aug 2024'!A37</f>
        <v>Festive Bread 400g</v>
      </c>
      <c r="D7791">
        <v>1</v>
      </c>
      <c r="E7791" s="5">
        <f>Table4[[#This Row],[qty]]*(VLOOKUP(Table4[[#This Row],[item_sold]],Table1[],5,FALSE))</f>
        <v>65</v>
      </c>
      <c r="F7791" s="5">
        <f>(VLOOKUP(Table4[[#This Row],[item_sold]],Table1[],4,FALSE))*Table4[[#This Row],[qty]]</f>
        <v>60</v>
      </c>
      <c r="G7791">
        <f t="shared" si="1458"/>
        <v>5</v>
      </c>
      <c r="H7791" t="s">
        <v>402</v>
      </c>
    </row>
    <row r="7792" spans="1:8" x14ac:dyDescent="0.25">
      <c r="A7792" s="1">
        <f t="shared" si="1454"/>
        <v>45606</v>
      </c>
      <c r="B7792" s="31">
        <f>TIME(13,15,0)</f>
        <v>0.55208333333333337</v>
      </c>
      <c r="C7792" t="str">
        <f>'Inventory as of 12th Aug 2024'!A199</f>
        <v>Kdf</v>
      </c>
      <c r="D7792">
        <v>6</v>
      </c>
      <c r="E7792" s="5">
        <f>Table4[[#This Row],[qty]]*(VLOOKUP(Table4[[#This Row],[item_sold]],Table1[],5,FALSE))</f>
        <v>60</v>
      </c>
      <c r="F7792" s="5">
        <f>(VLOOKUP(Table4[[#This Row],[item_sold]],Table1[],4,FALSE))*Table4[[#This Row],[qty]]</f>
        <v>50</v>
      </c>
      <c r="G7792">
        <f t="shared" si="1458"/>
        <v>10</v>
      </c>
      <c r="H7792" t="s">
        <v>402</v>
      </c>
    </row>
    <row r="7793" spans="1:8" x14ac:dyDescent="0.25">
      <c r="A7793" s="1">
        <f t="shared" si="1454"/>
        <v>45606</v>
      </c>
      <c r="B7793" s="31">
        <f t="shared" ref="B7793:B7799" si="1464">TIME(13,15,0)</f>
        <v>0.55208333333333337</v>
      </c>
      <c r="C7793" t="str">
        <f>'Inventory as of 12th Aug 2024'!A92</f>
        <v>Banana</v>
      </c>
      <c r="D7793">
        <v>2</v>
      </c>
      <c r="E7793" s="5">
        <f>Table4[[#This Row],[qty]]*(VLOOKUP(Table4[[#This Row],[item_sold]],Table1[],5,FALSE))</f>
        <v>20</v>
      </c>
      <c r="F7793" s="5">
        <f>(VLOOKUP(Table4[[#This Row],[item_sold]],Table1[],4,FALSE))*Table4[[#This Row],[qty]]</f>
        <v>16.666666666666668</v>
      </c>
      <c r="G7793">
        <f t="shared" si="1458"/>
        <v>3.3333333333333321</v>
      </c>
      <c r="H7793" t="s">
        <v>361</v>
      </c>
    </row>
    <row r="7794" spans="1:8" x14ac:dyDescent="0.25">
      <c r="A7794" s="1">
        <f t="shared" si="1454"/>
        <v>45606</v>
      </c>
      <c r="B7794" s="31">
        <f t="shared" si="1464"/>
        <v>0.55208333333333337</v>
      </c>
      <c r="C7794" t="str">
        <f>'Inventory as of 12th Aug 2024'!A212</f>
        <v>soda 300ml glass</v>
      </c>
      <c r="D7794">
        <v>1</v>
      </c>
      <c r="E7794" s="5">
        <f>Table4[[#This Row],[qty]]*(VLOOKUP(Table4[[#This Row],[item_sold]],Table1[],5,FALSE))</f>
        <v>40</v>
      </c>
      <c r="F7794" s="5">
        <f>(VLOOKUP(Table4[[#This Row],[item_sold]],Table1[],4,FALSE))*Table4[[#This Row],[qty]]</f>
        <v>32.5</v>
      </c>
      <c r="G7794">
        <f t="shared" si="1458"/>
        <v>7.5</v>
      </c>
      <c r="H7794" t="s">
        <v>361</v>
      </c>
    </row>
    <row r="7795" spans="1:8" x14ac:dyDescent="0.25">
      <c r="A7795" s="1">
        <f t="shared" si="1454"/>
        <v>45606</v>
      </c>
      <c r="B7795" s="31">
        <f t="shared" si="1464"/>
        <v>0.55208333333333337</v>
      </c>
      <c r="C7795" t="str">
        <f>'Inventory as of 12th Aug 2024'!A199</f>
        <v>Kdf</v>
      </c>
      <c r="D7795">
        <v>3</v>
      </c>
      <c r="E7795" s="5">
        <f>Table4[[#This Row],[qty]]*(VLOOKUP(Table4[[#This Row],[item_sold]],Table1[],5,FALSE))</f>
        <v>30</v>
      </c>
      <c r="F7795" s="5">
        <f>(VLOOKUP(Table4[[#This Row],[item_sold]],Table1[],4,FALSE))*Table4[[#This Row],[qty]]</f>
        <v>25</v>
      </c>
      <c r="G7795">
        <f t="shared" si="1458"/>
        <v>5</v>
      </c>
      <c r="H7795" t="s">
        <v>361</v>
      </c>
    </row>
    <row r="7796" spans="1:8" x14ac:dyDescent="0.25">
      <c r="A7796" s="1">
        <f t="shared" si="1454"/>
        <v>45606</v>
      </c>
      <c r="B7796" s="31">
        <f t="shared" si="1464"/>
        <v>0.55208333333333337</v>
      </c>
      <c r="C7796" t="str">
        <f>'Inventory as of 12th Aug 2024'!A199</f>
        <v>Kdf</v>
      </c>
      <c r="D7796">
        <v>1</v>
      </c>
      <c r="E7796" s="5">
        <f>Table4[[#This Row],[qty]]*(VLOOKUP(Table4[[#This Row],[item_sold]],Table1[],5,FALSE))</f>
        <v>10</v>
      </c>
      <c r="F7796" s="5">
        <f>(VLOOKUP(Table4[[#This Row],[item_sold]],Table1[],4,FALSE))*Table4[[#This Row],[qty]]</f>
        <v>8.3333333333333339</v>
      </c>
      <c r="G7796">
        <f t="shared" si="1458"/>
        <v>1.6666666666666661</v>
      </c>
      <c r="H7796" t="s">
        <v>402</v>
      </c>
    </row>
    <row r="7797" spans="1:8" x14ac:dyDescent="0.25">
      <c r="A7797" s="1">
        <f t="shared" si="1454"/>
        <v>45606</v>
      </c>
      <c r="B7797" s="31">
        <f t="shared" si="1464"/>
        <v>0.55208333333333337</v>
      </c>
      <c r="C7797" t="str">
        <f>'Inventory as of 12th Aug 2024'!A212</f>
        <v>soda 300ml glass</v>
      </c>
      <c r="D7797">
        <v>1</v>
      </c>
      <c r="E7797" s="5">
        <f>Table4[[#This Row],[qty]]*(VLOOKUP(Table4[[#This Row],[item_sold]],Table1[],5,FALSE))</f>
        <v>40</v>
      </c>
      <c r="F7797" s="5">
        <f>(VLOOKUP(Table4[[#This Row],[item_sold]],Table1[],4,FALSE))*Table4[[#This Row],[qty]]</f>
        <v>32.5</v>
      </c>
      <c r="G7797">
        <f t="shared" si="1458"/>
        <v>7.5</v>
      </c>
      <c r="H7797" t="s">
        <v>402</v>
      </c>
    </row>
    <row r="7798" spans="1:8" x14ac:dyDescent="0.25">
      <c r="A7798" s="1">
        <f t="shared" si="1454"/>
        <v>45606</v>
      </c>
      <c r="B7798" s="31">
        <f t="shared" si="1464"/>
        <v>0.55208333333333337</v>
      </c>
      <c r="C7798" t="str">
        <f>'Inventory as of 12th Aug 2024'!A37</f>
        <v>Festive Bread 400g</v>
      </c>
      <c r="D7798">
        <v>1</v>
      </c>
      <c r="E7798" s="5">
        <f>Table4[[#This Row],[qty]]*(VLOOKUP(Table4[[#This Row],[item_sold]],Table1[],5,FALSE))</f>
        <v>65</v>
      </c>
      <c r="F7798" s="5">
        <f>(VLOOKUP(Table4[[#This Row],[item_sold]],Table1[],4,FALSE))*Table4[[#This Row],[qty]]</f>
        <v>60</v>
      </c>
      <c r="G7798">
        <f t="shared" si="1458"/>
        <v>5</v>
      </c>
      <c r="H7798" t="s">
        <v>402</v>
      </c>
    </row>
    <row r="7799" spans="1:8" x14ac:dyDescent="0.25">
      <c r="A7799" s="1">
        <f t="shared" si="1454"/>
        <v>45606</v>
      </c>
      <c r="B7799" s="31">
        <f t="shared" si="1464"/>
        <v>0.55208333333333337</v>
      </c>
      <c r="C7799" t="str">
        <f>'Inventory as of 12th Aug 2024'!A212</f>
        <v>soda 300ml glass</v>
      </c>
      <c r="D7799">
        <v>1</v>
      </c>
      <c r="E7799" s="5">
        <f>Table4[[#This Row],[qty]]*(VLOOKUP(Table4[[#This Row],[item_sold]],Table1[],5,FALSE))</f>
        <v>40</v>
      </c>
      <c r="F7799" s="5">
        <f>(VLOOKUP(Table4[[#This Row],[item_sold]],Table1[],4,FALSE))*Table4[[#This Row],[qty]]</f>
        <v>32.5</v>
      </c>
      <c r="G7799">
        <f t="shared" si="1458"/>
        <v>7.5</v>
      </c>
      <c r="H7799" t="s">
        <v>402</v>
      </c>
    </row>
    <row r="7800" spans="1:8" x14ac:dyDescent="0.25">
      <c r="A7800" s="1">
        <f t="shared" si="1454"/>
        <v>45606</v>
      </c>
      <c r="B7800" s="31">
        <f>TIME(13,26,0)</f>
        <v>0.55972222222222223</v>
      </c>
      <c r="C7800" t="str">
        <f>'Inventory as of 12th Aug 2024'!A272</f>
        <v>Soko Maize 1kg</v>
      </c>
      <c r="D7800">
        <v>1</v>
      </c>
      <c r="E7800" s="5">
        <f>Table4[[#This Row],[qty]]*(VLOOKUP(Table4[[#This Row],[item_sold]],Table1[],5,FALSE))</f>
        <v>90</v>
      </c>
      <c r="F7800" s="5">
        <f>(VLOOKUP(Table4[[#This Row],[item_sold]],Table1[],4,FALSE))*Table4[[#This Row],[qty]]</f>
        <v>60.625</v>
      </c>
      <c r="G7800">
        <f t="shared" si="1458"/>
        <v>29.375</v>
      </c>
      <c r="H7800" t="s">
        <v>361</v>
      </c>
    </row>
    <row r="7801" spans="1:8" x14ac:dyDescent="0.25">
      <c r="A7801" s="1">
        <f t="shared" si="1454"/>
        <v>45606</v>
      </c>
      <c r="B7801" s="31">
        <f t="shared" ref="B7801" si="1465">TIME(13,26,0)</f>
        <v>0.55972222222222223</v>
      </c>
      <c r="C7801" t="str">
        <f>'Inventory as of 12th Aug 2024'!A58</f>
        <v>Safari</v>
      </c>
      <c r="D7801">
        <v>2</v>
      </c>
      <c r="E7801" s="5">
        <f>Table4[[#This Row],[qty]]*(VLOOKUP(Table4[[#This Row],[item_sold]],Table1[],5,FALSE))</f>
        <v>30</v>
      </c>
      <c r="F7801" s="5">
        <f>(VLOOKUP(Table4[[#This Row],[item_sold]],Table1[],4,FALSE))*Table4[[#This Row],[qty]]</f>
        <v>17</v>
      </c>
      <c r="G7801">
        <f t="shared" si="1458"/>
        <v>13</v>
      </c>
      <c r="H7801" t="s">
        <v>361</v>
      </c>
    </row>
    <row r="7802" spans="1:8" x14ac:dyDescent="0.25">
      <c r="A7802" s="1">
        <f t="shared" si="1454"/>
        <v>45606</v>
      </c>
      <c r="B7802" s="31">
        <f>TIME(13,52,0)</f>
        <v>0.57777777777777783</v>
      </c>
      <c r="C7802" t="str">
        <f>'Inventory as of 12th Aug 2024'!A57</f>
        <v>Sportsman</v>
      </c>
      <c r="D7802">
        <v>1</v>
      </c>
      <c r="E7802" s="5">
        <f>Table4[[#This Row],[qty]]*(VLOOKUP(Table4[[#This Row],[item_sold]],Table1[],5,FALSE))</f>
        <v>20</v>
      </c>
      <c r="F7802" s="5">
        <f>(VLOOKUP(Table4[[#This Row],[item_sold]],Table1[],4,FALSE))*Table4[[#This Row],[qty]]</f>
        <v>13</v>
      </c>
      <c r="G7802">
        <f t="shared" si="1458"/>
        <v>7</v>
      </c>
      <c r="H7802" t="s">
        <v>402</v>
      </c>
    </row>
    <row r="7803" spans="1:8" x14ac:dyDescent="0.25">
      <c r="A7803" s="1">
        <f t="shared" si="1454"/>
        <v>45606</v>
      </c>
      <c r="B7803" s="31">
        <f t="shared" ref="B7803:B7804" si="1466">TIME(13,52,0)</f>
        <v>0.57777777777777783</v>
      </c>
      <c r="C7803" t="str">
        <f>'Inventory as of 12th Aug 2024'!A92</f>
        <v>Banana</v>
      </c>
      <c r="D7803">
        <v>1</v>
      </c>
      <c r="E7803" s="5">
        <f>Table4[[#This Row],[qty]]*(VLOOKUP(Table4[[#This Row],[item_sold]],Table1[],5,FALSE))</f>
        <v>10</v>
      </c>
      <c r="F7803" s="5">
        <f>(VLOOKUP(Table4[[#This Row],[item_sold]],Table1[],4,FALSE))*Table4[[#This Row],[qty]]</f>
        <v>8.3333333333333339</v>
      </c>
      <c r="G7803">
        <f t="shared" si="1458"/>
        <v>1.6666666666666661</v>
      </c>
      <c r="H7803" t="s">
        <v>402</v>
      </c>
    </row>
    <row r="7804" spans="1:8" x14ac:dyDescent="0.25">
      <c r="A7804" s="1">
        <f t="shared" si="1454"/>
        <v>45606</v>
      </c>
      <c r="B7804" s="31">
        <f t="shared" si="1466"/>
        <v>0.57777777777777783</v>
      </c>
      <c r="C7804" t="str">
        <f>'Inventory as of 12th Aug 2024'!A92</f>
        <v>Banana</v>
      </c>
      <c r="D7804">
        <v>1</v>
      </c>
      <c r="E7804" s="5">
        <f>Table4[[#This Row],[qty]]*(VLOOKUP(Table4[[#This Row],[item_sold]],Table1[],5,FALSE))</f>
        <v>10</v>
      </c>
      <c r="F7804" s="5">
        <f>(VLOOKUP(Table4[[#This Row],[item_sold]],Table1[],4,FALSE))*Table4[[#This Row],[qty]]</f>
        <v>8.3333333333333339</v>
      </c>
      <c r="G7804">
        <f t="shared" si="1458"/>
        <v>1.6666666666666661</v>
      </c>
      <c r="H7804" t="s">
        <v>361</v>
      </c>
    </row>
    <row r="7805" spans="1:8" x14ac:dyDescent="0.25">
      <c r="A7805" s="1">
        <f t="shared" si="1454"/>
        <v>45606</v>
      </c>
      <c r="B7805" s="31">
        <f>TIME(14,13,0)</f>
        <v>0.59236111111111112</v>
      </c>
      <c r="C7805" t="str">
        <f>'Inventory as of 12th Aug 2024'!A92</f>
        <v>Banana</v>
      </c>
      <c r="D7805">
        <v>2</v>
      </c>
      <c r="E7805" s="5">
        <f>Table4[[#This Row],[qty]]*(VLOOKUP(Table4[[#This Row],[item_sold]],Table1[],5,FALSE))</f>
        <v>20</v>
      </c>
      <c r="F7805" s="5">
        <f>(VLOOKUP(Table4[[#This Row],[item_sold]],Table1[],4,FALSE))*Table4[[#This Row],[qty]]</f>
        <v>16.666666666666668</v>
      </c>
      <c r="G7805">
        <f t="shared" si="1458"/>
        <v>3.3333333333333321</v>
      </c>
      <c r="H7805" t="s">
        <v>402</v>
      </c>
    </row>
    <row r="7806" spans="1:8" x14ac:dyDescent="0.25">
      <c r="A7806" s="1">
        <f t="shared" si="1454"/>
        <v>45606</v>
      </c>
      <c r="B7806" s="31">
        <f>TIME(14,36,0)</f>
        <v>0.60833333333333328</v>
      </c>
      <c r="C7806" t="str">
        <f>'Inventory as of 12th Aug 2024'!A92</f>
        <v>Banana</v>
      </c>
      <c r="D7806">
        <v>2</v>
      </c>
      <c r="E7806" s="5">
        <f>Table4[[#This Row],[qty]]*(VLOOKUP(Table4[[#This Row],[item_sold]],Table1[],5,FALSE))</f>
        <v>20</v>
      </c>
      <c r="F7806" s="5">
        <f>(VLOOKUP(Table4[[#This Row],[item_sold]],Table1[],4,FALSE))*Table4[[#This Row],[qty]]</f>
        <v>16.666666666666668</v>
      </c>
      <c r="G7806">
        <f t="shared" si="1458"/>
        <v>3.3333333333333321</v>
      </c>
      <c r="H7806" t="s">
        <v>402</v>
      </c>
    </row>
    <row r="7807" spans="1:8" x14ac:dyDescent="0.25">
      <c r="A7807" s="1">
        <f t="shared" si="1454"/>
        <v>45606</v>
      </c>
      <c r="B7807" s="31">
        <f>TIME(15,10,0)</f>
        <v>0.63194444444444442</v>
      </c>
      <c r="C7807" t="str">
        <f>'Inventory as of 12th Aug 2024'!A213</f>
        <v>soda 500ml glass</v>
      </c>
      <c r="D7807">
        <v>1</v>
      </c>
      <c r="E7807" s="5">
        <f>Table4[[#This Row],[qty]]*(VLOOKUP(Table4[[#This Row],[item_sold]],Table1[],5,FALSE))</f>
        <v>55</v>
      </c>
      <c r="F7807" s="5">
        <f>(VLOOKUP(Table4[[#This Row],[item_sold]],Table1[],4,FALSE))*Table4[[#This Row],[qty]]</f>
        <v>50</v>
      </c>
      <c r="G7807">
        <f t="shared" si="1458"/>
        <v>5</v>
      </c>
      <c r="H7807" t="s">
        <v>402</v>
      </c>
    </row>
    <row r="7808" spans="1:8" x14ac:dyDescent="0.25">
      <c r="A7808" s="1">
        <f t="shared" si="1454"/>
        <v>45606</v>
      </c>
      <c r="B7808" s="31">
        <f>TIME(15,10,0)</f>
        <v>0.63194444444444442</v>
      </c>
      <c r="C7808" t="str">
        <f>'Inventory as of 12th Aug 2024'!A256</f>
        <v>Family bisquit</v>
      </c>
      <c r="D7808">
        <v>1</v>
      </c>
      <c r="E7808" s="5">
        <f>Table4[[#This Row],[qty]]*(VLOOKUP(Table4[[#This Row],[item_sold]],Table1[],5,FALSE))</f>
        <v>35</v>
      </c>
      <c r="F7808" s="5">
        <f>(VLOOKUP(Table4[[#This Row],[item_sold]],Table1[],4,FALSE))*Table4[[#This Row],[qty]]</f>
        <v>23.333333333333332</v>
      </c>
      <c r="G7808">
        <f t="shared" si="1458"/>
        <v>11.666666666666668</v>
      </c>
      <c r="H7808" t="s">
        <v>402</v>
      </c>
    </row>
    <row r="7809" spans="1:12" x14ac:dyDescent="0.25">
      <c r="A7809" s="1">
        <f t="shared" si="1454"/>
        <v>45606</v>
      </c>
      <c r="B7809" s="31">
        <f>TIME(15,35,0)</f>
        <v>0.64930555555555558</v>
      </c>
      <c r="C7809" t="str">
        <f>'Inventory as of 12th Aug 2024'!A240</f>
        <v>Bigboss</v>
      </c>
      <c r="D7809">
        <v>2</v>
      </c>
      <c r="E7809" s="5">
        <f>Table4[[#This Row],[qty]]*(VLOOKUP(Table4[[#This Row],[item_sold]],Table1[],5,FALSE))</f>
        <v>10</v>
      </c>
      <c r="F7809" s="5">
        <f>(VLOOKUP(Table4[[#This Row],[item_sold]],Table1[],4,FALSE))*Table4[[#This Row],[qty]]</f>
        <v>7</v>
      </c>
      <c r="G7809">
        <f t="shared" si="1458"/>
        <v>3</v>
      </c>
      <c r="H7809" t="s">
        <v>430</v>
      </c>
      <c r="I7809" t="s">
        <v>390</v>
      </c>
    </row>
    <row r="7810" spans="1:12" x14ac:dyDescent="0.25">
      <c r="A7810" s="1">
        <f t="shared" si="1454"/>
        <v>45606</v>
      </c>
      <c r="B7810" s="31">
        <f t="shared" ref="B7810" si="1467">TIME(15,35,0)</f>
        <v>0.64930555555555558</v>
      </c>
      <c r="C7810" t="str">
        <f>'Inventory as of 12th Aug 2024'!A135</f>
        <v>Bella Tissue</v>
      </c>
      <c r="D7810">
        <v>1</v>
      </c>
      <c r="E7810" s="5">
        <f>Table4[[#This Row],[qty]]*(VLOOKUP(Table4[[#This Row],[item_sold]],Table1[],5,FALSE))</f>
        <v>50</v>
      </c>
      <c r="F7810" s="5">
        <f>(VLOOKUP(Table4[[#This Row],[item_sold]],Table1[],4,FALSE))*Table4[[#This Row],[qty]]</f>
        <v>35</v>
      </c>
      <c r="G7810">
        <f t="shared" si="1458"/>
        <v>15</v>
      </c>
      <c r="H7810" t="s">
        <v>430</v>
      </c>
      <c r="I7810" t="s">
        <v>390</v>
      </c>
    </row>
    <row r="7811" spans="1:12" x14ac:dyDescent="0.25">
      <c r="A7811" s="1">
        <f t="shared" si="1454"/>
        <v>45606</v>
      </c>
      <c r="B7811" s="31">
        <f>TIME(15,47,0)</f>
        <v>0.65763888888888888</v>
      </c>
      <c r="C7811" t="str">
        <f>'Inventory as of 12th Aug 2024'!A35</f>
        <v>Festive 600g</v>
      </c>
      <c r="D7811">
        <v>1</v>
      </c>
      <c r="E7811" s="5">
        <f>Table4[[#This Row],[qty]]*(VLOOKUP(Table4[[#This Row],[item_sold]],Table1[],5,FALSE))</f>
        <v>100</v>
      </c>
      <c r="F7811" s="5">
        <f>(VLOOKUP(Table4[[#This Row],[item_sold]],Table1[],4,FALSE))*Table4[[#This Row],[qty]]</f>
        <v>90</v>
      </c>
      <c r="G7811">
        <f t="shared" si="1458"/>
        <v>10</v>
      </c>
      <c r="H7811" t="s">
        <v>430</v>
      </c>
      <c r="I7811" t="s">
        <v>588</v>
      </c>
      <c r="J7811" t="s">
        <v>588</v>
      </c>
      <c r="K7811">
        <v>70</v>
      </c>
      <c r="L7811" t="s">
        <v>247</v>
      </c>
    </row>
    <row r="7812" spans="1:12" x14ac:dyDescent="0.25">
      <c r="A7812" s="1">
        <f t="shared" si="1454"/>
        <v>45606</v>
      </c>
      <c r="B7812" s="31">
        <f>TIME(15,41,0)</f>
        <v>0.65347222222222223</v>
      </c>
      <c r="C7812" t="str">
        <f>'Inventory as of 12th Aug 2024'!A208</f>
        <v>minutemaid 400ml</v>
      </c>
      <c r="D7812">
        <v>1</v>
      </c>
      <c r="E7812" s="5">
        <f>Table4[[#This Row],[qty]]*(VLOOKUP(Table4[[#This Row],[item_sold]],Table1[],5,FALSE))</f>
        <v>85</v>
      </c>
      <c r="F7812" s="5">
        <f>(VLOOKUP(Table4[[#This Row],[item_sold]],Table1[],4,FALSE))*Table4[[#This Row],[qty]]</f>
        <v>62.5</v>
      </c>
      <c r="G7812">
        <f t="shared" si="1458"/>
        <v>22.5</v>
      </c>
      <c r="H7812" t="s">
        <v>361</v>
      </c>
    </row>
    <row r="7813" spans="1:12" x14ac:dyDescent="0.25">
      <c r="A7813" s="1">
        <f t="shared" si="1454"/>
        <v>45606</v>
      </c>
      <c r="B7813" s="31">
        <f t="shared" ref="B7813:B7814" si="1468">TIME(15,41,0)</f>
        <v>0.65347222222222223</v>
      </c>
      <c r="C7813" t="str">
        <f>'Inventory as of 12th Aug 2024'!A190</f>
        <v>Goodday Cookies</v>
      </c>
      <c r="D7813">
        <v>2</v>
      </c>
      <c r="E7813" s="5">
        <f>Table4[[#This Row],[qty]]*(VLOOKUP(Table4[[#This Row],[item_sold]],Table1[],5,FALSE))</f>
        <v>30</v>
      </c>
      <c r="F7813" s="5">
        <f>(VLOOKUP(Table4[[#This Row],[item_sold]],Table1[],4,FALSE))*Table4[[#This Row],[qty]]</f>
        <v>18.666666666666668</v>
      </c>
      <c r="G7813">
        <f t="shared" si="1458"/>
        <v>11.333333333333332</v>
      </c>
      <c r="H7813" t="s">
        <v>361</v>
      </c>
    </row>
    <row r="7814" spans="1:12" x14ac:dyDescent="0.25">
      <c r="A7814" s="1">
        <f t="shared" si="1454"/>
        <v>45606</v>
      </c>
      <c r="B7814" s="31">
        <f t="shared" si="1468"/>
        <v>0.65347222222222223</v>
      </c>
      <c r="C7814" t="str">
        <f>'Inventory as of 12th Aug 2024'!A8</f>
        <v>eggs</v>
      </c>
      <c r="D7814">
        <v>3</v>
      </c>
      <c r="E7814" s="5">
        <f>Table4[[#This Row],[qty]]*(VLOOKUP(Table4[[#This Row],[item_sold]],Table1[],5,FALSE))</f>
        <v>60</v>
      </c>
      <c r="F7814" s="5">
        <f>(VLOOKUP(Table4[[#This Row],[item_sold]],Table1[],4,FALSE))*Table4[[#This Row],[qty]]</f>
        <v>43</v>
      </c>
      <c r="G7814">
        <f t="shared" si="1458"/>
        <v>17</v>
      </c>
      <c r="H7814" t="s">
        <v>361</v>
      </c>
    </row>
    <row r="7815" spans="1:12" x14ac:dyDescent="0.25">
      <c r="A7815" s="1">
        <f t="shared" ref="A7815:A7845" si="1469">DATE(2024,11,10)</f>
        <v>45606</v>
      </c>
      <c r="B7815" s="31">
        <f>TIME(16,0,0)</f>
        <v>0.66666666666666663</v>
      </c>
      <c r="C7815" t="str">
        <f>'Inventory as of 12th Aug 2024'!A57</f>
        <v>Sportsman</v>
      </c>
      <c r="D7815">
        <v>2</v>
      </c>
      <c r="E7815" s="5">
        <f>Table4[[#This Row],[qty]]*(VLOOKUP(Table4[[#This Row],[item_sold]],Table1[],5,FALSE))</f>
        <v>40</v>
      </c>
      <c r="F7815" s="5">
        <f>(VLOOKUP(Table4[[#This Row],[item_sold]],Table1[],4,FALSE))*Table4[[#This Row],[qty]]</f>
        <v>26</v>
      </c>
      <c r="G7815">
        <f t="shared" si="1458"/>
        <v>14</v>
      </c>
      <c r="H7815" t="s">
        <v>361</v>
      </c>
    </row>
    <row r="7816" spans="1:12" x14ac:dyDescent="0.25">
      <c r="A7816" s="1">
        <f t="shared" si="1469"/>
        <v>45606</v>
      </c>
      <c r="B7816" s="31">
        <f>TIME(16,18,0)</f>
        <v>0.6791666666666667</v>
      </c>
      <c r="C7816" t="str">
        <f>'Inventory as of 12th Aug 2024'!A179</f>
        <v>Bitez</v>
      </c>
      <c r="D7816">
        <v>4</v>
      </c>
      <c r="E7816" s="5">
        <f>Table4[[#This Row],[qty]]*(VLOOKUP(Table4[[#This Row],[item_sold]],Table1[],5,FALSE))</f>
        <v>60</v>
      </c>
      <c r="F7816" s="5">
        <f>(VLOOKUP(Table4[[#This Row],[item_sold]],Table1[],4,FALSE))*Table4[[#This Row],[qty]]</f>
        <v>35.200000000000003</v>
      </c>
      <c r="G7816">
        <f t="shared" si="1458"/>
        <v>24.799999999999997</v>
      </c>
    </row>
    <row r="7817" spans="1:12" x14ac:dyDescent="0.25">
      <c r="A7817" s="1">
        <f t="shared" si="1469"/>
        <v>45606</v>
      </c>
      <c r="B7817" s="31">
        <f t="shared" ref="B7817:B7819" si="1470">TIME(16,18,0)</f>
        <v>0.6791666666666667</v>
      </c>
      <c r="C7817" t="str">
        <f>'Inventory as of 12th Aug 2024'!A213</f>
        <v>soda 500ml glass</v>
      </c>
      <c r="D7817">
        <v>1</v>
      </c>
      <c r="E7817" s="5">
        <f>Table4[[#This Row],[qty]]*(VLOOKUP(Table4[[#This Row],[item_sold]],Table1[],5,FALSE))</f>
        <v>55</v>
      </c>
      <c r="F7817" s="5">
        <f>(VLOOKUP(Table4[[#This Row],[item_sold]],Table1[],4,FALSE))*Table4[[#This Row],[qty]]</f>
        <v>50</v>
      </c>
      <c r="G7817">
        <f t="shared" si="1458"/>
        <v>5</v>
      </c>
    </row>
    <row r="7818" spans="1:12" x14ac:dyDescent="0.25">
      <c r="A7818" s="1">
        <f t="shared" si="1469"/>
        <v>45606</v>
      </c>
      <c r="B7818" s="31">
        <f t="shared" si="1470"/>
        <v>0.6791666666666667</v>
      </c>
      <c r="C7818" t="str">
        <f>'Inventory as of 12th Aug 2024'!A212</f>
        <v>soda 300ml glass</v>
      </c>
      <c r="D7818">
        <v>3</v>
      </c>
      <c r="E7818" s="5">
        <f>Table4[[#This Row],[qty]]*(VLOOKUP(Table4[[#This Row],[item_sold]],Table1[],5,FALSE))</f>
        <v>120</v>
      </c>
      <c r="F7818" s="5">
        <f>(VLOOKUP(Table4[[#This Row],[item_sold]],Table1[],4,FALSE))*Table4[[#This Row],[qty]]</f>
        <v>97.5</v>
      </c>
      <c r="G7818">
        <f t="shared" si="1458"/>
        <v>22.5</v>
      </c>
    </row>
    <row r="7819" spans="1:12" x14ac:dyDescent="0.25">
      <c r="A7819" s="1">
        <f t="shared" si="1469"/>
        <v>45606</v>
      </c>
      <c r="B7819" s="31">
        <f t="shared" si="1470"/>
        <v>0.6791666666666667</v>
      </c>
      <c r="C7819" t="str">
        <f>'Inventory as of 12th Aug 2024'!A256</f>
        <v>Family bisquit</v>
      </c>
      <c r="D7819">
        <v>2</v>
      </c>
      <c r="E7819" s="5">
        <f>Table4[[#This Row],[qty]]*(VLOOKUP(Table4[[#This Row],[item_sold]],Table1[],5,FALSE))</f>
        <v>70</v>
      </c>
      <c r="F7819" s="5">
        <f>(VLOOKUP(Table4[[#This Row],[item_sold]],Table1[],4,FALSE))*Table4[[#This Row],[qty]]</f>
        <v>46.666666666666664</v>
      </c>
      <c r="G7819">
        <f t="shared" si="1458"/>
        <v>23.333333333333336</v>
      </c>
    </row>
    <row r="7820" spans="1:12" x14ac:dyDescent="0.25">
      <c r="A7820" s="1">
        <f t="shared" si="1469"/>
        <v>45606</v>
      </c>
      <c r="B7820" s="31">
        <f>TIME(16,30,0)</f>
        <v>0.6875</v>
      </c>
      <c r="C7820" t="str">
        <f>'Inventory as of 12th Aug 2024'!A256</f>
        <v>Family bisquit</v>
      </c>
      <c r="D7820">
        <v>1</v>
      </c>
      <c r="E7820" s="5">
        <f>Table4[[#This Row],[qty]]*(VLOOKUP(Table4[[#This Row],[item_sold]],Table1[],5,FALSE))</f>
        <v>35</v>
      </c>
      <c r="F7820" s="5">
        <f>(VLOOKUP(Table4[[#This Row],[item_sold]],Table1[],4,FALSE))*Table4[[#This Row],[qty]]</f>
        <v>23.333333333333332</v>
      </c>
      <c r="G7820">
        <f t="shared" si="1458"/>
        <v>11.666666666666668</v>
      </c>
      <c r="H7820" t="s">
        <v>430</v>
      </c>
      <c r="I7820" t="s">
        <v>427</v>
      </c>
    </row>
    <row r="7821" spans="1:12" x14ac:dyDescent="0.25">
      <c r="A7821" s="1">
        <f t="shared" si="1469"/>
        <v>45606</v>
      </c>
      <c r="B7821" s="31">
        <f>TIME(16,30,0)</f>
        <v>0.6875</v>
      </c>
      <c r="C7821" t="str">
        <f>'Inventory as of 12th Aug 2024'!A193</f>
        <v>Ginger Bisquit</v>
      </c>
      <c r="D7821">
        <v>3</v>
      </c>
      <c r="E7821" s="5">
        <f>Table4[[#This Row],[qty]]*(VLOOKUP(Table4[[#This Row],[item_sold]],Table1[],5,FALSE))</f>
        <v>15</v>
      </c>
      <c r="F7821" s="5">
        <f>(VLOOKUP(Table4[[#This Row],[item_sold]],Table1[],4,FALSE))*Table4[[#This Row],[qty]]</f>
        <v>13</v>
      </c>
      <c r="G7821">
        <f t="shared" si="1458"/>
        <v>2</v>
      </c>
      <c r="H7821" t="s">
        <v>430</v>
      </c>
      <c r="I7821" t="s">
        <v>427</v>
      </c>
    </row>
    <row r="7822" spans="1:12" x14ac:dyDescent="0.25">
      <c r="A7822" s="1">
        <f t="shared" si="1469"/>
        <v>45606</v>
      </c>
      <c r="B7822" s="31">
        <f>TIME(17,0,0)</f>
        <v>0.70833333333333337</v>
      </c>
      <c r="C7822" t="str">
        <f>'Inventory as of 12th Aug 2024'!A212</f>
        <v>soda 300ml glass</v>
      </c>
      <c r="D7822">
        <v>1</v>
      </c>
      <c r="E7822" s="5">
        <f>Table4[[#This Row],[qty]]*(VLOOKUP(Table4[[#This Row],[item_sold]],Table1[],5,FALSE))</f>
        <v>40</v>
      </c>
      <c r="F7822" s="5">
        <f>(VLOOKUP(Table4[[#This Row],[item_sold]],Table1[],4,FALSE))*Table4[[#This Row],[qty]]</f>
        <v>32.5</v>
      </c>
      <c r="G7822">
        <f t="shared" si="1458"/>
        <v>7.5</v>
      </c>
      <c r="H7822" t="s">
        <v>402</v>
      </c>
    </row>
    <row r="7823" spans="1:12" x14ac:dyDescent="0.25">
      <c r="A7823" s="1">
        <f t="shared" si="1469"/>
        <v>45606</v>
      </c>
      <c r="B7823" s="31">
        <f t="shared" ref="B7823" si="1471">TIME(17,0,0)</f>
        <v>0.70833333333333337</v>
      </c>
      <c r="C7823" t="str">
        <f>'Inventory as of 12th Aug 2024'!A270</f>
        <v>Milk Bisquit</v>
      </c>
      <c r="D7823">
        <v>1</v>
      </c>
      <c r="E7823" s="5">
        <f>Table4[[#This Row],[qty]]*(VLOOKUP(Table4[[#This Row],[item_sold]],Table1[],5,FALSE))</f>
        <v>5</v>
      </c>
      <c r="F7823" s="5">
        <f>(VLOOKUP(Table4[[#This Row],[item_sold]],Table1[],4,FALSE))*Table4[[#This Row],[qty]]</f>
        <v>4.166666666666667</v>
      </c>
      <c r="G7823">
        <f t="shared" si="1458"/>
        <v>0.83333333333333304</v>
      </c>
      <c r="H7823" t="s">
        <v>402</v>
      </c>
    </row>
    <row r="7824" spans="1:12" x14ac:dyDescent="0.25">
      <c r="A7824" s="1">
        <f t="shared" si="1469"/>
        <v>45606</v>
      </c>
      <c r="B7824" s="31">
        <f>TIME(17,10,0)</f>
        <v>0.71527777777777779</v>
      </c>
      <c r="C7824" t="str">
        <f>'Inventory as of 12th Aug 2024'!A234</f>
        <v>Bigdaddy</v>
      </c>
      <c r="D7824">
        <v>1</v>
      </c>
      <c r="E7824" s="5">
        <f>Table4[[#This Row],[qty]]*(VLOOKUP(Table4[[#This Row],[item_sold]],Table1[],5,FALSE))</f>
        <v>10</v>
      </c>
      <c r="F7824" s="5">
        <f>(VLOOKUP(Table4[[#This Row],[item_sold]],Table1[],4,FALSE))*Table4[[#This Row],[qty]]</f>
        <v>6</v>
      </c>
      <c r="G7824">
        <f t="shared" si="1458"/>
        <v>4</v>
      </c>
      <c r="H7824" t="s">
        <v>402</v>
      </c>
    </row>
    <row r="7825" spans="1:9" x14ac:dyDescent="0.25">
      <c r="A7825" s="1">
        <f t="shared" si="1469"/>
        <v>45606</v>
      </c>
      <c r="B7825" s="31">
        <f>TIME(17,21,0)</f>
        <v>0.72291666666666676</v>
      </c>
      <c r="C7825" t="str">
        <f>'Inventory as of 12th Aug 2024'!A234</f>
        <v>Bigdaddy</v>
      </c>
      <c r="D7825">
        <v>2</v>
      </c>
      <c r="E7825" s="5">
        <f>Table4[[#This Row],[qty]]*(VLOOKUP(Table4[[#This Row],[item_sold]],Table1[],5,FALSE))</f>
        <v>20</v>
      </c>
      <c r="F7825" s="5">
        <f>(VLOOKUP(Table4[[#This Row],[item_sold]],Table1[],4,FALSE))*Table4[[#This Row],[qty]]</f>
        <v>12</v>
      </c>
      <c r="G7825">
        <f t="shared" si="1458"/>
        <v>8</v>
      </c>
      <c r="H7825" t="s">
        <v>402</v>
      </c>
    </row>
    <row r="7826" spans="1:9" x14ac:dyDescent="0.25">
      <c r="A7826" s="1">
        <f t="shared" si="1469"/>
        <v>45606</v>
      </c>
      <c r="B7826" s="31">
        <f>TIME(17,59,0)</f>
        <v>0.74930555555555556</v>
      </c>
      <c r="C7826" t="str">
        <f>'Inventory as of 12th Aug 2024'!A234</f>
        <v>Bigdaddy</v>
      </c>
      <c r="D7826">
        <v>2</v>
      </c>
      <c r="E7826" s="5">
        <f>Table4[[#This Row],[qty]]*(VLOOKUP(Table4[[#This Row],[item_sold]],Table1[],5,FALSE))</f>
        <v>20</v>
      </c>
      <c r="F7826" s="5">
        <f>(VLOOKUP(Table4[[#This Row],[item_sold]],Table1[],4,FALSE))*Table4[[#This Row],[qty]]</f>
        <v>12</v>
      </c>
      <c r="G7826">
        <f t="shared" si="1458"/>
        <v>8</v>
      </c>
      <c r="H7826" t="s">
        <v>402</v>
      </c>
    </row>
    <row r="7827" spans="1:9" x14ac:dyDescent="0.25">
      <c r="A7827" s="1">
        <f t="shared" si="1469"/>
        <v>45606</v>
      </c>
      <c r="B7827" s="31">
        <f>TIME(18,6,0)</f>
        <v>0.75416666666666676</v>
      </c>
      <c r="C7827" t="str">
        <f>'Inventory as of 12th Aug 2024'!A90</f>
        <v>Onion</v>
      </c>
      <c r="D7827">
        <v>1</v>
      </c>
      <c r="E7827" s="5">
        <f>Table4[[#This Row],[qty]]*(VLOOKUP(Table4[[#This Row],[item_sold]],Table1[],5,FALSE))</f>
        <v>10</v>
      </c>
      <c r="F7827" s="5">
        <f>(VLOOKUP(Table4[[#This Row],[item_sold]],Table1[],4,FALSE))*Table4[[#This Row],[qty]]</f>
        <v>8</v>
      </c>
      <c r="G7827">
        <f t="shared" si="1458"/>
        <v>2</v>
      </c>
      <c r="H7827" t="s">
        <v>402</v>
      </c>
    </row>
    <row r="7828" spans="1:9" x14ac:dyDescent="0.25">
      <c r="A7828" s="1">
        <f t="shared" si="1469"/>
        <v>45606</v>
      </c>
      <c r="B7828" s="31">
        <f>TIME(18,6,0)</f>
        <v>0.75416666666666676</v>
      </c>
      <c r="C7828" t="str">
        <f>'Inventory as of 12th Aug 2024'!A91</f>
        <v>Tomatoes</v>
      </c>
      <c r="D7828">
        <v>2</v>
      </c>
      <c r="E7828" s="5">
        <f>Table4[[#This Row],[qty]]*(VLOOKUP(Table4[[#This Row],[item_sold]],Table1[],5,FALSE))</f>
        <v>20</v>
      </c>
      <c r="F7828" s="5">
        <f>(VLOOKUP(Table4[[#This Row],[item_sold]],Table1[],4,FALSE))*Table4[[#This Row],[qty]]</f>
        <v>10</v>
      </c>
      <c r="G7828">
        <f t="shared" ref="G7828:G7891" si="1472">E7828-F7828</f>
        <v>10</v>
      </c>
      <c r="H7828" t="s">
        <v>402</v>
      </c>
    </row>
    <row r="7829" spans="1:9" x14ac:dyDescent="0.25">
      <c r="A7829" s="1">
        <f t="shared" si="1469"/>
        <v>45606</v>
      </c>
      <c r="B7829" s="31">
        <f>TIME(18,36,0)</f>
        <v>0.77500000000000002</v>
      </c>
      <c r="C7829" t="str">
        <f>'Inventory as of 12th Aug 2024'!A232</f>
        <v>coo</v>
      </c>
      <c r="D7829">
        <v>2</v>
      </c>
      <c r="E7829" s="5">
        <f>Table4[[#This Row],[qty]]*(VLOOKUP(Table4[[#This Row],[item_sold]],Table1[],5,FALSE))</f>
        <v>5</v>
      </c>
      <c r="F7829" s="5">
        <f>(VLOOKUP(Table4[[#This Row],[item_sold]],Table1[],4,FALSE))*Table4[[#This Row],[qty]]</f>
        <v>2.4</v>
      </c>
      <c r="G7829">
        <f t="shared" si="1472"/>
        <v>2.6</v>
      </c>
      <c r="H7829" t="s">
        <v>402</v>
      </c>
    </row>
    <row r="7830" spans="1:9" x14ac:dyDescent="0.25">
      <c r="A7830" s="1">
        <f t="shared" si="1469"/>
        <v>45606</v>
      </c>
      <c r="B7830" s="31">
        <f t="shared" ref="B7830:B7831" si="1473">TIME(18,36,0)</f>
        <v>0.77500000000000002</v>
      </c>
      <c r="C7830" t="str">
        <f>'Inventory as of 12th Aug 2024'!A234</f>
        <v>Bigdaddy</v>
      </c>
      <c r="D7830">
        <v>1</v>
      </c>
      <c r="E7830" s="5">
        <f>Table4[[#This Row],[qty]]*(VLOOKUP(Table4[[#This Row],[item_sold]],Table1[],5,FALSE))</f>
        <v>10</v>
      </c>
      <c r="F7830" s="5">
        <f>(VLOOKUP(Table4[[#This Row],[item_sold]],Table1[],4,FALSE))*Table4[[#This Row],[qty]]</f>
        <v>6</v>
      </c>
      <c r="G7830">
        <f t="shared" si="1472"/>
        <v>4</v>
      </c>
      <c r="H7830" t="s">
        <v>402</v>
      </c>
    </row>
    <row r="7831" spans="1:9" x14ac:dyDescent="0.25">
      <c r="A7831" s="1">
        <f t="shared" si="1469"/>
        <v>45606</v>
      </c>
      <c r="B7831" s="31">
        <f t="shared" si="1473"/>
        <v>0.77500000000000002</v>
      </c>
      <c r="C7831" t="str">
        <f>'Inventory as of 12th Aug 2024'!A271</f>
        <v>Star Cream Bisquit</v>
      </c>
      <c r="D7831">
        <v>1</v>
      </c>
      <c r="E7831" s="5">
        <f>Table4[[#This Row],[qty]]*(VLOOKUP(Table4[[#This Row],[item_sold]],Table1[],5,FALSE))</f>
        <v>5</v>
      </c>
      <c r="F7831" s="5">
        <f>(VLOOKUP(Table4[[#This Row],[item_sold]],Table1[],4,FALSE))*Table4[[#This Row],[qty]]</f>
        <v>4.2333333333333334</v>
      </c>
      <c r="G7831">
        <f t="shared" si="1472"/>
        <v>0.76666666666666661</v>
      </c>
      <c r="H7831" t="s">
        <v>402</v>
      </c>
    </row>
    <row r="7832" spans="1:9" x14ac:dyDescent="0.25">
      <c r="A7832" s="1">
        <f t="shared" si="1469"/>
        <v>45606</v>
      </c>
      <c r="B7832" s="31">
        <f>TIME(18,40,0)</f>
        <v>0.77777777777777779</v>
      </c>
      <c r="C7832" t="str">
        <f>'Inventory as of 12th Aug 2024'!A91</f>
        <v>Tomatoes</v>
      </c>
      <c r="D7832">
        <v>5</v>
      </c>
      <c r="E7832" s="5">
        <f>Table4[[#This Row],[qty]]*(VLOOKUP(Table4[[#This Row],[item_sold]],Table1[],5,FALSE))</f>
        <v>50</v>
      </c>
      <c r="F7832" s="5">
        <f>(VLOOKUP(Table4[[#This Row],[item_sold]],Table1[],4,FALSE))*Table4[[#This Row],[qty]]</f>
        <v>25</v>
      </c>
      <c r="G7832">
        <f t="shared" si="1472"/>
        <v>25</v>
      </c>
      <c r="H7832" t="s">
        <v>430</v>
      </c>
      <c r="I7832" t="s">
        <v>456</v>
      </c>
    </row>
    <row r="7833" spans="1:9" x14ac:dyDescent="0.25">
      <c r="A7833" s="1">
        <f t="shared" si="1469"/>
        <v>45606</v>
      </c>
      <c r="B7833" s="31">
        <f>TIME(18,52,0)</f>
        <v>0.78611111111111109</v>
      </c>
      <c r="C7833" t="str">
        <f>'Inventory as of 12th Aug 2024'!A10</f>
        <v>Mt Kenya milk 200ml</v>
      </c>
      <c r="D7833">
        <v>1</v>
      </c>
      <c r="E7833" s="5">
        <f>Table4[[#This Row],[qty]]*(VLOOKUP(Table4[[#This Row],[item_sold]],Table1[],5,FALSE))</f>
        <v>35</v>
      </c>
      <c r="F7833" s="5">
        <f>(VLOOKUP(Table4[[#This Row],[item_sold]],Table1[],4,FALSE))*Table4[[#This Row],[qty]]</f>
        <v>24.285714285714285</v>
      </c>
      <c r="G7833">
        <f t="shared" si="1472"/>
        <v>10.714285714285715</v>
      </c>
      <c r="H7833" t="s">
        <v>402</v>
      </c>
    </row>
    <row r="7834" spans="1:9" x14ac:dyDescent="0.25">
      <c r="A7834" s="1">
        <f t="shared" si="1469"/>
        <v>45606</v>
      </c>
      <c r="B7834" s="31">
        <f t="shared" ref="B7834:B7835" si="1474">TIME(18,52,0)</f>
        <v>0.78611111111111109</v>
      </c>
      <c r="C7834" t="str">
        <f>'Inventory as of 12th Aug 2024'!A8</f>
        <v>eggs</v>
      </c>
      <c r="D7834">
        <v>6</v>
      </c>
      <c r="E7834" s="5">
        <f>Table4[[#This Row],[qty]]*(VLOOKUP(Table4[[#This Row],[item_sold]],Table1[],5,FALSE))</f>
        <v>120</v>
      </c>
      <c r="F7834" s="5">
        <f>(VLOOKUP(Table4[[#This Row],[item_sold]],Table1[],4,FALSE))*Table4[[#This Row],[qty]]</f>
        <v>86</v>
      </c>
      <c r="G7834">
        <f t="shared" si="1472"/>
        <v>34</v>
      </c>
      <c r="H7834" t="s">
        <v>402</v>
      </c>
    </row>
    <row r="7835" spans="1:9" x14ac:dyDescent="0.25">
      <c r="A7835" s="1">
        <f t="shared" si="1469"/>
        <v>45606</v>
      </c>
      <c r="B7835" s="31">
        <f t="shared" si="1474"/>
        <v>0.78611111111111109</v>
      </c>
      <c r="C7835" t="str">
        <f>'Inventory as of 12th Aug 2024'!A193</f>
        <v>Ginger Bisquit</v>
      </c>
      <c r="D7835">
        <v>1</v>
      </c>
      <c r="E7835" s="5">
        <f>Table4[[#This Row],[qty]]*(VLOOKUP(Table4[[#This Row],[item_sold]],Table1[],5,FALSE))</f>
        <v>5</v>
      </c>
      <c r="F7835" s="5">
        <f>(VLOOKUP(Table4[[#This Row],[item_sold]],Table1[],4,FALSE))*Table4[[#This Row],[qty]]</f>
        <v>4.333333333333333</v>
      </c>
      <c r="G7835">
        <f t="shared" si="1472"/>
        <v>0.66666666666666696</v>
      </c>
      <c r="H7835" t="s">
        <v>402</v>
      </c>
    </row>
    <row r="7836" spans="1:9" x14ac:dyDescent="0.25">
      <c r="A7836" s="1">
        <f t="shared" si="1469"/>
        <v>45606</v>
      </c>
      <c r="B7836" s="31">
        <f>TIME(19,7,0)</f>
        <v>0.79652777777777783</v>
      </c>
      <c r="C7836" t="str">
        <f>'Inventory as of 12th Aug 2024'!A211</f>
        <v>predator</v>
      </c>
      <c r="D7836">
        <v>1</v>
      </c>
      <c r="E7836" s="5">
        <f>Table4[[#This Row],[qty]]*(VLOOKUP(Table4[[#This Row],[item_sold]],Table1[],5,FALSE))</f>
        <v>70</v>
      </c>
      <c r="F7836" s="5">
        <f>(VLOOKUP(Table4[[#This Row],[item_sold]],Table1[],4,FALSE))*Table4[[#This Row],[qty]]</f>
        <v>54.166666666666664</v>
      </c>
      <c r="G7836">
        <f t="shared" si="1472"/>
        <v>15.833333333333336</v>
      </c>
      <c r="H7836" t="s">
        <v>430</v>
      </c>
      <c r="I7836" t="s">
        <v>409</v>
      </c>
    </row>
    <row r="7837" spans="1:9" x14ac:dyDescent="0.25">
      <c r="A7837" s="1">
        <f t="shared" si="1469"/>
        <v>45606</v>
      </c>
      <c r="B7837" s="31">
        <f>TIME(19,17,0)</f>
        <v>0.80347222222222225</v>
      </c>
      <c r="C7837" t="str">
        <f>'Inventory as of 12th Aug 2024'!A57</f>
        <v>Sportsman</v>
      </c>
      <c r="D7837">
        <v>2</v>
      </c>
      <c r="E7837" s="5">
        <f>Table4[[#This Row],[qty]]*(VLOOKUP(Table4[[#This Row],[item_sold]],Table1[],5,FALSE))</f>
        <v>40</v>
      </c>
      <c r="F7837" s="5">
        <f>(VLOOKUP(Table4[[#This Row],[item_sold]],Table1[],4,FALSE))*Table4[[#This Row],[qty]]</f>
        <v>26</v>
      </c>
      <c r="G7837">
        <f t="shared" si="1472"/>
        <v>14</v>
      </c>
      <c r="H7837" t="s">
        <v>430</v>
      </c>
      <c r="I7837" t="s">
        <v>391</v>
      </c>
    </row>
    <row r="7838" spans="1:9" x14ac:dyDescent="0.25">
      <c r="A7838" s="1">
        <f t="shared" si="1469"/>
        <v>45606</v>
      </c>
      <c r="B7838" s="31">
        <f t="shared" ref="B7838" si="1475">TIME(19,17,0)</f>
        <v>0.80347222222222225</v>
      </c>
      <c r="C7838" t="str">
        <f>'Inventory as of 12th Aug 2024'!A153</f>
        <v>mosquito stick</v>
      </c>
      <c r="D7838">
        <v>1</v>
      </c>
      <c r="E7838" s="5">
        <f>Table4[[#This Row],[qty]]*(VLOOKUP(Table4[[#This Row],[item_sold]],Table1[],5,FALSE))</f>
        <v>10</v>
      </c>
      <c r="F7838" s="5">
        <f>(VLOOKUP(Table4[[#This Row],[item_sold]],Table1[],4,FALSE))*Table4[[#This Row],[qty]]</f>
        <v>9</v>
      </c>
      <c r="G7838">
        <f t="shared" si="1472"/>
        <v>1</v>
      </c>
      <c r="H7838" t="s">
        <v>430</v>
      </c>
      <c r="I7838" t="s">
        <v>391</v>
      </c>
    </row>
    <row r="7839" spans="1:9" x14ac:dyDescent="0.25">
      <c r="A7839" s="1">
        <f t="shared" si="1469"/>
        <v>45606</v>
      </c>
      <c r="B7839" s="31">
        <f>TIME(19,19,0)</f>
        <v>0.80486111111111114</v>
      </c>
      <c r="C7839" t="str">
        <f>'Inventory as of 12th Aug 2024'!A61</f>
        <v>kensalt 500g</v>
      </c>
      <c r="D7839">
        <v>1</v>
      </c>
      <c r="E7839" s="5">
        <f>Table4[[#This Row],[qty]]*(VLOOKUP(Table4[[#This Row],[item_sold]],Table1[],5,FALSE))</f>
        <v>25</v>
      </c>
      <c r="F7839" s="5">
        <f>(VLOOKUP(Table4[[#This Row],[item_sold]],Table1[],4,FALSE))*Table4[[#This Row],[qty]]</f>
        <v>14</v>
      </c>
      <c r="G7839">
        <f t="shared" si="1472"/>
        <v>11</v>
      </c>
      <c r="H7839" t="s">
        <v>402</v>
      </c>
    </row>
    <row r="7840" spans="1:9" x14ac:dyDescent="0.25">
      <c r="A7840" s="1">
        <f t="shared" si="1469"/>
        <v>45606</v>
      </c>
      <c r="B7840" s="31">
        <f>TIME(19,22,0)</f>
        <v>0.80694444444444446</v>
      </c>
      <c r="C7840" t="str">
        <f>'Inventory as of 12th Aug 2024'!A256</f>
        <v>Family bisquit</v>
      </c>
      <c r="D7840">
        <v>1</v>
      </c>
      <c r="E7840" s="5">
        <f>Table4[[#This Row],[qty]]*(VLOOKUP(Table4[[#This Row],[item_sold]],Table1[],5,FALSE))</f>
        <v>35</v>
      </c>
      <c r="F7840" s="5">
        <f>(VLOOKUP(Table4[[#This Row],[item_sold]],Table1[],4,FALSE))*Table4[[#This Row],[qty]]</f>
        <v>23.333333333333332</v>
      </c>
      <c r="G7840">
        <f t="shared" si="1472"/>
        <v>11.666666666666668</v>
      </c>
      <c r="H7840" t="s">
        <v>361</v>
      </c>
    </row>
    <row r="7841" spans="1:12" x14ac:dyDescent="0.25">
      <c r="A7841" s="1">
        <f t="shared" si="1469"/>
        <v>45606</v>
      </c>
      <c r="B7841" s="31">
        <f>TIME(19,22,0)</f>
        <v>0.80694444444444446</v>
      </c>
      <c r="C7841" t="str">
        <f>'Inventory as of 12th Aug 2024'!A206</f>
        <v>soda 500ml plastic</v>
      </c>
      <c r="D7841">
        <v>1</v>
      </c>
      <c r="E7841" s="5">
        <f>Table4[[#This Row],[qty]]*(VLOOKUP(Table4[[#This Row],[item_sold]],Table1[],5,FALSE))</f>
        <v>70</v>
      </c>
      <c r="F7841" s="5">
        <f>(VLOOKUP(Table4[[#This Row],[item_sold]],Table1[],4,FALSE))*Table4[[#This Row],[qty]]</f>
        <v>60.416666666666664</v>
      </c>
      <c r="G7841">
        <f t="shared" si="1472"/>
        <v>9.5833333333333357</v>
      </c>
      <c r="H7841" t="s">
        <v>361</v>
      </c>
    </row>
    <row r="7842" spans="1:12" x14ac:dyDescent="0.25">
      <c r="A7842" s="1">
        <f t="shared" si="1469"/>
        <v>45606</v>
      </c>
      <c r="B7842" s="31">
        <f>TIME(19,49,0)</f>
        <v>0.8256944444444444</v>
      </c>
      <c r="C7842" t="str">
        <f>'Inventory as of 12th Aug 2024'!A16</f>
        <v>Mt kenya milk 500ml</v>
      </c>
      <c r="D7842">
        <v>1</v>
      </c>
      <c r="E7842" s="5">
        <f>Table4[[#This Row],[qty]]*(VLOOKUP(Table4[[#This Row],[item_sold]],Table1[],5,FALSE))</f>
        <v>65</v>
      </c>
      <c r="F7842" s="5">
        <f>(VLOOKUP(Table4[[#This Row],[item_sold]],Table1[],4,FALSE))*Table4[[#This Row],[qty]]</f>
        <v>48.333333333333336</v>
      </c>
      <c r="G7842">
        <f t="shared" si="1472"/>
        <v>16.666666666666664</v>
      </c>
      <c r="H7842" t="s">
        <v>361</v>
      </c>
    </row>
    <row r="7843" spans="1:12" x14ac:dyDescent="0.25">
      <c r="A7843" s="1">
        <f t="shared" si="1469"/>
        <v>45606</v>
      </c>
      <c r="B7843" s="31">
        <f>TIME(19,49,0)</f>
        <v>0.8256944444444444</v>
      </c>
      <c r="C7843" t="str">
        <f>'Inventory as of 12th Aug 2024'!A92</f>
        <v>Banana</v>
      </c>
      <c r="D7843">
        <v>2</v>
      </c>
      <c r="E7843" s="5">
        <f>Table4[[#This Row],[qty]]*(VLOOKUP(Table4[[#This Row],[item_sold]],Table1[],5,FALSE))</f>
        <v>20</v>
      </c>
      <c r="F7843" s="5">
        <f>(VLOOKUP(Table4[[#This Row],[item_sold]],Table1[],4,FALSE))*Table4[[#This Row],[qty]]</f>
        <v>16.666666666666668</v>
      </c>
      <c r="G7843">
        <f t="shared" si="1472"/>
        <v>3.3333333333333321</v>
      </c>
      <c r="H7843" t="s">
        <v>361</v>
      </c>
      <c r="J7843" t="s">
        <v>391</v>
      </c>
      <c r="K7843">
        <v>45</v>
      </c>
      <c r="L7843" t="s">
        <v>361</v>
      </c>
    </row>
    <row r="7844" spans="1:12" x14ac:dyDescent="0.25">
      <c r="A7844" s="1">
        <f t="shared" si="1469"/>
        <v>45606</v>
      </c>
      <c r="B7844" s="31">
        <f>TIME(20,28,0)</f>
        <v>0.85277777777777775</v>
      </c>
      <c r="C7844" t="str">
        <f>'Inventory as of 12th Aug 2024'!A256</f>
        <v>Family bisquit</v>
      </c>
      <c r="D7844">
        <v>1</v>
      </c>
      <c r="E7844" s="5">
        <f>Table4[[#This Row],[qty]]*(VLOOKUP(Table4[[#This Row],[item_sold]],Table1[],5,FALSE))</f>
        <v>35</v>
      </c>
      <c r="F7844" s="5">
        <f>(VLOOKUP(Table4[[#This Row],[item_sold]],Table1[],4,FALSE))*Table4[[#This Row],[qty]]</f>
        <v>23.333333333333332</v>
      </c>
      <c r="G7844">
        <f t="shared" si="1472"/>
        <v>11.666666666666668</v>
      </c>
      <c r="H7844" t="s">
        <v>361</v>
      </c>
    </row>
    <row r="7845" spans="1:12" x14ac:dyDescent="0.25">
      <c r="A7845" s="1">
        <f t="shared" si="1469"/>
        <v>45606</v>
      </c>
      <c r="B7845" s="31">
        <f>TIME(20,28,0)</f>
        <v>0.85277777777777775</v>
      </c>
      <c r="C7845" t="str">
        <f>'Inventory as of 12th Aug 2024'!A187</f>
        <v>Njugu</v>
      </c>
      <c r="D7845">
        <v>1</v>
      </c>
      <c r="E7845" s="5">
        <f>Table4[[#This Row],[qty]]*(VLOOKUP(Table4[[#This Row],[item_sold]],Table1[],5,FALSE))</f>
        <v>20</v>
      </c>
      <c r="F7845" s="5">
        <f>(VLOOKUP(Table4[[#This Row],[item_sold]],Table1[],4,FALSE))*Table4[[#This Row],[qty]]</f>
        <v>10.666666666666666</v>
      </c>
      <c r="G7845">
        <f t="shared" si="1472"/>
        <v>9.3333333333333339</v>
      </c>
      <c r="H7845" t="s">
        <v>361</v>
      </c>
    </row>
    <row r="7846" spans="1:12" x14ac:dyDescent="0.25">
      <c r="A7846" s="1">
        <f>DATE(2024,11,11)</f>
        <v>45607</v>
      </c>
      <c r="B7846" s="31">
        <f>TIME(6,49,0)</f>
        <v>0.28402777777777777</v>
      </c>
      <c r="C7846" t="str">
        <f>'Inventory as of 12th Aug 2024'!A16</f>
        <v>Mt kenya milk 500ml</v>
      </c>
      <c r="D7846">
        <v>1</v>
      </c>
      <c r="E7846" s="5">
        <f>Table4[[#This Row],[qty]]*(VLOOKUP(Table4[[#This Row],[item_sold]],Table1[],5,FALSE))</f>
        <v>65</v>
      </c>
      <c r="F7846" s="5">
        <f>(VLOOKUP(Table4[[#This Row],[item_sold]],Table1[],4,FALSE))*Table4[[#This Row],[qty]]</f>
        <v>48.333333333333336</v>
      </c>
      <c r="G7846">
        <f t="shared" si="1472"/>
        <v>16.666666666666664</v>
      </c>
      <c r="H7846" t="s">
        <v>430</v>
      </c>
      <c r="I7846" t="s">
        <v>456</v>
      </c>
    </row>
    <row r="7847" spans="1:12" x14ac:dyDescent="0.25">
      <c r="A7847" s="1">
        <f t="shared" ref="A7847:A7910" si="1476">DATE(2024,11,11)</f>
        <v>45607</v>
      </c>
      <c r="B7847" s="31">
        <f>TIME(7,22,0)</f>
        <v>0.30694444444444441</v>
      </c>
      <c r="C7847" t="str">
        <f>'Inventory as of 12th Aug 2024'!A107</f>
        <v>Match Box</v>
      </c>
      <c r="D7847">
        <v>1</v>
      </c>
      <c r="E7847" s="5">
        <f>Table4[[#This Row],[qty]]*(VLOOKUP(Table4[[#This Row],[item_sold]],Table1[],5,FALSE))</f>
        <v>5</v>
      </c>
      <c r="F7847" s="5">
        <f>(VLOOKUP(Table4[[#This Row],[item_sold]],Table1[],4,FALSE))*Table4[[#This Row],[qty]]</f>
        <v>2.3611111111111112</v>
      </c>
      <c r="G7847">
        <f t="shared" si="1472"/>
        <v>2.6388888888888888</v>
      </c>
      <c r="H7847" t="s">
        <v>402</v>
      </c>
    </row>
    <row r="7848" spans="1:12" x14ac:dyDescent="0.25">
      <c r="A7848" s="1">
        <f t="shared" si="1476"/>
        <v>45607</v>
      </c>
      <c r="B7848" s="31">
        <f t="shared" ref="B7848" si="1477">TIME(7,22,0)</f>
        <v>0.30694444444444441</v>
      </c>
      <c r="C7848" t="str">
        <f>'Inventory as of 12th Aug 2024'!A8</f>
        <v>eggs</v>
      </c>
      <c r="D7848">
        <v>3</v>
      </c>
      <c r="E7848" s="5">
        <f>Table4[[#This Row],[qty]]*(VLOOKUP(Table4[[#This Row],[item_sold]],Table1[],5,FALSE))</f>
        <v>60</v>
      </c>
      <c r="F7848" s="5">
        <f>(VLOOKUP(Table4[[#This Row],[item_sold]],Table1[],4,FALSE))*Table4[[#This Row],[qty]]</f>
        <v>43</v>
      </c>
      <c r="G7848">
        <f t="shared" si="1472"/>
        <v>17</v>
      </c>
      <c r="H7848" t="s">
        <v>430</v>
      </c>
      <c r="I7848" t="s">
        <v>390</v>
      </c>
    </row>
    <row r="7849" spans="1:12" x14ac:dyDescent="0.25">
      <c r="A7849" s="1">
        <f t="shared" si="1476"/>
        <v>45607</v>
      </c>
      <c r="B7849" s="31">
        <f>TIME(9,42,0)</f>
        <v>0.40416666666666662</v>
      </c>
      <c r="C7849" t="str">
        <f>'Inventory as of 12th Aug 2024'!A16</f>
        <v>Mt kenya milk 500ml</v>
      </c>
      <c r="D7849">
        <v>1</v>
      </c>
      <c r="E7849" s="5">
        <f>Table4[[#This Row],[qty]]*(VLOOKUP(Table4[[#This Row],[item_sold]],Table1[],5,FALSE))</f>
        <v>65</v>
      </c>
      <c r="F7849" s="5">
        <f>(VLOOKUP(Table4[[#This Row],[item_sold]],Table1[],4,FALSE))*Table4[[#This Row],[qty]]</f>
        <v>48.333333333333336</v>
      </c>
      <c r="G7849">
        <f t="shared" si="1472"/>
        <v>16.666666666666664</v>
      </c>
      <c r="H7849" t="s">
        <v>430</v>
      </c>
      <c r="I7849" t="s">
        <v>390</v>
      </c>
    </row>
    <row r="7850" spans="1:12" x14ac:dyDescent="0.25">
      <c r="A7850" s="1">
        <f t="shared" si="1476"/>
        <v>45607</v>
      </c>
      <c r="B7850" s="31">
        <f t="shared" ref="B7850" si="1478">TIME(9,42,0)</f>
        <v>0.40416666666666662</v>
      </c>
      <c r="C7850" t="str">
        <f>'Inventory as of 12th Aug 2024'!A212</f>
        <v>soda 300ml glass</v>
      </c>
      <c r="D7850">
        <v>2</v>
      </c>
      <c r="E7850" s="5">
        <f>Table4[[#This Row],[qty]]*(VLOOKUP(Table4[[#This Row],[item_sold]],Table1[],5,FALSE))</f>
        <v>80</v>
      </c>
      <c r="F7850" s="5">
        <f>(VLOOKUP(Table4[[#This Row],[item_sold]],Table1[],4,FALSE))*Table4[[#This Row],[qty]]</f>
        <v>65</v>
      </c>
      <c r="G7850">
        <f t="shared" si="1472"/>
        <v>15</v>
      </c>
      <c r="H7850" t="s">
        <v>402</v>
      </c>
    </row>
    <row r="7851" spans="1:12" x14ac:dyDescent="0.25">
      <c r="A7851" s="1">
        <f t="shared" si="1476"/>
        <v>45607</v>
      </c>
      <c r="B7851" s="31">
        <f>TIME(11,24,0)</f>
        <v>0.47500000000000003</v>
      </c>
      <c r="C7851" t="str">
        <f>'Inventory as of 12th Aug 2024'!A258</f>
        <v>Sunlight 25g</v>
      </c>
      <c r="D7851">
        <v>1</v>
      </c>
      <c r="E7851" s="5">
        <f>Table4[[#This Row],[qty]]*(VLOOKUP(Table4[[#This Row],[item_sold]],Table1[],5,FALSE))</f>
        <v>15</v>
      </c>
      <c r="F7851" s="5">
        <f>(VLOOKUP(Table4[[#This Row],[item_sold]],Table1[],4,FALSE))*Table4[[#This Row],[qty]]</f>
        <v>8.3333333333333339</v>
      </c>
      <c r="G7851">
        <f t="shared" si="1472"/>
        <v>6.6666666666666661</v>
      </c>
      <c r="H7851" t="s">
        <v>361</v>
      </c>
    </row>
    <row r="7852" spans="1:12" x14ac:dyDescent="0.25">
      <c r="A7852" s="1">
        <f t="shared" si="1476"/>
        <v>45607</v>
      </c>
      <c r="B7852" s="31">
        <f t="shared" ref="B7852:B7854" si="1479">TIME(11,24,0)</f>
        <v>0.47500000000000003</v>
      </c>
      <c r="C7852" t="str">
        <f>'Inventory as of 12th Aug 2024'!A84</f>
        <v>omo 20g</v>
      </c>
      <c r="D7852">
        <v>1</v>
      </c>
      <c r="E7852" s="5">
        <f>Table4[[#This Row],[qty]]*(VLOOKUP(Table4[[#This Row],[item_sold]],Table1[],5,FALSE))</f>
        <v>15</v>
      </c>
      <c r="F7852" s="5">
        <f>(VLOOKUP(Table4[[#This Row],[item_sold]],Table1[],4,FALSE))*Table4[[#This Row],[qty]]</f>
        <v>9.1666666666666661</v>
      </c>
      <c r="G7852">
        <f t="shared" si="1472"/>
        <v>5.8333333333333339</v>
      </c>
      <c r="H7852" t="s">
        <v>361</v>
      </c>
    </row>
    <row r="7853" spans="1:12" x14ac:dyDescent="0.25">
      <c r="A7853" s="1">
        <f t="shared" si="1476"/>
        <v>45607</v>
      </c>
      <c r="B7853" s="31">
        <f t="shared" si="1479"/>
        <v>0.47500000000000003</v>
      </c>
      <c r="C7853" t="str">
        <f>'Inventory as of 12th Aug 2024'!A33</f>
        <v>BB Bread 400g</v>
      </c>
      <c r="D7853">
        <v>2</v>
      </c>
      <c r="E7853" s="5">
        <f>Table4[[#This Row],[qty]]*(VLOOKUP(Table4[[#This Row],[item_sold]],Table1[],5,FALSE))</f>
        <v>130</v>
      </c>
      <c r="F7853" s="5">
        <f>(VLOOKUP(Table4[[#This Row],[item_sold]],Table1[],4,FALSE))*Table4[[#This Row],[qty]]</f>
        <v>120</v>
      </c>
      <c r="G7853">
        <f t="shared" si="1472"/>
        <v>10</v>
      </c>
      <c r="H7853" t="s">
        <v>402</v>
      </c>
    </row>
    <row r="7854" spans="1:12" x14ac:dyDescent="0.25">
      <c r="A7854" s="1">
        <f t="shared" si="1476"/>
        <v>45607</v>
      </c>
      <c r="B7854" s="31">
        <f t="shared" si="1479"/>
        <v>0.47500000000000003</v>
      </c>
      <c r="C7854" t="str">
        <f>'Inventory as of 12th Aug 2024'!A71</f>
        <v>Sugar 1/4 kg</v>
      </c>
      <c r="D7854">
        <v>2</v>
      </c>
      <c r="E7854" s="5">
        <f>Table4[[#This Row],[qty]]*(VLOOKUP(Table4[[#This Row],[item_sold]],Table1[],5,FALSE))</f>
        <v>90</v>
      </c>
      <c r="F7854" s="5">
        <f>(VLOOKUP(Table4[[#This Row],[item_sold]],Table1[],4,FALSE))*Table4[[#This Row],[qty]]</f>
        <v>60</v>
      </c>
      <c r="G7854">
        <f t="shared" si="1472"/>
        <v>30</v>
      </c>
      <c r="H7854" t="s">
        <v>402</v>
      </c>
    </row>
    <row r="7855" spans="1:12" x14ac:dyDescent="0.25">
      <c r="A7855" s="1">
        <f t="shared" si="1476"/>
        <v>45607</v>
      </c>
      <c r="B7855" s="31">
        <f>TIME(11,50,0)</f>
        <v>0.49305555555555558</v>
      </c>
      <c r="C7855" t="str">
        <f>'Inventory as of 12th Aug 2024'!A179</f>
        <v>Bitez</v>
      </c>
      <c r="D7855">
        <v>3</v>
      </c>
      <c r="E7855" s="5">
        <f>Table4[[#This Row],[qty]]*(VLOOKUP(Table4[[#This Row],[item_sold]],Table1[],5,FALSE))</f>
        <v>45</v>
      </c>
      <c r="F7855" s="5">
        <f>(VLOOKUP(Table4[[#This Row],[item_sold]],Table1[],4,FALSE))*Table4[[#This Row],[qty]]</f>
        <v>26.400000000000002</v>
      </c>
      <c r="G7855">
        <f t="shared" si="1472"/>
        <v>18.599999999999998</v>
      </c>
      <c r="H7855" t="s">
        <v>402</v>
      </c>
    </row>
    <row r="7856" spans="1:12" x14ac:dyDescent="0.25">
      <c r="A7856" s="1">
        <f t="shared" si="1476"/>
        <v>45607</v>
      </c>
      <c r="B7856" s="31">
        <f t="shared" ref="B7856:B7858" si="1480">TIME(11,50,0)</f>
        <v>0.49305555555555558</v>
      </c>
      <c r="C7856" t="str">
        <f>'Inventory as of 12th Aug 2024'!A240</f>
        <v>Bigboss</v>
      </c>
      <c r="D7856">
        <v>1</v>
      </c>
      <c r="E7856" s="5">
        <f>Table4[[#This Row],[qty]]*(VLOOKUP(Table4[[#This Row],[item_sold]],Table1[],5,FALSE))</f>
        <v>5</v>
      </c>
      <c r="F7856" s="5">
        <f>(VLOOKUP(Table4[[#This Row],[item_sold]],Table1[],4,FALSE))*Table4[[#This Row],[qty]]</f>
        <v>3.5</v>
      </c>
      <c r="G7856">
        <f t="shared" si="1472"/>
        <v>1.5</v>
      </c>
      <c r="H7856" t="s">
        <v>402</v>
      </c>
    </row>
    <row r="7857" spans="1:8" x14ac:dyDescent="0.25">
      <c r="A7857" s="1">
        <f t="shared" si="1476"/>
        <v>45607</v>
      </c>
      <c r="B7857" s="31">
        <f t="shared" si="1480"/>
        <v>0.49305555555555558</v>
      </c>
      <c r="C7857" t="str">
        <f>'Inventory as of 12th Aug 2024'!A193</f>
        <v>Ginger Bisquit</v>
      </c>
      <c r="D7857">
        <v>6</v>
      </c>
      <c r="E7857" s="5">
        <f>Table4[[#This Row],[qty]]*(VLOOKUP(Table4[[#This Row],[item_sold]],Table1[],5,FALSE))</f>
        <v>30</v>
      </c>
      <c r="F7857" s="5">
        <f>(VLOOKUP(Table4[[#This Row],[item_sold]],Table1[],4,FALSE))*Table4[[#This Row],[qty]]</f>
        <v>26</v>
      </c>
      <c r="G7857">
        <f t="shared" si="1472"/>
        <v>4</v>
      </c>
      <c r="H7857" t="s">
        <v>402</v>
      </c>
    </row>
    <row r="7858" spans="1:8" x14ac:dyDescent="0.25">
      <c r="A7858" s="1">
        <f t="shared" si="1476"/>
        <v>45607</v>
      </c>
      <c r="B7858" s="31">
        <f t="shared" si="1480"/>
        <v>0.49305555555555558</v>
      </c>
      <c r="C7858" t="str">
        <f>'Inventory as of 12th Aug 2024'!A187</f>
        <v>Njugu</v>
      </c>
      <c r="D7858">
        <v>2</v>
      </c>
      <c r="E7858" s="5">
        <f>Table4[[#This Row],[qty]]*(VLOOKUP(Table4[[#This Row],[item_sold]],Table1[],5,FALSE))</f>
        <v>40</v>
      </c>
      <c r="F7858" s="5">
        <f>(VLOOKUP(Table4[[#This Row],[item_sold]],Table1[],4,FALSE))*Table4[[#This Row],[qty]]</f>
        <v>21.333333333333332</v>
      </c>
      <c r="G7858">
        <f t="shared" si="1472"/>
        <v>18.666666666666668</v>
      </c>
      <c r="H7858" t="s">
        <v>402</v>
      </c>
    </row>
    <row r="7859" spans="1:8" x14ac:dyDescent="0.25">
      <c r="A7859" s="1">
        <f t="shared" si="1476"/>
        <v>45607</v>
      </c>
      <c r="B7859" s="31">
        <f>TIME(12,52,0)</f>
        <v>0.53611111111111109</v>
      </c>
      <c r="C7859" t="str">
        <f>'Inventory as of 12th Aug 2024'!A7</f>
        <v>Airtel 50 Credit</v>
      </c>
      <c r="D7859">
        <v>2</v>
      </c>
      <c r="E7859" s="5">
        <f>Table4[[#This Row],[qty]]*(VLOOKUP(Table4[[#This Row],[item_sold]],Table1[],5,FALSE))</f>
        <v>100</v>
      </c>
      <c r="F7859" s="5">
        <f>(VLOOKUP(Table4[[#This Row],[item_sold]],Table1[],4,FALSE))*Table4[[#This Row],[qty]]</f>
        <v>94</v>
      </c>
      <c r="G7859">
        <f t="shared" si="1472"/>
        <v>6</v>
      </c>
      <c r="H7859" t="s">
        <v>361</v>
      </c>
    </row>
    <row r="7860" spans="1:8" x14ac:dyDescent="0.25">
      <c r="A7860" s="1">
        <f t="shared" si="1476"/>
        <v>45607</v>
      </c>
      <c r="B7860" s="31">
        <f t="shared" ref="B7860" si="1481">TIME(12,52,0)</f>
        <v>0.53611111111111109</v>
      </c>
      <c r="C7860" t="str">
        <f>'Inventory as of 12th Aug 2024'!A6</f>
        <v>Airtel 10 Credit</v>
      </c>
      <c r="D7860">
        <v>1</v>
      </c>
      <c r="E7860" s="5">
        <f>Table4[[#This Row],[qty]]*(VLOOKUP(Table4[[#This Row],[item_sold]],Table1[],5,FALSE))</f>
        <v>10</v>
      </c>
      <c r="F7860" s="5">
        <f>(VLOOKUP(Table4[[#This Row],[item_sold]],Table1[],4,FALSE))*Table4[[#This Row],[qty]]</f>
        <v>9</v>
      </c>
      <c r="G7860">
        <f t="shared" si="1472"/>
        <v>1</v>
      </c>
      <c r="H7860" t="s">
        <v>402</v>
      </c>
    </row>
    <row r="7861" spans="1:8" x14ac:dyDescent="0.25">
      <c r="A7861" s="1">
        <f t="shared" si="1476"/>
        <v>45607</v>
      </c>
      <c r="B7861" s="31">
        <f>TIME(13,15,0)</f>
        <v>0.55208333333333337</v>
      </c>
      <c r="C7861" t="str">
        <f>'Inventory as of 12th Aug 2024'!A57</f>
        <v>Sportsman</v>
      </c>
      <c r="D7861">
        <v>1</v>
      </c>
      <c r="E7861" s="5">
        <f>Table4[[#This Row],[qty]]*(VLOOKUP(Table4[[#This Row],[item_sold]],Table1[],5,FALSE))</f>
        <v>20</v>
      </c>
      <c r="F7861" s="5">
        <f>(VLOOKUP(Table4[[#This Row],[item_sold]],Table1[],4,FALSE))*Table4[[#This Row],[qty]]</f>
        <v>13</v>
      </c>
      <c r="G7861">
        <f t="shared" si="1472"/>
        <v>7</v>
      </c>
      <c r="H7861" t="s">
        <v>402</v>
      </c>
    </row>
    <row r="7862" spans="1:8" x14ac:dyDescent="0.25">
      <c r="A7862" s="1">
        <f t="shared" si="1476"/>
        <v>45607</v>
      </c>
      <c r="B7862" s="31">
        <f t="shared" ref="B7862:B7867" si="1482">TIME(13,15,0)</f>
        <v>0.55208333333333337</v>
      </c>
      <c r="C7862" t="str">
        <f>'Inventory as of 12th Aug 2024'!A92</f>
        <v>Banana</v>
      </c>
      <c r="D7862">
        <v>1</v>
      </c>
      <c r="E7862" s="5">
        <f>Table4[[#This Row],[qty]]*(VLOOKUP(Table4[[#This Row],[item_sold]],Table1[],5,FALSE))</f>
        <v>10</v>
      </c>
      <c r="F7862" s="5">
        <f>(VLOOKUP(Table4[[#This Row],[item_sold]],Table1[],4,FALSE))*Table4[[#This Row],[qty]]</f>
        <v>8.3333333333333339</v>
      </c>
      <c r="G7862">
        <f t="shared" si="1472"/>
        <v>1.6666666666666661</v>
      </c>
      <c r="H7862" t="s">
        <v>402</v>
      </c>
    </row>
    <row r="7863" spans="1:8" x14ac:dyDescent="0.25">
      <c r="A7863" s="1">
        <f t="shared" si="1476"/>
        <v>45607</v>
      </c>
      <c r="B7863" s="31">
        <f t="shared" si="1482"/>
        <v>0.55208333333333337</v>
      </c>
      <c r="C7863" t="str">
        <f>'Inventory as of 12th Aug 2024'!A10</f>
        <v>Mt Kenya milk 200ml</v>
      </c>
      <c r="D7863">
        <v>1</v>
      </c>
      <c r="E7863" s="5">
        <f>Table4[[#This Row],[qty]]*(VLOOKUP(Table4[[#This Row],[item_sold]],Table1[],5,FALSE))</f>
        <v>35</v>
      </c>
      <c r="F7863" s="5">
        <f>(VLOOKUP(Table4[[#This Row],[item_sold]],Table1[],4,FALSE))*Table4[[#This Row],[qty]]</f>
        <v>24.285714285714285</v>
      </c>
      <c r="G7863">
        <f t="shared" si="1472"/>
        <v>10.714285714285715</v>
      </c>
      <c r="H7863" t="s">
        <v>402</v>
      </c>
    </row>
    <row r="7864" spans="1:8" x14ac:dyDescent="0.25">
      <c r="A7864" s="1">
        <f t="shared" si="1476"/>
        <v>45607</v>
      </c>
      <c r="B7864" s="31">
        <f t="shared" si="1482"/>
        <v>0.55208333333333337</v>
      </c>
      <c r="C7864" t="str">
        <f>'Inventory as of 12th Aug 2024'!A232</f>
        <v>coo</v>
      </c>
      <c r="D7864">
        <v>2</v>
      </c>
      <c r="E7864" s="5">
        <f>Table4[[#This Row],[qty]]*(VLOOKUP(Table4[[#This Row],[item_sold]],Table1[],5,FALSE))</f>
        <v>5</v>
      </c>
      <c r="F7864" s="5">
        <f>(VLOOKUP(Table4[[#This Row],[item_sold]],Table1[],4,FALSE))*Table4[[#This Row],[qty]]</f>
        <v>2.4</v>
      </c>
      <c r="G7864">
        <f t="shared" si="1472"/>
        <v>2.6</v>
      </c>
      <c r="H7864" t="s">
        <v>402</v>
      </c>
    </row>
    <row r="7865" spans="1:8" x14ac:dyDescent="0.25">
      <c r="A7865" s="1">
        <f t="shared" si="1476"/>
        <v>45607</v>
      </c>
      <c r="B7865" s="31">
        <f t="shared" si="1482"/>
        <v>0.55208333333333337</v>
      </c>
      <c r="C7865" t="str">
        <f>'Inventory as of 12th Aug 2024'!A10</f>
        <v>Mt Kenya milk 200ml</v>
      </c>
      <c r="D7865">
        <v>2</v>
      </c>
      <c r="E7865" s="5">
        <f>Table4[[#This Row],[qty]]*(VLOOKUP(Table4[[#This Row],[item_sold]],Table1[],5,FALSE))</f>
        <v>70</v>
      </c>
      <c r="F7865" s="5">
        <f>(VLOOKUP(Table4[[#This Row],[item_sold]],Table1[],4,FALSE))*Table4[[#This Row],[qty]]</f>
        <v>48.571428571428569</v>
      </c>
      <c r="G7865">
        <f t="shared" si="1472"/>
        <v>21.428571428571431</v>
      </c>
      <c r="H7865" t="s">
        <v>402</v>
      </c>
    </row>
    <row r="7866" spans="1:8" x14ac:dyDescent="0.25">
      <c r="A7866" s="1">
        <f t="shared" si="1476"/>
        <v>45607</v>
      </c>
      <c r="B7866" s="31">
        <f t="shared" si="1482"/>
        <v>0.55208333333333337</v>
      </c>
      <c r="C7866" t="str">
        <f>'Inventory as of 12th Aug 2024'!A33</f>
        <v>BB Bread 400g</v>
      </c>
      <c r="D7866">
        <v>1</v>
      </c>
      <c r="E7866" s="5">
        <f>Table4[[#This Row],[qty]]*(VLOOKUP(Table4[[#This Row],[item_sold]],Table1[],5,FALSE))</f>
        <v>65</v>
      </c>
      <c r="F7866" s="5">
        <f>(VLOOKUP(Table4[[#This Row],[item_sold]],Table1[],4,FALSE))*Table4[[#This Row],[qty]]</f>
        <v>60</v>
      </c>
      <c r="G7866">
        <f t="shared" si="1472"/>
        <v>5</v>
      </c>
      <c r="H7866" t="s">
        <v>402</v>
      </c>
    </row>
    <row r="7867" spans="1:8" x14ac:dyDescent="0.25">
      <c r="A7867" s="1">
        <f t="shared" si="1476"/>
        <v>45607</v>
      </c>
      <c r="B7867" s="31">
        <f t="shared" si="1482"/>
        <v>0.55208333333333337</v>
      </c>
      <c r="C7867" t="str">
        <f>'Inventory as of 12th Aug 2024'!A236</f>
        <v>Gomba</v>
      </c>
      <c r="D7867">
        <v>2</v>
      </c>
      <c r="E7867" s="5">
        <f>Table4[[#This Row],[qty]]*(VLOOKUP(Table4[[#This Row],[item_sold]],Table1[],5,FALSE))</f>
        <v>5</v>
      </c>
      <c r="F7867" s="5">
        <f>(VLOOKUP(Table4[[#This Row],[item_sold]],Table1[],4,FALSE))*Table4[[#This Row],[qty]]</f>
        <v>3.6</v>
      </c>
      <c r="G7867">
        <f t="shared" si="1472"/>
        <v>1.4</v>
      </c>
      <c r="H7867" t="s">
        <v>402</v>
      </c>
    </row>
    <row r="7868" spans="1:8" x14ac:dyDescent="0.25">
      <c r="A7868" s="1">
        <f t="shared" si="1476"/>
        <v>45607</v>
      </c>
      <c r="B7868" s="31">
        <f>TIME(13,22,0)</f>
        <v>0.55694444444444446</v>
      </c>
      <c r="C7868" t="str">
        <f>'Inventory as of 12th Aug 2024'!A33</f>
        <v>BB Bread 400g</v>
      </c>
      <c r="D7868">
        <v>1</v>
      </c>
      <c r="E7868" s="5">
        <f>Table4[[#This Row],[qty]]*(VLOOKUP(Table4[[#This Row],[item_sold]],Table1[],5,FALSE))</f>
        <v>65</v>
      </c>
      <c r="F7868" s="5">
        <f>(VLOOKUP(Table4[[#This Row],[item_sold]],Table1[],4,FALSE))*Table4[[#This Row],[qty]]</f>
        <v>60</v>
      </c>
      <c r="G7868">
        <f t="shared" si="1472"/>
        <v>5</v>
      </c>
      <c r="H7868" t="s">
        <v>361</v>
      </c>
    </row>
    <row r="7869" spans="1:8" x14ac:dyDescent="0.25">
      <c r="A7869" s="1">
        <f t="shared" si="1476"/>
        <v>45607</v>
      </c>
      <c r="B7869" s="31">
        <f t="shared" ref="B7869:B7875" si="1483">TIME(13,22,0)</f>
        <v>0.55694444444444446</v>
      </c>
      <c r="C7869" t="str">
        <f>'Inventory as of 12th Aug 2024'!A7</f>
        <v>Airtel 50 Credit</v>
      </c>
      <c r="D7869">
        <v>1</v>
      </c>
      <c r="E7869" s="5">
        <f>Table4[[#This Row],[qty]]*(VLOOKUP(Table4[[#This Row],[item_sold]],Table1[],5,FALSE))</f>
        <v>50</v>
      </c>
      <c r="F7869" s="5">
        <f>(VLOOKUP(Table4[[#This Row],[item_sold]],Table1[],4,FALSE))*Table4[[#This Row],[qty]]</f>
        <v>47</v>
      </c>
      <c r="G7869">
        <f t="shared" si="1472"/>
        <v>3</v>
      </c>
      <c r="H7869" t="s">
        <v>402</v>
      </c>
    </row>
    <row r="7870" spans="1:8" x14ac:dyDescent="0.25">
      <c r="A7870" s="1">
        <f t="shared" si="1476"/>
        <v>45607</v>
      </c>
      <c r="B7870" s="31">
        <f t="shared" si="1483"/>
        <v>0.55694444444444446</v>
      </c>
      <c r="C7870" t="str">
        <f>'Inventory as of 12th Aug 2024'!A16</f>
        <v>Mt kenya milk 500ml</v>
      </c>
      <c r="D7870">
        <v>1</v>
      </c>
      <c r="E7870" s="5">
        <f>Table4[[#This Row],[qty]]*(VLOOKUP(Table4[[#This Row],[item_sold]],Table1[],5,FALSE))</f>
        <v>65</v>
      </c>
      <c r="F7870" s="5">
        <f>(VLOOKUP(Table4[[#This Row],[item_sold]],Table1[],4,FALSE))*Table4[[#This Row],[qty]]</f>
        <v>48.333333333333336</v>
      </c>
      <c r="G7870">
        <f t="shared" si="1472"/>
        <v>16.666666666666664</v>
      </c>
      <c r="H7870" t="s">
        <v>402</v>
      </c>
    </row>
    <row r="7871" spans="1:8" x14ac:dyDescent="0.25">
      <c r="A7871" s="1">
        <f t="shared" si="1476"/>
        <v>45607</v>
      </c>
      <c r="B7871" s="31">
        <f t="shared" si="1483"/>
        <v>0.55694444444444446</v>
      </c>
      <c r="C7871" t="str">
        <f>'Inventory as of 12th Aug 2024'!A7</f>
        <v>Airtel 50 Credit</v>
      </c>
      <c r="D7871">
        <v>1</v>
      </c>
      <c r="E7871" s="5">
        <f>Table4[[#This Row],[qty]]*(VLOOKUP(Table4[[#This Row],[item_sold]],Table1[],5,FALSE))</f>
        <v>50</v>
      </c>
      <c r="F7871" s="5">
        <f>(VLOOKUP(Table4[[#This Row],[item_sold]],Table1[],4,FALSE))*Table4[[#This Row],[qty]]</f>
        <v>47</v>
      </c>
      <c r="G7871">
        <f t="shared" si="1472"/>
        <v>3</v>
      </c>
      <c r="H7871" t="s">
        <v>402</v>
      </c>
    </row>
    <row r="7872" spans="1:8" x14ac:dyDescent="0.25">
      <c r="A7872" s="1">
        <f t="shared" si="1476"/>
        <v>45607</v>
      </c>
      <c r="B7872" s="31">
        <f t="shared" si="1483"/>
        <v>0.55694444444444446</v>
      </c>
      <c r="C7872" t="str">
        <f>'Inventory as of 12th Aug 2024'!A10</f>
        <v>Mt Kenya milk 200ml</v>
      </c>
      <c r="D7872">
        <v>2</v>
      </c>
      <c r="E7872" s="5">
        <f>Table4[[#This Row],[qty]]*(VLOOKUP(Table4[[#This Row],[item_sold]],Table1[],5,FALSE))</f>
        <v>70</v>
      </c>
      <c r="F7872" s="5">
        <f>(VLOOKUP(Table4[[#This Row],[item_sold]],Table1[],4,FALSE))*Table4[[#This Row],[qty]]</f>
        <v>48.571428571428569</v>
      </c>
      <c r="G7872">
        <f t="shared" si="1472"/>
        <v>21.428571428571431</v>
      </c>
      <c r="H7872" t="s">
        <v>402</v>
      </c>
    </row>
    <row r="7873" spans="1:12" x14ac:dyDescent="0.25">
      <c r="A7873" s="1">
        <f t="shared" si="1476"/>
        <v>45607</v>
      </c>
      <c r="B7873" s="31">
        <f t="shared" si="1483"/>
        <v>0.55694444444444446</v>
      </c>
      <c r="C7873" t="str">
        <f>'Inventory as of 12th Aug 2024'!A37</f>
        <v>Festive Bread 400g</v>
      </c>
      <c r="D7873">
        <v>1</v>
      </c>
      <c r="E7873" s="5">
        <f>Table4[[#This Row],[qty]]*(VLOOKUP(Table4[[#This Row],[item_sold]],Table1[],5,FALSE))</f>
        <v>65</v>
      </c>
      <c r="F7873" s="5">
        <f>(VLOOKUP(Table4[[#This Row],[item_sold]],Table1[],4,FALSE))*Table4[[#This Row],[qty]]</f>
        <v>60</v>
      </c>
      <c r="G7873">
        <f t="shared" si="1472"/>
        <v>5</v>
      </c>
      <c r="H7873" t="s">
        <v>402</v>
      </c>
    </row>
    <row r="7874" spans="1:12" x14ac:dyDescent="0.25">
      <c r="A7874" s="1">
        <f t="shared" si="1476"/>
        <v>45607</v>
      </c>
      <c r="B7874" s="31">
        <f t="shared" si="1483"/>
        <v>0.55694444444444446</v>
      </c>
      <c r="C7874" t="str">
        <f>'Inventory as of 12th Aug 2024'!A58</f>
        <v>Safari</v>
      </c>
      <c r="D7874">
        <v>3</v>
      </c>
      <c r="E7874" s="5">
        <f>Table4[[#This Row],[qty]]*(VLOOKUP(Table4[[#This Row],[item_sold]],Table1[],5,FALSE))</f>
        <v>45</v>
      </c>
      <c r="F7874" s="5">
        <f>(VLOOKUP(Table4[[#This Row],[item_sold]],Table1[],4,FALSE))*Table4[[#This Row],[qty]]</f>
        <v>25.5</v>
      </c>
      <c r="G7874">
        <f t="shared" si="1472"/>
        <v>19.5</v>
      </c>
      <c r="H7874" t="s">
        <v>402</v>
      </c>
    </row>
    <row r="7875" spans="1:12" x14ac:dyDescent="0.25">
      <c r="A7875" s="1">
        <f t="shared" si="1476"/>
        <v>45607</v>
      </c>
      <c r="B7875" s="31">
        <f t="shared" si="1483"/>
        <v>0.55694444444444446</v>
      </c>
      <c r="C7875" t="str">
        <f>'Inventory as of 12th Aug 2024'!A51</f>
        <v>Sindano rice</v>
      </c>
      <c r="D7875">
        <v>0.5</v>
      </c>
      <c r="E7875" s="5">
        <f>Table4[[#This Row],[qty]]*(VLOOKUP(Table4[[#This Row],[item_sold]],Table1[],5,FALSE))</f>
        <v>75</v>
      </c>
      <c r="F7875" s="5">
        <f>(VLOOKUP(Table4[[#This Row],[item_sold]],Table1[],4,FALSE))*Table4[[#This Row],[qty]]</f>
        <v>60</v>
      </c>
      <c r="G7875">
        <f t="shared" si="1472"/>
        <v>15</v>
      </c>
      <c r="H7875" t="s">
        <v>402</v>
      </c>
    </row>
    <row r="7876" spans="1:12" x14ac:dyDescent="0.25">
      <c r="A7876" s="1">
        <f t="shared" si="1476"/>
        <v>45607</v>
      </c>
      <c r="B7876" s="31">
        <f>TIME(14,19,0)</f>
        <v>0.59652777777777777</v>
      </c>
      <c r="C7876" t="str">
        <f>'Inventory as of 12th Aug 2024'!A271</f>
        <v>Star Cream Bisquit</v>
      </c>
      <c r="D7876">
        <v>4</v>
      </c>
      <c r="E7876" s="5">
        <f>Table4[[#This Row],[qty]]*(VLOOKUP(Table4[[#This Row],[item_sold]],Table1[],5,FALSE))</f>
        <v>20</v>
      </c>
      <c r="F7876" s="5">
        <f>(VLOOKUP(Table4[[#This Row],[item_sold]],Table1[],4,FALSE))*Table4[[#This Row],[qty]]</f>
        <v>16.933333333333334</v>
      </c>
      <c r="G7876">
        <f t="shared" si="1472"/>
        <v>3.0666666666666664</v>
      </c>
      <c r="H7876" t="s">
        <v>402</v>
      </c>
    </row>
    <row r="7877" spans="1:12" x14ac:dyDescent="0.25">
      <c r="A7877" s="1">
        <f t="shared" si="1476"/>
        <v>45607</v>
      </c>
      <c r="B7877" s="31">
        <f>TIME(14,31,0)</f>
        <v>0.60486111111111118</v>
      </c>
      <c r="C7877" t="str">
        <f>'Inventory as of 12th Aug 2024'!A234</f>
        <v>Bigdaddy</v>
      </c>
      <c r="D7877">
        <v>5</v>
      </c>
      <c r="E7877" s="5">
        <f>Table4[[#This Row],[qty]]*(VLOOKUP(Table4[[#This Row],[item_sold]],Table1[],5,FALSE))</f>
        <v>50</v>
      </c>
      <c r="F7877" s="5">
        <f>(VLOOKUP(Table4[[#This Row],[item_sold]],Table1[],4,FALSE))*Table4[[#This Row],[qty]]</f>
        <v>30</v>
      </c>
      <c r="G7877">
        <f t="shared" si="1472"/>
        <v>20</v>
      </c>
      <c r="H7877" t="s">
        <v>402</v>
      </c>
    </row>
    <row r="7878" spans="1:12" x14ac:dyDescent="0.25">
      <c r="A7878" s="1">
        <f t="shared" si="1476"/>
        <v>45607</v>
      </c>
      <c r="B7878" s="31">
        <f>TIME(15,11,0)</f>
        <v>0.63263888888888886</v>
      </c>
      <c r="C7878" t="str">
        <f>'Inventory as of 12th Aug 2024'!A8</f>
        <v>eggs</v>
      </c>
      <c r="D7878">
        <v>3</v>
      </c>
      <c r="E7878" s="5">
        <f>Table4[[#This Row],[qty]]*(VLOOKUP(Table4[[#This Row],[item_sold]],Table1[],5,FALSE))</f>
        <v>60</v>
      </c>
      <c r="F7878" s="5">
        <f>(VLOOKUP(Table4[[#This Row],[item_sold]],Table1[],4,FALSE))*Table4[[#This Row],[qty]]</f>
        <v>43</v>
      </c>
      <c r="G7878">
        <f t="shared" si="1472"/>
        <v>17</v>
      </c>
      <c r="H7878" t="s">
        <v>430</v>
      </c>
      <c r="I7878" t="s">
        <v>588</v>
      </c>
      <c r="J7878" t="s">
        <v>588</v>
      </c>
      <c r="K7878">
        <v>100</v>
      </c>
      <c r="L7878" t="s">
        <v>247</v>
      </c>
    </row>
    <row r="7879" spans="1:12" x14ac:dyDescent="0.25">
      <c r="A7879" s="1">
        <f t="shared" si="1476"/>
        <v>45607</v>
      </c>
      <c r="B7879" s="31">
        <f t="shared" ref="B7879" si="1484">TIME(15,11,0)</f>
        <v>0.63263888888888886</v>
      </c>
      <c r="C7879" t="str">
        <f>'Inventory as of 12th Aug 2024'!A37</f>
        <v>Festive Bread 400g</v>
      </c>
      <c r="D7879">
        <v>1</v>
      </c>
      <c r="E7879" s="5">
        <f>Table4[[#This Row],[qty]]*(VLOOKUP(Table4[[#This Row],[item_sold]],Table1[],5,FALSE))</f>
        <v>65</v>
      </c>
      <c r="F7879" s="5">
        <f>(VLOOKUP(Table4[[#This Row],[item_sold]],Table1[],4,FALSE))*Table4[[#This Row],[qty]]</f>
        <v>60</v>
      </c>
      <c r="G7879">
        <f t="shared" si="1472"/>
        <v>5</v>
      </c>
      <c r="H7879" t="s">
        <v>402</v>
      </c>
      <c r="J7879" t="s">
        <v>615</v>
      </c>
      <c r="K7879">
        <v>240</v>
      </c>
      <c r="L7879" t="s">
        <v>361</v>
      </c>
    </row>
    <row r="7880" spans="1:12" x14ac:dyDescent="0.25">
      <c r="A7880" s="1">
        <f t="shared" si="1476"/>
        <v>45607</v>
      </c>
      <c r="B7880" s="31">
        <f>TIME(15,47,0)</f>
        <v>0.65763888888888888</v>
      </c>
      <c r="C7880" t="str">
        <f>'Inventory as of 12th Aug 2024'!A208</f>
        <v>minutemaid 400ml</v>
      </c>
      <c r="D7880">
        <v>1</v>
      </c>
      <c r="E7880" s="5">
        <f>Table4[[#This Row],[qty]]*(VLOOKUP(Table4[[#This Row],[item_sold]],Table1[],5,FALSE))</f>
        <v>85</v>
      </c>
      <c r="F7880" s="5">
        <f>(VLOOKUP(Table4[[#This Row],[item_sold]],Table1[],4,FALSE))*Table4[[#This Row],[qty]]</f>
        <v>62.5</v>
      </c>
      <c r="G7880">
        <f t="shared" si="1472"/>
        <v>22.5</v>
      </c>
      <c r="H7880" t="s">
        <v>402</v>
      </c>
    </row>
    <row r="7881" spans="1:12" x14ac:dyDescent="0.25">
      <c r="A7881" s="1">
        <f t="shared" si="1476"/>
        <v>45607</v>
      </c>
      <c r="B7881" s="31">
        <f t="shared" ref="B7881:B7882" si="1485">TIME(15,47,0)</f>
        <v>0.65763888888888888</v>
      </c>
      <c r="C7881" t="str">
        <f>'Inventory as of 12th Aug 2024'!A240</f>
        <v>Bigboss</v>
      </c>
      <c r="D7881">
        <v>3</v>
      </c>
      <c r="E7881" s="5">
        <f>Table4[[#This Row],[qty]]*(VLOOKUP(Table4[[#This Row],[item_sold]],Table1[],5,FALSE))</f>
        <v>15</v>
      </c>
      <c r="F7881" s="5">
        <f>(VLOOKUP(Table4[[#This Row],[item_sold]],Table1[],4,FALSE))*Table4[[#This Row],[qty]]</f>
        <v>10.5</v>
      </c>
      <c r="G7881">
        <f t="shared" si="1472"/>
        <v>4.5</v>
      </c>
      <c r="H7881" t="s">
        <v>402</v>
      </c>
    </row>
    <row r="7882" spans="1:12" x14ac:dyDescent="0.25">
      <c r="A7882" s="1">
        <f t="shared" si="1476"/>
        <v>45607</v>
      </c>
      <c r="B7882" s="31">
        <f t="shared" si="1485"/>
        <v>0.65763888888888888</v>
      </c>
      <c r="C7882" t="str">
        <f>'Inventory as of 12th Aug 2024'!A212</f>
        <v>soda 300ml glass</v>
      </c>
      <c r="D7882">
        <v>1</v>
      </c>
      <c r="E7882" s="5">
        <f>Table4[[#This Row],[qty]]*(VLOOKUP(Table4[[#This Row],[item_sold]],Table1[],5,FALSE))</f>
        <v>40</v>
      </c>
      <c r="F7882" s="5">
        <f>(VLOOKUP(Table4[[#This Row],[item_sold]],Table1[],4,FALSE))*Table4[[#This Row],[qty]]</f>
        <v>32.5</v>
      </c>
      <c r="G7882">
        <f t="shared" si="1472"/>
        <v>7.5</v>
      </c>
      <c r="H7882" t="s">
        <v>402</v>
      </c>
    </row>
    <row r="7883" spans="1:12" x14ac:dyDescent="0.25">
      <c r="A7883" s="1">
        <f t="shared" si="1476"/>
        <v>45607</v>
      </c>
      <c r="B7883" s="31">
        <f>TIME(16,21,0)</f>
        <v>0.68125000000000002</v>
      </c>
      <c r="C7883" t="str">
        <f>'Inventory as of 12th Aug 2024'!A42</f>
        <v>Indomie chicken</v>
      </c>
      <c r="D7883">
        <v>2</v>
      </c>
      <c r="E7883" s="5">
        <f>Table4[[#This Row],[qty]]*(VLOOKUP(Table4[[#This Row],[item_sold]],Table1[],5,FALSE))</f>
        <v>100</v>
      </c>
      <c r="F7883" s="5">
        <f>(VLOOKUP(Table4[[#This Row],[item_sold]],Table1[],4,FALSE))*Table4[[#This Row],[qty]]</f>
        <v>75</v>
      </c>
      <c r="G7883">
        <f t="shared" si="1472"/>
        <v>25</v>
      </c>
      <c r="H7883" t="s">
        <v>361</v>
      </c>
    </row>
    <row r="7884" spans="1:12" x14ac:dyDescent="0.25">
      <c r="A7884" s="1">
        <f t="shared" si="1476"/>
        <v>45607</v>
      </c>
      <c r="B7884" s="31">
        <f t="shared" ref="B7884:B7888" si="1486">TIME(16,21,0)</f>
        <v>0.68125000000000002</v>
      </c>
      <c r="C7884" t="str">
        <f>'Inventory as of 12th Aug 2024'!A199</f>
        <v>Kdf</v>
      </c>
      <c r="D7884">
        <v>5</v>
      </c>
      <c r="E7884" s="5">
        <f>Table4[[#This Row],[qty]]*(VLOOKUP(Table4[[#This Row],[item_sold]],Table1[],5,FALSE))</f>
        <v>50</v>
      </c>
      <c r="F7884" s="5">
        <f>(VLOOKUP(Table4[[#This Row],[item_sold]],Table1[],4,FALSE))*Table4[[#This Row],[qty]]</f>
        <v>41.666666666666671</v>
      </c>
      <c r="G7884">
        <f t="shared" si="1472"/>
        <v>8.3333333333333286</v>
      </c>
      <c r="H7884" t="s">
        <v>361</v>
      </c>
    </row>
    <row r="7885" spans="1:12" x14ac:dyDescent="0.25">
      <c r="A7885" s="1">
        <f t="shared" si="1476"/>
        <v>45607</v>
      </c>
      <c r="B7885" s="31">
        <f t="shared" si="1486"/>
        <v>0.68125000000000002</v>
      </c>
      <c r="C7885" t="str">
        <f>'Inventory as of 12th Aug 2024'!A8</f>
        <v>eggs</v>
      </c>
      <c r="D7885">
        <v>1</v>
      </c>
      <c r="E7885" s="5">
        <f>Table4[[#This Row],[qty]]*(VLOOKUP(Table4[[#This Row],[item_sold]],Table1[],5,FALSE))</f>
        <v>20</v>
      </c>
      <c r="F7885" s="5">
        <f>(VLOOKUP(Table4[[#This Row],[item_sold]],Table1[],4,FALSE))*Table4[[#This Row],[qty]]</f>
        <v>14.333333333333334</v>
      </c>
      <c r="G7885">
        <f t="shared" si="1472"/>
        <v>5.6666666666666661</v>
      </c>
      <c r="H7885" t="s">
        <v>361</v>
      </c>
    </row>
    <row r="7886" spans="1:12" x14ac:dyDescent="0.25">
      <c r="A7886" s="1">
        <f t="shared" si="1476"/>
        <v>45607</v>
      </c>
      <c r="B7886" s="31">
        <f t="shared" si="1486"/>
        <v>0.68125000000000002</v>
      </c>
      <c r="C7886" t="str">
        <f>'Inventory as of 12th Aug 2024'!A33</f>
        <v>BB Bread 400g</v>
      </c>
      <c r="D7886">
        <v>1</v>
      </c>
      <c r="E7886" s="5">
        <f>Table4[[#This Row],[qty]]*(VLOOKUP(Table4[[#This Row],[item_sold]],Table1[],5,FALSE))</f>
        <v>65</v>
      </c>
      <c r="F7886" s="5">
        <f>(VLOOKUP(Table4[[#This Row],[item_sold]],Table1[],4,FALSE))*Table4[[#This Row],[qty]]</f>
        <v>60</v>
      </c>
      <c r="G7886">
        <f t="shared" si="1472"/>
        <v>5</v>
      </c>
      <c r="H7886" t="s">
        <v>430</v>
      </c>
      <c r="I7886" t="s">
        <v>392</v>
      </c>
    </row>
    <row r="7887" spans="1:12" x14ac:dyDescent="0.25">
      <c r="A7887" s="1">
        <f t="shared" si="1476"/>
        <v>45607</v>
      </c>
      <c r="B7887" s="31">
        <f t="shared" si="1486"/>
        <v>0.68125000000000002</v>
      </c>
      <c r="C7887" t="str">
        <f>'Inventory as of 12th Aug 2024'!A211</f>
        <v>predator</v>
      </c>
      <c r="D7887">
        <v>1</v>
      </c>
      <c r="E7887" s="5">
        <f>Table4[[#This Row],[qty]]*(VLOOKUP(Table4[[#This Row],[item_sold]],Table1[],5,FALSE))</f>
        <v>70</v>
      </c>
      <c r="F7887" s="5">
        <f>(VLOOKUP(Table4[[#This Row],[item_sold]],Table1[],4,FALSE))*Table4[[#This Row],[qty]]</f>
        <v>54.166666666666664</v>
      </c>
      <c r="G7887">
        <f t="shared" si="1472"/>
        <v>15.833333333333336</v>
      </c>
      <c r="H7887" t="s">
        <v>402</v>
      </c>
    </row>
    <row r="7888" spans="1:12" x14ac:dyDescent="0.25">
      <c r="A7888" s="1">
        <f t="shared" si="1476"/>
        <v>45607</v>
      </c>
      <c r="B7888" s="31">
        <f t="shared" si="1486"/>
        <v>0.68125000000000002</v>
      </c>
      <c r="C7888" t="str">
        <f>'Inventory as of 12th Aug 2024'!A199</f>
        <v>Kdf</v>
      </c>
      <c r="D7888">
        <v>1</v>
      </c>
      <c r="E7888" s="5">
        <f>Table4[[#This Row],[qty]]*(VLOOKUP(Table4[[#This Row],[item_sold]],Table1[],5,FALSE))</f>
        <v>10</v>
      </c>
      <c r="F7888" s="5">
        <f>(VLOOKUP(Table4[[#This Row],[item_sold]],Table1[],4,FALSE))*Table4[[#This Row],[qty]]</f>
        <v>8.3333333333333339</v>
      </c>
      <c r="G7888">
        <f t="shared" si="1472"/>
        <v>1.6666666666666661</v>
      </c>
      <c r="H7888" t="s">
        <v>402</v>
      </c>
    </row>
    <row r="7889" spans="1:12" x14ac:dyDescent="0.25">
      <c r="A7889" s="1">
        <f t="shared" si="1476"/>
        <v>45607</v>
      </c>
      <c r="B7889" s="31">
        <f>TIME(16,48,0)</f>
        <v>0.70000000000000007</v>
      </c>
      <c r="C7889" t="str">
        <f>'Inventory as of 12th Aug 2024'!A211</f>
        <v>predator</v>
      </c>
      <c r="D7889">
        <v>1</v>
      </c>
      <c r="E7889" s="5">
        <f>Table4[[#This Row],[qty]]*(VLOOKUP(Table4[[#This Row],[item_sold]],Table1[],5,FALSE))</f>
        <v>70</v>
      </c>
      <c r="F7889" s="5">
        <f>(VLOOKUP(Table4[[#This Row],[item_sold]],Table1[],4,FALSE))*Table4[[#This Row],[qty]]</f>
        <v>54.166666666666664</v>
      </c>
      <c r="G7889">
        <f t="shared" si="1472"/>
        <v>15.833333333333336</v>
      </c>
      <c r="H7889" t="s">
        <v>361</v>
      </c>
    </row>
    <row r="7890" spans="1:12" x14ac:dyDescent="0.25">
      <c r="A7890" s="1">
        <f t="shared" si="1476"/>
        <v>45607</v>
      </c>
      <c r="B7890" s="31">
        <f t="shared" ref="B7890:B7894" si="1487">TIME(16,48,0)</f>
        <v>0.70000000000000007</v>
      </c>
      <c r="C7890" t="str">
        <f>'Inventory as of 12th Aug 2024'!A199</f>
        <v>Kdf</v>
      </c>
      <c r="D7890">
        <v>3</v>
      </c>
      <c r="E7890" s="5">
        <f>Table4[[#This Row],[qty]]*(VLOOKUP(Table4[[#This Row],[item_sold]],Table1[],5,FALSE))</f>
        <v>30</v>
      </c>
      <c r="F7890" s="5">
        <f>(VLOOKUP(Table4[[#This Row],[item_sold]],Table1[],4,FALSE))*Table4[[#This Row],[qty]]</f>
        <v>25</v>
      </c>
      <c r="G7890">
        <f t="shared" si="1472"/>
        <v>5</v>
      </c>
      <c r="H7890" t="s">
        <v>361</v>
      </c>
    </row>
    <row r="7891" spans="1:12" x14ac:dyDescent="0.25">
      <c r="A7891" s="1">
        <f t="shared" si="1476"/>
        <v>45607</v>
      </c>
      <c r="B7891" s="31">
        <f t="shared" si="1487"/>
        <v>0.70000000000000007</v>
      </c>
      <c r="C7891" t="str">
        <f>'Inventory as of 12th Aug 2024'!A199</f>
        <v>Kdf</v>
      </c>
      <c r="D7891">
        <v>1</v>
      </c>
      <c r="E7891" s="5">
        <f>Table4[[#This Row],[qty]]*(VLOOKUP(Table4[[#This Row],[item_sold]],Table1[],5,FALSE))</f>
        <v>10</v>
      </c>
      <c r="F7891" s="5">
        <f>(VLOOKUP(Table4[[#This Row],[item_sold]],Table1[],4,FALSE))*Table4[[#This Row],[qty]]</f>
        <v>8.3333333333333339</v>
      </c>
      <c r="G7891">
        <f t="shared" si="1472"/>
        <v>1.6666666666666661</v>
      </c>
      <c r="H7891" t="s">
        <v>402</v>
      </c>
    </row>
    <row r="7892" spans="1:12" x14ac:dyDescent="0.25">
      <c r="A7892" s="1">
        <f t="shared" si="1476"/>
        <v>45607</v>
      </c>
      <c r="B7892" s="31">
        <f t="shared" si="1487"/>
        <v>0.70000000000000007</v>
      </c>
      <c r="C7892" t="str">
        <f>'Inventory as of 12th Aug 2024'!A206</f>
        <v>soda 500ml plastic</v>
      </c>
      <c r="D7892">
        <v>1</v>
      </c>
      <c r="E7892" s="5">
        <f>Table4[[#This Row],[qty]]*(VLOOKUP(Table4[[#This Row],[item_sold]],Table1[],5,FALSE))</f>
        <v>70</v>
      </c>
      <c r="F7892" s="5">
        <f>(VLOOKUP(Table4[[#This Row],[item_sold]],Table1[],4,FALSE))*Table4[[#This Row],[qty]]</f>
        <v>60.416666666666664</v>
      </c>
      <c r="G7892">
        <f t="shared" ref="G7892:G7955" si="1488">E7892-F7892</f>
        <v>9.5833333333333357</v>
      </c>
      <c r="H7892" t="s">
        <v>402</v>
      </c>
    </row>
    <row r="7893" spans="1:12" x14ac:dyDescent="0.25">
      <c r="A7893" s="1">
        <f t="shared" si="1476"/>
        <v>45607</v>
      </c>
      <c r="B7893" s="31">
        <f t="shared" si="1487"/>
        <v>0.70000000000000007</v>
      </c>
      <c r="C7893" t="str">
        <f>'Inventory as of 12th Aug 2024'!A8</f>
        <v>eggs</v>
      </c>
      <c r="D7893">
        <v>4</v>
      </c>
      <c r="E7893" s="5">
        <f>Table4[[#This Row],[qty]]*(VLOOKUP(Table4[[#This Row],[item_sold]],Table1[],5,FALSE))</f>
        <v>80</v>
      </c>
      <c r="F7893" s="5">
        <f>(VLOOKUP(Table4[[#This Row],[item_sold]],Table1[],4,FALSE))*Table4[[#This Row],[qty]]</f>
        <v>57.333333333333336</v>
      </c>
      <c r="G7893">
        <f t="shared" si="1488"/>
        <v>22.666666666666664</v>
      </c>
      <c r="H7893" t="s">
        <v>402</v>
      </c>
    </row>
    <row r="7894" spans="1:12" x14ac:dyDescent="0.25">
      <c r="A7894" s="1">
        <f t="shared" si="1476"/>
        <v>45607</v>
      </c>
      <c r="B7894" s="31">
        <f t="shared" si="1487"/>
        <v>0.70000000000000007</v>
      </c>
      <c r="C7894" t="str">
        <f>'Inventory as of 12th Aug 2024'!A271</f>
        <v>Star Cream Bisquit</v>
      </c>
      <c r="D7894">
        <v>8</v>
      </c>
      <c r="E7894" s="5">
        <f>Table4[[#This Row],[qty]]*(VLOOKUP(Table4[[#This Row],[item_sold]],Table1[],5,FALSE))</f>
        <v>40</v>
      </c>
      <c r="F7894" s="5">
        <f>(VLOOKUP(Table4[[#This Row],[item_sold]],Table1[],4,FALSE))*Table4[[#This Row],[qty]]</f>
        <v>33.866666666666667</v>
      </c>
      <c r="G7894">
        <f t="shared" si="1488"/>
        <v>6.1333333333333329</v>
      </c>
      <c r="H7894" t="s">
        <v>402</v>
      </c>
    </row>
    <row r="7895" spans="1:12" x14ac:dyDescent="0.25">
      <c r="A7895" s="1">
        <f t="shared" si="1476"/>
        <v>45607</v>
      </c>
      <c r="B7895" s="31">
        <f>TIME(17,26,0)</f>
        <v>0.72638888888888886</v>
      </c>
      <c r="C7895" t="str">
        <f>'Inventory as of 12th Aug 2024'!A58</f>
        <v>Safari</v>
      </c>
      <c r="D7895">
        <v>3</v>
      </c>
      <c r="E7895" s="5">
        <f>Table4[[#This Row],[qty]]*(VLOOKUP(Table4[[#This Row],[item_sold]],Table1[],5,FALSE))</f>
        <v>45</v>
      </c>
      <c r="F7895" s="5">
        <f>(VLOOKUP(Table4[[#This Row],[item_sold]],Table1[],4,FALSE))*Table4[[#This Row],[qty]]</f>
        <v>25.5</v>
      </c>
      <c r="G7895">
        <f t="shared" si="1488"/>
        <v>19.5</v>
      </c>
      <c r="H7895" t="s">
        <v>361</v>
      </c>
    </row>
    <row r="7896" spans="1:12" x14ac:dyDescent="0.25">
      <c r="A7896" s="1">
        <f t="shared" si="1476"/>
        <v>45607</v>
      </c>
      <c r="B7896" s="31">
        <f t="shared" ref="B7896:B7897" si="1489">TIME(17,26,0)</f>
        <v>0.72638888888888886</v>
      </c>
      <c r="C7896" t="str">
        <f>'Inventory as of 12th Aug 2024'!A91</f>
        <v>Tomatoes</v>
      </c>
      <c r="D7896">
        <v>1</v>
      </c>
      <c r="E7896" s="5">
        <f>Table4[[#This Row],[qty]]*(VLOOKUP(Table4[[#This Row],[item_sold]],Table1[],5,FALSE))</f>
        <v>10</v>
      </c>
      <c r="F7896" s="5">
        <f>(VLOOKUP(Table4[[#This Row],[item_sold]],Table1[],4,FALSE))*Table4[[#This Row],[qty]]</f>
        <v>5</v>
      </c>
      <c r="G7896">
        <f t="shared" si="1488"/>
        <v>5</v>
      </c>
      <c r="H7896" t="s">
        <v>402</v>
      </c>
    </row>
    <row r="7897" spans="1:12" x14ac:dyDescent="0.25">
      <c r="A7897" s="1">
        <f t="shared" si="1476"/>
        <v>45607</v>
      </c>
      <c r="B7897" s="31">
        <f t="shared" si="1489"/>
        <v>0.72638888888888886</v>
      </c>
      <c r="C7897" t="str">
        <f>'Inventory as of 12th Aug 2024'!A99</f>
        <v>spinach</v>
      </c>
      <c r="D7897">
        <v>1</v>
      </c>
      <c r="E7897" s="5">
        <f>Table4[[#This Row],[qty]]*(VLOOKUP(Table4[[#This Row],[item_sold]],Table1[],5,FALSE))</f>
        <v>20</v>
      </c>
      <c r="F7897" s="5">
        <f>(VLOOKUP(Table4[[#This Row],[item_sold]],Table1[],4,FALSE))*Table4[[#This Row],[qty]]</f>
        <v>10</v>
      </c>
      <c r="G7897">
        <f t="shared" si="1488"/>
        <v>10</v>
      </c>
      <c r="H7897" t="s">
        <v>402</v>
      </c>
    </row>
    <row r="7898" spans="1:12" x14ac:dyDescent="0.25">
      <c r="A7898" s="1">
        <f t="shared" si="1476"/>
        <v>45607</v>
      </c>
      <c r="B7898" s="31">
        <f>TIME(18,32,0)</f>
        <v>0.77222222222222225</v>
      </c>
      <c r="C7898" t="str">
        <f>'Inventory as of 12th Aug 2024'!A17</f>
        <v>Brookside milk 500ml</v>
      </c>
      <c r="D7898">
        <v>3</v>
      </c>
      <c r="E7898" s="5">
        <f>Table4[[#This Row],[qty]]*(VLOOKUP(Table4[[#This Row],[item_sold]],Table1[],5,FALSE))</f>
        <v>210</v>
      </c>
      <c r="F7898" s="5">
        <f>(VLOOKUP(Table4[[#This Row],[item_sold]],Table1[],4,FALSE))*Table4[[#This Row],[qty]]</f>
        <v>177</v>
      </c>
      <c r="G7898">
        <f t="shared" si="1488"/>
        <v>33</v>
      </c>
      <c r="H7898" t="s">
        <v>361</v>
      </c>
      <c r="J7898" t="s">
        <v>408</v>
      </c>
      <c r="K7898">
        <v>395</v>
      </c>
      <c r="L7898" t="s">
        <v>361</v>
      </c>
    </row>
    <row r="7899" spans="1:12" x14ac:dyDescent="0.25">
      <c r="A7899" s="1">
        <f t="shared" si="1476"/>
        <v>45607</v>
      </c>
      <c r="B7899" s="31">
        <f t="shared" ref="B7899" si="1490">TIME(18,32,0)</f>
        <v>0.77222222222222225</v>
      </c>
      <c r="C7899" t="str">
        <f>'Inventory as of 12th Aug 2024'!A107</f>
        <v>Match Box</v>
      </c>
      <c r="D7899">
        <v>1</v>
      </c>
      <c r="E7899" s="5">
        <f>Table4[[#This Row],[qty]]*(VLOOKUP(Table4[[#This Row],[item_sold]],Table1[],5,FALSE))</f>
        <v>5</v>
      </c>
      <c r="F7899" s="5">
        <f>(VLOOKUP(Table4[[#This Row],[item_sold]],Table1[],4,FALSE))*Table4[[#This Row],[qty]]</f>
        <v>2.3611111111111112</v>
      </c>
      <c r="G7899">
        <f t="shared" si="1488"/>
        <v>2.6388888888888888</v>
      </c>
      <c r="H7899" t="s">
        <v>430</v>
      </c>
      <c r="I7899" t="s">
        <v>456</v>
      </c>
    </row>
    <row r="7900" spans="1:12" x14ac:dyDescent="0.25">
      <c r="A7900" s="1">
        <f t="shared" si="1476"/>
        <v>45607</v>
      </c>
      <c r="B7900" s="31">
        <f>TIME(18,53,0)</f>
        <v>0.78680555555555554</v>
      </c>
      <c r="C7900" t="str">
        <f>'Inventory as of 12th Aug 2024'!A43</f>
        <v>sossi</v>
      </c>
      <c r="D7900">
        <v>1</v>
      </c>
      <c r="E7900" s="5">
        <f>Table4[[#This Row],[qty]]*(VLOOKUP(Table4[[#This Row],[item_sold]],Table1[],5,FALSE))</f>
        <v>50</v>
      </c>
      <c r="F7900" s="5">
        <f>(VLOOKUP(Table4[[#This Row],[item_sold]],Table1[],4,FALSE))*Table4[[#This Row],[qty]]</f>
        <v>37.5</v>
      </c>
      <c r="G7900">
        <f t="shared" si="1488"/>
        <v>12.5</v>
      </c>
      <c r="H7900" t="s">
        <v>361</v>
      </c>
    </row>
    <row r="7901" spans="1:12" x14ac:dyDescent="0.25">
      <c r="A7901" s="1">
        <f t="shared" si="1476"/>
        <v>45607</v>
      </c>
      <c r="B7901" s="31">
        <f>TIME(19,9,0)</f>
        <v>0.79791666666666661</v>
      </c>
      <c r="C7901" t="str">
        <f>'Inventory as of 12th Aug 2024'!A153</f>
        <v>mosquito stick</v>
      </c>
      <c r="D7901">
        <v>1</v>
      </c>
      <c r="E7901" s="5">
        <f>Table4[[#This Row],[qty]]*(VLOOKUP(Table4[[#This Row],[item_sold]],Table1[],5,FALSE))</f>
        <v>10</v>
      </c>
      <c r="F7901" s="5">
        <f>(VLOOKUP(Table4[[#This Row],[item_sold]],Table1[],4,FALSE))*Table4[[#This Row],[qty]]</f>
        <v>9</v>
      </c>
      <c r="G7901">
        <f t="shared" si="1488"/>
        <v>1</v>
      </c>
      <c r="H7901" t="s">
        <v>361</v>
      </c>
    </row>
    <row r="7902" spans="1:12" x14ac:dyDescent="0.25">
      <c r="A7902" s="1">
        <f t="shared" si="1476"/>
        <v>45607</v>
      </c>
      <c r="B7902" s="31">
        <f>TIME(19,10,0)</f>
        <v>0.79861111111111116</v>
      </c>
      <c r="C7902" t="str">
        <f>'Inventory as of 12th Aug 2024'!A58</f>
        <v>Safari</v>
      </c>
      <c r="D7902">
        <v>3</v>
      </c>
      <c r="E7902" s="5">
        <f>Table4[[#This Row],[qty]]*(VLOOKUP(Table4[[#This Row],[item_sold]],Table1[],5,FALSE))</f>
        <v>45</v>
      </c>
      <c r="F7902" s="5">
        <f>(VLOOKUP(Table4[[#This Row],[item_sold]],Table1[],4,FALSE))*Table4[[#This Row],[qty]]</f>
        <v>25.5</v>
      </c>
      <c r="G7902">
        <f t="shared" si="1488"/>
        <v>19.5</v>
      </c>
      <c r="H7902" t="s">
        <v>361</v>
      </c>
    </row>
    <row r="7903" spans="1:12" x14ac:dyDescent="0.25">
      <c r="A7903" s="1">
        <f t="shared" si="1476"/>
        <v>45607</v>
      </c>
      <c r="B7903" s="31">
        <f t="shared" ref="B7903:B7905" si="1491">TIME(19,10,0)</f>
        <v>0.79861111111111116</v>
      </c>
      <c r="C7903" t="str">
        <f>'Inventory as of 12th Aug 2024'!A199</f>
        <v>Kdf</v>
      </c>
      <c r="D7903">
        <v>3</v>
      </c>
      <c r="E7903" s="5">
        <f>Table4[[#This Row],[qty]]*(VLOOKUP(Table4[[#This Row],[item_sold]],Table1[],5,FALSE))</f>
        <v>30</v>
      </c>
      <c r="F7903" s="5">
        <f>(VLOOKUP(Table4[[#This Row],[item_sold]],Table1[],4,FALSE))*Table4[[#This Row],[qty]]</f>
        <v>25</v>
      </c>
      <c r="G7903">
        <f t="shared" si="1488"/>
        <v>5</v>
      </c>
      <c r="H7903" t="s">
        <v>402</v>
      </c>
    </row>
    <row r="7904" spans="1:12" x14ac:dyDescent="0.25">
      <c r="A7904" s="1">
        <f t="shared" si="1476"/>
        <v>45607</v>
      </c>
      <c r="B7904" s="31">
        <f t="shared" si="1491"/>
        <v>0.79861111111111116</v>
      </c>
      <c r="C7904" t="str">
        <f>'Inventory as of 12th Aug 2024'!A191</f>
        <v>Nuvita Bisquit</v>
      </c>
      <c r="D7904">
        <v>4</v>
      </c>
      <c r="E7904" s="5">
        <f>Table4[[#This Row],[qty]]*(VLOOKUP(Table4[[#This Row],[item_sold]],Table1[],5,FALSE))</f>
        <v>20</v>
      </c>
      <c r="F7904" s="5">
        <f>(VLOOKUP(Table4[[#This Row],[item_sold]],Table1[],4,FALSE))*Table4[[#This Row],[qty]]</f>
        <v>16.666666666666668</v>
      </c>
      <c r="G7904">
        <f t="shared" si="1488"/>
        <v>3.3333333333333321</v>
      </c>
      <c r="H7904" t="s">
        <v>402</v>
      </c>
    </row>
    <row r="7905" spans="1:12" x14ac:dyDescent="0.25">
      <c r="A7905" s="1">
        <f t="shared" si="1476"/>
        <v>45607</v>
      </c>
      <c r="B7905" s="31">
        <f t="shared" si="1491"/>
        <v>0.79861111111111116</v>
      </c>
      <c r="C7905" t="str">
        <f>'Inventory as of 12th Aug 2024'!A16</f>
        <v>Mt kenya milk 500ml</v>
      </c>
      <c r="D7905">
        <v>1</v>
      </c>
      <c r="E7905" s="5">
        <f>Table4[[#This Row],[qty]]*(VLOOKUP(Table4[[#This Row],[item_sold]],Table1[],5,FALSE))</f>
        <v>65</v>
      </c>
      <c r="F7905" s="5">
        <f>(VLOOKUP(Table4[[#This Row],[item_sold]],Table1[],4,FALSE))*Table4[[#This Row],[qty]]</f>
        <v>48.333333333333336</v>
      </c>
      <c r="G7905">
        <f t="shared" si="1488"/>
        <v>16.666666666666664</v>
      </c>
      <c r="H7905" t="s">
        <v>430</v>
      </c>
      <c r="I7905" t="s">
        <v>392</v>
      </c>
    </row>
    <row r="7906" spans="1:12" x14ac:dyDescent="0.25">
      <c r="A7906" s="1">
        <f t="shared" si="1476"/>
        <v>45607</v>
      </c>
      <c r="B7906" s="31">
        <f>TIME(19,33,0)</f>
        <v>0.81458333333333333</v>
      </c>
      <c r="C7906" t="str">
        <f>'Inventory as of 12th Aug 2024'!A17</f>
        <v>Brookside milk 500ml</v>
      </c>
      <c r="D7906">
        <v>1</v>
      </c>
      <c r="E7906" s="5">
        <f>Table4[[#This Row],[qty]]*(VLOOKUP(Table4[[#This Row],[item_sold]],Table1[],5,FALSE))</f>
        <v>70</v>
      </c>
      <c r="F7906" s="5">
        <f>(VLOOKUP(Table4[[#This Row],[item_sold]],Table1[],4,FALSE))*Table4[[#This Row],[qty]]</f>
        <v>59</v>
      </c>
      <c r="G7906">
        <f t="shared" si="1488"/>
        <v>11</v>
      </c>
      <c r="H7906" t="s">
        <v>402</v>
      </c>
    </row>
    <row r="7907" spans="1:12" x14ac:dyDescent="0.25">
      <c r="A7907" s="1">
        <f t="shared" si="1476"/>
        <v>45607</v>
      </c>
      <c r="B7907" s="31">
        <f t="shared" ref="B7907:B7909" si="1492">TIME(19,33,0)</f>
        <v>0.81458333333333333</v>
      </c>
      <c r="C7907" t="str">
        <f>'Inventory as of 12th Aug 2024'!A58</f>
        <v>Safari</v>
      </c>
      <c r="D7907">
        <v>1</v>
      </c>
      <c r="E7907" s="5">
        <f>Table4[[#This Row],[qty]]*(VLOOKUP(Table4[[#This Row],[item_sold]],Table1[],5,FALSE))</f>
        <v>15</v>
      </c>
      <c r="F7907" s="5">
        <f>(VLOOKUP(Table4[[#This Row],[item_sold]],Table1[],4,FALSE))*Table4[[#This Row],[qty]]</f>
        <v>8.5</v>
      </c>
      <c r="G7907">
        <f t="shared" si="1488"/>
        <v>6.5</v>
      </c>
      <c r="H7907" t="s">
        <v>430</v>
      </c>
      <c r="I7907" t="s">
        <v>447</v>
      </c>
    </row>
    <row r="7908" spans="1:12" x14ac:dyDescent="0.25">
      <c r="A7908" s="1">
        <f t="shared" si="1476"/>
        <v>45607</v>
      </c>
      <c r="B7908" s="31">
        <f t="shared" si="1492"/>
        <v>0.81458333333333333</v>
      </c>
      <c r="C7908" t="str">
        <f>'Inventory as of 12th Aug 2024'!A8</f>
        <v>eggs</v>
      </c>
      <c r="D7908">
        <v>1</v>
      </c>
      <c r="E7908" s="5">
        <f>Table4[[#This Row],[qty]]*(VLOOKUP(Table4[[#This Row],[item_sold]],Table1[],5,FALSE))</f>
        <v>20</v>
      </c>
      <c r="F7908" s="5">
        <f>(VLOOKUP(Table4[[#This Row],[item_sold]],Table1[],4,FALSE))*Table4[[#This Row],[qty]]</f>
        <v>14.333333333333334</v>
      </c>
      <c r="G7908">
        <f t="shared" si="1488"/>
        <v>5.6666666666666661</v>
      </c>
      <c r="H7908" t="s">
        <v>430</v>
      </c>
      <c r="I7908" t="s">
        <v>393</v>
      </c>
      <c r="J7908" t="s">
        <v>393</v>
      </c>
      <c r="K7908">
        <v>30</v>
      </c>
      <c r="L7908" t="s">
        <v>361</v>
      </c>
    </row>
    <row r="7909" spans="1:12" x14ac:dyDescent="0.25">
      <c r="A7909" s="1">
        <f t="shared" si="1476"/>
        <v>45607</v>
      </c>
      <c r="B7909" s="31">
        <f t="shared" si="1492"/>
        <v>0.81458333333333333</v>
      </c>
      <c r="C7909" t="str">
        <f>'Inventory as of 12th Aug 2024'!A90</f>
        <v>Onion</v>
      </c>
      <c r="D7909">
        <v>1</v>
      </c>
      <c r="E7909" s="5">
        <f>Table4[[#This Row],[qty]]*(VLOOKUP(Table4[[#This Row],[item_sold]],Table1[],5,FALSE))</f>
        <v>10</v>
      </c>
      <c r="F7909" s="5">
        <f>(VLOOKUP(Table4[[#This Row],[item_sold]],Table1[],4,FALSE))*Table4[[#This Row],[qty]]</f>
        <v>8</v>
      </c>
      <c r="G7909">
        <f t="shared" si="1488"/>
        <v>2</v>
      </c>
      <c r="H7909" t="s">
        <v>430</v>
      </c>
      <c r="I7909" t="s">
        <v>393</v>
      </c>
    </row>
    <row r="7910" spans="1:12" x14ac:dyDescent="0.25">
      <c r="A7910" s="1">
        <f t="shared" si="1476"/>
        <v>45607</v>
      </c>
      <c r="B7910" s="31">
        <f>TIME(20,12,0)</f>
        <v>0.84166666666666667</v>
      </c>
      <c r="C7910" t="str">
        <f>'Inventory as of 12th Aug 2024'!A28</f>
        <v>Fahari Tea 15g</v>
      </c>
      <c r="D7910">
        <v>1</v>
      </c>
      <c r="E7910" s="5">
        <f>Table4[[#This Row],[qty]]*(VLOOKUP(Table4[[#This Row],[item_sold]],Table1[],5,FALSE))</f>
        <v>15</v>
      </c>
      <c r="F7910" s="5">
        <f>(VLOOKUP(Table4[[#This Row],[item_sold]],Table1[],4,FALSE))*Table4[[#This Row],[qty]]</f>
        <v>9.1666666666666661</v>
      </c>
      <c r="G7910">
        <f t="shared" si="1488"/>
        <v>5.8333333333333339</v>
      </c>
      <c r="H7910" t="s">
        <v>361</v>
      </c>
    </row>
    <row r="7911" spans="1:12" x14ac:dyDescent="0.25">
      <c r="A7911" s="1">
        <f t="shared" ref="A7911:A7917" si="1493">DATE(2024,11,11)</f>
        <v>45607</v>
      </c>
      <c r="B7911" s="31">
        <f t="shared" ref="B7911:B7915" si="1494">TIME(20,12,0)</f>
        <v>0.84166666666666667</v>
      </c>
      <c r="C7911" t="str">
        <f>'Inventory as of 12th Aug 2024'!A191</f>
        <v>Nuvita Bisquit</v>
      </c>
      <c r="D7911">
        <v>1</v>
      </c>
      <c r="E7911" s="5">
        <f>Table4[[#This Row],[qty]]*(VLOOKUP(Table4[[#This Row],[item_sold]],Table1[],5,FALSE))</f>
        <v>5</v>
      </c>
      <c r="F7911" s="5">
        <f>(VLOOKUP(Table4[[#This Row],[item_sold]],Table1[],4,FALSE))*Table4[[#This Row],[qty]]</f>
        <v>4.166666666666667</v>
      </c>
      <c r="G7911">
        <f t="shared" si="1488"/>
        <v>0.83333333333333304</v>
      </c>
      <c r="H7911" t="s">
        <v>361</v>
      </c>
    </row>
    <row r="7912" spans="1:12" x14ac:dyDescent="0.25">
      <c r="A7912" s="1">
        <f t="shared" si="1493"/>
        <v>45607</v>
      </c>
      <c r="B7912" s="31">
        <f t="shared" si="1494"/>
        <v>0.84166666666666667</v>
      </c>
      <c r="C7912" t="str">
        <f>'Inventory as of 12th Aug 2024'!A212</f>
        <v>soda 300ml glass</v>
      </c>
      <c r="D7912">
        <v>1</v>
      </c>
      <c r="E7912" s="5">
        <f>Table4[[#This Row],[qty]]*(VLOOKUP(Table4[[#This Row],[item_sold]],Table1[],5,FALSE))</f>
        <v>40</v>
      </c>
      <c r="F7912" s="5">
        <f>(VLOOKUP(Table4[[#This Row],[item_sold]],Table1[],4,FALSE))*Table4[[#This Row],[qty]]</f>
        <v>32.5</v>
      </c>
      <c r="G7912">
        <f t="shared" si="1488"/>
        <v>7.5</v>
      </c>
      <c r="H7912" t="s">
        <v>402</v>
      </c>
    </row>
    <row r="7913" spans="1:12" x14ac:dyDescent="0.25">
      <c r="A7913" s="1">
        <f t="shared" si="1493"/>
        <v>45607</v>
      </c>
      <c r="B7913" s="31">
        <f t="shared" si="1494"/>
        <v>0.84166666666666667</v>
      </c>
      <c r="C7913" t="str">
        <f>'Inventory as of 12th Aug 2024'!A16</f>
        <v>Mt kenya milk 500ml</v>
      </c>
      <c r="D7913">
        <v>1</v>
      </c>
      <c r="E7913" s="5">
        <f>Table4[[#This Row],[qty]]*(VLOOKUP(Table4[[#This Row],[item_sold]],Table1[],5,FALSE))</f>
        <v>65</v>
      </c>
      <c r="F7913" s="5">
        <f>(VLOOKUP(Table4[[#This Row],[item_sold]],Table1[],4,FALSE))*Table4[[#This Row],[qty]]</f>
        <v>48.333333333333336</v>
      </c>
      <c r="G7913">
        <f t="shared" si="1488"/>
        <v>16.666666666666664</v>
      </c>
      <c r="H7913" t="s">
        <v>402</v>
      </c>
      <c r="J7913" t="s">
        <v>392</v>
      </c>
      <c r="K7913">
        <v>130</v>
      </c>
      <c r="L7913" t="s">
        <v>361</v>
      </c>
    </row>
    <row r="7914" spans="1:12" x14ac:dyDescent="0.25">
      <c r="A7914" s="1">
        <f t="shared" si="1493"/>
        <v>45607</v>
      </c>
      <c r="B7914" s="31">
        <f t="shared" si="1494"/>
        <v>0.84166666666666667</v>
      </c>
      <c r="C7914" t="str">
        <f>'Inventory as of 12th Aug 2024'!A37</f>
        <v>Festive Bread 400g</v>
      </c>
      <c r="D7914">
        <v>11</v>
      </c>
      <c r="E7914" s="5">
        <f>Table4[[#This Row],[qty]]*(VLOOKUP(Table4[[#This Row],[item_sold]],Table1[],5,FALSE))</f>
        <v>715</v>
      </c>
      <c r="F7914" s="5">
        <f>(VLOOKUP(Table4[[#This Row],[item_sold]],Table1[],4,FALSE))*Table4[[#This Row],[qty]]</f>
        <v>660</v>
      </c>
      <c r="G7914">
        <f t="shared" si="1488"/>
        <v>55</v>
      </c>
      <c r="H7914" t="s">
        <v>402</v>
      </c>
      <c r="J7914" t="s">
        <v>632</v>
      </c>
      <c r="K7914">
        <v>130</v>
      </c>
      <c r="L7914" t="s">
        <v>361</v>
      </c>
    </row>
    <row r="7915" spans="1:12" x14ac:dyDescent="0.25">
      <c r="A7915" s="1">
        <f t="shared" si="1493"/>
        <v>45607</v>
      </c>
      <c r="B7915" s="31">
        <f t="shared" si="1494"/>
        <v>0.84166666666666667</v>
      </c>
      <c r="C7915" t="str">
        <f>'Inventory as of 12th Aug 2024'!A173</f>
        <v>Carrier bag big</v>
      </c>
      <c r="D7915">
        <v>1</v>
      </c>
      <c r="E7915" s="5">
        <f>Table4[[#This Row],[qty]]*(VLOOKUP(Table4[[#This Row],[item_sold]],Table1[],5,FALSE))</f>
        <v>20</v>
      </c>
      <c r="F7915" s="5">
        <f>(VLOOKUP(Table4[[#This Row],[item_sold]],Table1[],4,FALSE))*Table4[[#This Row],[qty]]</f>
        <v>5</v>
      </c>
      <c r="G7915">
        <f t="shared" si="1488"/>
        <v>15</v>
      </c>
      <c r="H7915" t="s">
        <v>402</v>
      </c>
    </row>
    <row r="7916" spans="1:12" x14ac:dyDescent="0.25">
      <c r="A7916" s="1">
        <f t="shared" si="1493"/>
        <v>45607</v>
      </c>
      <c r="B7916" s="31">
        <f>TIME(20,47,0)</f>
        <v>0.86597222222222225</v>
      </c>
      <c r="C7916" t="str">
        <f>'Inventory as of 12th Aug 2024'!A106</f>
        <v>Steel Wool 15g</v>
      </c>
      <c r="D7916">
        <v>1</v>
      </c>
      <c r="E7916" s="5">
        <f>Table4[[#This Row],[qty]]*(VLOOKUP(Table4[[#This Row],[item_sold]],Table1[],5,FALSE))</f>
        <v>10</v>
      </c>
      <c r="F7916" s="5">
        <f>(VLOOKUP(Table4[[#This Row],[item_sold]],Table1[],4,FALSE))*Table4[[#This Row],[qty]]</f>
        <v>5.2333333333333334</v>
      </c>
      <c r="G7916">
        <f t="shared" si="1488"/>
        <v>4.7666666666666666</v>
      </c>
      <c r="H7916" t="s">
        <v>430</v>
      </c>
      <c r="I7916" t="s">
        <v>390</v>
      </c>
    </row>
    <row r="7917" spans="1:12" x14ac:dyDescent="0.25">
      <c r="A7917" s="1">
        <f t="shared" si="1493"/>
        <v>45607</v>
      </c>
      <c r="B7917" s="31">
        <f t="shared" ref="B7917" si="1495">TIME(20,47,0)</f>
        <v>0.86597222222222225</v>
      </c>
      <c r="C7917" t="str">
        <f>'Inventory as of 12th Aug 2024'!A17</f>
        <v>Brookside milk 500ml</v>
      </c>
      <c r="D7917">
        <v>1</v>
      </c>
      <c r="E7917" s="5">
        <f>Table4[[#This Row],[qty]]*(VLOOKUP(Table4[[#This Row],[item_sold]],Table1[],5,FALSE))</f>
        <v>70</v>
      </c>
      <c r="F7917" s="5">
        <f>(VLOOKUP(Table4[[#This Row],[item_sold]],Table1[],4,FALSE))*Table4[[#This Row],[qty]]</f>
        <v>59</v>
      </c>
      <c r="G7917">
        <f t="shared" si="1488"/>
        <v>11</v>
      </c>
      <c r="H7917" t="s">
        <v>594</v>
      </c>
      <c r="I7917" t="s">
        <v>435</v>
      </c>
    </row>
    <row r="7918" spans="1:12" x14ac:dyDescent="0.25">
      <c r="A7918" s="1">
        <f>DATE(2024,11,12)</f>
        <v>45608</v>
      </c>
      <c r="B7918" s="31">
        <f>TIME(7,40,0)</f>
        <v>0.31944444444444448</v>
      </c>
      <c r="C7918" t="str">
        <f>'Inventory as of 12th Aug 2024'!A58</f>
        <v>Safari</v>
      </c>
      <c r="D7918">
        <v>1</v>
      </c>
      <c r="E7918" s="5">
        <f>Table4[[#This Row],[qty]]*(VLOOKUP(Table4[[#This Row],[item_sold]],Table1[],5,FALSE))</f>
        <v>15</v>
      </c>
      <c r="F7918" s="5">
        <f>(VLOOKUP(Table4[[#This Row],[item_sold]],Table1[],4,FALSE))*Table4[[#This Row],[qty]]</f>
        <v>8.5</v>
      </c>
      <c r="G7918">
        <f t="shared" si="1488"/>
        <v>6.5</v>
      </c>
      <c r="H7918" t="s">
        <v>402</v>
      </c>
    </row>
    <row r="7919" spans="1:12" x14ac:dyDescent="0.25">
      <c r="A7919" s="1">
        <f t="shared" ref="A7919:A7982" si="1496">DATE(2024,11,12)</f>
        <v>45608</v>
      </c>
      <c r="B7919" s="31">
        <f t="shared" ref="B7919" si="1497">TIME(7,40,0)</f>
        <v>0.31944444444444448</v>
      </c>
      <c r="C7919" t="str">
        <f>'Inventory as of 12th Aug 2024'!A231</f>
        <v>Patco</v>
      </c>
      <c r="D7919">
        <v>2</v>
      </c>
      <c r="E7919" s="5">
        <f>Table4[[#This Row],[qty]]*(VLOOKUP(Table4[[#This Row],[item_sold]],Table1[],5,FALSE))</f>
        <v>5</v>
      </c>
      <c r="F7919" s="5">
        <f>(VLOOKUP(Table4[[#This Row],[item_sold]],Table1[],4,FALSE))*Table4[[#This Row],[qty]]</f>
        <v>2.4</v>
      </c>
      <c r="G7919">
        <f t="shared" si="1488"/>
        <v>2.6</v>
      </c>
      <c r="H7919" t="s">
        <v>402</v>
      </c>
    </row>
    <row r="7920" spans="1:12" x14ac:dyDescent="0.25">
      <c r="A7920" s="1">
        <f t="shared" si="1496"/>
        <v>45608</v>
      </c>
      <c r="B7920" s="31">
        <f>TIME(7,51,0)</f>
        <v>0.32708333333333334</v>
      </c>
      <c r="C7920" t="str">
        <f>'Inventory as of 12th Aug 2024'!A33</f>
        <v>BB Bread 400g</v>
      </c>
      <c r="D7920">
        <v>1</v>
      </c>
      <c r="E7920" s="5">
        <f>Table4[[#This Row],[qty]]*(VLOOKUP(Table4[[#This Row],[item_sold]],Table1[],5,FALSE))</f>
        <v>65</v>
      </c>
      <c r="F7920" s="5">
        <f>(VLOOKUP(Table4[[#This Row],[item_sold]],Table1[],4,FALSE))*Table4[[#This Row],[qty]]</f>
        <v>60</v>
      </c>
      <c r="G7920">
        <f t="shared" si="1488"/>
        <v>5</v>
      </c>
      <c r="H7920" t="s">
        <v>594</v>
      </c>
      <c r="I7920" t="s">
        <v>435</v>
      </c>
    </row>
    <row r="7921" spans="1:9" x14ac:dyDescent="0.25">
      <c r="A7921" s="1">
        <f t="shared" si="1496"/>
        <v>45608</v>
      </c>
      <c r="B7921" s="31">
        <f t="shared" ref="B7921" si="1498">TIME(7,51,0)</f>
        <v>0.32708333333333334</v>
      </c>
      <c r="C7921" t="str">
        <f>'Inventory as of 12th Aug 2024'!A16</f>
        <v>Mt kenya milk 500ml</v>
      </c>
      <c r="D7921">
        <v>1</v>
      </c>
      <c r="E7921" s="5">
        <f>Table4[[#This Row],[qty]]*(VLOOKUP(Table4[[#This Row],[item_sold]],Table1[],5,FALSE))</f>
        <v>65</v>
      </c>
      <c r="F7921" s="5">
        <f>(VLOOKUP(Table4[[#This Row],[item_sold]],Table1[],4,FALSE))*Table4[[#This Row],[qty]]</f>
        <v>48.333333333333336</v>
      </c>
      <c r="G7921">
        <f t="shared" si="1488"/>
        <v>16.666666666666664</v>
      </c>
      <c r="H7921" t="s">
        <v>594</v>
      </c>
      <c r="I7921" t="s">
        <v>435</v>
      </c>
    </row>
    <row r="7922" spans="1:9" x14ac:dyDescent="0.25">
      <c r="A7922" s="1">
        <f t="shared" si="1496"/>
        <v>45608</v>
      </c>
      <c r="B7922" s="31">
        <f>TIME(8,2,0)</f>
        <v>0.3347222222222222</v>
      </c>
      <c r="C7922" t="str">
        <f>'Inventory as of 12th Aug 2024'!A28</f>
        <v>Fahari Tea 15g</v>
      </c>
      <c r="D7922">
        <v>1</v>
      </c>
      <c r="E7922" s="5">
        <f>Table4[[#This Row],[qty]]*(VLOOKUP(Table4[[#This Row],[item_sold]],Table1[],5,FALSE))</f>
        <v>15</v>
      </c>
      <c r="F7922" s="5">
        <f>(VLOOKUP(Table4[[#This Row],[item_sold]],Table1[],4,FALSE))*Table4[[#This Row],[qty]]</f>
        <v>9.1666666666666661</v>
      </c>
      <c r="G7922">
        <f t="shared" si="1488"/>
        <v>5.8333333333333339</v>
      </c>
      <c r="H7922" t="s">
        <v>402</v>
      </c>
    </row>
    <row r="7923" spans="1:9" x14ac:dyDescent="0.25">
      <c r="A7923" s="1">
        <f t="shared" si="1496"/>
        <v>45608</v>
      </c>
      <c r="B7923" s="31">
        <f>TIME(8,2,0)</f>
        <v>0.3347222222222222</v>
      </c>
      <c r="C7923" t="str">
        <f>'Inventory as of 12th Aug 2024'!A199</f>
        <v>Kdf</v>
      </c>
      <c r="D7923">
        <v>3</v>
      </c>
      <c r="E7923" s="5">
        <f>Table4[[#This Row],[qty]]*(VLOOKUP(Table4[[#This Row],[item_sold]],Table1[],5,FALSE))</f>
        <v>30</v>
      </c>
      <c r="F7923" s="5">
        <f>(VLOOKUP(Table4[[#This Row],[item_sold]],Table1[],4,FALSE))*Table4[[#This Row],[qty]]</f>
        <v>25</v>
      </c>
      <c r="G7923">
        <f t="shared" si="1488"/>
        <v>5</v>
      </c>
      <c r="H7923" t="s">
        <v>402</v>
      </c>
    </row>
    <row r="7924" spans="1:9" x14ac:dyDescent="0.25">
      <c r="A7924" s="1">
        <f t="shared" si="1496"/>
        <v>45608</v>
      </c>
      <c r="B7924" s="31">
        <f>TIME(8,14,0)</f>
        <v>0.3430555555555555</v>
      </c>
      <c r="C7924" t="str">
        <f>'Inventory as of 12th Aug 2024'!A86</f>
        <v>Downy sunrise fresh</v>
      </c>
      <c r="D7924">
        <v>1</v>
      </c>
      <c r="E7924" s="5">
        <f>Table4[[#This Row],[qty]]*(VLOOKUP(Table4[[#This Row],[item_sold]],Table1[],5,FALSE))</f>
        <v>20</v>
      </c>
      <c r="F7924" s="5">
        <f>(VLOOKUP(Table4[[#This Row],[item_sold]],Table1[],4,FALSE))*Table4[[#This Row],[qty]]</f>
        <v>17.333333333333332</v>
      </c>
      <c r="G7924">
        <f t="shared" si="1488"/>
        <v>2.6666666666666679</v>
      </c>
      <c r="H7924" t="s">
        <v>361</v>
      </c>
    </row>
    <row r="7925" spans="1:9" x14ac:dyDescent="0.25">
      <c r="A7925" s="1">
        <f t="shared" si="1496"/>
        <v>45608</v>
      </c>
      <c r="B7925" s="31">
        <f t="shared" ref="B7925:B7926" si="1499">TIME(8,14,0)</f>
        <v>0.3430555555555555</v>
      </c>
      <c r="C7925" t="str">
        <f>'Inventory as of 12th Aug 2024'!A83</f>
        <v>omo 75g</v>
      </c>
      <c r="D7925">
        <v>1</v>
      </c>
      <c r="E7925" s="5">
        <f>Table4[[#This Row],[qty]]*(VLOOKUP(Table4[[#This Row],[item_sold]],Table1[],5,FALSE))</f>
        <v>35</v>
      </c>
      <c r="F7925" s="5">
        <f>(VLOOKUP(Table4[[#This Row],[item_sold]],Table1[],4,FALSE))*Table4[[#This Row],[qty]]</f>
        <v>27.5</v>
      </c>
      <c r="G7925">
        <f t="shared" si="1488"/>
        <v>7.5</v>
      </c>
      <c r="H7925" t="s">
        <v>361</v>
      </c>
    </row>
    <row r="7926" spans="1:9" x14ac:dyDescent="0.25">
      <c r="A7926" s="1">
        <f t="shared" si="1496"/>
        <v>45608</v>
      </c>
      <c r="B7926" s="31">
        <f t="shared" si="1499"/>
        <v>0.3430555555555555</v>
      </c>
      <c r="C7926" t="str">
        <f>'Inventory as of 12th Aug 2024'!A266</f>
        <v>Zenta Bar Soap</v>
      </c>
      <c r="D7926">
        <v>0.2</v>
      </c>
      <c r="E7926" s="5">
        <f>Table4[[#This Row],[qty]]*(VLOOKUP(Table4[[#This Row],[item_sold]],Table1[],5,FALSE))</f>
        <v>50</v>
      </c>
      <c r="F7926" s="5">
        <f>(VLOOKUP(Table4[[#This Row],[item_sold]],Table1[],4,FALSE))*Table4[[#This Row],[qty]]</f>
        <v>32</v>
      </c>
      <c r="G7926">
        <f t="shared" si="1488"/>
        <v>18</v>
      </c>
      <c r="H7926" t="s">
        <v>361</v>
      </c>
    </row>
    <row r="7927" spans="1:9" x14ac:dyDescent="0.25">
      <c r="A7927" s="1">
        <f t="shared" si="1496"/>
        <v>45608</v>
      </c>
      <c r="B7927" s="31">
        <f>TIME(8,15,0)</f>
        <v>0.34375</v>
      </c>
      <c r="C7927" t="str">
        <f>'Inventory as of 12th Aug 2024'!A81</f>
        <v>ariel 75g</v>
      </c>
      <c r="D7927">
        <v>1</v>
      </c>
      <c r="E7927" s="5">
        <f>Table4[[#This Row],[qty]]*(VLOOKUP(Table4[[#This Row],[item_sold]],Table1[],5,FALSE))</f>
        <v>35</v>
      </c>
      <c r="F7927" s="5">
        <f>(VLOOKUP(Table4[[#This Row],[item_sold]],Table1[],4,FALSE))*Table4[[#This Row],[qty]]</f>
        <v>27.5</v>
      </c>
      <c r="G7927">
        <f t="shared" si="1488"/>
        <v>7.5</v>
      </c>
      <c r="H7927" t="s">
        <v>402</v>
      </c>
    </row>
    <row r="7928" spans="1:9" x14ac:dyDescent="0.25">
      <c r="A7928" s="1">
        <f t="shared" si="1496"/>
        <v>45608</v>
      </c>
      <c r="B7928" s="31">
        <f>TIME(8,47,0)</f>
        <v>0.3659722222222222</v>
      </c>
      <c r="C7928" t="str">
        <f>'Inventory as of 12th Aug 2024'!A191</f>
        <v>Nuvita Bisquit</v>
      </c>
      <c r="D7928">
        <v>2</v>
      </c>
      <c r="E7928" s="5">
        <f>Table4[[#This Row],[qty]]*(VLOOKUP(Table4[[#This Row],[item_sold]],Table1[],5,FALSE))</f>
        <v>10</v>
      </c>
      <c r="F7928" s="5">
        <f>(VLOOKUP(Table4[[#This Row],[item_sold]],Table1[],4,FALSE))*Table4[[#This Row],[qty]]</f>
        <v>8.3333333333333339</v>
      </c>
      <c r="G7928">
        <f t="shared" si="1488"/>
        <v>1.6666666666666661</v>
      </c>
      <c r="H7928" t="s">
        <v>402</v>
      </c>
    </row>
    <row r="7929" spans="1:9" x14ac:dyDescent="0.25">
      <c r="A7929" s="1">
        <f t="shared" si="1496"/>
        <v>45608</v>
      </c>
      <c r="B7929" s="31">
        <f t="shared" ref="B7929:B7933" si="1500">TIME(8,47,0)</f>
        <v>0.3659722222222222</v>
      </c>
      <c r="C7929" t="str">
        <f>'Inventory as of 12th Aug 2024'!A141</f>
        <v>Colgate 35g</v>
      </c>
      <c r="D7929">
        <v>1</v>
      </c>
      <c r="E7929" s="5">
        <f>Table4[[#This Row],[qty]]*(VLOOKUP(Table4[[#This Row],[item_sold]],Table1[],5,FALSE))</f>
        <v>80</v>
      </c>
      <c r="F7929" s="5">
        <f>(VLOOKUP(Table4[[#This Row],[item_sold]],Table1[],4,FALSE))*Table4[[#This Row],[qty]]</f>
        <v>62.5</v>
      </c>
      <c r="G7929">
        <f t="shared" si="1488"/>
        <v>17.5</v>
      </c>
      <c r="H7929" t="s">
        <v>402</v>
      </c>
    </row>
    <row r="7930" spans="1:9" x14ac:dyDescent="0.25">
      <c r="A7930" s="1">
        <f t="shared" si="1496"/>
        <v>45608</v>
      </c>
      <c r="B7930" s="31">
        <f t="shared" si="1500"/>
        <v>0.3659722222222222</v>
      </c>
      <c r="C7930" t="str">
        <f>'Inventory as of 12th Aug 2024'!A37</f>
        <v>Festive Bread 400g</v>
      </c>
      <c r="D7930">
        <v>1</v>
      </c>
      <c r="E7930" s="5">
        <f>Table4[[#This Row],[qty]]*(VLOOKUP(Table4[[#This Row],[item_sold]],Table1[],5,FALSE))</f>
        <v>65</v>
      </c>
      <c r="F7930" s="5">
        <f>(VLOOKUP(Table4[[#This Row],[item_sold]],Table1[],4,FALSE))*Table4[[#This Row],[qty]]</f>
        <v>60</v>
      </c>
      <c r="G7930">
        <f t="shared" si="1488"/>
        <v>5</v>
      </c>
      <c r="H7930" t="s">
        <v>402</v>
      </c>
    </row>
    <row r="7931" spans="1:9" x14ac:dyDescent="0.25">
      <c r="A7931" s="1">
        <f t="shared" si="1496"/>
        <v>45608</v>
      </c>
      <c r="B7931" s="31">
        <f t="shared" si="1500"/>
        <v>0.3659722222222222</v>
      </c>
      <c r="C7931" t="str">
        <f>'Inventory as of 12th Aug 2024'!A57</f>
        <v>Sportsman</v>
      </c>
      <c r="D7931">
        <v>1</v>
      </c>
      <c r="E7931" s="5">
        <f>Table4[[#This Row],[qty]]*(VLOOKUP(Table4[[#This Row],[item_sold]],Table1[],5,FALSE))</f>
        <v>20</v>
      </c>
      <c r="F7931" s="5">
        <f>(VLOOKUP(Table4[[#This Row],[item_sold]],Table1[],4,FALSE))*Table4[[#This Row],[qty]]</f>
        <v>13</v>
      </c>
      <c r="G7931">
        <f t="shared" si="1488"/>
        <v>7</v>
      </c>
      <c r="H7931" t="s">
        <v>402</v>
      </c>
    </row>
    <row r="7932" spans="1:9" x14ac:dyDescent="0.25">
      <c r="A7932" s="1">
        <f t="shared" si="1496"/>
        <v>45608</v>
      </c>
      <c r="B7932" s="31">
        <f t="shared" si="1500"/>
        <v>0.3659722222222222</v>
      </c>
      <c r="C7932" t="str">
        <f>'Inventory as of 12th Aug 2024'!A58</f>
        <v>Safari</v>
      </c>
      <c r="D7932">
        <v>2</v>
      </c>
      <c r="E7932" s="5">
        <f>Table4[[#This Row],[qty]]*(VLOOKUP(Table4[[#This Row],[item_sold]],Table1[],5,FALSE))</f>
        <v>30</v>
      </c>
      <c r="F7932" s="5">
        <f>(VLOOKUP(Table4[[#This Row],[item_sold]],Table1[],4,FALSE))*Table4[[#This Row],[qty]]</f>
        <v>17</v>
      </c>
      <c r="G7932">
        <f t="shared" si="1488"/>
        <v>13</v>
      </c>
      <c r="H7932" t="s">
        <v>402</v>
      </c>
    </row>
    <row r="7933" spans="1:9" x14ac:dyDescent="0.25">
      <c r="A7933" s="1">
        <f t="shared" si="1496"/>
        <v>45608</v>
      </c>
      <c r="B7933" s="31">
        <f t="shared" si="1500"/>
        <v>0.3659722222222222</v>
      </c>
      <c r="C7933" t="str">
        <f>'Inventory as of 12th Aug 2024'!A199</f>
        <v>Kdf</v>
      </c>
      <c r="D7933">
        <v>2</v>
      </c>
      <c r="E7933" s="5">
        <f>Table4[[#This Row],[qty]]*(VLOOKUP(Table4[[#This Row],[item_sold]],Table1[],5,FALSE))</f>
        <v>20</v>
      </c>
      <c r="F7933" s="5">
        <f>(VLOOKUP(Table4[[#This Row],[item_sold]],Table1[],4,FALSE))*Table4[[#This Row],[qty]]</f>
        <v>16.666666666666668</v>
      </c>
      <c r="G7933">
        <f t="shared" si="1488"/>
        <v>3.3333333333333321</v>
      </c>
      <c r="H7933" t="s">
        <v>402</v>
      </c>
    </row>
    <row r="7934" spans="1:9" x14ac:dyDescent="0.25">
      <c r="A7934" s="1">
        <f t="shared" si="1496"/>
        <v>45608</v>
      </c>
      <c r="B7934" s="31">
        <f>TIME(9,50,0)</f>
        <v>0.40972222222222227</v>
      </c>
      <c r="C7934" t="str">
        <f>'Inventory as of 12th Aug 2024'!A229</f>
        <v>Fresh green</v>
      </c>
      <c r="D7934">
        <v>1</v>
      </c>
      <c r="E7934" s="5">
        <f>Table4[[#This Row],[qty]]*(VLOOKUP(Table4[[#This Row],[item_sold]],Table1[],5,FALSE))</f>
        <v>10</v>
      </c>
      <c r="F7934" s="5">
        <f>(VLOOKUP(Table4[[#This Row],[item_sold]],Table1[],4,FALSE))*Table4[[#This Row],[qty]]</f>
        <v>5</v>
      </c>
      <c r="G7934">
        <f t="shared" si="1488"/>
        <v>5</v>
      </c>
      <c r="H7934" t="s">
        <v>361</v>
      </c>
    </row>
    <row r="7935" spans="1:9" x14ac:dyDescent="0.25">
      <c r="A7935" s="1">
        <f t="shared" si="1496"/>
        <v>45608</v>
      </c>
      <c r="B7935" s="31">
        <f t="shared" ref="B7935" si="1501">TIME(9,50,0)</f>
        <v>0.40972222222222227</v>
      </c>
      <c r="C7935" t="str">
        <f>'Inventory as of 12th Aug 2024'!A238</f>
        <v>Tropical</v>
      </c>
      <c r="D7935">
        <v>3</v>
      </c>
      <c r="E7935" s="5">
        <f>Table4[[#This Row],[qty]]*(VLOOKUP(Table4[[#This Row],[item_sold]],Table1[],5,FALSE))</f>
        <v>15</v>
      </c>
      <c r="F7935" s="5">
        <f>(VLOOKUP(Table4[[#This Row],[item_sold]],Table1[],4,FALSE))*Table4[[#This Row],[qty]]</f>
        <v>4.5</v>
      </c>
      <c r="G7935">
        <f t="shared" si="1488"/>
        <v>10.5</v>
      </c>
      <c r="H7935" t="s">
        <v>361</v>
      </c>
    </row>
    <row r="7936" spans="1:9" x14ac:dyDescent="0.25">
      <c r="A7936" s="1">
        <f t="shared" si="1496"/>
        <v>45608</v>
      </c>
      <c r="B7936" s="31">
        <f>TIME(11,25,0)</f>
        <v>0.47569444444444442</v>
      </c>
      <c r="C7936" t="str">
        <f>'Inventory as of 12th Aug 2024'!A33</f>
        <v>BB Bread 400g</v>
      </c>
      <c r="D7936">
        <v>2</v>
      </c>
      <c r="E7936" s="5">
        <f>Table4[[#This Row],[qty]]*(VLOOKUP(Table4[[#This Row],[item_sold]],Table1[],5,FALSE))</f>
        <v>130</v>
      </c>
      <c r="F7936" s="5">
        <f>(VLOOKUP(Table4[[#This Row],[item_sold]],Table1[],4,FALSE))*Table4[[#This Row],[qty]]</f>
        <v>120</v>
      </c>
      <c r="G7936">
        <f t="shared" si="1488"/>
        <v>10</v>
      </c>
      <c r="H7936" t="s">
        <v>430</v>
      </c>
      <c r="I7936" t="s">
        <v>394</v>
      </c>
    </row>
    <row r="7937" spans="1:12" x14ac:dyDescent="0.25">
      <c r="A7937" s="1">
        <f t="shared" si="1496"/>
        <v>45608</v>
      </c>
      <c r="B7937" s="31">
        <f t="shared" ref="B7937:B7939" si="1502">TIME(11,25,0)</f>
        <v>0.47569444444444442</v>
      </c>
      <c r="C7937" t="str">
        <f>'Inventory as of 12th Aug 2024'!A236</f>
        <v>Gomba</v>
      </c>
      <c r="D7937">
        <v>2</v>
      </c>
      <c r="E7937" s="5">
        <f>Table4[[#This Row],[qty]]*(VLOOKUP(Table4[[#This Row],[item_sold]],Table1[],5,FALSE))</f>
        <v>5</v>
      </c>
      <c r="F7937" s="5">
        <f>(VLOOKUP(Table4[[#This Row],[item_sold]],Table1[],4,FALSE))*Table4[[#This Row],[qty]]</f>
        <v>3.6</v>
      </c>
      <c r="G7937">
        <f t="shared" si="1488"/>
        <v>1.4</v>
      </c>
      <c r="H7937" t="s">
        <v>430</v>
      </c>
      <c r="I7937" t="s">
        <v>588</v>
      </c>
    </row>
    <row r="7938" spans="1:12" x14ac:dyDescent="0.25">
      <c r="A7938" s="1">
        <f t="shared" si="1496"/>
        <v>45608</v>
      </c>
      <c r="B7938" s="31">
        <f t="shared" si="1502"/>
        <v>0.47569444444444442</v>
      </c>
      <c r="C7938" t="str">
        <f>'Inventory as of 12th Aug 2024'!A185</f>
        <v>Glucose 10g</v>
      </c>
      <c r="D7938">
        <v>2</v>
      </c>
      <c r="E7938" s="5">
        <f>Table4[[#This Row],[qty]]*(VLOOKUP(Table4[[#This Row],[item_sold]],Table1[],5,FALSE))</f>
        <v>10</v>
      </c>
      <c r="F7938" s="5">
        <f>(VLOOKUP(Table4[[#This Row],[item_sold]],Table1[],4,FALSE))*Table4[[#This Row],[qty]]</f>
        <v>7.5</v>
      </c>
      <c r="G7938">
        <f t="shared" si="1488"/>
        <v>2.5</v>
      </c>
      <c r="H7938" t="s">
        <v>402</v>
      </c>
    </row>
    <row r="7939" spans="1:12" x14ac:dyDescent="0.25">
      <c r="A7939" s="1">
        <f t="shared" si="1496"/>
        <v>45608</v>
      </c>
      <c r="B7939" s="31">
        <f t="shared" si="1502"/>
        <v>0.47569444444444442</v>
      </c>
      <c r="C7939" t="str">
        <f>'Inventory as of 12th Aug 2024'!A239</f>
        <v>Gumballs</v>
      </c>
      <c r="D7939">
        <v>10</v>
      </c>
      <c r="E7939" s="5">
        <f>Table4[[#This Row],[qty]]*(VLOOKUP(Table4[[#This Row],[item_sold]],Table1[],5,FALSE))</f>
        <v>10</v>
      </c>
      <c r="F7939" s="5">
        <f>(VLOOKUP(Table4[[#This Row],[item_sold]],Table1[],4,FALSE))*Table4[[#This Row],[qty]]</f>
        <v>7</v>
      </c>
      <c r="G7939">
        <f t="shared" si="1488"/>
        <v>3</v>
      </c>
      <c r="H7939" t="s">
        <v>402</v>
      </c>
      <c r="J7939" t="s">
        <v>394</v>
      </c>
      <c r="K7939">
        <v>90</v>
      </c>
      <c r="L7939" t="s">
        <v>361</v>
      </c>
    </row>
    <row r="7940" spans="1:12" x14ac:dyDescent="0.25">
      <c r="A7940" s="1">
        <f t="shared" si="1496"/>
        <v>45608</v>
      </c>
      <c r="B7940" s="31">
        <f>TIME(12,15,0)</f>
        <v>0.51041666666666663</v>
      </c>
      <c r="C7940" t="str">
        <f>'Inventory as of 12th Aug 2024'!A58</f>
        <v>Safari</v>
      </c>
      <c r="D7940">
        <v>4</v>
      </c>
      <c r="E7940" s="5">
        <f>Table4[[#This Row],[qty]]*(VLOOKUP(Table4[[#This Row],[item_sold]],Table1[],5,FALSE))</f>
        <v>60</v>
      </c>
      <c r="F7940" s="5">
        <f>(VLOOKUP(Table4[[#This Row],[item_sold]],Table1[],4,FALSE))*Table4[[#This Row],[qty]]</f>
        <v>34</v>
      </c>
      <c r="G7940">
        <f t="shared" si="1488"/>
        <v>26</v>
      </c>
      <c r="H7940" t="s">
        <v>402</v>
      </c>
    </row>
    <row r="7941" spans="1:12" x14ac:dyDescent="0.25">
      <c r="A7941" s="1">
        <f t="shared" si="1496"/>
        <v>45608</v>
      </c>
      <c r="B7941" s="31">
        <f t="shared" ref="B7941:B7942" si="1503">TIME(12,15,0)</f>
        <v>0.51041666666666663</v>
      </c>
      <c r="C7941" t="str">
        <f>'Inventory as of 12th Aug 2024'!A209</f>
        <v>afia 500ml</v>
      </c>
      <c r="D7941">
        <v>1</v>
      </c>
      <c r="E7941" s="5">
        <f>Table4[[#This Row],[qty]]*(VLOOKUP(Table4[[#This Row],[item_sold]],Table1[],5,FALSE))</f>
        <v>85</v>
      </c>
      <c r="F7941" s="5">
        <f>(VLOOKUP(Table4[[#This Row],[item_sold]],Table1[],4,FALSE))*Table4[[#This Row],[qty]]</f>
        <v>70.833333333333329</v>
      </c>
      <c r="G7941">
        <f t="shared" si="1488"/>
        <v>14.166666666666671</v>
      </c>
      <c r="H7941" t="s">
        <v>402</v>
      </c>
    </row>
    <row r="7942" spans="1:12" x14ac:dyDescent="0.25">
      <c r="A7942" s="1">
        <f t="shared" si="1496"/>
        <v>45608</v>
      </c>
      <c r="B7942" s="31">
        <f t="shared" si="1503"/>
        <v>0.51041666666666663</v>
      </c>
      <c r="C7942" t="str">
        <f>'Inventory as of 12th Aug 2024'!A193</f>
        <v>Ginger Bisquit</v>
      </c>
      <c r="D7942">
        <v>3</v>
      </c>
      <c r="E7942" s="5">
        <f>Table4[[#This Row],[qty]]*(VLOOKUP(Table4[[#This Row],[item_sold]],Table1[],5,FALSE))</f>
        <v>15</v>
      </c>
      <c r="F7942" s="5">
        <f>(VLOOKUP(Table4[[#This Row],[item_sold]],Table1[],4,FALSE))*Table4[[#This Row],[qty]]</f>
        <v>13</v>
      </c>
      <c r="G7942">
        <f t="shared" si="1488"/>
        <v>2</v>
      </c>
      <c r="H7942" t="s">
        <v>402</v>
      </c>
    </row>
    <row r="7943" spans="1:12" x14ac:dyDescent="0.25">
      <c r="A7943" s="1">
        <f t="shared" si="1496"/>
        <v>45608</v>
      </c>
      <c r="B7943" s="31">
        <f>TIME(12,49,0)</f>
        <v>0.53402777777777777</v>
      </c>
      <c r="C7943" t="str">
        <f>'Inventory as of 12th Aug 2024'!A68</f>
        <v>Royco cubes</v>
      </c>
      <c r="D7943">
        <v>1</v>
      </c>
      <c r="E7943" s="5">
        <f>Table4[[#This Row],[qty]]*(VLOOKUP(Table4[[#This Row],[item_sold]],Table1[],5,FALSE))</f>
        <v>5</v>
      </c>
      <c r="F7943" s="5">
        <f>(VLOOKUP(Table4[[#This Row],[item_sold]],Table1[],4,FALSE))*Table4[[#This Row],[qty]]</f>
        <v>3</v>
      </c>
      <c r="G7943">
        <f t="shared" si="1488"/>
        <v>2</v>
      </c>
      <c r="H7943" t="s">
        <v>402</v>
      </c>
    </row>
    <row r="7944" spans="1:12" x14ac:dyDescent="0.25">
      <c r="A7944" s="1">
        <f t="shared" si="1496"/>
        <v>45608</v>
      </c>
      <c r="B7944" s="31">
        <f>TIME(12,58,0)</f>
        <v>0.54027777777777775</v>
      </c>
      <c r="C7944" t="str">
        <f>'Inventory as of 12th Aug 2024'!A212</f>
        <v>soda 300ml glass</v>
      </c>
      <c r="D7944">
        <v>1</v>
      </c>
      <c r="E7944" s="5">
        <f>Table4[[#This Row],[qty]]*(VLOOKUP(Table4[[#This Row],[item_sold]],Table1[],5,FALSE))</f>
        <v>40</v>
      </c>
      <c r="F7944" s="5">
        <f>(VLOOKUP(Table4[[#This Row],[item_sold]],Table1[],4,FALSE))*Table4[[#This Row],[qty]]</f>
        <v>32.5</v>
      </c>
      <c r="G7944">
        <f t="shared" si="1488"/>
        <v>7.5</v>
      </c>
      <c r="H7944" t="s">
        <v>430</v>
      </c>
      <c r="I7944" t="s">
        <v>633</v>
      </c>
    </row>
    <row r="7945" spans="1:12" x14ac:dyDescent="0.25">
      <c r="A7945" s="1">
        <f t="shared" si="1496"/>
        <v>45608</v>
      </c>
      <c r="B7945" s="31">
        <f t="shared" ref="B7945:B7946" si="1504">TIME(12,58,0)</f>
        <v>0.54027777777777775</v>
      </c>
      <c r="C7945" t="str">
        <f>'Inventory as of 12th Aug 2024'!A199</f>
        <v>Kdf</v>
      </c>
      <c r="D7945">
        <v>2</v>
      </c>
      <c r="E7945" s="5">
        <f>Table4[[#This Row],[qty]]*(VLOOKUP(Table4[[#This Row],[item_sold]],Table1[],5,FALSE))</f>
        <v>20</v>
      </c>
      <c r="F7945" s="5">
        <f>(VLOOKUP(Table4[[#This Row],[item_sold]],Table1[],4,FALSE))*Table4[[#This Row],[qty]]</f>
        <v>16.666666666666668</v>
      </c>
      <c r="G7945">
        <f t="shared" si="1488"/>
        <v>3.3333333333333321</v>
      </c>
      <c r="H7945" t="s">
        <v>430</v>
      </c>
      <c r="I7945" t="s">
        <v>633</v>
      </c>
    </row>
    <row r="7946" spans="1:12" x14ac:dyDescent="0.25">
      <c r="A7946" s="1">
        <f t="shared" si="1496"/>
        <v>45608</v>
      </c>
      <c r="B7946" s="31">
        <f t="shared" si="1504"/>
        <v>0.54027777777777775</v>
      </c>
      <c r="C7946" t="str">
        <f>'Inventory as of 12th Aug 2024'!A17</f>
        <v>Brookside milk 500ml</v>
      </c>
      <c r="D7946">
        <v>1</v>
      </c>
      <c r="E7946" s="5">
        <f>Table4[[#This Row],[qty]]*(VLOOKUP(Table4[[#This Row],[item_sold]],Table1[],5,FALSE))</f>
        <v>70</v>
      </c>
      <c r="F7946" s="5">
        <f>(VLOOKUP(Table4[[#This Row],[item_sold]],Table1[],4,FALSE))*Table4[[#This Row],[qty]]</f>
        <v>59</v>
      </c>
      <c r="G7946">
        <f t="shared" si="1488"/>
        <v>11</v>
      </c>
      <c r="H7946" t="s">
        <v>402</v>
      </c>
    </row>
    <row r="7947" spans="1:12" x14ac:dyDescent="0.25">
      <c r="A7947" s="1">
        <f t="shared" si="1496"/>
        <v>45608</v>
      </c>
      <c r="B7947" s="31">
        <f>TIME(13,3,0)</f>
        <v>0.54375000000000007</v>
      </c>
      <c r="C7947" t="str">
        <f>'Inventory as of 12th Aug 2024'!A5</f>
        <v>Airtel 20 Credit</v>
      </c>
      <c r="D7947">
        <v>1</v>
      </c>
      <c r="E7947" s="5">
        <f>Table4[[#This Row],[qty]]*(VLOOKUP(Table4[[#This Row],[item_sold]],Table1[],5,FALSE))</f>
        <v>20</v>
      </c>
      <c r="F7947" s="5">
        <f>(VLOOKUP(Table4[[#This Row],[item_sold]],Table1[],4,FALSE))*Table4[[#This Row],[qty]]</f>
        <v>18</v>
      </c>
      <c r="G7947">
        <f t="shared" si="1488"/>
        <v>2</v>
      </c>
      <c r="H7947" t="s">
        <v>402</v>
      </c>
    </row>
    <row r="7948" spans="1:12" x14ac:dyDescent="0.25">
      <c r="A7948" s="1">
        <f t="shared" si="1496"/>
        <v>45608</v>
      </c>
      <c r="B7948" s="31">
        <f t="shared" ref="B7948" si="1505">TIME(13,3,0)</f>
        <v>0.54375000000000007</v>
      </c>
      <c r="C7948" t="str">
        <f>'Inventory as of 12th Aug 2024'!A6</f>
        <v>Airtel 10 Credit</v>
      </c>
      <c r="D7948">
        <v>1</v>
      </c>
      <c r="E7948" s="5">
        <f>Table4[[#This Row],[qty]]*(VLOOKUP(Table4[[#This Row],[item_sold]],Table1[],5,FALSE))</f>
        <v>10</v>
      </c>
      <c r="F7948" s="5">
        <f>(VLOOKUP(Table4[[#This Row],[item_sold]],Table1[],4,FALSE))*Table4[[#This Row],[qty]]</f>
        <v>9</v>
      </c>
      <c r="G7948">
        <f t="shared" si="1488"/>
        <v>1</v>
      </c>
      <c r="H7948" t="s">
        <v>402</v>
      </c>
    </row>
    <row r="7949" spans="1:12" x14ac:dyDescent="0.25">
      <c r="A7949" s="1">
        <f t="shared" si="1496"/>
        <v>45608</v>
      </c>
      <c r="B7949" s="31">
        <f>TIME(13,22,0)</f>
        <v>0.55694444444444446</v>
      </c>
      <c r="C7949" t="str">
        <f>'Inventory as of 12th Aug 2024'!A91</f>
        <v>Tomatoes</v>
      </c>
      <c r="D7949">
        <v>15</v>
      </c>
      <c r="E7949" s="5">
        <f>Table4[[#This Row],[qty]]*(VLOOKUP(Table4[[#This Row],[item_sold]],Table1[],5,FALSE))</f>
        <v>150</v>
      </c>
      <c r="F7949" s="5">
        <f>(VLOOKUP(Table4[[#This Row],[item_sold]],Table1[],4,FALSE))*Table4[[#This Row],[qty]]</f>
        <v>75</v>
      </c>
      <c r="G7949">
        <f t="shared" si="1488"/>
        <v>75</v>
      </c>
      <c r="H7949" t="s">
        <v>402</v>
      </c>
    </row>
    <row r="7950" spans="1:12" x14ac:dyDescent="0.25">
      <c r="A7950" s="1">
        <f t="shared" si="1496"/>
        <v>45608</v>
      </c>
      <c r="B7950" s="31">
        <f t="shared" ref="B7950:B7951" si="1506">TIME(13,22,0)</f>
        <v>0.55694444444444446</v>
      </c>
      <c r="C7950" t="str">
        <f>'Inventory as of 12th Aug 2024'!A17</f>
        <v>Brookside milk 500ml</v>
      </c>
      <c r="D7950">
        <v>1</v>
      </c>
      <c r="E7950" s="5">
        <f>Table4[[#This Row],[qty]]*(VLOOKUP(Table4[[#This Row],[item_sold]],Table1[],5,FALSE))</f>
        <v>70</v>
      </c>
      <c r="F7950" s="5">
        <f>(VLOOKUP(Table4[[#This Row],[item_sold]],Table1[],4,FALSE))*Table4[[#This Row],[qty]]</f>
        <v>59</v>
      </c>
      <c r="G7950">
        <f t="shared" si="1488"/>
        <v>11</v>
      </c>
      <c r="H7950" t="s">
        <v>430</v>
      </c>
      <c r="I7950" t="s">
        <v>451</v>
      </c>
    </row>
    <row r="7951" spans="1:12" x14ac:dyDescent="0.25">
      <c r="A7951" s="1">
        <f t="shared" si="1496"/>
        <v>45608</v>
      </c>
      <c r="B7951" s="31">
        <f t="shared" si="1506"/>
        <v>0.55694444444444446</v>
      </c>
      <c r="C7951" t="str">
        <f>'Inventory as of 12th Aug 2024'!A37</f>
        <v>Festive Bread 400g</v>
      </c>
      <c r="D7951">
        <v>1</v>
      </c>
      <c r="E7951" s="5">
        <f>Table4[[#This Row],[qty]]*(VLOOKUP(Table4[[#This Row],[item_sold]],Table1[],5,FALSE))</f>
        <v>65</v>
      </c>
      <c r="F7951" s="5">
        <f>(VLOOKUP(Table4[[#This Row],[item_sold]],Table1[],4,FALSE))*Table4[[#This Row],[qty]]</f>
        <v>60</v>
      </c>
      <c r="G7951">
        <f t="shared" si="1488"/>
        <v>5</v>
      </c>
      <c r="H7951" t="s">
        <v>430</v>
      </c>
      <c r="I7951" t="s">
        <v>451</v>
      </c>
    </row>
    <row r="7952" spans="1:12" x14ac:dyDescent="0.25">
      <c r="A7952" s="1">
        <f t="shared" si="1496"/>
        <v>45608</v>
      </c>
      <c r="B7952" s="31">
        <f>TIME(13,57,0)</f>
        <v>0.58124999999999993</v>
      </c>
      <c r="C7952" t="str">
        <f>'Inventory as of 12th Aug 2024'!A211</f>
        <v>predator</v>
      </c>
      <c r="D7952">
        <v>1</v>
      </c>
      <c r="E7952" s="5">
        <f>Table4[[#This Row],[qty]]*(VLOOKUP(Table4[[#This Row],[item_sold]],Table1[],5,FALSE))</f>
        <v>70</v>
      </c>
      <c r="F7952" s="5">
        <f>(VLOOKUP(Table4[[#This Row],[item_sold]],Table1[],4,FALSE))*Table4[[#This Row],[qty]]</f>
        <v>54.166666666666664</v>
      </c>
      <c r="G7952">
        <f t="shared" si="1488"/>
        <v>15.833333333333336</v>
      </c>
      <c r="H7952" t="s">
        <v>361</v>
      </c>
    </row>
    <row r="7953" spans="1:9" x14ac:dyDescent="0.25">
      <c r="A7953" s="1">
        <f t="shared" si="1496"/>
        <v>45608</v>
      </c>
      <c r="B7953" s="31">
        <f t="shared" ref="B7953:B7957" si="1507">TIME(13,57,0)</f>
        <v>0.58124999999999993</v>
      </c>
      <c r="C7953" t="str">
        <f>'Inventory as of 12th Aug 2024'!A187</f>
        <v>Njugu</v>
      </c>
      <c r="D7953">
        <v>1</v>
      </c>
      <c r="E7953" s="5">
        <f>Table4[[#This Row],[qty]]*(VLOOKUP(Table4[[#This Row],[item_sold]],Table1[],5,FALSE))</f>
        <v>20</v>
      </c>
      <c r="F7953" s="5">
        <f>(VLOOKUP(Table4[[#This Row],[item_sold]],Table1[],4,FALSE))*Table4[[#This Row],[qty]]</f>
        <v>10.666666666666666</v>
      </c>
      <c r="G7953">
        <f t="shared" si="1488"/>
        <v>9.3333333333333339</v>
      </c>
      <c r="H7953" t="s">
        <v>361</v>
      </c>
    </row>
    <row r="7954" spans="1:9" x14ac:dyDescent="0.25">
      <c r="A7954" s="1">
        <f t="shared" si="1496"/>
        <v>45608</v>
      </c>
      <c r="B7954" s="31">
        <f t="shared" si="1507"/>
        <v>0.58124999999999993</v>
      </c>
      <c r="C7954" t="str">
        <f>'Inventory as of 12th Aug 2024'!A10</f>
        <v>Mt Kenya milk 200ml</v>
      </c>
      <c r="D7954">
        <v>1</v>
      </c>
      <c r="E7954" s="5">
        <f>Table4[[#This Row],[qty]]*(VLOOKUP(Table4[[#This Row],[item_sold]],Table1[],5,FALSE))</f>
        <v>35</v>
      </c>
      <c r="F7954" s="5">
        <f>(VLOOKUP(Table4[[#This Row],[item_sold]],Table1[],4,FALSE))*Table4[[#This Row],[qty]]</f>
        <v>24.285714285714285</v>
      </c>
      <c r="G7954">
        <f t="shared" si="1488"/>
        <v>10.714285714285715</v>
      </c>
      <c r="H7954" t="s">
        <v>402</v>
      </c>
    </row>
    <row r="7955" spans="1:9" x14ac:dyDescent="0.25">
      <c r="A7955" s="1">
        <f t="shared" si="1496"/>
        <v>45608</v>
      </c>
      <c r="B7955" s="31">
        <f t="shared" si="1507"/>
        <v>0.58124999999999993</v>
      </c>
      <c r="C7955" t="str">
        <f>'Inventory as of 12th Aug 2024'!A234</f>
        <v>Bigdaddy</v>
      </c>
      <c r="D7955">
        <v>2</v>
      </c>
      <c r="E7955" s="5">
        <f>Table4[[#This Row],[qty]]*(VLOOKUP(Table4[[#This Row],[item_sold]],Table1[],5,FALSE))</f>
        <v>20</v>
      </c>
      <c r="F7955" s="5">
        <f>(VLOOKUP(Table4[[#This Row],[item_sold]],Table1[],4,FALSE))*Table4[[#This Row],[qty]]</f>
        <v>12</v>
      </c>
      <c r="G7955">
        <f t="shared" si="1488"/>
        <v>8</v>
      </c>
      <c r="H7955" t="s">
        <v>402</v>
      </c>
    </row>
    <row r="7956" spans="1:9" x14ac:dyDescent="0.25">
      <c r="A7956" s="1">
        <f t="shared" si="1496"/>
        <v>45608</v>
      </c>
      <c r="B7956" s="31">
        <f t="shared" si="1507"/>
        <v>0.58124999999999993</v>
      </c>
      <c r="C7956" t="str">
        <f>'Inventory as of 12th Aug 2024'!A212</f>
        <v>soda 300ml glass</v>
      </c>
      <c r="D7956">
        <v>2</v>
      </c>
      <c r="E7956" s="5">
        <f>Table4[[#This Row],[qty]]*(VLOOKUP(Table4[[#This Row],[item_sold]],Table1[],5,FALSE))</f>
        <v>80</v>
      </c>
      <c r="F7956" s="5">
        <f>(VLOOKUP(Table4[[#This Row],[item_sold]],Table1[],4,FALSE))*Table4[[#This Row],[qty]]</f>
        <v>65</v>
      </c>
      <c r="G7956">
        <f t="shared" ref="G7956:G8019" si="1508">E7956-F7956</f>
        <v>15</v>
      </c>
      <c r="H7956" t="s">
        <v>402</v>
      </c>
    </row>
    <row r="7957" spans="1:9" x14ac:dyDescent="0.25">
      <c r="A7957" s="1">
        <f t="shared" si="1496"/>
        <v>45608</v>
      </c>
      <c r="B7957" s="31">
        <f t="shared" si="1507"/>
        <v>0.58124999999999993</v>
      </c>
      <c r="C7957" t="str">
        <f>'Inventory as of 12th Aug 2024'!A37</f>
        <v>Festive Bread 400g</v>
      </c>
      <c r="D7957">
        <v>1</v>
      </c>
      <c r="E7957" s="5">
        <f>Table4[[#This Row],[qty]]*(VLOOKUP(Table4[[#This Row],[item_sold]],Table1[],5,FALSE))</f>
        <v>65</v>
      </c>
      <c r="F7957" s="5">
        <f>(VLOOKUP(Table4[[#This Row],[item_sold]],Table1[],4,FALSE))*Table4[[#This Row],[qty]]</f>
        <v>60</v>
      </c>
      <c r="G7957">
        <f t="shared" si="1508"/>
        <v>5</v>
      </c>
      <c r="H7957" s="25" t="s">
        <v>361</v>
      </c>
    </row>
    <row r="7958" spans="1:9" x14ac:dyDescent="0.25">
      <c r="A7958" s="1">
        <f t="shared" si="1496"/>
        <v>45608</v>
      </c>
      <c r="B7958" s="31">
        <f>TIME(14,17,0)</f>
        <v>0.59513888888888888</v>
      </c>
      <c r="C7958" t="str">
        <f>'Inventory as of 12th Aug 2024'!A238</f>
        <v>Tropical</v>
      </c>
      <c r="D7958">
        <v>1</v>
      </c>
      <c r="E7958" s="5">
        <f>Table4[[#This Row],[qty]]*(VLOOKUP(Table4[[#This Row],[item_sold]],Table1[],5,FALSE))</f>
        <v>5</v>
      </c>
      <c r="F7958" s="5">
        <f>(VLOOKUP(Table4[[#This Row],[item_sold]],Table1[],4,FALSE))*Table4[[#This Row],[qty]]</f>
        <v>1.5</v>
      </c>
      <c r="G7958">
        <f t="shared" si="1508"/>
        <v>3.5</v>
      </c>
      <c r="H7958" t="s">
        <v>402</v>
      </c>
    </row>
    <row r="7959" spans="1:9" x14ac:dyDescent="0.25">
      <c r="A7959" s="1">
        <f t="shared" si="1496"/>
        <v>45608</v>
      </c>
      <c r="B7959" s="31">
        <f t="shared" ref="B7959:B7968" si="1509">TIME(14,17,0)</f>
        <v>0.59513888888888888</v>
      </c>
      <c r="C7959" t="str">
        <f>'Inventory as of 12th Aug 2024'!A271</f>
        <v>Star Cream Bisquit</v>
      </c>
      <c r="D7959">
        <v>4</v>
      </c>
      <c r="E7959" s="5">
        <f>Table4[[#This Row],[qty]]*(VLOOKUP(Table4[[#This Row],[item_sold]],Table1[],5,FALSE))</f>
        <v>20</v>
      </c>
      <c r="F7959" s="5">
        <f>(VLOOKUP(Table4[[#This Row],[item_sold]],Table1[],4,FALSE))*Table4[[#This Row],[qty]]</f>
        <v>16.933333333333334</v>
      </c>
      <c r="G7959">
        <f t="shared" si="1508"/>
        <v>3.0666666666666664</v>
      </c>
      <c r="H7959" t="s">
        <v>402</v>
      </c>
    </row>
    <row r="7960" spans="1:9" x14ac:dyDescent="0.25">
      <c r="A7960" s="1">
        <f t="shared" si="1496"/>
        <v>45608</v>
      </c>
      <c r="B7960" s="31">
        <f t="shared" si="1509"/>
        <v>0.59513888888888888</v>
      </c>
      <c r="C7960" t="str">
        <f>'Inventory as of 12th Aug 2024'!A107</f>
        <v>Match Box</v>
      </c>
      <c r="D7960">
        <v>1</v>
      </c>
      <c r="E7960" s="5">
        <f>Table4[[#This Row],[qty]]*(VLOOKUP(Table4[[#This Row],[item_sold]],Table1[],5,FALSE))</f>
        <v>5</v>
      </c>
      <c r="F7960" s="5">
        <f>(VLOOKUP(Table4[[#This Row],[item_sold]],Table1[],4,FALSE))*Table4[[#This Row],[qty]]</f>
        <v>2.3611111111111112</v>
      </c>
      <c r="G7960">
        <f t="shared" si="1508"/>
        <v>2.6388888888888888</v>
      </c>
      <c r="H7960" t="s">
        <v>402</v>
      </c>
    </row>
    <row r="7961" spans="1:9" x14ac:dyDescent="0.25">
      <c r="A7961" s="1">
        <f t="shared" si="1496"/>
        <v>45608</v>
      </c>
      <c r="B7961" s="31">
        <f t="shared" si="1509"/>
        <v>0.59513888888888888</v>
      </c>
      <c r="C7961" t="str">
        <f>'Inventory as of 12th Aug 2024'!A211</f>
        <v>predator</v>
      </c>
      <c r="D7961">
        <v>1</v>
      </c>
      <c r="E7961" s="5">
        <f>Table4[[#This Row],[qty]]*(VLOOKUP(Table4[[#This Row],[item_sold]],Table1[],5,FALSE))</f>
        <v>70</v>
      </c>
      <c r="F7961" s="5">
        <f>(VLOOKUP(Table4[[#This Row],[item_sold]],Table1[],4,FALSE))*Table4[[#This Row],[qty]]</f>
        <v>54.166666666666664</v>
      </c>
      <c r="G7961">
        <f t="shared" si="1508"/>
        <v>15.833333333333336</v>
      </c>
      <c r="H7961" t="s">
        <v>430</v>
      </c>
      <c r="I7961" t="s">
        <v>423</v>
      </c>
    </row>
    <row r="7962" spans="1:9" x14ac:dyDescent="0.25">
      <c r="A7962" s="1">
        <f t="shared" si="1496"/>
        <v>45608</v>
      </c>
      <c r="B7962" s="31">
        <f t="shared" si="1509"/>
        <v>0.59513888888888888</v>
      </c>
      <c r="C7962" t="str">
        <f>'Inventory as of 12th Aug 2024'!A206</f>
        <v>soda 500ml plastic</v>
      </c>
      <c r="D7962">
        <v>1</v>
      </c>
      <c r="E7962" s="5">
        <f>Table4[[#This Row],[qty]]*(VLOOKUP(Table4[[#This Row],[item_sold]],Table1[],5,FALSE))</f>
        <v>70</v>
      </c>
      <c r="F7962" s="5">
        <f>(VLOOKUP(Table4[[#This Row],[item_sold]],Table1[],4,FALSE))*Table4[[#This Row],[qty]]</f>
        <v>60.416666666666664</v>
      </c>
      <c r="G7962">
        <f t="shared" si="1508"/>
        <v>9.5833333333333357</v>
      </c>
      <c r="H7962" t="s">
        <v>430</v>
      </c>
      <c r="I7962" t="s">
        <v>423</v>
      </c>
    </row>
    <row r="7963" spans="1:9" x14ac:dyDescent="0.25">
      <c r="A7963" s="1">
        <f t="shared" si="1496"/>
        <v>45608</v>
      </c>
      <c r="B7963" s="31">
        <f t="shared" si="1509"/>
        <v>0.59513888888888888</v>
      </c>
      <c r="C7963" t="str">
        <f>'Inventory as of 12th Aug 2024'!A42</f>
        <v>Indomie chicken</v>
      </c>
      <c r="D7963">
        <v>1</v>
      </c>
      <c r="E7963" s="5">
        <f>Table4[[#This Row],[qty]]*(VLOOKUP(Table4[[#This Row],[item_sold]],Table1[],5,FALSE))</f>
        <v>50</v>
      </c>
      <c r="F7963" s="5">
        <f>(VLOOKUP(Table4[[#This Row],[item_sold]],Table1[],4,FALSE))*Table4[[#This Row],[qty]]</f>
        <v>37.5</v>
      </c>
      <c r="G7963">
        <f t="shared" si="1508"/>
        <v>12.5</v>
      </c>
      <c r="H7963" t="s">
        <v>430</v>
      </c>
      <c r="I7963" t="s">
        <v>423</v>
      </c>
    </row>
    <row r="7964" spans="1:9" x14ac:dyDescent="0.25">
      <c r="A7964" s="1">
        <f t="shared" si="1496"/>
        <v>45608</v>
      </c>
      <c r="B7964" s="31">
        <f t="shared" si="1509"/>
        <v>0.59513888888888888</v>
      </c>
      <c r="C7964" t="str">
        <f>'Inventory as of 12th Aug 2024'!A215</f>
        <v>Blueband 100g</v>
      </c>
      <c r="D7964">
        <v>1</v>
      </c>
      <c r="E7964" s="5">
        <f>Table4[[#This Row],[qty]]*(VLOOKUP(Table4[[#This Row],[item_sold]],Table1[],5,FALSE))</f>
        <v>70</v>
      </c>
      <c r="F7964" s="5">
        <f>(VLOOKUP(Table4[[#This Row],[item_sold]],Table1[],4,FALSE))*Table4[[#This Row],[qty]]</f>
        <v>58.333333333333336</v>
      </c>
      <c r="G7964">
        <f t="shared" si="1508"/>
        <v>11.666666666666664</v>
      </c>
      <c r="H7964" t="s">
        <v>430</v>
      </c>
      <c r="I7964" t="s">
        <v>423</v>
      </c>
    </row>
    <row r="7965" spans="1:9" x14ac:dyDescent="0.25">
      <c r="A7965" s="1">
        <f t="shared" si="1496"/>
        <v>45608</v>
      </c>
      <c r="B7965" s="31">
        <f t="shared" si="1509"/>
        <v>0.59513888888888888</v>
      </c>
      <c r="C7965" t="str">
        <f>'Inventory as of 12th Aug 2024'!A17</f>
        <v>Brookside milk 500ml</v>
      </c>
      <c r="D7965">
        <v>2</v>
      </c>
      <c r="E7965" s="5">
        <f>Table4[[#This Row],[qty]]*(VLOOKUP(Table4[[#This Row],[item_sold]],Table1[],5,FALSE))</f>
        <v>140</v>
      </c>
      <c r="F7965" s="5">
        <f>(VLOOKUP(Table4[[#This Row],[item_sold]],Table1[],4,FALSE))*Table4[[#This Row],[qty]]</f>
        <v>118</v>
      </c>
      <c r="G7965">
        <f t="shared" si="1508"/>
        <v>22</v>
      </c>
      <c r="H7965" t="s">
        <v>430</v>
      </c>
      <c r="I7965" t="s">
        <v>423</v>
      </c>
    </row>
    <row r="7966" spans="1:9" x14ac:dyDescent="0.25">
      <c r="A7966" s="1">
        <f t="shared" si="1496"/>
        <v>45608</v>
      </c>
      <c r="B7966" s="31">
        <f t="shared" si="1509"/>
        <v>0.59513888888888888</v>
      </c>
      <c r="C7966" t="str">
        <f>'Inventory as of 12th Aug 2024'!A178</f>
        <v>Ringoz Paprika</v>
      </c>
      <c r="D7966">
        <v>1</v>
      </c>
      <c r="E7966" s="5">
        <f>Table4[[#This Row],[qty]]*(VLOOKUP(Table4[[#This Row],[item_sold]],Table1[],5,FALSE))</f>
        <v>15</v>
      </c>
      <c r="F7966" s="5">
        <f>(VLOOKUP(Table4[[#This Row],[item_sold]],Table1[],4,FALSE))*Table4[[#This Row],[qty]]</f>
        <v>8.8000000000000007</v>
      </c>
      <c r="G7966">
        <f t="shared" si="1508"/>
        <v>6.1999999999999993</v>
      </c>
      <c r="H7966" t="s">
        <v>430</v>
      </c>
      <c r="I7966" t="s">
        <v>423</v>
      </c>
    </row>
    <row r="7967" spans="1:9" x14ac:dyDescent="0.25">
      <c r="A7967" s="1">
        <f t="shared" si="1496"/>
        <v>45608</v>
      </c>
      <c r="B7967" s="31">
        <f t="shared" si="1509"/>
        <v>0.59513888888888888</v>
      </c>
      <c r="C7967" t="str">
        <f>'Inventory as of 12th Aug 2024'!A37</f>
        <v>Festive Bread 400g</v>
      </c>
      <c r="D7967">
        <v>1</v>
      </c>
      <c r="E7967" s="5">
        <f>Table4[[#This Row],[qty]]*(VLOOKUP(Table4[[#This Row],[item_sold]],Table1[],5,FALSE))</f>
        <v>65</v>
      </c>
      <c r="F7967" s="5">
        <f>(VLOOKUP(Table4[[#This Row],[item_sold]],Table1[],4,FALSE))*Table4[[#This Row],[qty]]</f>
        <v>60</v>
      </c>
      <c r="G7967">
        <f t="shared" si="1508"/>
        <v>5</v>
      </c>
      <c r="H7967" t="s">
        <v>430</v>
      </c>
      <c r="I7967" t="s">
        <v>423</v>
      </c>
    </row>
    <row r="7968" spans="1:9" x14ac:dyDescent="0.25">
      <c r="A7968" s="1">
        <f t="shared" si="1496"/>
        <v>45608</v>
      </c>
      <c r="B7968" s="31">
        <f t="shared" si="1509"/>
        <v>0.59513888888888888</v>
      </c>
      <c r="C7968" t="str">
        <f>'Inventory as of 12th Aug 2024'!A58</f>
        <v>Safari</v>
      </c>
      <c r="D7968">
        <v>4</v>
      </c>
      <c r="E7968" s="5">
        <f>Table4[[#This Row],[qty]]*(VLOOKUP(Table4[[#This Row],[item_sold]],Table1[],5,FALSE))</f>
        <v>60</v>
      </c>
      <c r="F7968" s="5">
        <f>(VLOOKUP(Table4[[#This Row],[item_sold]],Table1[],4,FALSE))*Table4[[#This Row],[qty]]</f>
        <v>34</v>
      </c>
      <c r="G7968">
        <f t="shared" si="1508"/>
        <v>26</v>
      </c>
      <c r="H7968" t="s">
        <v>402</v>
      </c>
    </row>
    <row r="7969" spans="1:12" x14ac:dyDescent="0.25">
      <c r="A7969" s="1">
        <f t="shared" si="1496"/>
        <v>45608</v>
      </c>
      <c r="B7969" s="31">
        <f>TIME(14,47,0)</f>
        <v>0.61597222222222225</v>
      </c>
      <c r="C7969" t="str">
        <f>'Inventory as of 12th Aug 2024'!A266</f>
        <v>Zenta Bar Soap</v>
      </c>
      <c r="D7969">
        <v>0.2</v>
      </c>
      <c r="E7969" s="5">
        <f>Table4[[#This Row],[qty]]*(VLOOKUP(Table4[[#This Row],[item_sold]],Table1[],5,FALSE))</f>
        <v>50</v>
      </c>
      <c r="F7969" s="5">
        <f>(VLOOKUP(Table4[[#This Row],[item_sold]],Table1[],4,FALSE))*Table4[[#This Row],[qty]]</f>
        <v>32</v>
      </c>
      <c r="G7969">
        <f t="shared" si="1508"/>
        <v>18</v>
      </c>
      <c r="H7969" t="s">
        <v>361</v>
      </c>
      <c r="J7969" t="s">
        <v>447</v>
      </c>
      <c r="K7969">
        <v>15</v>
      </c>
      <c r="L7969" t="s">
        <v>247</v>
      </c>
    </row>
    <row r="7970" spans="1:12" x14ac:dyDescent="0.25">
      <c r="A7970" s="1">
        <f t="shared" si="1496"/>
        <v>45608</v>
      </c>
      <c r="B7970" s="31">
        <f>TIME(15,20,0)</f>
        <v>0.63888888888888895</v>
      </c>
      <c r="C7970" t="str">
        <f>'Inventory as of 12th Aug 2024'!A122</f>
        <v>Sonaplast</v>
      </c>
      <c r="D7970">
        <v>1</v>
      </c>
      <c r="E7970" s="5">
        <f>Table4[[#This Row],[qty]]*(VLOOKUP(Table4[[#This Row],[item_sold]],Table1[],5,FALSE))</f>
        <v>10</v>
      </c>
      <c r="F7970" s="5">
        <f>(VLOOKUP(Table4[[#This Row],[item_sold]],Table1[],4,FALSE))*Table4[[#This Row],[qty]]</f>
        <v>7</v>
      </c>
      <c r="G7970">
        <f t="shared" si="1508"/>
        <v>3</v>
      </c>
      <c r="H7970" t="s">
        <v>402</v>
      </c>
    </row>
    <row r="7971" spans="1:12" x14ac:dyDescent="0.25">
      <c r="A7971" s="1">
        <f t="shared" si="1496"/>
        <v>45608</v>
      </c>
      <c r="B7971" s="31">
        <f t="shared" ref="B7971:B7973" si="1510">TIME(15,20,0)</f>
        <v>0.63888888888888895</v>
      </c>
      <c r="C7971" t="str">
        <f>'Inventory as of 12th Aug 2024'!A58</f>
        <v>Safari</v>
      </c>
      <c r="D7971">
        <v>1</v>
      </c>
      <c r="E7971" s="5">
        <f>Table4[[#This Row],[qty]]*(VLOOKUP(Table4[[#This Row],[item_sold]],Table1[],5,FALSE))</f>
        <v>15</v>
      </c>
      <c r="F7971" s="5">
        <f>(VLOOKUP(Table4[[#This Row],[item_sold]],Table1[],4,FALSE))*Table4[[#This Row],[qty]]</f>
        <v>8.5</v>
      </c>
      <c r="G7971">
        <f t="shared" si="1508"/>
        <v>6.5</v>
      </c>
      <c r="H7971" t="s">
        <v>402</v>
      </c>
    </row>
    <row r="7972" spans="1:12" x14ac:dyDescent="0.25">
      <c r="A7972" s="1">
        <f t="shared" si="1496"/>
        <v>45608</v>
      </c>
      <c r="B7972" s="31">
        <f t="shared" si="1510"/>
        <v>0.63888888888888895</v>
      </c>
      <c r="C7972" t="str">
        <f>'Inventory as of 12th Aug 2024'!A10</f>
        <v>Mt Kenya milk 200ml</v>
      </c>
      <c r="D7972">
        <v>1</v>
      </c>
      <c r="E7972" s="5">
        <f>Table4[[#This Row],[qty]]*(VLOOKUP(Table4[[#This Row],[item_sold]],Table1[],5,FALSE))</f>
        <v>35</v>
      </c>
      <c r="F7972" s="5">
        <f>(VLOOKUP(Table4[[#This Row],[item_sold]],Table1[],4,FALSE))*Table4[[#This Row],[qty]]</f>
        <v>24.285714285714285</v>
      </c>
      <c r="G7972">
        <f t="shared" si="1508"/>
        <v>10.714285714285715</v>
      </c>
      <c r="H7972" t="s">
        <v>402</v>
      </c>
    </row>
    <row r="7973" spans="1:12" x14ac:dyDescent="0.25">
      <c r="A7973" s="1">
        <f t="shared" si="1496"/>
        <v>45608</v>
      </c>
      <c r="B7973" s="31">
        <f t="shared" si="1510"/>
        <v>0.63888888888888895</v>
      </c>
      <c r="C7973" t="str">
        <f>'Inventory as of 12th Aug 2024'!A199</f>
        <v>Kdf</v>
      </c>
      <c r="D7973">
        <v>4</v>
      </c>
      <c r="E7973" s="5">
        <f>Table4[[#This Row],[qty]]*(VLOOKUP(Table4[[#This Row],[item_sold]],Table1[],5,FALSE))</f>
        <v>40</v>
      </c>
      <c r="F7973" s="5">
        <f>(VLOOKUP(Table4[[#This Row],[item_sold]],Table1[],4,FALSE))*Table4[[#This Row],[qty]]</f>
        <v>33.333333333333336</v>
      </c>
      <c r="G7973">
        <f t="shared" si="1508"/>
        <v>6.6666666666666643</v>
      </c>
      <c r="H7973" t="s">
        <v>402</v>
      </c>
    </row>
    <row r="7974" spans="1:12" x14ac:dyDescent="0.25">
      <c r="A7974" s="1">
        <f t="shared" si="1496"/>
        <v>45608</v>
      </c>
      <c r="B7974" s="31">
        <f>TIME(16,6,0)</f>
        <v>0.67083333333333339</v>
      </c>
      <c r="C7974" t="str">
        <f>'Inventory as of 12th Aug 2024'!A212</f>
        <v>soda 300ml glass</v>
      </c>
      <c r="D7974">
        <v>1</v>
      </c>
      <c r="E7974" s="5">
        <f>Table4[[#This Row],[qty]]*(VLOOKUP(Table4[[#This Row],[item_sold]],Table1[],5,FALSE))</f>
        <v>40</v>
      </c>
      <c r="F7974" s="5">
        <f>(VLOOKUP(Table4[[#This Row],[item_sold]],Table1[],4,FALSE))*Table4[[#This Row],[qty]]</f>
        <v>32.5</v>
      </c>
      <c r="G7974">
        <f t="shared" si="1508"/>
        <v>7.5</v>
      </c>
      <c r="H7974" t="s">
        <v>361</v>
      </c>
    </row>
    <row r="7975" spans="1:12" x14ac:dyDescent="0.25">
      <c r="A7975" s="1">
        <f t="shared" si="1496"/>
        <v>45608</v>
      </c>
      <c r="B7975" s="31">
        <f t="shared" ref="B7975:B7976" si="1511">TIME(16,6,0)</f>
        <v>0.67083333333333339</v>
      </c>
      <c r="C7975" t="str">
        <f>'Inventory as of 12th Aug 2024'!A187</f>
        <v>Njugu</v>
      </c>
      <c r="D7975">
        <v>2</v>
      </c>
      <c r="E7975" s="5">
        <f>Table4[[#This Row],[qty]]*(VLOOKUP(Table4[[#This Row],[item_sold]],Table1[],5,FALSE))</f>
        <v>40</v>
      </c>
      <c r="F7975" s="5">
        <f>(VLOOKUP(Table4[[#This Row],[item_sold]],Table1[],4,FALSE))*Table4[[#This Row],[qty]]</f>
        <v>21.333333333333332</v>
      </c>
      <c r="G7975">
        <f t="shared" si="1508"/>
        <v>18.666666666666668</v>
      </c>
      <c r="H7975" t="s">
        <v>361</v>
      </c>
    </row>
    <row r="7976" spans="1:12" x14ac:dyDescent="0.25">
      <c r="A7976" s="1">
        <f t="shared" si="1496"/>
        <v>45608</v>
      </c>
      <c r="B7976" s="31">
        <f t="shared" si="1511"/>
        <v>0.67083333333333339</v>
      </c>
      <c r="C7976" t="str">
        <f>'Inventory as of 12th Aug 2024'!A199</f>
        <v>Kdf</v>
      </c>
      <c r="D7976">
        <v>2</v>
      </c>
      <c r="E7976" s="5">
        <f>Table4[[#This Row],[qty]]*(VLOOKUP(Table4[[#This Row],[item_sold]],Table1[],5,FALSE))</f>
        <v>20</v>
      </c>
      <c r="F7976" s="5">
        <f>(VLOOKUP(Table4[[#This Row],[item_sold]],Table1[],4,FALSE))*Table4[[#This Row],[qty]]</f>
        <v>16.666666666666668</v>
      </c>
      <c r="G7976">
        <f t="shared" si="1508"/>
        <v>3.3333333333333321</v>
      </c>
      <c r="H7976" t="s">
        <v>361</v>
      </c>
    </row>
    <row r="7977" spans="1:12" x14ac:dyDescent="0.25">
      <c r="A7977" s="1">
        <f t="shared" si="1496"/>
        <v>45608</v>
      </c>
      <c r="B7977" s="31">
        <f>TIME(16,29,0)</f>
        <v>0.68680555555555556</v>
      </c>
      <c r="C7977" t="str">
        <f>'Inventory as of 12th Aug 2024'!A17</f>
        <v>Brookside milk 500ml</v>
      </c>
      <c r="D7977">
        <v>1</v>
      </c>
      <c r="E7977" s="5">
        <f>Table4[[#This Row],[qty]]*(VLOOKUP(Table4[[#This Row],[item_sold]],Table1[],5,FALSE))</f>
        <v>70</v>
      </c>
      <c r="F7977" s="5">
        <f>(VLOOKUP(Table4[[#This Row],[item_sold]],Table1[],4,FALSE))*Table4[[#This Row],[qty]]</f>
        <v>59</v>
      </c>
      <c r="G7977">
        <f t="shared" si="1508"/>
        <v>11</v>
      </c>
      <c r="H7977" t="s">
        <v>361</v>
      </c>
    </row>
    <row r="7978" spans="1:12" x14ac:dyDescent="0.25">
      <c r="A7978" s="1">
        <f t="shared" si="1496"/>
        <v>45608</v>
      </c>
      <c r="B7978" s="31">
        <f t="shared" ref="B7978:B7983" si="1512">TIME(16,29,0)</f>
        <v>0.68680555555555556</v>
      </c>
      <c r="C7978" t="str">
        <f>'Inventory as of 12th Aug 2024'!A205</f>
        <v xml:space="preserve"> soda 1.25lts</v>
      </c>
      <c r="D7978">
        <v>1</v>
      </c>
      <c r="E7978" s="5">
        <f>Table4[[#This Row],[qty]]*(VLOOKUP(Table4[[#This Row],[item_sold]],Table1[],5,FALSE))</f>
        <v>130</v>
      </c>
      <c r="F7978" s="5">
        <f>(VLOOKUP(Table4[[#This Row],[item_sold]],Table1[],4,FALSE))*Table4[[#This Row],[qty]]</f>
        <v>112.5</v>
      </c>
      <c r="G7978">
        <f t="shared" si="1508"/>
        <v>17.5</v>
      </c>
      <c r="H7978" t="s">
        <v>247</v>
      </c>
    </row>
    <row r="7979" spans="1:12" x14ac:dyDescent="0.25">
      <c r="A7979" s="1">
        <f t="shared" si="1496"/>
        <v>45608</v>
      </c>
      <c r="B7979" s="31">
        <f t="shared" si="1512"/>
        <v>0.68680555555555556</v>
      </c>
      <c r="C7979" t="str">
        <f>'Inventory as of 12th Aug 2024'!A199</f>
        <v>Kdf</v>
      </c>
      <c r="D7979">
        <v>2</v>
      </c>
      <c r="E7979" s="5">
        <f>Table4[[#This Row],[qty]]*(VLOOKUP(Table4[[#This Row],[item_sold]],Table1[],5,FALSE))</f>
        <v>20</v>
      </c>
      <c r="F7979" s="5">
        <f>(VLOOKUP(Table4[[#This Row],[item_sold]],Table1[],4,FALSE))*Table4[[#This Row],[qty]]</f>
        <v>16.666666666666668</v>
      </c>
      <c r="G7979">
        <f t="shared" si="1508"/>
        <v>3.3333333333333321</v>
      </c>
      <c r="H7979" t="s">
        <v>247</v>
      </c>
    </row>
    <row r="7980" spans="1:12" x14ac:dyDescent="0.25">
      <c r="A7980" s="1">
        <f t="shared" si="1496"/>
        <v>45608</v>
      </c>
      <c r="B7980" s="31">
        <f t="shared" si="1512"/>
        <v>0.68680555555555556</v>
      </c>
      <c r="C7980" t="str">
        <f>'Inventory as of 12th Aug 2024'!A236</f>
        <v>Gomba</v>
      </c>
      <c r="D7980">
        <v>4</v>
      </c>
      <c r="E7980" s="5">
        <f>Table4[[#This Row],[qty]]*(VLOOKUP(Table4[[#This Row],[item_sold]],Table1[],5,FALSE))</f>
        <v>10</v>
      </c>
      <c r="F7980" s="5">
        <f>(VLOOKUP(Table4[[#This Row],[item_sold]],Table1[],4,FALSE))*Table4[[#This Row],[qty]]</f>
        <v>7.2</v>
      </c>
      <c r="G7980">
        <f t="shared" si="1508"/>
        <v>2.8</v>
      </c>
      <c r="H7980" t="s">
        <v>247</v>
      </c>
    </row>
    <row r="7981" spans="1:12" x14ac:dyDescent="0.25">
      <c r="A7981" s="1">
        <f t="shared" si="1496"/>
        <v>45608</v>
      </c>
      <c r="B7981" s="31">
        <f t="shared" si="1512"/>
        <v>0.68680555555555556</v>
      </c>
      <c r="C7981" t="str">
        <f>'Inventory as of 12th Aug 2024'!A7</f>
        <v>Airtel 50 Credit</v>
      </c>
      <c r="D7981">
        <v>4</v>
      </c>
      <c r="E7981" s="5">
        <f>Table4[[#This Row],[qty]]*(VLOOKUP(Table4[[#This Row],[item_sold]],Table1[],5,FALSE))</f>
        <v>200</v>
      </c>
      <c r="F7981" s="5">
        <f>(VLOOKUP(Table4[[#This Row],[item_sold]],Table1[],4,FALSE))*Table4[[#This Row],[qty]]</f>
        <v>188</v>
      </c>
      <c r="G7981">
        <f t="shared" si="1508"/>
        <v>12</v>
      </c>
      <c r="H7981" t="s">
        <v>247</v>
      </c>
    </row>
    <row r="7982" spans="1:12" x14ac:dyDescent="0.25">
      <c r="A7982" s="1">
        <f t="shared" si="1496"/>
        <v>45608</v>
      </c>
      <c r="B7982" s="31">
        <f t="shared" si="1512"/>
        <v>0.68680555555555556</v>
      </c>
      <c r="C7982" t="str">
        <f>'Inventory as of 12th Aug 2024'!A231</f>
        <v>Patco</v>
      </c>
      <c r="D7982">
        <v>2</v>
      </c>
      <c r="E7982" s="5">
        <f>Table4[[#This Row],[qty]]*(VLOOKUP(Table4[[#This Row],[item_sold]],Table1[],5,FALSE))</f>
        <v>5</v>
      </c>
      <c r="F7982" s="5">
        <f>(VLOOKUP(Table4[[#This Row],[item_sold]],Table1[],4,FALSE))*Table4[[#This Row],[qty]]</f>
        <v>2.4</v>
      </c>
      <c r="G7982">
        <f t="shared" si="1508"/>
        <v>2.6</v>
      </c>
      <c r="H7982" t="s">
        <v>430</v>
      </c>
      <c r="I7982" t="s">
        <v>393</v>
      </c>
    </row>
    <row r="7983" spans="1:12" x14ac:dyDescent="0.25">
      <c r="A7983" s="1">
        <f t="shared" ref="A7983:A8000" si="1513">DATE(2024,11,12)</f>
        <v>45608</v>
      </c>
      <c r="B7983" s="31">
        <f t="shared" si="1512"/>
        <v>0.68680555555555556</v>
      </c>
      <c r="C7983" t="str">
        <f>'Inventory as of 12th Aug 2024'!A232</f>
        <v>coo</v>
      </c>
      <c r="D7983">
        <v>2</v>
      </c>
      <c r="E7983" s="5">
        <f>Table4[[#This Row],[qty]]*(VLOOKUP(Table4[[#This Row],[item_sold]],Table1[],5,FALSE))</f>
        <v>5</v>
      </c>
      <c r="F7983" s="5">
        <f>(VLOOKUP(Table4[[#This Row],[item_sold]],Table1[],4,FALSE))*Table4[[#This Row],[qty]]</f>
        <v>2.4</v>
      </c>
      <c r="G7983">
        <f t="shared" si="1508"/>
        <v>2.6</v>
      </c>
      <c r="H7983" t="s">
        <v>430</v>
      </c>
      <c r="I7983" t="s">
        <v>393</v>
      </c>
    </row>
    <row r="7984" spans="1:12" x14ac:dyDescent="0.25">
      <c r="A7984" s="1">
        <f t="shared" si="1513"/>
        <v>45608</v>
      </c>
      <c r="B7984" s="31">
        <f>TIME(18,1,0)</f>
        <v>0.75069444444444444</v>
      </c>
      <c r="C7984" t="str">
        <f>'Inventory as of 12th Aug 2024'!A8</f>
        <v>eggs</v>
      </c>
      <c r="D7984">
        <v>2</v>
      </c>
      <c r="E7984" s="5">
        <f>Table4[[#This Row],[qty]]*(VLOOKUP(Table4[[#This Row],[item_sold]],Table1[],5,FALSE))</f>
        <v>40</v>
      </c>
      <c r="F7984" s="5">
        <f>(VLOOKUP(Table4[[#This Row],[item_sold]],Table1[],4,FALSE))*Table4[[#This Row],[qty]]</f>
        <v>28.666666666666668</v>
      </c>
      <c r="G7984">
        <f t="shared" si="1508"/>
        <v>11.333333333333332</v>
      </c>
      <c r="H7984" t="s">
        <v>430</v>
      </c>
      <c r="I7984" t="s">
        <v>390</v>
      </c>
    </row>
    <row r="7985" spans="1:12" x14ac:dyDescent="0.25">
      <c r="A7985" s="1">
        <f t="shared" si="1513"/>
        <v>45608</v>
      </c>
      <c r="B7985" s="31">
        <f>TIME(18,38,0)</f>
        <v>0.77638888888888891</v>
      </c>
      <c r="C7985" t="str">
        <f>'Inventory as of 12th Aug 2024'!A84</f>
        <v>omo 20g</v>
      </c>
      <c r="D7985">
        <v>1</v>
      </c>
      <c r="E7985" s="5">
        <f>Table4[[#This Row],[qty]]*(VLOOKUP(Table4[[#This Row],[item_sold]],Table1[],5,FALSE))</f>
        <v>15</v>
      </c>
      <c r="F7985" s="5">
        <f>(VLOOKUP(Table4[[#This Row],[item_sold]],Table1[],4,FALSE))*Table4[[#This Row],[qty]]</f>
        <v>9.1666666666666661</v>
      </c>
      <c r="G7985">
        <f t="shared" si="1508"/>
        <v>5.8333333333333339</v>
      </c>
      <c r="H7985" t="s">
        <v>402</v>
      </c>
      <c r="J7985" t="s">
        <v>461</v>
      </c>
      <c r="K7985">
        <v>600</v>
      </c>
      <c r="L7985" t="s">
        <v>361</v>
      </c>
    </row>
    <row r="7986" spans="1:12" x14ac:dyDescent="0.25">
      <c r="A7986" s="1">
        <f t="shared" si="1513"/>
        <v>45608</v>
      </c>
      <c r="B7986" s="31">
        <f>TIME(18,51,0)</f>
        <v>0.78541666666666676</v>
      </c>
      <c r="C7986" t="str">
        <f>'Inventory as of 12th Aug 2024'!A10</f>
        <v>Mt Kenya milk 200ml</v>
      </c>
      <c r="D7986">
        <v>1</v>
      </c>
      <c r="E7986" s="5">
        <f>Table4[[#This Row],[qty]]*(VLOOKUP(Table4[[#This Row],[item_sold]],Table1[],5,FALSE))</f>
        <v>35</v>
      </c>
      <c r="F7986" s="5">
        <f>(VLOOKUP(Table4[[#This Row],[item_sold]],Table1[],4,FALSE))*Table4[[#This Row],[qty]]</f>
        <v>24.285714285714285</v>
      </c>
      <c r="G7986">
        <f t="shared" si="1508"/>
        <v>10.714285714285715</v>
      </c>
      <c r="H7986" t="s">
        <v>402</v>
      </c>
    </row>
    <row r="7987" spans="1:12" x14ac:dyDescent="0.25">
      <c r="A7987" s="1">
        <f t="shared" si="1513"/>
        <v>45608</v>
      </c>
      <c r="B7987" s="31">
        <f t="shared" ref="B7987:B7990" si="1514">TIME(18,51,0)</f>
        <v>0.78541666666666676</v>
      </c>
      <c r="C7987" t="str">
        <f>'Inventory as of 12th Aug 2024'!A199</f>
        <v>Kdf</v>
      </c>
      <c r="D7987">
        <v>5</v>
      </c>
      <c r="E7987" s="5">
        <f>Table4[[#This Row],[qty]]*(VLOOKUP(Table4[[#This Row],[item_sold]],Table1[],5,FALSE))</f>
        <v>50</v>
      </c>
      <c r="F7987" s="5">
        <f>(VLOOKUP(Table4[[#This Row],[item_sold]],Table1[],4,FALSE))*Table4[[#This Row],[qty]]</f>
        <v>41.666666666666671</v>
      </c>
      <c r="G7987">
        <f t="shared" si="1508"/>
        <v>8.3333333333333286</v>
      </c>
      <c r="H7987" t="s">
        <v>402</v>
      </c>
    </row>
    <row r="7988" spans="1:12" x14ac:dyDescent="0.25">
      <c r="A7988" s="1">
        <f t="shared" si="1513"/>
        <v>45608</v>
      </c>
      <c r="B7988" s="31">
        <f t="shared" si="1514"/>
        <v>0.78541666666666676</v>
      </c>
      <c r="C7988" t="str">
        <f>'Inventory as of 12th Aug 2024'!A37</f>
        <v>Festive Bread 400g</v>
      </c>
      <c r="D7988">
        <v>1</v>
      </c>
      <c r="E7988" s="5">
        <f>Table4[[#This Row],[qty]]*(VLOOKUP(Table4[[#This Row],[item_sold]],Table1[],5,FALSE))</f>
        <v>65</v>
      </c>
      <c r="F7988" s="5">
        <f>(VLOOKUP(Table4[[#This Row],[item_sold]],Table1[],4,FALSE))*Table4[[#This Row],[qty]]</f>
        <v>60</v>
      </c>
      <c r="G7988">
        <f t="shared" si="1508"/>
        <v>5</v>
      </c>
      <c r="H7988" t="s">
        <v>361</v>
      </c>
    </row>
    <row r="7989" spans="1:12" x14ac:dyDescent="0.25">
      <c r="A7989" s="1">
        <f t="shared" si="1513"/>
        <v>45608</v>
      </c>
      <c r="B7989" s="31">
        <f t="shared" si="1514"/>
        <v>0.78541666666666676</v>
      </c>
      <c r="C7989" t="str">
        <f>'Inventory as of 12th Aug 2024'!A71</f>
        <v>Sugar 1/4 kg</v>
      </c>
      <c r="D7989">
        <v>1</v>
      </c>
      <c r="E7989" s="5">
        <f>Table4[[#This Row],[qty]]*(VLOOKUP(Table4[[#This Row],[item_sold]],Table1[],5,FALSE))</f>
        <v>45</v>
      </c>
      <c r="F7989" s="5">
        <f>(VLOOKUP(Table4[[#This Row],[item_sold]],Table1[],4,FALSE))*Table4[[#This Row],[qty]]</f>
        <v>30</v>
      </c>
      <c r="G7989">
        <f t="shared" si="1508"/>
        <v>15</v>
      </c>
      <c r="H7989" t="s">
        <v>361</v>
      </c>
      <c r="J7989" t="s">
        <v>455</v>
      </c>
      <c r="K7989">
        <v>50</v>
      </c>
      <c r="L7989" t="s">
        <v>247</v>
      </c>
    </row>
    <row r="7990" spans="1:12" x14ac:dyDescent="0.25">
      <c r="A7990" s="1">
        <f t="shared" si="1513"/>
        <v>45608</v>
      </c>
      <c r="B7990" s="31">
        <f t="shared" si="1514"/>
        <v>0.78541666666666676</v>
      </c>
      <c r="C7990" t="str">
        <f>'Inventory as of 12th Aug 2024'!A199</f>
        <v>Kdf</v>
      </c>
      <c r="D7990">
        <v>2</v>
      </c>
      <c r="E7990" s="5">
        <f>Table4[[#This Row],[qty]]*(VLOOKUP(Table4[[#This Row],[item_sold]],Table1[],5,FALSE))</f>
        <v>20</v>
      </c>
      <c r="F7990" s="5">
        <f>(VLOOKUP(Table4[[#This Row],[item_sold]],Table1[],4,FALSE))*Table4[[#This Row],[qty]]</f>
        <v>16.666666666666668</v>
      </c>
      <c r="G7990">
        <f t="shared" si="1508"/>
        <v>3.3333333333333321</v>
      </c>
      <c r="H7990" t="s">
        <v>402</v>
      </c>
    </row>
    <row r="7991" spans="1:12" x14ac:dyDescent="0.25">
      <c r="A7991" s="1">
        <f t="shared" si="1513"/>
        <v>45608</v>
      </c>
      <c r="B7991" s="31">
        <f>TIME(19,22,0)</f>
        <v>0.80694444444444446</v>
      </c>
      <c r="C7991" t="str">
        <f>'Inventory as of 12th Aug 2024'!A153</f>
        <v>mosquito stick</v>
      </c>
      <c r="D7991">
        <v>1</v>
      </c>
      <c r="E7991" s="5">
        <f>Table4[[#This Row],[qty]]*(VLOOKUP(Table4[[#This Row],[item_sold]],Table1[],5,FALSE))</f>
        <v>10</v>
      </c>
      <c r="F7991" s="5">
        <f>(VLOOKUP(Table4[[#This Row],[item_sold]],Table1[],4,FALSE))*Table4[[#This Row],[qty]]</f>
        <v>9</v>
      </c>
      <c r="G7991">
        <f t="shared" si="1508"/>
        <v>1</v>
      </c>
      <c r="H7991" t="s">
        <v>361</v>
      </c>
    </row>
    <row r="7992" spans="1:12" x14ac:dyDescent="0.25">
      <c r="A7992" s="1">
        <f t="shared" si="1513"/>
        <v>45608</v>
      </c>
      <c r="B7992" s="31">
        <f t="shared" ref="B7992:B7993" si="1515">TIME(19,22,0)</f>
        <v>0.80694444444444446</v>
      </c>
      <c r="C7992" t="str">
        <f>'Inventory as of 12th Aug 2024'!A58</f>
        <v>Safari</v>
      </c>
      <c r="D7992">
        <v>3</v>
      </c>
      <c r="E7992" s="5">
        <f>Table4[[#This Row],[qty]]*(VLOOKUP(Table4[[#This Row],[item_sold]],Table1[],5,FALSE))</f>
        <v>45</v>
      </c>
      <c r="F7992" s="5">
        <f>(VLOOKUP(Table4[[#This Row],[item_sold]],Table1[],4,FALSE))*Table4[[#This Row],[qty]]</f>
        <v>25.5</v>
      </c>
      <c r="G7992">
        <f t="shared" si="1508"/>
        <v>19.5</v>
      </c>
      <c r="H7992" t="s">
        <v>361</v>
      </c>
    </row>
    <row r="7993" spans="1:12" x14ac:dyDescent="0.25">
      <c r="A7993" s="1">
        <f t="shared" si="1513"/>
        <v>45608</v>
      </c>
      <c r="B7993" s="31">
        <f t="shared" si="1515"/>
        <v>0.80694444444444446</v>
      </c>
      <c r="C7993" t="str">
        <f>'Inventory as of 12th Aug 2024'!A10</f>
        <v>Mt Kenya milk 200ml</v>
      </c>
      <c r="D7993">
        <v>1</v>
      </c>
      <c r="E7993" s="5">
        <f>Table4[[#This Row],[qty]]*(VLOOKUP(Table4[[#This Row],[item_sold]],Table1[],5,FALSE))</f>
        <v>35</v>
      </c>
      <c r="F7993" s="5">
        <f>(VLOOKUP(Table4[[#This Row],[item_sold]],Table1[],4,FALSE))*Table4[[#This Row],[qty]]</f>
        <v>24.285714285714285</v>
      </c>
      <c r="G7993">
        <f t="shared" si="1508"/>
        <v>10.714285714285715</v>
      </c>
      <c r="H7993" t="s">
        <v>361</v>
      </c>
    </row>
    <row r="7994" spans="1:12" x14ac:dyDescent="0.25">
      <c r="A7994" s="1">
        <f t="shared" si="1513"/>
        <v>45608</v>
      </c>
      <c r="B7994" s="31">
        <f>TIME(19,53,0)</f>
        <v>0.82847222222222217</v>
      </c>
      <c r="C7994" t="str">
        <f>'Inventory as of 12th Aug 2024'!A58</f>
        <v>Safari</v>
      </c>
      <c r="D7994">
        <v>33</v>
      </c>
      <c r="E7994" s="5">
        <f>Table4[[#This Row],[qty]]*(VLOOKUP(Table4[[#This Row],[item_sold]],Table1[],5,FALSE))</f>
        <v>495</v>
      </c>
      <c r="F7994" s="5">
        <f>(VLOOKUP(Table4[[#This Row],[item_sold]],Table1[],4,FALSE))*Table4[[#This Row],[qty]]</f>
        <v>280.5</v>
      </c>
      <c r="G7994">
        <f t="shared" si="1508"/>
        <v>214.5</v>
      </c>
      <c r="H7994" t="s">
        <v>402</v>
      </c>
    </row>
    <row r="7995" spans="1:12" x14ac:dyDescent="0.25">
      <c r="A7995" s="1">
        <f t="shared" si="1513"/>
        <v>45608</v>
      </c>
      <c r="B7995" s="31">
        <f>TIME(20,5,0)</f>
        <v>0.83680555555555547</v>
      </c>
      <c r="C7995" t="str">
        <f>'Inventory as of 12th Aug 2024'!A211</f>
        <v>predator</v>
      </c>
      <c r="D7995">
        <v>1</v>
      </c>
      <c r="E7995" s="5">
        <f>Table4[[#This Row],[qty]]*(VLOOKUP(Table4[[#This Row],[item_sold]],Table1[],5,FALSE))</f>
        <v>70</v>
      </c>
      <c r="F7995" s="5">
        <f>(VLOOKUP(Table4[[#This Row],[item_sold]],Table1[],4,FALSE))*Table4[[#This Row],[qty]]</f>
        <v>54.166666666666664</v>
      </c>
      <c r="G7995">
        <f t="shared" si="1508"/>
        <v>15.833333333333336</v>
      </c>
      <c r="H7995" t="s">
        <v>361</v>
      </c>
    </row>
    <row r="7996" spans="1:12" x14ac:dyDescent="0.25">
      <c r="A7996" s="1">
        <f t="shared" si="1513"/>
        <v>45608</v>
      </c>
      <c r="B7996" s="31">
        <f t="shared" ref="B7996" si="1516">TIME(20,5,0)</f>
        <v>0.83680555555555547</v>
      </c>
      <c r="C7996" t="str">
        <f>'Inventory as of 12th Aug 2024'!A187</f>
        <v>Njugu</v>
      </c>
      <c r="D7996">
        <v>1</v>
      </c>
      <c r="E7996" s="5">
        <f>Table4[[#This Row],[qty]]*(VLOOKUP(Table4[[#This Row],[item_sold]],Table1[],5,FALSE))</f>
        <v>20</v>
      </c>
      <c r="F7996" s="5">
        <f>(VLOOKUP(Table4[[#This Row],[item_sold]],Table1[],4,FALSE))*Table4[[#This Row],[qty]]</f>
        <v>10.666666666666666</v>
      </c>
      <c r="G7996">
        <f t="shared" si="1508"/>
        <v>9.3333333333333339</v>
      </c>
      <c r="H7996" t="s">
        <v>361</v>
      </c>
    </row>
    <row r="7997" spans="1:12" x14ac:dyDescent="0.25">
      <c r="A7997" s="1">
        <f t="shared" si="1513"/>
        <v>45608</v>
      </c>
      <c r="B7997" s="31">
        <f>TIME(20,6,0)</f>
        <v>0.83750000000000002</v>
      </c>
      <c r="C7997" t="str">
        <f>'Inventory as of 12th Aug 2024'!A230</f>
        <v>Fresh Blue</v>
      </c>
      <c r="D7997">
        <v>1</v>
      </c>
      <c r="E7997" s="5">
        <f>Table4[[#This Row],[qty]]*(VLOOKUP(Table4[[#This Row],[item_sold]],Table1[],5,FALSE))</f>
        <v>10</v>
      </c>
      <c r="F7997" s="5">
        <f>(VLOOKUP(Table4[[#This Row],[item_sold]],Table1[],4,FALSE))*Table4[[#This Row],[qty]]</f>
        <v>5</v>
      </c>
      <c r="G7997">
        <f t="shared" si="1508"/>
        <v>5</v>
      </c>
      <c r="H7997" t="s">
        <v>361</v>
      </c>
    </row>
    <row r="7998" spans="1:12" x14ac:dyDescent="0.25">
      <c r="A7998" s="1">
        <f t="shared" si="1513"/>
        <v>45608</v>
      </c>
      <c r="B7998" s="31">
        <f t="shared" ref="B7998:B8000" si="1517">TIME(20,6,0)</f>
        <v>0.83750000000000002</v>
      </c>
      <c r="C7998" t="str">
        <f>'Inventory as of 12th Aug 2024'!A64</f>
        <v>Tomato paste</v>
      </c>
      <c r="D7998">
        <v>2</v>
      </c>
      <c r="E7998" s="5">
        <f>Table4[[#This Row],[qty]]*(VLOOKUP(Table4[[#This Row],[item_sold]],Table1[],5,FALSE))</f>
        <v>60</v>
      </c>
      <c r="F7998" s="5">
        <f>(VLOOKUP(Table4[[#This Row],[item_sold]],Table1[],4,FALSE))*Table4[[#This Row],[qty]]</f>
        <v>25</v>
      </c>
      <c r="G7998">
        <f t="shared" si="1508"/>
        <v>35</v>
      </c>
      <c r="H7998" t="s">
        <v>361</v>
      </c>
    </row>
    <row r="7999" spans="1:12" x14ac:dyDescent="0.25">
      <c r="A7999" s="1">
        <f t="shared" si="1513"/>
        <v>45608</v>
      </c>
      <c r="B7999" s="31">
        <f t="shared" si="1517"/>
        <v>0.83750000000000002</v>
      </c>
      <c r="C7999" t="str">
        <f>'Inventory as of 12th Aug 2024'!A135</f>
        <v>Bella Tissue</v>
      </c>
      <c r="D7999">
        <v>1</v>
      </c>
      <c r="E7999" s="5">
        <f>Table4[[#This Row],[qty]]*(VLOOKUP(Table4[[#This Row],[item_sold]],Table1[],5,FALSE))</f>
        <v>50</v>
      </c>
      <c r="F7999" s="5">
        <f>(VLOOKUP(Table4[[#This Row],[item_sold]],Table1[],4,FALSE))*Table4[[#This Row],[qty]]</f>
        <v>35</v>
      </c>
      <c r="G7999">
        <f t="shared" si="1508"/>
        <v>15</v>
      </c>
      <c r="H7999" t="s">
        <v>361</v>
      </c>
      <c r="J7999" t="s">
        <v>394</v>
      </c>
      <c r="K7999">
        <v>130</v>
      </c>
      <c r="L7999" t="s">
        <v>361</v>
      </c>
    </row>
    <row r="8000" spans="1:12" x14ac:dyDescent="0.25">
      <c r="A8000" s="1">
        <f t="shared" si="1513"/>
        <v>45608</v>
      </c>
      <c r="B8000" s="31">
        <f t="shared" si="1517"/>
        <v>0.83750000000000002</v>
      </c>
      <c r="C8000" t="str">
        <f>'Inventory as of 12th Aug 2024'!A120</f>
        <v>Maramoja</v>
      </c>
      <c r="D8000">
        <v>1</v>
      </c>
      <c r="E8000" s="5">
        <f>Table4[[#This Row],[qty]]*(VLOOKUP(Table4[[#This Row],[item_sold]],Table1[],5,FALSE))</f>
        <v>10</v>
      </c>
      <c r="F8000" s="5">
        <f>(VLOOKUP(Table4[[#This Row],[item_sold]],Table1[],4,FALSE))*Table4[[#This Row],[qty]]</f>
        <v>7</v>
      </c>
      <c r="G8000">
        <f t="shared" si="1508"/>
        <v>3</v>
      </c>
      <c r="H8000" t="s">
        <v>402</v>
      </c>
    </row>
    <row r="8001" spans="1:12" x14ac:dyDescent="0.25">
      <c r="A8001" s="1">
        <f>DATE(2024,11,13)</f>
        <v>45609</v>
      </c>
      <c r="B8001" s="31">
        <f>TIME(7,21,0)</f>
        <v>0.30624999999999997</v>
      </c>
      <c r="C8001" t="str">
        <f>'Inventory as of 12th Aug 2024'!A75</f>
        <v>Cooking Oil Measured</v>
      </c>
      <c r="D8001">
        <v>0.5</v>
      </c>
      <c r="E8001" s="5">
        <f>Table4[[#This Row],[qty]]*(VLOOKUP(Table4[[#This Row],[item_sold]],Table1[],5,FALSE))</f>
        <v>140</v>
      </c>
      <c r="F8001" s="5">
        <f>(VLOOKUP(Table4[[#This Row],[item_sold]],Table1[],4,FALSE))*Table4[[#This Row],[qty]]</f>
        <v>100</v>
      </c>
      <c r="G8001">
        <f t="shared" si="1508"/>
        <v>40</v>
      </c>
      <c r="H8001" t="s">
        <v>361</v>
      </c>
    </row>
    <row r="8002" spans="1:12" x14ac:dyDescent="0.25">
      <c r="A8002" s="1">
        <f t="shared" ref="A8002:A8065" si="1518">DATE(2024,11,13)</f>
        <v>45609</v>
      </c>
      <c r="B8002" s="31">
        <f t="shared" ref="B8002:B8003" si="1519">TIME(7,21,0)</f>
        <v>0.30624999999999997</v>
      </c>
      <c r="C8002" t="str">
        <f>'Inventory as of 12th Aug 2024'!A58</f>
        <v>Safari</v>
      </c>
      <c r="D8002">
        <v>1</v>
      </c>
      <c r="E8002" s="5">
        <f>Table4[[#This Row],[qty]]*(VLOOKUP(Table4[[#This Row],[item_sold]],Table1[],5,FALSE))</f>
        <v>15</v>
      </c>
      <c r="F8002" s="5">
        <f>(VLOOKUP(Table4[[#This Row],[item_sold]],Table1[],4,FALSE))*Table4[[#This Row],[qty]]</f>
        <v>8.5</v>
      </c>
      <c r="G8002">
        <f t="shared" si="1508"/>
        <v>6.5</v>
      </c>
      <c r="H8002" t="s">
        <v>402</v>
      </c>
    </row>
    <row r="8003" spans="1:12" x14ac:dyDescent="0.25">
      <c r="A8003" s="1">
        <f t="shared" si="1518"/>
        <v>45609</v>
      </c>
      <c r="B8003" s="31">
        <f t="shared" si="1519"/>
        <v>0.30624999999999997</v>
      </c>
      <c r="C8003" t="str">
        <f>'Inventory as of 12th Aug 2024'!A238</f>
        <v>Tropical</v>
      </c>
      <c r="D8003">
        <v>4</v>
      </c>
      <c r="E8003" s="5">
        <f>Table4[[#This Row],[qty]]*(VLOOKUP(Table4[[#This Row],[item_sold]],Table1[],5,FALSE))</f>
        <v>20</v>
      </c>
      <c r="F8003" s="5">
        <f>(VLOOKUP(Table4[[#This Row],[item_sold]],Table1[],4,FALSE))*Table4[[#This Row],[qty]]</f>
        <v>6</v>
      </c>
      <c r="G8003">
        <f t="shared" si="1508"/>
        <v>14</v>
      </c>
      <c r="H8003" t="s">
        <v>402</v>
      </c>
    </row>
    <row r="8004" spans="1:12" x14ac:dyDescent="0.25">
      <c r="A8004" s="1">
        <f t="shared" si="1518"/>
        <v>45609</v>
      </c>
      <c r="B8004" s="31">
        <f>TIME(9,15,0)</f>
        <v>0.38541666666666669</v>
      </c>
      <c r="C8004" t="str">
        <f>'Inventory as of 12th Aug 2024'!A215</f>
        <v>Blueband 100g</v>
      </c>
      <c r="D8004">
        <v>1</v>
      </c>
      <c r="E8004" s="5">
        <f>Table4[[#This Row],[qty]]*(VLOOKUP(Table4[[#This Row],[item_sold]],Table1[],5,FALSE))</f>
        <v>70</v>
      </c>
      <c r="F8004" s="5">
        <f>(VLOOKUP(Table4[[#This Row],[item_sold]],Table1[],4,FALSE))*Table4[[#This Row],[qty]]</f>
        <v>58.333333333333336</v>
      </c>
      <c r="G8004">
        <f t="shared" si="1508"/>
        <v>11.666666666666664</v>
      </c>
      <c r="H8004" t="s">
        <v>361</v>
      </c>
    </row>
    <row r="8005" spans="1:12" x14ac:dyDescent="0.25">
      <c r="A8005" s="1">
        <f t="shared" si="1518"/>
        <v>45609</v>
      </c>
      <c r="B8005" s="31">
        <f t="shared" ref="B8005:B8009" si="1520">TIME(9,15,0)</f>
        <v>0.38541666666666669</v>
      </c>
      <c r="C8005" t="str">
        <f>'Inventory as of 12th Aug 2024'!A33</f>
        <v>BB Bread 400g</v>
      </c>
      <c r="D8005">
        <v>2</v>
      </c>
      <c r="E8005" s="5">
        <f>Table4[[#This Row],[qty]]*(VLOOKUP(Table4[[#This Row],[item_sold]],Table1[],5,FALSE))</f>
        <v>130</v>
      </c>
      <c r="F8005" s="5">
        <f>(VLOOKUP(Table4[[#This Row],[item_sold]],Table1[],4,FALSE))*Table4[[#This Row],[qty]]</f>
        <v>120</v>
      </c>
      <c r="G8005">
        <f t="shared" si="1508"/>
        <v>10</v>
      </c>
      <c r="H8005" s="27" t="s">
        <v>430</v>
      </c>
      <c r="I8005" t="s">
        <v>634</v>
      </c>
    </row>
    <row r="8006" spans="1:12" x14ac:dyDescent="0.25">
      <c r="A8006" s="1">
        <f t="shared" si="1518"/>
        <v>45609</v>
      </c>
      <c r="B8006" s="31">
        <f t="shared" si="1520"/>
        <v>0.38541666666666669</v>
      </c>
      <c r="C8006" t="str">
        <f>'Inventory as of 12th Aug 2024'!A16</f>
        <v>Mt kenya milk 500ml</v>
      </c>
      <c r="D8006">
        <v>3</v>
      </c>
      <c r="E8006" s="5">
        <f>Table4[[#This Row],[qty]]*(VLOOKUP(Table4[[#This Row],[item_sold]],Table1[],5,FALSE))</f>
        <v>195</v>
      </c>
      <c r="F8006" s="5">
        <f>(VLOOKUP(Table4[[#This Row],[item_sold]],Table1[],4,FALSE))*Table4[[#This Row],[qty]]</f>
        <v>145</v>
      </c>
      <c r="G8006">
        <f t="shared" si="1508"/>
        <v>50</v>
      </c>
      <c r="H8006" s="27" t="s">
        <v>430</v>
      </c>
      <c r="I8006" t="s">
        <v>634</v>
      </c>
    </row>
    <row r="8007" spans="1:12" x14ac:dyDescent="0.25">
      <c r="A8007" s="1">
        <f t="shared" si="1518"/>
        <v>45609</v>
      </c>
      <c r="B8007" s="31">
        <f t="shared" si="1520"/>
        <v>0.38541666666666669</v>
      </c>
      <c r="C8007" t="str">
        <f>'Inventory as of 12th Aug 2024'!A33</f>
        <v>BB Bread 400g</v>
      </c>
      <c r="D8007">
        <v>1</v>
      </c>
      <c r="E8007" s="5">
        <f>Table4[[#This Row],[qty]]*(VLOOKUP(Table4[[#This Row],[item_sold]],Table1[],5,FALSE))</f>
        <v>65</v>
      </c>
      <c r="F8007" s="5">
        <f>(VLOOKUP(Table4[[#This Row],[item_sold]],Table1[],4,FALSE))*Table4[[#This Row],[qty]]</f>
        <v>60</v>
      </c>
      <c r="G8007">
        <f t="shared" si="1508"/>
        <v>5</v>
      </c>
      <c r="H8007" t="s">
        <v>402</v>
      </c>
    </row>
    <row r="8008" spans="1:12" x14ac:dyDescent="0.25">
      <c r="A8008" s="1">
        <f t="shared" si="1518"/>
        <v>45609</v>
      </c>
      <c r="B8008" s="31">
        <f t="shared" si="1520"/>
        <v>0.38541666666666669</v>
      </c>
      <c r="C8008" t="str">
        <f>'Inventory as of 12th Aug 2024'!A234</f>
        <v>Bigdaddy</v>
      </c>
      <c r="D8008">
        <v>1</v>
      </c>
      <c r="E8008" s="5">
        <f>Table4[[#This Row],[qty]]*(VLOOKUP(Table4[[#This Row],[item_sold]],Table1[],5,FALSE))</f>
        <v>10</v>
      </c>
      <c r="F8008" s="5">
        <f>(VLOOKUP(Table4[[#This Row],[item_sold]],Table1[],4,FALSE))*Table4[[#This Row],[qty]]</f>
        <v>6</v>
      </c>
      <c r="G8008">
        <f t="shared" si="1508"/>
        <v>4</v>
      </c>
      <c r="H8008" t="s">
        <v>402</v>
      </c>
    </row>
    <row r="8009" spans="1:12" x14ac:dyDescent="0.25">
      <c r="A8009" s="1">
        <f t="shared" si="1518"/>
        <v>45609</v>
      </c>
      <c r="B8009" s="31">
        <f t="shared" si="1520"/>
        <v>0.38541666666666669</v>
      </c>
      <c r="C8009" t="str">
        <f>'Inventory as of 12th Aug 2024'!A271</f>
        <v>Star Cream Bisquit</v>
      </c>
      <c r="D8009">
        <v>1</v>
      </c>
      <c r="E8009" s="5">
        <f>Table4[[#This Row],[qty]]*(VLOOKUP(Table4[[#This Row],[item_sold]],Table1[],5,FALSE))</f>
        <v>5</v>
      </c>
      <c r="F8009" s="5">
        <f>(VLOOKUP(Table4[[#This Row],[item_sold]],Table1[],4,FALSE))*Table4[[#This Row],[qty]]</f>
        <v>4.2333333333333334</v>
      </c>
      <c r="G8009">
        <f t="shared" si="1508"/>
        <v>0.76666666666666661</v>
      </c>
      <c r="H8009" t="s">
        <v>402</v>
      </c>
      <c r="J8009" t="s">
        <v>634</v>
      </c>
      <c r="K8009">
        <v>325</v>
      </c>
      <c r="L8009" t="s">
        <v>361</v>
      </c>
    </row>
    <row r="8010" spans="1:12" x14ac:dyDescent="0.25">
      <c r="A8010" s="1">
        <f t="shared" si="1518"/>
        <v>45609</v>
      </c>
      <c r="B8010" s="31">
        <f>TIME(10,8,0)</f>
        <v>0.42222222222222222</v>
      </c>
      <c r="C8010" t="str">
        <f>'Inventory as of 12th Aug 2024'!A213</f>
        <v>soda 500ml glass</v>
      </c>
      <c r="D8010">
        <v>1</v>
      </c>
      <c r="E8010" s="5">
        <f>Table4[[#This Row],[qty]]*(VLOOKUP(Table4[[#This Row],[item_sold]],Table1[],5,FALSE))</f>
        <v>55</v>
      </c>
      <c r="F8010" s="5">
        <f>(VLOOKUP(Table4[[#This Row],[item_sold]],Table1[],4,FALSE))*Table4[[#This Row],[qty]]</f>
        <v>50</v>
      </c>
      <c r="G8010">
        <f t="shared" si="1508"/>
        <v>5</v>
      </c>
      <c r="H8010" t="s">
        <v>430</v>
      </c>
      <c r="I8010" t="s">
        <v>634</v>
      </c>
      <c r="J8010" t="s">
        <v>634</v>
      </c>
      <c r="K8010">
        <v>50</v>
      </c>
      <c r="L8010" t="s">
        <v>247</v>
      </c>
    </row>
    <row r="8011" spans="1:12" x14ac:dyDescent="0.25">
      <c r="A8011" s="1">
        <f t="shared" si="1518"/>
        <v>45609</v>
      </c>
      <c r="B8011" s="31">
        <f t="shared" ref="B8011:B8028" si="1521">TIME(10,8,0)</f>
        <v>0.42222222222222222</v>
      </c>
      <c r="C8011" t="str">
        <f>'Inventory as of 12th Aug 2024'!A213</f>
        <v>soda 500ml glass</v>
      </c>
      <c r="D8011">
        <v>1</v>
      </c>
      <c r="E8011" s="5">
        <f>Table4[[#This Row],[qty]]*(VLOOKUP(Table4[[#This Row],[item_sold]],Table1[],5,FALSE))</f>
        <v>55</v>
      </c>
      <c r="F8011" s="5">
        <f>(VLOOKUP(Table4[[#This Row],[item_sold]],Table1[],4,FALSE))*Table4[[#This Row],[qty]]</f>
        <v>50</v>
      </c>
      <c r="G8011">
        <f t="shared" si="1508"/>
        <v>5</v>
      </c>
      <c r="H8011" t="s">
        <v>430</v>
      </c>
      <c r="I8011" t="s">
        <v>404</v>
      </c>
    </row>
    <row r="8012" spans="1:12" x14ac:dyDescent="0.25">
      <c r="A8012" s="1">
        <f t="shared" si="1518"/>
        <v>45609</v>
      </c>
      <c r="B8012" s="31">
        <f t="shared" si="1521"/>
        <v>0.42222222222222222</v>
      </c>
      <c r="C8012" t="str">
        <f>'Inventory as of 12th Aug 2024'!A256</f>
        <v>Family bisquit</v>
      </c>
      <c r="D8012">
        <v>1</v>
      </c>
      <c r="E8012" s="5">
        <f>Table4[[#This Row],[qty]]*(VLOOKUP(Table4[[#This Row],[item_sold]],Table1[],5,FALSE))</f>
        <v>35</v>
      </c>
      <c r="F8012" s="5">
        <f>(VLOOKUP(Table4[[#This Row],[item_sold]],Table1[],4,FALSE))*Table4[[#This Row],[qty]]</f>
        <v>23.333333333333332</v>
      </c>
      <c r="G8012">
        <f t="shared" si="1508"/>
        <v>11.666666666666668</v>
      </c>
      <c r="H8012" t="s">
        <v>430</v>
      </c>
      <c r="I8012" t="s">
        <v>404</v>
      </c>
    </row>
    <row r="8013" spans="1:12" x14ac:dyDescent="0.25">
      <c r="A8013" s="1">
        <f t="shared" si="1518"/>
        <v>45609</v>
      </c>
      <c r="B8013" s="31">
        <f t="shared" si="1521"/>
        <v>0.42222222222222222</v>
      </c>
      <c r="C8013" t="str">
        <f>'Inventory as of 12th Aug 2024'!A169</f>
        <v>Sawa Family Bathing Soap</v>
      </c>
      <c r="D8013">
        <v>1</v>
      </c>
      <c r="E8013" s="5">
        <f>Table4[[#This Row],[qty]]*(VLOOKUP(Table4[[#This Row],[item_sold]],Table1[],5,FALSE))</f>
        <v>100</v>
      </c>
      <c r="F8013" s="5">
        <f>(VLOOKUP(Table4[[#This Row],[item_sold]],Table1[],4,FALSE))*Table4[[#This Row],[qty]]</f>
        <v>69</v>
      </c>
      <c r="G8013">
        <f t="shared" si="1508"/>
        <v>31</v>
      </c>
      <c r="H8013" t="s">
        <v>430</v>
      </c>
      <c r="I8013" t="s">
        <v>404</v>
      </c>
    </row>
    <row r="8014" spans="1:12" x14ac:dyDescent="0.25">
      <c r="A8014" s="1">
        <f t="shared" si="1518"/>
        <v>45609</v>
      </c>
      <c r="B8014" s="31">
        <f t="shared" si="1521"/>
        <v>0.42222222222222222</v>
      </c>
      <c r="C8014" t="str">
        <f>'Inventory as of 12th Aug 2024'!A27</f>
        <v>Nescafe 1.5g</v>
      </c>
      <c r="D8014">
        <v>2</v>
      </c>
      <c r="E8014" s="5">
        <f>Table4[[#This Row],[qty]]*(VLOOKUP(Table4[[#This Row],[item_sold]],Table1[],5,FALSE))</f>
        <v>30</v>
      </c>
      <c r="F8014" s="5">
        <f>(VLOOKUP(Table4[[#This Row],[item_sold]],Table1[],4,FALSE))*Table4[[#This Row],[qty]]</f>
        <v>18.333333333333332</v>
      </c>
      <c r="G8014">
        <f t="shared" si="1508"/>
        <v>11.666666666666668</v>
      </c>
      <c r="H8014" t="s">
        <v>430</v>
      </c>
      <c r="I8014" t="s">
        <v>404</v>
      </c>
    </row>
    <row r="8015" spans="1:12" x14ac:dyDescent="0.25">
      <c r="A8015" s="1">
        <f t="shared" si="1518"/>
        <v>45609</v>
      </c>
      <c r="B8015" s="31">
        <f t="shared" si="1521"/>
        <v>0.42222222222222222</v>
      </c>
      <c r="C8015" t="str">
        <f>'Inventory as of 12th Aug 2024'!A17</f>
        <v>Brookside milk 500ml</v>
      </c>
      <c r="D8015">
        <v>2</v>
      </c>
      <c r="E8015" s="5">
        <f>Table4[[#This Row],[qty]]*(VLOOKUP(Table4[[#This Row],[item_sold]],Table1[],5,FALSE))</f>
        <v>140</v>
      </c>
      <c r="F8015" s="5">
        <f>(VLOOKUP(Table4[[#This Row],[item_sold]],Table1[],4,FALSE))*Table4[[#This Row],[qty]]</f>
        <v>118</v>
      </c>
      <c r="G8015">
        <f t="shared" si="1508"/>
        <v>22</v>
      </c>
      <c r="H8015" t="s">
        <v>430</v>
      </c>
      <c r="I8015" t="s">
        <v>404</v>
      </c>
    </row>
    <row r="8016" spans="1:12" x14ac:dyDescent="0.25">
      <c r="A8016" s="1">
        <f t="shared" si="1518"/>
        <v>45609</v>
      </c>
      <c r="B8016" s="31">
        <f t="shared" si="1521"/>
        <v>0.42222222222222222</v>
      </c>
      <c r="C8016" t="str">
        <f>'Inventory as of 12th Aug 2024'!A8</f>
        <v>eggs</v>
      </c>
      <c r="D8016">
        <v>10</v>
      </c>
      <c r="E8016" s="5">
        <f>Table4[[#This Row],[qty]]*(VLOOKUP(Table4[[#This Row],[item_sold]],Table1[],5,FALSE))</f>
        <v>200</v>
      </c>
      <c r="F8016" s="5">
        <f>(VLOOKUP(Table4[[#This Row],[item_sold]],Table1[],4,FALSE))*Table4[[#This Row],[qty]]</f>
        <v>143.33333333333334</v>
      </c>
      <c r="G8016">
        <f t="shared" si="1508"/>
        <v>56.666666666666657</v>
      </c>
      <c r="H8016" t="s">
        <v>430</v>
      </c>
      <c r="I8016" t="s">
        <v>404</v>
      </c>
    </row>
    <row r="8017" spans="1:12" x14ac:dyDescent="0.25">
      <c r="A8017" s="1">
        <f t="shared" si="1518"/>
        <v>45609</v>
      </c>
      <c r="B8017" s="31">
        <f t="shared" si="1521"/>
        <v>0.42222222222222222</v>
      </c>
      <c r="C8017" t="str">
        <f>'Inventory as of 12th Aug 2024'!A248</f>
        <v>Soko Maize meal</v>
      </c>
      <c r="D8017">
        <v>1</v>
      </c>
      <c r="E8017" s="5">
        <f>Table4[[#This Row],[qty]]*(VLOOKUP(Table4[[#This Row],[item_sold]],Table1[],5,FALSE))</f>
        <v>160</v>
      </c>
      <c r="F8017" s="5">
        <f>(VLOOKUP(Table4[[#This Row],[item_sold]],Table1[],4,FALSE))*Table4[[#This Row],[qty]]</f>
        <v>125</v>
      </c>
      <c r="G8017">
        <f t="shared" si="1508"/>
        <v>35</v>
      </c>
      <c r="H8017" t="s">
        <v>430</v>
      </c>
      <c r="I8017" t="s">
        <v>404</v>
      </c>
    </row>
    <row r="8018" spans="1:12" x14ac:dyDescent="0.25">
      <c r="A8018" s="1">
        <f t="shared" si="1518"/>
        <v>45609</v>
      </c>
      <c r="B8018" s="31">
        <f t="shared" si="1521"/>
        <v>0.42222222222222222</v>
      </c>
      <c r="C8018" t="str">
        <f>'Inventory as of 12th Aug 2024'!A45</f>
        <v>Ajab 1kg</v>
      </c>
      <c r="D8018">
        <v>1</v>
      </c>
      <c r="E8018" s="5">
        <f>Table4[[#This Row],[qty]]*(VLOOKUP(Table4[[#This Row],[item_sold]],Table1[],5,FALSE))</f>
        <v>120</v>
      </c>
      <c r="F8018" s="5">
        <f>(VLOOKUP(Table4[[#This Row],[item_sold]],Table1[],4,FALSE))*Table4[[#This Row],[qty]]</f>
        <v>87.5</v>
      </c>
      <c r="G8018">
        <f t="shared" si="1508"/>
        <v>32.5</v>
      </c>
      <c r="H8018" t="s">
        <v>430</v>
      </c>
      <c r="I8018" t="s">
        <v>404</v>
      </c>
    </row>
    <row r="8019" spans="1:12" x14ac:dyDescent="0.25">
      <c r="A8019" s="1">
        <f t="shared" si="1518"/>
        <v>45609</v>
      </c>
      <c r="B8019" s="31">
        <f t="shared" si="1521"/>
        <v>0.42222222222222222</v>
      </c>
      <c r="C8019" t="str">
        <f>'Inventory as of 12th Aug 2024'!A215</f>
        <v>Blueband 100g</v>
      </c>
      <c r="D8019">
        <v>1</v>
      </c>
      <c r="E8019" s="5">
        <f>Table4[[#This Row],[qty]]*(VLOOKUP(Table4[[#This Row],[item_sold]],Table1[],5,FALSE))</f>
        <v>70</v>
      </c>
      <c r="F8019" s="5">
        <f>(VLOOKUP(Table4[[#This Row],[item_sold]],Table1[],4,FALSE))*Table4[[#This Row],[qty]]</f>
        <v>58.333333333333336</v>
      </c>
      <c r="G8019">
        <f t="shared" si="1508"/>
        <v>11.666666666666664</v>
      </c>
      <c r="H8019" t="s">
        <v>430</v>
      </c>
      <c r="I8019" t="s">
        <v>404</v>
      </c>
    </row>
    <row r="8020" spans="1:12" x14ac:dyDescent="0.25">
      <c r="A8020" s="1">
        <f t="shared" si="1518"/>
        <v>45609</v>
      </c>
      <c r="B8020" s="31">
        <f t="shared" si="1521"/>
        <v>0.42222222222222222</v>
      </c>
      <c r="C8020" t="str">
        <f>'Inventory as of 12th Aug 2024'!A41</f>
        <v>Indomie beef</v>
      </c>
      <c r="D8020">
        <v>2</v>
      </c>
      <c r="E8020" s="5">
        <f>Table4[[#This Row],[qty]]*(VLOOKUP(Table4[[#This Row],[item_sold]],Table1[],5,FALSE))</f>
        <v>100</v>
      </c>
      <c r="F8020" s="5">
        <f>(VLOOKUP(Table4[[#This Row],[item_sold]],Table1[],4,FALSE))*Table4[[#This Row],[qty]]</f>
        <v>76</v>
      </c>
      <c r="G8020">
        <f t="shared" ref="G8020:G8083" si="1522">E8020-F8020</f>
        <v>24</v>
      </c>
      <c r="H8020" t="s">
        <v>430</v>
      </c>
      <c r="I8020" t="s">
        <v>404</v>
      </c>
    </row>
    <row r="8021" spans="1:12" x14ac:dyDescent="0.25">
      <c r="A8021" s="1">
        <f t="shared" si="1518"/>
        <v>45609</v>
      </c>
      <c r="B8021" s="31">
        <f t="shared" si="1521"/>
        <v>0.42222222222222222</v>
      </c>
      <c r="C8021" t="str">
        <f>'Inventory as of 12th Aug 2024'!A62</f>
        <v>kensalt 1kg</v>
      </c>
      <c r="D8021">
        <v>1</v>
      </c>
      <c r="E8021" s="5">
        <f>Table4[[#This Row],[qty]]*(VLOOKUP(Table4[[#This Row],[item_sold]],Table1[],5,FALSE))</f>
        <v>50</v>
      </c>
      <c r="F8021" s="5">
        <f>(VLOOKUP(Table4[[#This Row],[item_sold]],Table1[],4,FALSE))*Table4[[#This Row],[qty]]</f>
        <v>35</v>
      </c>
      <c r="G8021">
        <f t="shared" si="1522"/>
        <v>15</v>
      </c>
      <c r="H8021" t="s">
        <v>430</v>
      </c>
      <c r="I8021" t="s">
        <v>404</v>
      </c>
    </row>
    <row r="8022" spans="1:12" x14ac:dyDescent="0.25">
      <c r="A8022" s="1">
        <f t="shared" si="1518"/>
        <v>45609</v>
      </c>
      <c r="B8022" s="31">
        <f t="shared" si="1521"/>
        <v>0.42222222222222222</v>
      </c>
      <c r="C8022" t="str">
        <f>'Inventory as of 12th Aug 2024'!A59</f>
        <v>kabras sugar 1kg</v>
      </c>
      <c r="D8022">
        <v>1</v>
      </c>
      <c r="E8022" s="5">
        <f>Table4[[#This Row],[qty]]*(VLOOKUP(Table4[[#This Row],[item_sold]],Table1[],5,FALSE))</f>
        <v>180</v>
      </c>
      <c r="F8022" s="5">
        <f>(VLOOKUP(Table4[[#This Row],[item_sold]],Table1[],4,FALSE))*Table4[[#This Row],[qty]]</f>
        <v>140</v>
      </c>
      <c r="G8022">
        <f t="shared" si="1522"/>
        <v>40</v>
      </c>
      <c r="H8022" t="s">
        <v>430</v>
      </c>
      <c r="I8022" t="s">
        <v>404</v>
      </c>
    </row>
    <row r="8023" spans="1:12" x14ac:dyDescent="0.25">
      <c r="A8023" s="1">
        <f t="shared" si="1518"/>
        <v>45609</v>
      </c>
      <c r="B8023" s="31">
        <f t="shared" si="1521"/>
        <v>0.42222222222222222</v>
      </c>
      <c r="C8023" t="str">
        <f>'Inventory as of 12th Aug 2024'!A134</f>
        <v>Hanaan Tissue</v>
      </c>
      <c r="D8023">
        <v>2</v>
      </c>
      <c r="E8023" s="5">
        <f>Table4[[#This Row],[qty]]*(VLOOKUP(Table4[[#This Row],[item_sold]],Table1[],5,FALSE))</f>
        <v>110</v>
      </c>
      <c r="F8023" s="5">
        <f>(VLOOKUP(Table4[[#This Row],[item_sold]],Table1[],4,FALSE))*Table4[[#This Row],[qty]]</f>
        <v>86</v>
      </c>
      <c r="G8023">
        <f t="shared" si="1522"/>
        <v>24</v>
      </c>
      <c r="H8023" t="s">
        <v>430</v>
      </c>
      <c r="I8023" t="s">
        <v>404</v>
      </c>
    </row>
    <row r="8024" spans="1:12" x14ac:dyDescent="0.25">
      <c r="A8024" s="1">
        <f t="shared" si="1518"/>
        <v>45609</v>
      </c>
      <c r="B8024" s="31">
        <f t="shared" si="1521"/>
        <v>0.42222222222222222</v>
      </c>
      <c r="C8024" t="str">
        <f>'Inventory as of 12th Aug 2024'!A37</f>
        <v>Festive Bread 400g</v>
      </c>
      <c r="D8024">
        <v>1</v>
      </c>
      <c r="E8024" s="5">
        <f>Table4[[#This Row],[qty]]*(VLOOKUP(Table4[[#This Row],[item_sold]],Table1[],5,FALSE))</f>
        <v>65</v>
      </c>
      <c r="F8024" s="5">
        <f>(VLOOKUP(Table4[[#This Row],[item_sold]],Table1[],4,FALSE))*Table4[[#This Row],[qty]]</f>
        <v>60</v>
      </c>
      <c r="G8024">
        <f t="shared" si="1522"/>
        <v>5</v>
      </c>
      <c r="H8024" t="s">
        <v>430</v>
      </c>
      <c r="I8024" t="s">
        <v>404</v>
      </c>
    </row>
    <row r="8025" spans="1:12" x14ac:dyDescent="0.25">
      <c r="A8025" s="1">
        <f t="shared" si="1518"/>
        <v>45609</v>
      </c>
      <c r="B8025" s="31">
        <f t="shared" si="1521"/>
        <v>0.42222222222222222</v>
      </c>
      <c r="C8025" t="str">
        <f>'Inventory as of 12th Aug 2024'!A68</f>
        <v>Royco cubes</v>
      </c>
      <c r="D8025">
        <v>3</v>
      </c>
      <c r="E8025" s="5">
        <f>Table4[[#This Row],[qty]]*(VLOOKUP(Table4[[#This Row],[item_sold]],Table1[],5,FALSE))</f>
        <v>15</v>
      </c>
      <c r="F8025" s="5">
        <f>(VLOOKUP(Table4[[#This Row],[item_sold]],Table1[],4,FALSE))*Table4[[#This Row],[qty]]</f>
        <v>9</v>
      </c>
      <c r="G8025">
        <f t="shared" si="1522"/>
        <v>6</v>
      </c>
      <c r="H8025" t="s">
        <v>430</v>
      </c>
      <c r="I8025" t="s">
        <v>404</v>
      </c>
    </row>
    <row r="8026" spans="1:12" x14ac:dyDescent="0.25">
      <c r="A8026" s="1">
        <f t="shared" si="1518"/>
        <v>45609</v>
      </c>
      <c r="B8026" s="31">
        <f t="shared" si="1521"/>
        <v>0.42222222222222222</v>
      </c>
      <c r="C8026" t="str">
        <f>'Inventory as of 12th Aug 2024'!A81</f>
        <v>ariel 75g</v>
      </c>
      <c r="D8026">
        <v>2</v>
      </c>
      <c r="E8026" s="5">
        <f>Table4[[#This Row],[qty]]*(VLOOKUP(Table4[[#This Row],[item_sold]],Table1[],5,FALSE))</f>
        <v>70</v>
      </c>
      <c r="F8026" s="5">
        <f>(VLOOKUP(Table4[[#This Row],[item_sold]],Table1[],4,FALSE))*Table4[[#This Row],[qty]]</f>
        <v>55</v>
      </c>
      <c r="G8026">
        <f t="shared" si="1522"/>
        <v>15</v>
      </c>
      <c r="H8026" t="s">
        <v>430</v>
      </c>
      <c r="I8026" t="s">
        <v>404</v>
      </c>
    </row>
    <row r="8027" spans="1:12" x14ac:dyDescent="0.25">
      <c r="A8027" s="1">
        <f t="shared" si="1518"/>
        <v>45609</v>
      </c>
      <c r="B8027" s="31">
        <f t="shared" si="1521"/>
        <v>0.42222222222222222</v>
      </c>
      <c r="C8027" t="str">
        <f>'Inventory as of 12th Aug 2024'!A58</f>
        <v>Safari</v>
      </c>
      <c r="D8027">
        <v>3</v>
      </c>
      <c r="E8027" s="5">
        <f>Table4[[#This Row],[qty]]*(VLOOKUP(Table4[[#This Row],[item_sold]],Table1[],5,FALSE))</f>
        <v>45</v>
      </c>
      <c r="F8027" s="5">
        <f>(VLOOKUP(Table4[[#This Row],[item_sold]],Table1[],4,FALSE))*Table4[[#This Row],[qty]]</f>
        <v>25.5</v>
      </c>
      <c r="G8027">
        <f t="shared" si="1522"/>
        <v>19.5</v>
      </c>
      <c r="H8027" t="s">
        <v>247</v>
      </c>
    </row>
    <row r="8028" spans="1:12" x14ac:dyDescent="0.25">
      <c r="A8028" s="1">
        <f t="shared" si="1518"/>
        <v>45609</v>
      </c>
      <c r="B8028" s="31">
        <f t="shared" si="1521"/>
        <v>0.42222222222222222</v>
      </c>
      <c r="C8028" t="str">
        <f>'Inventory as of 12th Aug 2024'!A232</f>
        <v>coo</v>
      </c>
      <c r="D8028">
        <v>2</v>
      </c>
      <c r="E8028" s="5">
        <f>Table4[[#This Row],[qty]]*(VLOOKUP(Table4[[#This Row],[item_sold]],Table1[],5,FALSE))</f>
        <v>5</v>
      </c>
      <c r="F8028" s="5">
        <f>(VLOOKUP(Table4[[#This Row],[item_sold]],Table1[],4,FALSE))*Table4[[#This Row],[qty]]</f>
        <v>2.4</v>
      </c>
      <c r="G8028">
        <f t="shared" si="1522"/>
        <v>2.6</v>
      </c>
      <c r="H8028" t="s">
        <v>247</v>
      </c>
    </row>
    <row r="8029" spans="1:12" x14ac:dyDescent="0.25">
      <c r="A8029" s="1">
        <f t="shared" si="1518"/>
        <v>45609</v>
      </c>
      <c r="B8029" s="31">
        <f>TIME(11,21,0)</f>
        <v>0.47291666666666665</v>
      </c>
      <c r="C8029" t="str">
        <f>'Inventory as of 12th Aug 2024'!A16</f>
        <v>Mt kenya milk 500ml</v>
      </c>
      <c r="D8029">
        <v>1</v>
      </c>
      <c r="E8029" s="5">
        <f>Table4[[#This Row],[qty]]*(VLOOKUP(Table4[[#This Row],[item_sold]],Table1[],5,FALSE))</f>
        <v>65</v>
      </c>
      <c r="F8029" s="5">
        <f>(VLOOKUP(Table4[[#This Row],[item_sold]],Table1[],4,FALSE))*Table4[[#This Row],[qty]]</f>
        <v>48.333333333333336</v>
      </c>
      <c r="G8029">
        <f t="shared" si="1522"/>
        <v>16.666666666666664</v>
      </c>
      <c r="H8029" t="s">
        <v>361</v>
      </c>
    </row>
    <row r="8030" spans="1:12" x14ac:dyDescent="0.25">
      <c r="A8030" s="1">
        <f t="shared" si="1518"/>
        <v>45609</v>
      </c>
      <c r="B8030" s="31">
        <f>TIME(11,32,0)</f>
        <v>0.48055555555555557</v>
      </c>
      <c r="C8030" t="str">
        <f>'Inventory as of 12th Aug 2024'!A211</f>
        <v>predator</v>
      </c>
      <c r="D8030">
        <v>1</v>
      </c>
      <c r="E8030" s="5">
        <f>Table4[[#This Row],[qty]]*(VLOOKUP(Table4[[#This Row],[item_sold]],Table1[],5,FALSE))</f>
        <v>70</v>
      </c>
      <c r="F8030" s="5">
        <f>(VLOOKUP(Table4[[#This Row],[item_sold]],Table1[],4,FALSE))*Table4[[#This Row],[qty]]</f>
        <v>54.166666666666664</v>
      </c>
      <c r="G8030">
        <f t="shared" si="1522"/>
        <v>15.833333333333336</v>
      </c>
      <c r="H8030" t="s">
        <v>361</v>
      </c>
    </row>
    <row r="8031" spans="1:12" x14ac:dyDescent="0.25">
      <c r="A8031" s="1">
        <f t="shared" si="1518"/>
        <v>45609</v>
      </c>
      <c r="B8031" s="31">
        <f>TIME(11,35,0)</f>
        <v>0.4826388888888889</v>
      </c>
      <c r="C8031" t="str">
        <f>'Inventory as of 12th Aug 2024'!A33</f>
        <v>BB Bread 400g</v>
      </c>
      <c r="D8031">
        <v>1</v>
      </c>
      <c r="E8031" s="5">
        <f>Table4[[#This Row],[qty]]*(VLOOKUP(Table4[[#This Row],[item_sold]],Table1[],5,FALSE))</f>
        <v>65</v>
      </c>
      <c r="F8031" s="5">
        <f>(VLOOKUP(Table4[[#This Row],[item_sold]],Table1[],4,FALSE))*Table4[[#This Row],[qty]]</f>
        <v>60</v>
      </c>
      <c r="G8031">
        <f t="shared" si="1522"/>
        <v>5</v>
      </c>
      <c r="H8031" t="s">
        <v>361</v>
      </c>
      <c r="J8031" t="s">
        <v>390</v>
      </c>
      <c r="K8031">
        <v>2015</v>
      </c>
      <c r="L8031" t="s">
        <v>361</v>
      </c>
    </row>
    <row r="8032" spans="1:12" x14ac:dyDescent="0.25">
      <c r="A8032" s="1">
        <f t="shared" si="1518"/>
        <v>45609</v>
      </c>
      <c r="B8032" s="31">
        <f>TIME(11,35,0)</f>
        <v>0.4826388888888889</v>
      </c>
      <c r="C8032" t="str">
        <f>'Inventory as of 12th Aug 2024'!A193</f>
        <v>Ginger Bisquit</v>
      </c>
      <c r="D8032">
        <v>4</v>
      </c>
      <c r="E8032" s="5">
        <f>Table4[[#This Row],[qty]]*(VLOOKUP(Table4[[#This Row],[item_sold]],Table1[],5,FALSE))</f>
        <v>20</v>
      </c>
      <c r="F8032" s="5">
        <f>(VLOOKUP(Table4[[#This Row],[item_sold]],Table1[],4,FALSE))*Table4[[#This Row],[qty]]</f>
        <v>17.333333333333332</v>
      </c>
      <c r="G8032">
        <f t="shared" si="1522"/>
        <v>2.6666666666666679</v>
      </c>
      <c r="H8032" t="s">
        <v>361</v>
      </c>
    </row>
    <row r="8033" spans="1:12" x14ac:dyDescent="0.25">
      <c r="A8033" s="1">
        <f t="shared" si="1518"/>
        <v>45609</v>
      </c>
      <c r="B8033" s="31">
        <f>TIME(12,0,0)</f>
        <v>0.5</v>
      </c>
      <c r="C8033" t="str">
        <f>'Inventory as of 12th Aug 2024'!A213</f>
        <v>soda 500ml glass</v>
      </c>
      <c r="D8033">
        <v>1</v>
      </c>
      <c r="E8033" s="5">
        <f>Table4[[#This Row],[qty]]*(VLOOKUP(Table4[[#This Row],[item_sold]],Table1[],5,FALSE))</f>
        <v>55</v>
      </c>
      <c r="F8033" s="5">
        <f>(VLOOKUP(Table4[[#This Row],[item_sold]],Table1[],4,FALSE))*Table4[[#This Row],[qty]]</f>
        <v>50</v>
      </c>
      <c r="G8033">
        <f t="shared" si="1522"/>
        <v>5</v>
      </c>
      <c r="H8033" t="s">
        <v>361</v>
      </c>
    </row>
    <row r="8034" spans="1:12" x14ac:dyDescent="0.25">
      <c r="A8034" s="1">
        <f t="shared" si="1518"/>
        <v>45609</v>
      </c>
      <c r="B8034" s="31">
        <f t="shared" ref="B8034" si="1523">TIME(12,0,0)</f>
        <v>0.5</v>
      </c>
      <c r="C8034" t="str">
        <f>'Inventory as of 12th Aug 2024'!A191</f>
        <v>Nuvita Bisquit</v>
      </c>
      <c r="D8034">
        <v>3</v>
      </c>
      <c r="E8034" s="5">
        <f>Table4[[#This Row],[qty]]*(VLOOKUP(Table4[[#This Row],[item_sold]],Table1[],5,FALSE))</f>
        <v>15</v>
      </c>
      <c r="F8034" s="5">
        <f>(VLOOKUP(Table4[[#This Row],[item_sold]],Table1[],4,FALSE))*Table4[[#This Row],[qty]]</f>
        <v>12.5</v>
      </c>
      <c r="G8034">
        <f t="shared" si="1522"/>
        <v>2.5</v>
      </c>
      <c r="H8034" t="s">
        <v>361</v>
      </c>
    </row>
    <row r="8035" spans="1:12" x14ac:dyDescent="0.25">
      <c r="A8035" s="1">
        <f t="shared" si="1518"/>
        <v>45609</v>
      </c>
      <c r="B8035" s="31">
        <f>TIME(13,1,0)</f>
        <v>0.54236111111111118</v>
      </c>
      <c r="C8035" t="str">
        <f>'Inventory as of 12th Aug 2024'!A5</f>
        <v>Airtel 20 Credit</v>
      </c>
      <c r="D8035">
        <v>2</v>
      </c>
      <c r="E8035" s="5">
        <f>Table4[[#This Row],[qty]]*(VLOOKUP(Table4[[#This Row],[item_sold]],Table1[],5,FALSE))</f>
        <v>40</v>
      </c>
      <c r="F8035" s="5">
        <f>(VLOOKUP(Table4[[#This Row],[item_sold]],Table1[],4,FALSE))*Table4[[#This Row],[qty]]</f>
        <v>36</v>
      </c>
      <c r="G8035">
        <f t="shared" si="1522"/>
        <v>4</v>
      </c>
      <c r="H8035" t="s">
        <v>402</v>
      </c>
      <c r="J8035" t="s">
        <v>635</v>
      </c>
      <c r="K8035">
        <v>60</v>
      </c>
      <c r="L8035" t="s">
        <v>247</v>
      </c>
    </row>
    <row r="8036" spans="1:12" x14ac:dyDescent="0.25">
      <c r="A8036" s="1">
        <f t="shared" si="1518"/>
        <v>45609</v>
      </c>
      <c r="B8036" s="31">
        <f t="shared" ref="B8036:B8037" si="1524">TIME(13,1,0)</f>
        <v>0.54236111111111118</v>
      </c>
      <c r="C8036" t="str">
        <f>'Inventory as of 12th Aug 2024'!A236</f>
        <v>Gomba</v>
      </c>
      <c r="D8036">
        <v>3</v>
      </c>
      <c r="E8036" s="5">
        <f>Table4[[#This Row],[qty]]*(VLOOKUP(Table4[[#This Row],[item_sold]],Table1[],5,FALSE))</f>
        <v>7.5</v>
      </c>
      <c r="F8036" s="5">
        <f>(VLOOKUP(Table4[[#This Row],[item_sold]],Table1[],4,FALSE))*Table4[[#This Row],[qty]]</f>
        <v>5.4</v>
      </c>
      <c r="G8036">
        <f t="shared" si="1522"/>
        <v>2.0999999999999996</v>
      </c>
      <c r="H8036" t="s">
        <v>402</v>
      </c>
    </row>
    <row r="8037" spans="1:12" x14ac:dyDescent="0.25">
      <c r="A8037" s="1">
        <f t="shared" si="1518"/>
        <v>45609</v>
      </c>
      <c r="B8037" s="31">
        <f t="shared" si="1524"/>
        <v>0.54236111111111118</v>
      </c>
      <c r="C8037" t="str">
        <f>'Inventory as of 12th Aug 2024'!A99</f>
        <v>spinach</v>
      </c>
      <c r="D8037">
        <v>2</v>
      </c>
      <c r="E8037" s="5">
        <f>Table4[[#This Row],[qty]]*(VLOOKUP(Table4[[#This Row],[item_sold]],Table1[],5,FALSE))</f>
        <v>40</v>
      </c>
      <c r="F8037" s="5">
        <f>(VLOOKUP(Table4[[#This Row],[item_sold]],Table1[],4,FALSE))*Table4[[#This Row],[qty]]</f>
        <v>20</v>
      </c>
      <c r="G8037">
        <f t="shared" si="1522"/>
        <v>20</v>
      </c>
      <c r="H8037" t="s">
        <v>402</v>
      </c>
    </row>
    <row r="8038" spans="1:12" x14ac:dyDescent="0.25">
      <c r="A8038" s="1">
        <f t="shared" si="1518"/>
        <v>45609</v>
      </c>
      <c r="B8038" s="31">
        <f>TIME(13,14,0)</f>
        <v>0.55138888888888882</v>
      </c>
      <c r="C8038" t="str">
        <f>'Inventory as of 12th Aug 2024'!A8</f>
        <v>eggs</v>
      </c>
      <c r="D8038">
        <v>5</v>
      </c>
      <c r="E8038" s="5">
        <f>Table4[[#This Row],[qty]]*(VLOOKUP(Table4[[#This Row],[item_sold]],Table1[],5,FALSE))</f>
        <v>100</v>
      </c>
      <c r="F8038" s="5">
        <f>(VLOOKUP(Table4[[#This Row],[item_sold]],Table1[],4,FALSE))*Table4[[#This Row],[qty]]</f>
        <v>71.666666666666671</v>
      </c>
      <c r="G8038">
        <f t="shared" si="1522"/>
        <v>28.333333333333329</v>
      </c>
      <c r="H8038" t="s">
        <v>361</v>
      </c>
    </row>
    <row r="8039" spans="1:12" x14ac:dyDescent="0.25">
      <c r="A8039" s="1">
        <f t="shared" si="1518"/>
        <v>45609</v>
      </c>
      <c r="B8039" s="31">
        <f t="shared" ref="B8039" si="1525">TIME(13,14,0)</f>
        <v>0.55138888888888882</v>
      </c>
      <c r="C8039" t="str">
        <f>'Inventory as of 12th Aug 2024'!A267</f>
        <v>Ting Ting</v>
      </c>
      <c r="D8039">
        <v>1</v>
      </c>
      <c r="E8039" s="5">
        <f>Table4[[#This Row],[qty]]*(VLOOKUP(Table4[[#This Row],[item_sold]],Table1[],5,FALSE))</f>
        <v>5</v>
      </c>
      <c r="F8039" s="5">
        <f>(VLOOKUP(Table4[[#This Row],[item_sold]],Table1[],4,FALSE))*Table4[[#This Row],[qty]]</f>
        <v>4.0599999999999996</v>
      </c>
      <c r="G8039">
        <f t="shared" si="1522"/>
        <v>0.94000000000000039</v>
      </c>
      <c r="H8039" t="s">
        <v>402</v>
      </c>
    </row>
    <row r="8040" spans="1:12" x14ac:dyDescent="0.25">
      <c r="A8040" s="1">
        <f t="shared" si="1518"/>
        <v>45609</v>
      </c>
      <c r="B8040" s="31">
        <f>TIME(13,24,0)</f>
        <v>0.55833333333333335</v>
      </c>
      <c r="C8040" t="str">
        <f>'Inventory as of 12th Aug 2024'!A213</f>
        <v>soda 500ml glass</v>
      </c>
      <c r="D8040">
        <v>1</v>
      </c>
      <c r="E8040" s="5">
        <f>Table4[[#This Row],[qty]]*(VLOOKUP(Table4[[#This Row],[item_sold]],Table1[],5,FALSE))</f>
        <v>55</v>
      </c>
      <c r="F8040" s="5">
        <f>(VLOOKUP(Table4[[#This Row],[item_sold]],Table1[],4,FALSE))*Table4[[#This Row],[qty]]</f>
        <v>50</v>
      </c>
      <c r="G8040">
        <f t="shared" si="1522"/>
        <v>5</v>
      </c>
      <c r="H8040" t="s">
        <v>402</v>
      </c>
    </row>
    <row r="8041" spans="1:12" x14ac:dyDescent="0.25">
      <c r="A8041" s="1">
        <f t="shared" si="1518"/>
        <v>45609</v>
      </c>
      <c r="B8041" s="31">
        <f>TIME(13,38,0)</f>
        <v>0.56805555555555554</v>
      </c>
      <c r="C8041" t="str">
        <f>'Inventory as of 12th Aug 2024'!A16</f>
        <v>Mt kenya milk 500ml</v>
      </c>
      <c r="D8041">
        <v>2</v>
      </c>
      <c r="E8041" s="5">
        <f>Table4[[#This Row],[qty]]*(VLOOKUP(Table4[[#This Row],[item_sold]],Table1[],5,FALSE))</f>
        <v>130</v>
      </c>
      <c r="F8041" s="5">
        <f>(VLOOKUP(Table4[[#This Row],[item_sold]],Table1[],4,FALSE))*Table4[[#This Row],[qty]]</f>
        <v>96.666666666666671</v>
      </c>
      <c r="G8041">
        <f t="shared" si="1522"/>
        <v>33.333333333333329</v>
      </c>
      <c r="H8041" t="s">
        <v>361</v>
      </c>
      <c r="J8041" t="s">
        <v>451</v>
      </c>
      <c r="K8041">
        <v>135</v>
      </c>
      <c r="L8041" t="s">
        <v>361</v>
      </c>
    </row>
    <row r="8042" spans="1:12" x14ac:dyDescent="0.25">
      <c r="A8042" s="1">
        <f t="shared" si="1518"/>
        <v>45609</v>
      </c>
      <c r="B8042" s="31">
        <f t="shared" ref="B8042:B8044" si="1526">TIME(13,38,0)</f>
        <v>0.56805555555555554</v>
      </c>
      <c r="C8042" t="str">
        <f>'Inventory as of 12th Aug 2024'!A90</f>
        <v>Onion</v>
      </c>
      <c r="D8042">
        <v>2</v>
      </c>
      <c r="E8042" s="5">
        <f>Table4[[#This Row],[qty]]*(VLOOKUP(Table4[[#This Row],[item_sold]],Table1[],5,FALSE))</f>
        <v>20</v>
      </c>
      <c r="F8042" s="5">
        <f>(VLOOKUP(Table4[[#This Row],[item_sold]],Table1[],4,FALSE))*Table4[[#This Row],[qty]]</f>
        <v>16</v>
      </c>
      <c r="G8042">
        <f t="shared" si="1522"/>
        <v>4</v>
      </c>
      <c r="H8042" t="s">
        <v>361</v>
      </c>
    </row>
    <row r="8043" spans="1:12" x14ac:dyDescent="0.25">
      <c r="A8043" s="1">
        <f t="shared" si="1518"/>
        <v>45609</v>
      </c>
      <c r="B8043" s="31">
        <f t="shared" si="1526"/>
        <v>0.56805555555555554</v>
      </c>
      <c r="C8043" t="str">
        <f>'Inventory as of 12th Aug 2024'!A75</f>
        <v>Cooking Oil Measured</v>
      </c>
      <c r="D8043">
        <v>1</v>
      </c>
      <c r="E8043" s="5">
        <f>Table4[[#This Row],[qty]]*(VLOOKUP(Table4[[#This Row],[item_sold]],Table1[],5,FALSE))</f>
        <v>280</v>
      </c>
      <c r="F8043" s="5">
        <f>(VLOOKUP(Table4[[#This Row],[item_sold]],Table1[],4,FALSE))*Table4[[#This Row],[qty]]</f>
        <v>200</v>
      </c>
      <c r="G8043">
        <f t="shared" si="1522"/>
        <v>80</v>
      </c>
      <c r="H8043" t="s">
        <v>361</v>
      </c>
    </row>
    <row r="8044" spans="1:12" x14ac:dyDescent="0.25">
      <c r="A8044" s="1">
        <f t="shared" si="1518"/>
        <v>45609</v>
      </c>
      <c r="B8044" s="31">
        <f t="shared" si="1526"/>
        <v>0.56805555555555554</v>
      </c>
      <c r="C8044" t="str">
        <f>'Inventory as of 12th Aug 2024'!A64</f>
        <v>Tomato paste</v>
      </c>
      <c r="D8044">
        <v>2</v>
      </c>
      <c r="E8044" s="5">
        <f>Table4[[#This Row],[qty]]*(VLOOKUP(Table4[[#This Row],[item_sold]],Table1[],5,FALSE))</f>
        <v>60</v>
      </c>
      <c r="F8044" s="5">
        <f>(VLOOKUP(Table4[[#This Row],[item_sold]],Table1[],4,FALSE))*Table4[[#This Row],[qty]]</f>
        <v>25</v>
      </c>
      <c r="G8044">
        <f t="shared" si="1522"/>
        <v>35</v>
      </c>
      <c r="H8044" t="s">
        <v>430</v>
      </c>
      <c r="I8044" t="s">
        <v>451</v>
      </c>
    </row>
    <row r="8045" spans="1:12" x14ac:dyDescent="0.25">
      <c r="A8045" s="1">
        <f t="shared" si="1518"/>
        <v>45609</v>
      </c>
      <c r="B8045" s="31">
        <f>TIME(14,6,0)</f>
        <v>0.58750000000000002</v>
      </c>
      <c r="C8045" t="str">
        <f>'Inventory as of 12th Aug 2024'!A191</f>
        <v>Nuvita Bisquit</v>
      </c>
      <c r="D8045">
        <v>5</v>
      </c>
      <c r="E8045" s="5">
        <f>Table4[[#This Row],[qty]]*(VLOOKUP(Table4[[#This Row],[item_sold]],Table1[],5,FALSE))</f>
        <v>25</v>
      </c>
      <c r="F8045" s="5">
        <f>(VLOOKUP(Table4[[#This Row],[item_sold]],Table1[],4,FALSE))*Table4[[#This Row],[qty]]</f>
        <v>20.833333333333336</v>
      </c>
      <c r="G8045">
        <f t="shared" si="1522"/>
        <v>4.1666666666666643</v>
      </c>
      <c r="H8045" t="s">
        <v>361</v>
      </c>
    </row>
    <row r="8046" spans="1:12" x14ac:dyDescent="0.25">
      <c r="A8046" s="1">
        <f t="shared" si="1518"/>
        <v>45609</v>
      </c>
      <c r="B8046" s="31">
        <f t="shared" ref="B8046:B8048" si="1527">TIME(14,6,0)</f>
        <v>0.58750000000000002</v>
      </c>
      <c r="C8046" t="str">
        <f>'Inventory as of 12th Aug 2024'!A16</f>
        <v>Mt kenya milk 500ml</v>
      </c>
      <c r="D8046">
        <v>1</v>
      </c>
      <c r="E8046" s="5">
        <f>Table4[[#This Row],[qty]]*(VLOOKUP(Table4[[#This Row],[item_sold]],Table1[],5,FALSE))</f>
        <v>65</v>
      </c>
      <c r="F8046" s="5">
        <f>(VLOOKUP(Table4[[#This Row],[item_sold]],Table1[],4,FALSE))*Table4[[#This Row],[qty]]</f>
        <v>48.333333333333336</v>
      </c>
      <c r="G8046">
        <f t="shared" si="1522"/>
        <v>16.666666666666664</v>
      </c>
      <c r="H8046" t="s">
        <v>430</v>
      </c>
      <c r="I8046" t="s">
        <v>415</v>
      </c>
    </row>
    <row r="8047" spans="1:12" x14ac:dyDescent="0.25">
      <c r="A8047" s="1">
        <f t="shared" si="1518"/>
        <v>45609</v>
      </c>
      <c r="B8047" s="31">
        <f t="shared" si="1527"/>
        <v>0.58750000000000002</v>
      </c>
      <c r="C8047" t="str">
        <f>'Inventory as of 12th Aug 2024'!A192</f>
        <v>Lemon Bisquit</v>
      </c>
      <c r="D8047">
        <v>3</v>
      </c>
      <c r="E8047" s="5">
        <f>Table4[[#This Row],[qty]]*(VLOOKUP(Table4[[#This Row],[item_sold]],Table1[],5,FALSE))</f>
        <v>15</v>
      </c>
      <c r="F8047" s="5">
        <f>(VLOOKUP(Table4[[#This Row],[item_sold]],Table1[],4,FALSE))*Table4[[#This Row],[qty]]</f>
        <v>13</v>
      </c>
      <c r="G8047">
        <f t="shared" si="1522"/>
        <v>2</v>
      </c>
      <c r="H8047" t="s">
        <v>402</v>
      </c>
    </row>
    <row r="8048" spans="1:12" x14ac:dyDescent="0.25">
      <c r="A8048" s="1">
        <f t="shared" si="1518"/>
        <v>45609</v>
      </c>
      <c r="B8048" s="31">
        <f t="shared" si="1527"/>
        <v>0.58750000000000002</v>
      </c>
      <c r="C8048" t="str">
        <f>'Inventory as of 12th Aug 2024'!A16</f>
        <v>Mt kenya milk 500ml</v>
      </c>
      <c r="D8048">
        <v>1</v>
      </c>
      <c r="E8048" s="5">
        <f>Table4[[#This Row],[qty]]*(VLOOKUP(Table4[[#This Row],[item_sold]],Table1[],5,FALSE))</f>
        <v>65</v>
      </c>
      <c r="F8048" s="5">
        <f>(VLOOKUP(Table4[[#This Row],[item_sold]],Table1[],4,FALSE))*Table4[[#This Row],[qty]]</f>
        <v>48.333333333333336</v>
      </c>
      <c r="G8048">
        <f t="shared" si="1522"/>
        <v>16.666666666666664</v>
      </c>
      <c r="H8048" t="s">
        <v>402</v>
      </c>
    </row>
    <row r="8049" spans="1:12" x14ac:dyDescent="0.25">
      <c r="A8049" s="1">
        <f t="shared" si="1518"/>
        <v>45609</v>
      </c>
      <c r="B8049" s="31">
        <f>TIME(14,36,0)</f>
        <v>0.60833333333333328</v>
      </c>
      <c r="C8049" t="str">
        <f>'Inventory as of 12th Aug 2024'!A58</f>
        <v>Safari</v>
      </c>
      <c r="D8049">
        <v>4</v>
      </c>
      <c r="E8049" s="5">
        <f>Table4[[#This Row],[qty]]*(VLOOKUP(Table4[[#This Row],[item_sold]],Table1[],5,FALSE))</f>
        <v>60</v>
      </c>
      <c r="F8049" s="5">
        <f>(VLOOKUP(Table4[[#This Row],[item_sold]],Table1[],4,FALSE))*Table4[[#This Row],[qty]]</f>
        <v>34</v>
      </c>
      <c r="G8049">
        <f t="shared" si="1522"/>
        <v>26</v>
      </c>
      <c r="H8049" t="s">
        <v>361</v>
      </c>
    </row>
    <row r="8050" spans="1:12" x14ac:dyDescent="0.25">
      <c r="A8050" s="1">
        <f t="shared" si="1518"/>
        <v>45609</v>
      </c>
      <c r="B8050" s="31">
        <f t="shared" ref="B8050:B8053" si="1528">TIME(14,36,0)</f>
        <v>0.60833333333333328</v>
      </c>
      <c r="C8050" t="str">
        <f>'Inventory as of 12th Aug 2024'!A212</f>
        <v>soda 300ml glass</v>
      </c>
      <c r="D8050">
        <v>1</v>
      </c>
      <c r="E8050" s="5">
        <f>Table4[[#This Row],[qty]]*(VLOOKUP(Table4[[#This Row],[item_sold]],Table1[],5,FALSE))</f>
        <v>40</v>
      </c>
      <c r="F8050" s="5">
        <f>(VLOOKUP(Table4[[#This Row],[item_sold]],Table1[],4,FALSE))*Table4[[#This Row],[qty]]</f>
        <v>32.5</v>
      </c>
      <c r="G8050">
        <f t="shared" si="1522"/>
        <v>7.5</v>
      </c>
      <c r="H8050" t="s">
        <v>402</v>
      </c>
    </row>
    <row r="8051" spans="1:12" x14ac:dyDescent="0.25">
      <c r="A8051" s="1">
        <f t="shared" si="1518"/>
        <v>45609</v>
      </c>
      <c r="B8051" s="31">
        <f t="shared" si="1528"/>
        <v>0.60833333333333328</v>
      </c>
      <c r="C8051" t="str">
        <f>'Inventory as of 12th Aug 2024'!A37</f>
        <v>Festive Bread 400g</v>
      </c>
      <c r="D8051">
        <v>1</v>
      </c>
      <c r="E8051" s="5">
        <f>Table4[[#This Row],[qty]]*(VLOOKUP(Table4[[#This Row],[item_sold]],Table1[],5,FALSE))</f>
        <v>65</v>
      </c>
      <c r="F8051" s="5">
        <f>(VLOOKUP(Table4[[#This Row],[item_sold]],Table1[],4,FALSE))*Table4[[#This Row],[qty]]</f>
        <v>60</v>
      </c>
      <c r="G8051">
        <f t="shared" si="1522"/>
        <v>5</v>
      </c>
      <c r="H8051" t="s">
        <v>402</v>
      </c>
    </row>
    <row r="8052" spans="1:12" x14ac:dyDescent="0.25">
      <c r="A8052" s="1">
        <f t="shared" si="1518"/>
        <v>45609</v>
      </c>
      <c r="B8052" s="31">
        <f t="shared" si="1528"/>
        <v>0.60833333333333328</v>
      </c>
      <c r="C8052" t="str">
        <f>'Inventory as of 12th Aug 2024'!A213</f>
        <v>soda 500ml glass</v>
      </c>
      <c r="D8052">
        <v>1</v>
      </c>
      <c r="E8052" s="5">
        <f>Table4[[#This Row],[qty]]*(VLOOKUP(Table4[[#This Row],[item_sold]],Table1[],5,FALSE))</f>
        <v>55</v>
      </c>
      <c r="F8052" s="5">
        <f>(VLOOKUP(Table4[[#This Row],[item_sold]],Table1[],4,FALSE))*Table4[[#This Row],[qty]]</f>
        <v>50</v>
      </c>
      <c r="G8052">
        <f t="shared" si="1522"/>
        <v>5</v>
      </c>
      <c r="H8052" t="s">
        <v>402</v>
      </c>
    </row>
    <row r="8053" spans="1:12" x14ac:dyDescent="0.25">
      <c r="A8053" s="1">
        <f t="shared" si="1518"/>
        <v>45609</v>
      </c>
      <c r="B8053" s="31">
        <f t="shared" si="1528"/>
        <v>0.60833333333333328</v>
      </c>
      <c r="C8053" t="str">
        <f>'Inventory as of 12th Aug 2024'!A192</f>
        <v>Lemon Bisquit</v>
      </c>
      <c r="D8053">
        <v>3</v>
      </c>
      <c r="E8053" s="5">
        <f>Table4[[#This Row],[qty]]*(VLOOKUP(Table4[[#This Row],[item_sold]],Table1[],5,FALSE))</f>
        <v>15</v>
      </c>
      <c r="F8053" s="5">
        <f>(VLOOKUP(Table4[[#This Row],[item_sold]],Table1[],4,FALSE))*Table4[[#This Row],[qty]]</f>
        <v>13</v>
      </c>
      <c r="G8053">
        <f t="shared" si="1522"/>
        <v>2</v>
      </c>
      <c r="H8053" t="s">
        <v>402</v>
      </c>
    </row>
    <row r="8054" spans="1:12" x14ac:dyDescent="0.25">
      <c r="A8054" s="1">
        <f t="shared" si="1518"/>
        <v>45609</v>
      </c>
      <c r="B8054" s="31">
        <f>TIME(15,47,0)</f>
        <v>0.65763888888888888</v>
      </c>
      <c r="C8054" t="str">
        <f>'Inventory as of 12th Aug 2024'!A16</f>
        <v>Mt kenya milk 500ml</v>
      </c>
      <c r="D8054">
        <v>1</v>
      </c>
      <c r="E8054" s="5">
        <f>Table4[[#This Row],[qty]]*(VLOOKUP(Table4[[#This Row],[item_sold]],Table1[],5,FALSE))</f>
        <v>65</v>
      </c>
      <c r="F8054" s="5">
        <f>(VLOOKUP(Table4[[#This Row],[item_sold]],Table1[],4,FALSE))*Table4[[#This Row],[qty]]</f>
        <v>48.333333333333336</v>
      </c>
      <c r="G8054">
        <f t="shared" si="1522"/>
        <v>16.666666666666664</v>
      </c>
      <c r="H8054" t="s">
        <v>361</v>
      </c>
    </row>
    <row r="8055" spans="1:12" x14ac:dyDescent="0.25">
      <c r="A8055" s="1">
        <f t="shared" si="1518"/>
        <v>45609</v>
      </c>
      <c r="B8055" s="31">
        <f t="shared" ref="B8055:B8058" si="1529">TIME(15,47,0)</f>
        <v>0.65763888888888888</v>
      </c>
      <c r="C8055" t="str">
        <f>'Inventory as of 12th Aug 2024'!A234</f>
        <v>Bigdaddy</v>
      </c>
      <c r="D8055">
        <v>2</v>
      </c>
      <c r="E8055" s="5">
        <f>Table4[[#This Row],[qty]]*(VLOOKUP(Table4[[#This Row],[item_sold]],Table1[],5,FALSE))</f>
        <v>20</v>
      </c>
      <c r="F8055" s="5">
        <f>(VLOOKUP(Table4[[#This Row],[item_sold]],Table1[],4,FALSE))*Table4[[#This Row],[qty]]</f>
        <v>12</v>
      </c>
      <c r="G8055">
        <f t="shared" si="1522"/>
        <v>8</v>
      </c>
      <c r="H8055" t="s">
        <v>402</v>
      </c>
    </row>
    <row r="8056" spans="1:12" x14ac:dyDescent="0.25">
      <c r="A8056" s="1">
        <f t="shared" si="1518"/>
        <v>45609</v>
      </c>
      <c r="B8056" s="31">
        <f t="shared" si="1529"/>
        <v>0.65763888888888888</v>
      </c>
      <c r="C8056" t="str">
        <f>'Inventory as of 12th Aug 2024'!A99</f>
        <v>spinach</v>
      </c>
      <c r="D8056">
        <v>1</v>
      </c>
      <c r="E8056" s="5">
        <f>Table4[[#This Row],[qty]]*(VLOOKUP(Table4[[#This Row],[item_sold]],Table1[],5,FALSE))</f>
        <v>20</v>
      </c>
      <c r="F8056" s="5">
        <f>(VLOOKUP(Table4[[#This Row],[item_sold]],Table1[],4,FALSE))*Table4[[#This Row],[qty]]</f>
        <v>10</v>
      </c>
      <c r="G8056">
        <f t="shared" si="1522"/>
        <v>10</v>
      </c>
      <c r="H8056" t="s">
        <v>402</v>
      </c>
    </row>
    <row r="8057" spans="1:12" x14ac:dyDescent="0.25">
      <c r="A8057" s="1">
        <f t="shared" si="1518"/>
        <v>45609</v>
      </c>
      <c r="B8057" s="31">
        <f t="shared" si="1529"/>
        <v>0.65763888888888888</v>
      </c>
      <c r="C8057" t="str">
        <f>'Inventory as of 12th Aug 2024'!A200</f>
        <v>Ngumu</v>
      </c>
      <c r="D8057">
        <v>2</v>
      </c>
      <c r="E8057" s="5">
        <f>Table4[[#This Row],[qty]]*(VLOOKUP(Table4[[#This Row],[item_sold]],Table1[],5,FALSE))</f>
        <v>20</v>
      </c>
      <c r="F8057" s="5">
        <f>(VLOOKUP(Table4[[#This Row],[item_sold]],Table1[],4,FALSE))*Table4[[#This Row],[qty]]</f>
        <v>16.666666666666668</v>
      </c>
      <c r="G8057">
        <f t="shared" si="1522"/>
        <v>3.3333333333333321</v>
      </c>
      <c r="H8057" t="s">
        <v>402</v>
      </c>
    </row>
    <row r="8058" spans="1:12" x14ac:dyDescent="0.25">
      <c r="A8058" s="1">
        <f t="shared" si="1518"/>
        <v>45609</v>
      </c>
      <c r="B8058" s="31">
        <f t="shared" si="1529"/>
        <v>0.65763888888888888</v>
      </c>
      <c r="C8058" t="str">
        <f>'Inventory as of 12th Aug 2024'!A7</f>
        <v>Airtel 50 Credit</v>
      </c>
      <c r="D8058">
        <v>1</v>
      </c>
      <c r="E8058" s="5">
        <f>Table4[[#This Row],[qty]]*(VLOOKUP(Table4[[#This Row],[item_sold]],Table1[],5,FALSE))</f>
        <v>50</v>
      </c>
      <c r="F8058" s="5">
        <f>(VLOOKUP(Table4[[#This Row],[item_sold]],Table1[],4,FALSE))*Table4[[#This Row],[qty]]</f>
        <v>47</v>
      </c>
      <c r="G8058">
        <f t="shared" si="1522"/>
        <v>3</v>
      </c>
      <c r="H8058" t="s">
        <v>402</v>
      </c>
    </row>
    <row r="8059" spans="1:12" x14ac:dyDescent="0.25">
      <c r="A8059" s="1">
        <f t="shared" si="1518"/>
        <v>45609</v>
      </c>
      <c r="B8059" s="31">
        <f>TIME(18,13,0)</f>
        <v>0.75902777777777775</v>
      </c>
      <c r="C8059" t="str">
        <f>'Inventory as of 12th Aug 2024'!A233</f>
        <v>Lollipop</v>
      </c>
      <c r="D8059">
        <v>4</v>
      </c>
      <c r="E8059" s="5">
        <f>Table4[[#This Row],[qty]]*(VLOOKUP(Table4[[#This Row],[item_sold]],Table1[],5,FALSE))</f>
        <v>20</v>
      </c>
      <c r="F8059" s="5">
        <f>(VLOOKUP(Table4[[#This Row],[item_sold]],Table1[],4,FALSE))*Table4[[#This Row],[qty]]</f>
        <v>9.6</v>
      </c>
      <c r="G8059">
        <f t="shared" si="1522"/>
        <v>10.4</v>
      </c>
      <c r="H8059" t="s">
        <v>402</v>
      </c>
    </row>
    <row r="8060" spans="1:12" x14ac:dyDescent="0.25">
      <c r="A8060" s="1">
        <f t="shared" si="1518"/>
        <v>45609</v>
      </c>
      <c r="B8060" s="31">
        <f t="shared" ref="B8060:B8066" si="1530">TIME(18,13,0)</f>
        <v>0.75902777777777775</v>
      </c>
      <c r="C8060" t="str">
        <f>'Inventory as of 12th Aug 2024'!A243</f>
        <v>Ballon</v>
      </c>
      <c r="D8060">
        <v>1</v>
      </c>
      <c r="E8060" s="5">
        <f>Table4[[#This Row],[qty]]*(VLOOKUP(Table4[[#This Row],[item_sold]],Table1[],5,FALSE))</f>
        <v>10</v>
      </c>
      <c r="F8060" s="5">
        <f>(VLOOKUP(Table4[[#This Row],[item_sold]],Table1[],4,FALSE))*Table4[[#This Row],[qty]]</f>
        <v>7.5</v>
      </c>
      <c r="G8060">
        <f t="shared" si="1522"/>
        <v>2.5</v>
      </c>
      <c r="H8060" t="s">
        <v>247</v>
      </c>
    </row>
    <row r="8061" spans="1:12" x14ac:dyDescent="0.25">
      <c r="A8061" s="1">
        <f t="shared" si="1518"/>
        <v>45609</v>
      </c>
      <c r="B8061" s="31">
        <f t="shared" si="1530"/>
        <v>0.75902777777777775</v>
      </c>
      <c r="C8061" t="str">
        <f>'Inventory as of 12th Aug 2024'!A16</f>
        <v>Mt kenya milk 500ml</v>
      </c>
      <c r="D8061">
        <v>2</v>
      </c>
      <c r="E8061" s="5">
        <f>Table4[[#This Row],[qty]]*(VLOOKUP(Table4[[#This Row],[item_sold]],Table1[],5,FALSE))</f>
        <v>130</v>
      </c>
      <c r="F8061" s="5">
        <f>(VLOOKUP(Table4[[#This Row],[item_sold]],Table1[],4,FALSE))*Table4[[#This Row],[qty]]</f>
        <v>96.666666666666671</v>
      </c>
      <c r="G8061">
        <f t="shared" si="1522"/>
        <v>33.333333333333329</v>
      </c>
      <c r="H8061" t="s">
        <v>430</v>
      </c>
      <c r="I8061" t="s">
        <v>588</v>
      </c>
    </row>
    <row r="8062" spans="1:12" x14ac:dyDescent="0.25">
      <c r="A8062" s="1">
        <f t="shared" si="1518"/>
        <v>45609</v>
      </c>
      <c r="B8062" s="31">
        <f t="shared" si="1530"/>
        <v>0.75902777777777775</v>
      </c>
      <c r="C8062" t="str">
        <f>'Inventory as of 12th Aug 2024'!A199</f>
        <v>Kdf</v>
      </c>
      <c r="D8062">
        <v>2</v>
      </c>
      <c r="E8062" s="5">
        <f>Table4[[#This Row],[qty]]*(VLOOKUP(Table4[[#This Row],[item_sold]],Table1[],5,FALSE))</f>
        <v>20</v>
      </c>
      <c r="F8062" s="5">
        <f>(VLOOKUP(Table4[[#This Row],[item_sold]],Table1[],4,FALSE))*Table4[[#This Row],[qty]]</f>
        <v>16.666666666666668</v>
      </c>
      <c r="G8062">
        <f t="shared" si="1522"/>
        <v>3.3333333333333321</v>
      </c>
      <c r="H8062" t="s">
        <v>247</v>
      </c>
    </row>
    <row r="8063" spans="1:12" x14ac:dyDescent="0.25">
      <c r="A8063" s="1">
        <f t="shared" si="1518"/>
        <v>45609</v>
      </c>
      <c r="B8063" s="31">
        <f t="shared" si="1530"/>
        <v>0.75902777777777775</v>
      </c>
      <c r="C8063" t="str">
        <f>'Inventory as of 12th Aug 2024'!A16</f>
        <v>Mt kenya milk 500ml</v>
      </c>
      <c r="D8063">
        <v>2</v>
      </c>
      <c r="E8063" s="5">
        <f>Table4[[#This Row],[qty]]*(VLOOKUP(Table4[[#This Row],[item_sold]],Table1[],5,FALSE))</f>
        <v>130</v>
      </c>
      <c r="F8063" s="5">
        <f>(VLOOKUP(Table4[[#This Row],[item_sold]],Table1[],4,FALSE))*Table4[[#This Row],[qty]]</f>
        <v>96.666666666666671</v>
      </c>
      <c r="G8063">
        <f t="shared" si="1522"/>
        <v>33.333333333333329</v>
      </c>
      <c r="H8063" t="s">
        <v>247</v>
      </c>
    </row>
    <row r="8064" spans="1:12" x14ac:dyDescent="0.25">
      <c r="A8064" s="1">
        <f t="shared" si="1518"/>
        <v>45609</v>
      </c>
      <c r="B8064" s="31">
        <f t="shared" si="1530"/>
        <v>0.75902777777777775</v>
      </c>
      <c r="C8064" t="str">
        <f>'Inventory as of 12th Aug 2024'!A37</f>
        <v>Festive Bread 400g</v>
      </c>
      <c r="D8064">
        <v>1</v>
      </c>
      <c r="E8064" s="5">
        <f>Table4[[#This Row],[qty]]*(VLOOKUP(Table4[[#This Row],[item_sold]],Table1[],5,FALSE))</f>
        <v>65</v>
      </c>
      <c r="F8064" s="5">
        <f>(VLOOKUP(Table4[[#This Row],[item_sold]],Table1[],4,FALSE))*Table4[[#This Row],[qty]]</f>
        <v>60</v>
      </c>
      <c r="G8064">
        <f t="shared" si="1522"/>
        <v>5</v>
      </c>
      <c r="H8064" t="s">
        <v>247</v>
      </c>
      <c r="J8064" t="s">
        <v>636</v>
      </c>
      <c r="K8064">
        <v>60</v>
      </c>
      <c r="L8064" t="s">
        <v>247</v>
      </c>
    </row>
    <row r="8065" spans="1:12" x14ac:dyDescent="0.25">
      <c r="A8065" s="1">
        <f t="shared" si="1518"/>
        <v>45609</v>
      </c>
      <c r="B8065" s="31">
        <f t="shared" si="1530"/>
        <v>0.75902777777777775</v>
      </c>
      <c r="C8065" t="str">
        <f>'Inventory as of 12th Aug 2024'!A33</f>
        <v>BB Bread 400g</v>
      </c>
      <c r="D8065">
        <v>1</v>
      </c>
      <c r="E8065" s="5">
        <f>Table4[[#This Row],[qty]]*(VLOOKUP(Table4[[#This Row],[item_sold]],Table1[],5,FALSE))</f>
        <v>65</v>
      </c>
      <c r="F8065" s="5">
        <f>(VLOOKUP(Table4[[#This Row],[item_sold]],Table1[],4,FALSE))*Table4[[#This Row],[qty]]</f>
        <v>60</v>
      </c>
      <c r="G8065">
        <f t="shared" si="1522"/>
        <v>5</v>
      </c>
      <c r="H8065" t="s">
        <v>430</v>
      </c>
      <c r="I8065" t="s">
        <v>392</v>
      </c>
      <c r="J8065" t="s">
        <v>392</v>
      </c>
      <c r="K8065">
        <v>65</v>
      </c>
      <c r="L8065" t="s">
        <v>361</v>
      </c>
    </row>
    <row r="8066" spans="1:12" x14ac:dyDescent="0.25">
      <c r="A8066" s="1">
        <f t="shared" ref="A8066:A8096" si="1531">DATE(2024,11,13)</f>
        <v>45609</v>
      </c>
      <c r="B8066" s="31">
        <f t="shared" si="1530"/>
        <v>0.75902777777777775</v>
      </c>
      <c r="C8066" t="str">
        <f>'Inventory as of 12th Aug 2024'!A90</f>
        <v>Onion</v>
      </c>
      <c r="D8066">
        <v>5</v>
      </c>
      <c r="E8066" s="5">
        <f>Table4[[#This Row],[qty]]*(VLOOKUP(Table4[[#This Row],[item_sold]],Table1[],5,FALSE))</f>
        <v>50</v>
      </c>
      <c r="F8066" s="5">
        <f>(VLOOKUP(Table4[[#This Row],[item_sold]],Table1[],4,FALSE))*Table4[[#This Row],[qty]]</f>
        <v>40</v>
      </c>
      <c r="G8066">
        <f t="shared" si="1522"/>
        <v>10</v>
      </c>
      <c r="H8066" t="s">
        <v>430</v>
      </c>
      <c r="I8066" t="s">
        <v>456</v>
      </c>
    </row>
    <row r="8067" spans="1:12" x14ac:dyDescent="0.25">
      <c r="A8067" s="1">
        <f t="shared" si="1531"/>
        <v>45609</v>
      </c>
      <c r="B8067" s="31">
        <f>TIME(19,20,0)</f>
        <v>0.80555555555555547</v>
      </c>
      <c r="C8067" t="str">
        <f>'Inventory as of 12th Aug 2024'!A200</f>
        <v>Ngumu</v>
      </c>
      <c r="D8067">
        <v>4</v>
      </c>
      <c r="E8067" s="5">
        <f>Table4[[#This Row],[qty]]*(VLOOKUP(Table4[[#This Row],[item_sold]],Table1[],5,FALSE))</f>
        <v>40</v>
      </c>
      <c r="F8067" s="5">
        <f>(VLOOKUP(Table4[[#This Row],[item_sold]],Table1[],4,FALSE))*Table4[[#This Row],[qty]]</f>
        <v>33.333333333333336</v>
      </c>
      <c r="G8067">
        <f t="shared" si="1522"/>
        <v>6.6666666666666643</v>
      </c>
      <c r="H8067" t="s">
        <v>247</v>
      </c>
    </row>
    <row r="8068" spans="1:12" x14ac:dyDescent="0.25">
      <c r="A8068" s="1">
        <f t="shared" si="1531"/>
        <v>45609</v>
      </c>
      <c r="B8068" s="31">
        <f t="shared" ref="B8068:B8069" si="1532">TIME(19,20,0)</f>
        <v>0.80555555555555547</v>
      </c>
      <c r="C8068" t="str">
        <f>'Inventory as of 12th Aug 2024'!A8</f>
        <v>eggs</v>
      </c>
      <c r="D8068">
        <v>2</v>
      </c>
      <c r="E8068" s="5">
        <f>Table4[[#This Row],[qty]]*(VLOOKUP(Table4[[#This Row],[item_sold]],Table1[],5,FALSE))</f>
        <v>40</v>
      </c>
      <c r="F8068" s="5">
        <f>(VLOOKUP(Table4[[#This Row],[item_sold]],Table1[],4,FALSE))*Table4[[#This Row],[qty]]</f>
        <v>28.666666666666668</v>
      </c>
      <c r="G8068">
        <f t="shared" si="1522"/>
        <v>11.333333333333332</v>
      </c>
      <c r="H8068" t="s">
        <v>247</v>
      </c>
    </row>
    <row r="8069" spans="1:12" x14ac:dyDescent="0.25">
      <c r="A8069" s="1">
        <f t="shared" si="1531"/>
        <v>45609</v>
      </c>
      <c r="B8069" s="31">
        <f t="shared" si="1532"/>
        <v>0.80555555555555547</v>
      </c>
      <c r="C8069" t="str">
        <f>'Inventory as of 12th Aug 2024'!A16</f>
        <v>Mt kenya milk 500ml</v>
      </c>
      <c r="D8069">
        <v>1</v>
      </c>
      <c r="E8069" s="5">
        <f>Table4[[#This Row],[qty]]*(VLOOKUP(Table4[[#This Row],[item_sold]],Table1[],5,FALSE))</f>
        <v>65</v>
      </c>
      <c r="F8069" s="5">
        <f>(VLOOKUP(Table4[[#This Row],[item_sold]],Table1[],4,FALSE))*Table4[[#This Row],[qty]]</f>
        <v>48.333333333333336</v>
      </c>
      <c r="G8069">
        <f t="shared" si="1522"/>
        <v>16.666666666666664</v>
      </c>
      <c r="H8069" t="s">
        <v>247</v>
      </c>
    </row>
    <row r="8070" spans="1:12" x14ac:dyDescent="0.25">
      <c r="A8070" s="1">
        <f>DATE(2024,11,14)</f>
        <v>45610</v>
      </c>
      <c r="B8070" s="36"/>
      <c r="E8070" s="5" t="e">
        <f>Table4[[#This Row],[qty]]*(VLOOKUP(Table4[[#This Row],[item_sold]],Table1[],5,FALSE))</f>
        <v>#N/A</v>
      </c>
      <c r="F8070" s="5" t="e">
        <f>(VLOOKUP(Table4[[#This Row],[item_sold]],Table1[],4,FALSE))*Table4[[#This Row],[qty]]</f>
        <v>#N/A</v>
      </c>
      <c r="G8070" t="e">
        <f t="shared" si="1522"/>
        <v>#N/A</v>
      </c>
    </row>
    <row r="8071" spans="1:12" x14ac:dyDescent="0.25">
      <c r="A8071" s="1">
        <f t="shared" si="1531"/>
        <v>45609</v>
      </c>
      <c r="B8071" s="36"/>
      <c r="E8071" s="5" t="e">
        <f>Table4[[#This Row],[qty]]*(VLOOKUP(Table4[[#This Row],[item_sold]],Table1[],5,FALSE))</f>
        <v>#N/A</v>
      </c>
      <c r="F8071" s="5" t="e">
        <f>(VLOOKUP(Table4[[#This Row],[item_sold]],Table1[],4,FALSE))*Table4[[#This Row],[qty]]</f>
        <v>#N/A</v>
      </c>
      <c r="G8071" t="e">
        <f t="shared" si="1522"/>
        <v>#N/A</v>
      </c>
    </row>
    <row r="8072" spans="1:12" x14ac:dyDescent="0.25">
      <c r="A8072" s="1">
        <f t="shared" si="1531"/>
        <v>45609</v>
      </c>
      <c r="B8072" s="36"/>
      <c r="E8072" s="5" t="e">
        <f>Table4[[#This Row],[qty]]*(VLOOKUP(Table4[[#This Row],[item_sold]],Table1[],5,FALSE))</f>
        <v>#N/A</v>
      </c>
      <c r="F8072" s="5" t="e">
        <f>(VLOOKUP(Table4[[#This Row],[item_sold]],Table1[],4,FALSE))*Table4[[#This Row],[qty]]</f>
        <v>#N/A</v>
      </c>
      <c r="G8072" t="e">
        <f t="shared" si="1522"/>
        <v>#N/A</v>
      </c>
    </row>
    <row r="8073" spans="1:12" x14ac:dyDescent="0.25">
      <c r="A8073" s="1">
        <f t="shared" si="1531"/>
        <v>45609</v>
      </c>
      <c r="B8073" s="36"/>
      <c r="E8073" s="5" t="e">
        <f>Table4[[#This Row],[qty]]*(VLOOKUP(Table4[[#This Row],[item_sold]],Table1[],5,FALSE))</f>
        <v>#N/A</v>
      </c>
      <c r="F8073" s="5" t="e">
        <f>(VLOOKUP(Table4[[#This Row],[item_sold]],Table1[],4,FALSE))*Table4[[#This Row],[qty]]</f>
        <v>#N/A</v>
      </c>
      <c r="G8073" t="e">
        <f t="shared" si="1522"/>
        <v>#N/A</v>
      </c>
    </row>
    <row r="8074" spans="1:12" x14ac:dyDescent="0.25">
      <c r="A8074" s="1">
        <f t="shared" si="1531"/>
        <v>45609</v>
      </c>
      <c r="B8074" s="36"/>
      <c r="E8074" s="5" t="e">
        <f>Table4[[#This Row],[qty]]*(VLOOKUP(Table4[[#This Row],[item_sold]],Table1[],5,FALSE))</f>
        <v>#N/A</v>
      </c>
      <c r="F8074" s="5" t="e">
        <f>(VLOOKUP(Table4[[#This Row],[item_sold]],Table1[],4,FALSE))*Table4[[#This Row],[qty]]</f>
        <v>#N/A</v>
      </c>
      <c r="G8074" t="e">
        <f t="shared" si="1522"/>
        <v>#N/A</v>
      </c>
    </row>
    <row r="8075" spans="1:12" x14ac:dyDescent="0.25">
      <c r="A8075" s="1">
        <f t="shared" si="1531"/>
        <v>45609</v>
      </c>
      <c r="B8075" s="36"/>
      <c r="E8075" s="5" t="e">
        <f>Table4[[#This Row],[qty]]*(VLOOKUP(Table4[[#This Row],[item_sold]],Table1[],5,FALSE))</f>
        <v>#N/A</v>
      </c>
      <c r="F8075" s="5" t="e">
        <f>(VLOOKUP(Table4[[#This Row],[item_sold]],Table1[],4,FALSE))*Table4[[#This Row],[qty]]</f>
        <v>#N/A</v>
      </c>
      <c r="G8075" t="e">
        <f t="shared" si="1522"/>
        <v>#N/A</v>
      </c>
    </row>
    <row r="8076" spans="1:12" x14ac:dyDescent="0.25">
      <c r="A8076" s="1">
        <f t="shared" si="1531"/>
        <v>45609</v>
      </c>
      <c r="B8076" s="36"/>
      <c r="E8076" s="5" t="e">
        <f>Table4[[#This Row],[qty]]*(VLOOKUP(Table4[[#This Row],[item_sold]],Table1[],5,FALSE))</f>
        <v>#N/A</v>
      </c>
      <c r="F8076" s="5" t="e">
        <f>(VLOOKUP(Table4[[#This Row],[item_sold]],Table1[],4,FALSE))*Table4[[#This Row],[qty]]</f>
        <v>#N/A</v>
      </c>
      <c r="G8076" t="e">
        <f t="shared" si="1522"/>
        <v>#N/A</v>
      </c>
    </row>
    <row r="8077" spans="1:12" x14ac:dyDescent="0.25">
      <c r="A8077" s="1">
        <f t="shared" si="1531"/>
        <v>45609</v>
      </c>
      <c r="B8077" s="36"/>
      <c r="E8077" s="5" t="e">
        <f>Table4[[#This Row],[qty]]*(VLOOKUP(Table4[[#This Row],[item_sold]],Table1[],5,FALSE))</f>
        <v>#N/A</v>
      </c>
      <c r="F8077" s="5" t="e">
        <f>(VLOOKUP(Table4[[#This Row],[item_sold]],Table1[],4,FALSE))*Table4[[#This Row],[qty]]</f>
        <v>#N/A</v>
      </c>
      <c r="G8077" t="e">
        <f t="shared" si="1522"/>
        <v>#N/A</v>
      </c>
    </row>
    <row r="8078" spans="1:12" x14ac:dyDescent="0.25">
      <c r="A8078" s="1">
        <f t="shared" si="1531"/>
        <v>45609</v>
      </c>
      <c r="B8078" s="36"/>
      <c r="E8078" s="5" t="e">
        <f>Table4[[#This Row],[qty]]*(VLOOKUP(Table4[[#This Row],[item_sold]],Table1[],5,FALSE))</f>
        <v>#N/A</v>
      </c>
      <c r="F8078" s="5" t="e">
        <f>(VLOOKUP(Table4[[#This Row],[item_sold]],Table1[],4,FALSE))*Table4[[#This Row],[qty]]</f>
        <v>#N/A</v>
      </c>
      <c r="G8078" t="e">
        <f t="shared" si="1522"/>
        <v>#N/A</v>
      </c>
    </row>
    <row r="8079" spans="1:12" x14ac:dyDescent="0.25">
      <c r="A8079" s="1">
        <f t="shared" si="1531"/>
        <v>45609</v>
      </c>
      <c r="B8079" s="36"/>
      <c r="E8079" s="5" t="e">
        <f>Table4[[#This Row],[qty]]*(VLOOKUP(Table4[[#This Row],[item_sold]],Table1[],5,FALSE))</f>
        <v>#N/A</v>
      </c>
      <c r="F8079" s="5" t="e">
        <f>(VLOOKUP(Table4[[#This Row],[item_sold]],Table1[],4,FALSE))*Table4[[#This Row],[qty]]</f>
        <v>#N/A</v>
      </c>
      <c r="G8079" t="e">
        <f t="shared" si="1522"/>
        <v>#N/A</v>
      </c>
    </row>
    <row r="8080" spans="1:12" x14ac:dyDescent="0.25">
      <c r="A8080" s="1">
        <f t="shared" si="1531"/>
        <v>45609</v>
      </c>
      <c r="B8080" s="36"/>
      <c r="E8080" s="5" t="e">
        <f>Table4[[#This Row],[qty]]*(VLOOKUP(Table4[[#This Row],[item_sold]],Table1[],5,FALSE))</f>
        <v>#N/A</v>
      </c>
      <c r="F8080" s="5" t="e">
        <f>(VLOOKUP(Table4[[#This Row],[item_sold]],Table1[],4,FALSE))*Table4[[#This Row],[qty]]</f>
        <v>#N/A</v>
      </c>
      <c r="G8080" t="e">
        <f t="shared" si="1522"/>
        <v>#N/A</v>
      </c>
    </row>
    <row r="8081" spans="1:7" x14ac:dyDescent="0.25">
      <c r="A8081" s="1">
        <f t="shared" si="1531"/>
        <v>45609</v>
      </c>
      <c r="B8081" s="36"/>
      <c r="E8081" s="5" t="e">
        <f>Table4[[#This Row],[qty]]*(VLOOKUP(Table4[[#This Row],[item_sold]],Table1[],5,FALSE))</f>
        <v>#N/A</v>
      </c>
      <c r="F8081" s="5" t="e">
        <f>(VLOOKUP(Table4[[#This Row],[item_sold]],Table1[],4,FALSE))*Table4[[#This Row],[qty]]</f>
        <v>#N/A</v>
      </c>
      <c r="G8081" t="e">
        <f t="shared" si="1522"/>
        <v>#N/A</v>
      </c>
    </row>
    <row r="8082" spans="1:7" x14ac:dyDescent="0.25">
      <c r="A8082" s="1">
        <f t="shared" si="1531"/>
        <v>45609</v>
      </c>
      <c r="B8082" s="36"/>
      <c r="E8082" s="5" t="e">
        <f>Table4[[#This Row],[qty]]*(VLOOKUP(Table4[[#This Row],[item_sold]],Table1[],5,FALSE))</f>
        <v>#N/A</v>
      </c>
      <c r="F8082" s="5" t="e">
        <f>(VLOOKUP(Table4[[#This Row],[item_sold]],Table1[],4,FALSE))*Table4[[#This Row],[qty]]</f>
        <v>#N/A</v>
      </c>
      <c r="G8082" t="e">
        <f t="shared" si="1522"/>
        <v>#N/A</v>
      </c>
    </row>
    <row r="8083" spans="1:7" x14ac:dyDescent="0.25">
      <c r="A8083" s="1">
        <f t="shared" si="1531"/>
        <v>45609</v>
      </c>
      <c r="B8083" s="36"/>
      <c r="E8083" s="5" t="e">
        <f>Table4[[#This Row],[qty]]*(VLOOKUP(Table4[[#This Row],[item_sold]],Table1[],5,FALSE))</f>
        <v>#N/A</v>
      </c>
      <c r="F8083" s="5" t="e">
        <f>(VLOOKUP(Table4[[#This Row],[item_sold]],Table1[],4,FALSE))*Table4[[#This Row],[qty]]</f>
        <v>#N/A</v>
      </c>
      <c r="G8083" t="e">
        <f t="shared" si="1522"/>
        <v>#N/A</v>
      </c>
    </row>
    <row r="8084" spans="1:7" x14ac:dyDescent="0.25">
      <c r="A8084" s="1">
        <f t="shared" si="1531"/>
        <v>45609</v>
      </c>
      <c r="B8084" s="36"/>
      <c r="E8084" s="5" t="e">
        <f>Table4[[#This Row],[qty]]*(VLOOKUP(Table4[[#This Row],[item_sold]],Table1[],5,FALSE))</f>
        <v>#N/A</v>
      </c>
      <c r="F8084" s="5" t="e">
        <f>(VLOOKUP(Table4[[#This Row],[item_sold]],Table1[],4,FALSE))*Table4[[#This Row],[qty]]</f>
        <v>#N/A</v>
      </c>
      <c r="G8084" t="e">
        <f t="shared" ref="G8084:G8147" si="1533">E8084-F8084</f>
        <v>#N/A</v>
      </c>
    </row>
    <row r="8085" spans="1:7" x14ac:dyDescent="0.25">
      <c r="A8085" s="1">
        <f t="shared" si="1531"/>
        <v>45609</v>
      </c>
      <c r="B8085" s="36"/>
      <c r="E8085" s="5" t="e">
        <f>Table4[[#This Row],[qty]]*(VLOOKUP(Table4[[#This Row],[item_sold]],Table1[],5,FALSE))</f>
        <v>#N/A</v>
      </c>
      <c r="F8085" s="5" t="e">
        <f>(VLOOKUP(Table4[[#This Row],[item_sold]],Table1[],4,FALSE))*Table4[[#This Row],[qty]]</f>
        <v>#N/A</v>
      </c>
      <c r="G8085" t="e">
        <f t="shared" si="1533"/>
        <v>#N/A</v>
      </c>
    </row>
    <row r="8086" spans="1:7" x14ac:dyDescent="0.25">
      <c r="A8086" s="1">
        <f t="shared" si="1531"/>
        <v>45609</v>
      </c>
      <c r="B8086" s="36"/>
      <c r="E8086" s="5" t="e">
        <f>Table4[[#This Row],[qty]]*(VLOOKUP(Table4[[#This Row],[item_sold]],Table1[],5,FALSE))</f>
        <v>#N/A</v>
      </c>
      <c r="F8086" s="5" t="e">
        <f>(VLOOKUP(Table4[[#This Row],[item_sold]],Table1[],4,FALSE))*Table4[[#This Row],[qty]]</f>
        <v>#N/A</v>
      </c>
      <c r="G8086" t="e">
        <f t="shared" si="1533"/>
        <v>#N/A</v>
      </c>
    </row>
    <row r="8087" spans="1:7" x14ac:dyDescent="0.25">
      <c r="A8087" s="1">
        <f t="shared" si="1531"/>
        <v>45609</v>
      </c>
      <c r="B8087" s="36"/>
      <c r="E8087" s="5" t="e">
        <f>Table4[[#This Row],[qty]]*(VLOOKUP(Table4[[#This Row],[item_sold]],Table1[],5,FALSE))</f>
        <v>#N/A</v>
      </c>
      <c r="F8087" s="5" t="e">
        <f>(VLOOKUP(Table4[[#This Row],[item_sold]],Table1[],4,FALSE))*Table4[[#This Row],[qty]]</f>
        <v>#N/A</v>
      </c>
      <c r="G8087" t="e">
        <f t="shared" si="1533"/>
        <v>#N/A</v>
      </c>
    </row>
    <row r="8088" spans="1:7" x14ac:dyDescent="0.25">
      <c r="A8088" s="1">
        <f t="shared" si="1531"/>
        <v>45609</v>
      </c>
      <c r="B8088" s="36"/>
      <c r="E8088" s="5" t="e">
        <f>Table4[[#This Row],[qty]]*(VLOOKUP(Table4[[#This Row],[item_sold]],Table1[],5,FALSE))</f>
        <v>#N/A</v>
      </c>
      <c r="F8088" s="5" t="e">
        <f>(VLOOKUP(Table4[[#This Row],[item_sold]],Table1[],4,FALSE))*Table4[[#This Row],[qty]]</f>
        <v>#N/A</v>
      </c>
      <c r="G8088" t="e">
        <f t="shared" si="1533"/>
        <v>#N/A</v>
      </c>
    </row>
    <row r="8089" spans="1:7" x14ac:dyDescent="0.25">
      <c r="A8089" s="1">
        <f t="shared" si="1531"/>
        <v>45609</v>
      </c>
      <c r="B8089" s="36"/>
      <c r="E8089" s="5" t="e">
        <f>Table4[[#This Row],[qty]]*(VLOOKUP(Table4[[#This Row],[item_sold]],Table1[],5,FALSE))</f>
        <v>#N/A</v>
      </c>
      <c r="F8089" s="5" t="e">
        <f>(VLOOKUP(Table4[[#This Row],[item_sold]],Table1[],4,FALSE))*Table4[[#This Row],[qty]]</f>
        <v>#N/A</v>
      </c>
      <c r="G8089" t="e">
        <f t="shared" si="1533"/>
        <v>#N/A</v>
      </c>
    </row>
    <row r="8090" spans="1:7" x14ac:dyDescent="0.25">
      <c r="A8090" s="1">
        <f t="shared" si="1531"/>
        <v>45609</v>
      </c>
      <c r="B8090" s="36"/>
      <c r="E8090" s="5" t="e">
        <f>Table4[[#This Row],[qty]]*(VLOOKUP(Table4[[#This Row],[item_sold]],Table1[],5,FALSE))</f>
        <v>#N/A</v>
      </c>
      <c r="F8090" s="5" t="e">
        <f>(VLOOKUP(Table4[[#This Row],[item_sold]],Table1[],4,FALSE))*Table4[[#This Row],[qty]]</f>
        <v>#N/A</v>
      </c>
      <c r="G8090" t="e">
        <f t="shared" si="1533"/>
        <v>#N/A</v>
      </c>
    </row>
    <row r="8091" spans="1:7" x14ac:dyDescent="0.25">
      <c r="A8091" s="1">
        <f t="shared" si="1531"/>
        <v>45609</v>
      </c>
      <c r="B8091" s="36"/>
      <c r="E8091" s="5" t="e">
        <f>Table4[[#This Row],[qty]]*(VLOOKUP(Table4[[#This Row],[item_sold]],Table1[],5,FALSE))</f>
        <v>#N/A</v>
      </c>
      <c r="F8091" s="5" t="e">
        <f>(VLOOKUP(Table4[[#This Row],[item_sold]],Table1[],4,FALSE))*Table4[[#This Row],[qty]]</f>
        <v>#N/A</v>
      </c>
      <c r="G8091" t="e">
        <f t="shared" si="1533"/>
        <v>#N/A</v>
      </c>
    </row>
    <row r="8092" spans="1:7" x14ac:dyDescent="0.25">
      <c r="A8092" s="1">
        <f t="shared" si="1531"/>
        <v>45609</v>
      </c>
      <c r="B8092" s="36"/>
      <c r="E8092" s="5" t="e">
        <f>Table4[[#This Row],[qty]]*(VLOOKUP(Table4[[#This Row],[item_sold]],Table1[],5,FALSE))</f>
        <v>#N/A</v>
      </c>
      <c r="F8092" s="5" t="e">
        <f>(VLOOKUP(Table4[[#This Row],[item_sold]],Table1[],4,FALSE))*Table4[[#This Row],[qty]]</f>
        <v>#N/A</v>
      </c>
      <c r="G8092" t="e">
        <f t="shared" si="1533"/>
        <v>#N/A</v>
      </c>
    </row>
    <row r="8093" spans="1:7" x14ac:dyDescent="0.25">
      <c r="A8093" s="1">
        <f t="shared" si="1531"/>
        <v>45609</v>
      </c>
      <c r="B8093" s="36"/>
      <c r="E8093" s="5" t="e">
        <f>Table4[[#This Row],[qty]]*(VLOOKUP(Table4[[#This Row],[item_sold]],Table1[],5,FALSE))</f>
        <v>#N/A</v>
      </c>
      <c r="F8093" s="5" t="e">
        <f>(VLOOKUP(Table4[[#This Row],[item_sold]],Table1[],4,FALSE))*Table4[[#This Row],[qty]]</f>
        <v>#N/A</v>
      </c>
      <c r="G8093" t="e">
        <f t="shared" si="1533"/>
        <v>#N/A</v>
      </c>
    </row>
    <row r="8094" spans="1:7" x14ac:dyDescent="0.25">
      <c r="A8094" s="1">
        <f t="shared" si="1531"/>
        <v>45609</v>
      </c>
      <c r="B8094" s="36"/>
      <c r="E8094" s="5" t="e">
        <f>Table4[[#This Row],[qty]]*(VLOOKUP(Table4[[#This Row],[item_sold]],Table1[],5,FALSE))</f>
        <v>#N/A</v>
      </c>
      <c r="F8094" s="5" t="e">
        <f>(VLOOKUP(Table4[[#This Row],[item_sold]],Table1[],4,FALSE))*Table4[[#This Row],[qty]]</f>
        <v>#N/A</v>
      </c>
      <c r="G8094" t="e">
        <f t="shared" si="1533"/>
        <v>#N/A</v>
      </c>
    </row>
    <row r="8095" spans="1:7" x14ac:dyDescent="0.25">
      <c r="A8095" s="1">
        <f t="shared" si="1531"/>
        <v>45609</v>
      </c>
      <c r="B8095" s="36"/>
      <c r="E8095" s="5" t="e">
        <f>Table4[[#This Row],[qty]]*(VLOOKUP(Table4[[#This Row],[item_sold]],Table1[],5,FALSE))</f>
        <v>#N/A</v>
      </c>
      <c r="F8095" s="5" t="e">
        <f>(VLOOKUP(Table4[[#This Row],[item_sold]],Table1[],4,FALSE))*Table4[[#This Row],[qty]]</f>
        <v>#N/A</v>
      </c>
      <c r="G8095" t="e">
        <f t="shared" si="1533"/>
        <v>#N/A</v>
      </c>
    </row>
    <row r="8096" spans="1:7" x14ac:dyDescent="0.25">
      <c r="A8096" s="1">
        <f t="shared" si="1531"/>
        <v>45609</v>
      </c>
      <c r="B8096" s="36"/>
      <c r="E8096" s="5" t="e">
        <f>Table4[[#This Row],[qty]]*(VLOOKUP(Table4[[#This Row],[item_sold]],Table1[],5,FALSE))</f>
        <v>#N/A</v>
      </c>
      <c r="F8096" s="5" t="e">
        <f>(VLOOKUP(Table4[[#This Row],[item_sold]],Table1[],4,FALSE))*Table4[[#This Row],[qty]]</f>
        <v>#N/A</v>
      </c>
      <c r="G8096" t="e">
        <f t="shared" si="1533"/>
        <v>#N/A</v>
      </c>
    </row>
    <row r="8097" spans="1:7" x14ac:dyDescent="0.25">
      <c r="A8097" s="1">
        <f t="shared" ref="A8097:A8147" si="1534">DATE(2024,7,15)</f>
        <v>45488</v>
      </c>
      <c r="B8097" s="36"/>
      <c r="E8097" s="5" t="e">
        <f>Table4[[#This Row],[qty]]*(VLOOKUP(Table4[[#This Row],[item_sold]],Table1[],5,FALSE))</f>
        <v>#N/A</v>
      </c>
      <c r="F8097" s="5" t="e">
        <f>(VLOOKUP(Table4[[#This Row],[item_sold]],Table1[],4,FALSE))*Table4[[#This Row],[qty]]</f>
        <v>#N/A</v>
      </c>
      <c r="G8097" t="e">
        <f t="shared" si="1533"/>
        <v>#N/A</v>
      </c>
    </row>
    <row r="8098" spans="1:7" x14ac:dyDescent="0.25">
      <c r="A8098" s="1">
        <f t="shared" si="1534"/>
        <v>45488</v>
      </c>
      <c r="B8098" s="36"/>
      <c r="E8098" s="5" t="e">
        <f>Table4[[#This Row],[qty]]*(VLOOKUP(Table4[[#This Row],[item_sold]],Table1[],5,FALSE))</f>
        <v>#N/A</v>
      </c>
      <c r="F8098" s="5" t="e">
        <f>(VLOOKUP(Table4[[#This Row],[item_sold]],Table1[],4,FALSE))*Table4[[#This Row],[qty]]</f>
        <v>#N/A</v>
      </c>
      <c r="G8098" t="e">
        <f t="shared" si="1533"/>
        <v>#N/A</v>
      </c>
    </row>
    <row r="8099" spans="1:7" x14ac:dyDescent="0.25">
      <c r="A8099" s="1">
        <f t="shared" si="1534"/>
        <v>45488</v>
      </c>
      <c r="B8099" s="36"/>
      <c r="E8099" s="5" t="e">
        <f>Table4[[#This Row],[qty]]*(VLOOKUP(Table4[[#This Row],[item_sold]],Table1[],5,FALSE))</f>
        <v>#N/A</v>
      </c>
      <c r="F8099" s="5" t="e">
        <f>(VLOOKUP(Table4[[#This Row],[item_sold]],Table1[],4,FALSE))*Table4[[#This Row],[qty]]</f>
        <v>#N/A</v>
      </c>
      <c r="G8099" t="e">
        <f t="shared" si="1533"/>
        <v>#N/A</v>
      </c>
    </row>
    <row r="8100" spans="1:7" x14ac:dyDescent="0.25">
      <c r="A8100" s="1">
        <f t="shared" si="1534"/>
        <v>45488</v>
      </c>
      <c r="B8100" s="36"/>
      <c r="E8100" s="5" t="e">
        <f>Table4[[#This Row],[qty]]*(VLOOKUP(Table4[[#This Row],[item_sold]],Table1[],5,FALSE))</f>
        <v>#N/A</v>
      </c>
      <c r="F8100" s="5" t="e">
        <f>(VLOOKUP(Table4[[#This Row],[item_sold]],Table1[],4,FALSE))*Table4[[#This Row],[qty]]</f>
        <v>#N/A</v>
      </c>
      <c r="G8100" t="e">
        <f t="shared" si="1533"/>
        <v>#N/A</v>
      </c>
    </row>
    <row r="8101" spans="1:7" x14ac:dyDescent="0.25">
      <c r="A8101" s="1">
        <f t="shared" si="1534"/>
        <v>45488</v>
      </c>
      <c r="B8101" s="36"/>
      <c r="E8101" s="5" t="e">
        <f>Table4[[#This Row],[qty]]*(VLOOKUP(Table4[[#This Row],[item_sold]],Table1[],5,FALSE))</f>
        <v>#N/A</v>
      </c>
      <c r="F8101" s="5" t="e">
        <f>(VLOOKUP(Table4[[#This Row],[item_sold]],Table1[],4,FALSE))*Table4[[#This Row],[qty]]</f>
        <v>#N/A</v>
      </c>
      <c r="G8101" t="e">
        <f t="shared" si="1533"/>
        <v>#N/A</v>
      </c>
    </row>
    <row r="8102" spans="1:7" x14ac:dyDescent="0.25">
      <c r="A8102" s="1">
        <f t="shared" si="1534"/>
        <v>45488</v>
      </c>
      <c r="B8102" s="36"/>
      <c r="E8102" s="5" t="e">
        <f>Table4[[#This Row],[qty]]*(VLOOKUP(Table4[[#This Row],[item_sold]],Table1[],5,FALSE))</f>
        <v>#N/A</v>
      </c>
      <c r="F8102" s="5" t="e">
        <f>(VLOOKUP(Table4[[#This Row],[item_sold]],Table1[],4,FALSE))*Table4[[#This Row],[qty]]</f>
        <v>#N/A</v>
      </c>
      <c r="G8102" t="e">
        <f t="shared" si="1533"/>
        <v>#N/A</v>
      </c>
    </row>
    <row r="8103" spans="1:7" x14ac:dyDescent="0.25">
      <c r="A8103" s="1">
        <f t="shared" si="1534"/>
        <v>45488</v>
      </c>
      <c r="B8103" s="36"/>
      <c r="E8103" s="5" t="e">
        <f>Table4[[#This Row],[qty]]*(VLOOKUP(Table4[[#This Row],[item_sold]],Table1[],5,FALSE))</f>
        <v>#N/A</v>
      </c>
      <c r="F8103" s="5" t="e">
        <f>(VLOOKUP(Table4[[#This Row],[item_sold]],Table1[],4,FALSE))*Table4[[#This Row],[qty]]</f>
        <v>#N/A</v>
      </c>
      <c r="G8103" t="e">
        <f t="shared" si="1533"/>
        <v>#N/A</v>
      </c>
    </row>
    <row r="8104" spans="1:7" x14ac:dyDescent="0.25">
      <c r="A8104" s="1">
        <f t="shared" si="1534"/>
        <v>45488</v>
      </c>
      <c r="B8104" s="36"/>
      <c r="E8104" s="5" t="e">
        <f>Table4[[#This Row],[qty]]*(VLOOKUP(Table4[[#This Row],[item_sold]],Table1[],5,FALSE))</f>
        <v>#N/A</v>
      </c>
      <c r="F8104" s="5" t="e">
        <f>(VLOOKUP(Table4[[#This Row],[item_sold]],Table1[],4,FALSE))*Table4[[#This Row],[qty]]</f>
        <v>#N/A</v>
      </c>
      <c r="G8104" t="e">
        <f t="shared" si="1533"/>
        <v>#N/A</v>
      </c>
    </row>
    <row r="8105" spans="1:7" x14ac:dyDescent="0.25">
      <c r="A8105" s="1">
        <f t="shared" si="1534"/>
        <v>45488</v>
      </c>
      <c r="B8105" s="36"/>
      <c r="E8105" s="5" t="e">
        <f>Table4[[#This Row],[qty]]*(VLOOKUP(Table4[[#This Row],[item_sold]],Table1[],5,FALSE))</f>
        <v>#N/A</v>
      </c>
      <c r="F8105" s="5" t="e">
        <f>(VLOOKUP(Table4[[#This Row],[item_sold]],Table1[],4,FALSE))*Table4[[#This Row],[qty]]</f>
        <v>#N/A</v>
      </c>
      <c r="G8105" t="e">
        <f t="shared" si="1533"/>
        <v>#N/A</v>
      </c>
    </row>
    <row r="8106" spans="1:7" x14ac:dyDescent="0.25">
      <c r="A8106" s="1">
        <f t="shared" si="1534"/>
        <v>45488</v>
      </c>
      <c r="B8106" s="36"/>
      <c r="E8106" s="5" t="e">
        <f>Table4[[#This Row],[qty]]*(VLOOKUP(Table4[[#This Row],[item_sold]],Table1[],5,FALSE))</f>
        <v>#N/A</v>
      </c>
      <c r="F8106" s="5" t="e">
        <f>(VLOOKUP(Table4[[#This Row],[item_sold]],Table1[],4,FALSE))*Table4[[#This Row],[qty]]</f>
        <v>#N/A</v>
      </c>
      <c r="G8106" t="e">
        <f t="shared" si="1533"/>
        <v>#N/A</v>
      </c>
    </row>
    <row r="8107" spans="1:7" x14ac:dyDescent="0.25">
      <c r="A8107" s="1">
        <f t="shared" si="1534"/>
        <v>45488</v>
      </c>
      <c r="B8107" s="36"/>
      <c r="E8107" s="5" t="e">
        <f>Table4[[#This Row],[qty]]*(VLOOKUP(Table4[[#This Row],[item_sold]],Table1[],5,FALSE))</f>
        <v>#N/A</v>
      </c>
      <c r="F8107" s="5" t="e">
        <f>(VLOOKUP(Table4[[#This Row],[item_sold]],Table1[],4,FALSE))*Table4[[#This Row],[qty]]</f>
        <v>#N/A</v>
      </c>
      <c r="G8107" t="e">
        <f t="shared" si="1533"/>
        <v>#N/A</v>
      </c>
    </row>
    <row r="8108" spans="1:7" x14ac:dyDescent="0.25">
      <c r="A8108" s="1">
        <f t="shared" si="1534"/>
        <v>45488</v>
      </c>
      <c r="B8108" s="36"/>
      <c r="E8108" s="5" t="e">
        <f>Table4[[#This Row],[qty]]*(VLOOKUP(Table4[[#This Row],[item_sold]],Table1[],5,FALSE))</f>
        <v>#N/A</v>
      </c>
      <c r="F8108" s="5" t="e">
        <f>(VLOOKUP(Table4[[#This Row],[item_sold]],Table1[],4,FALSE))*Table4[[#This Row],[qty]]</f>
        <v>#N/A</v>
      </c>
      <c r="G8108" t="e">
        <f t="shared" si="1533"/>
        <v>#N/A</v>
      </c>
    </row>
    <row r="8109" spans="1:7" x14ac:dyDescent="0.25">
      <c r="A8109" s="1">
        <f t="shared" si="1534"/>
        <v>45488</v>
      </c>
      <c r="B8109" s="36"/>
      <c r="E8109" s="5" t="e">
        <f>Table4[[#This Row],[qty]]*(VLOOKUP(Table4[[#This Row],[item_sold]],Table1[],5,FALSE))</f>
        <v>#N/A</v>
      </c>
      <c r="F8109" s="5" t="e">
        <f>(VLOOKUP(Table4[[#This Row],[item_sold]],Table1[],4,FALSE))*Table4[[#This Row],[qty]]</f>
        <v>#N/A</v>
      </c>
      <c r="G8109" t="e">
        <f t="shared" si="1533"/>
        <v>#N/A</v>
      </c>
    </row>
    <row r="8110" spans="1:7" x14ac:dyDescent="0.25">
      <c r="A8110" s="1">
        <f t="shared" si="1534"/>
        <v>45488</v>
      </c>
      <c r="B8110" s="36"/>
      <c r="E8110" s="5" t="e">
        <f>Table4[[#This Row],[qty]]*(VLOOKUP(Table4[[#This Row],[item_sold]],Table1[],5,FALSE))</f>
        <v>#N/A</v>
      </c>
      <c r="F8110" s="5" t="e">
        <f>(VLOOKUP(Table4[[#This Row],[item_sold]],Table1[],4,FALSE))*Table4[[#This Row],[qty]]</f>
        <v>#N/A</v>
      </c>
      <c r="G8110" t="e">
        <f t="shared" si="1533"/>
        <v>#N/A</v>
      </c>
    </row>
    <row r="8111" spans="1:7" x14ac:dyDescent="0.25">
      <c r="A8111" s="1">
        <f t="shared" si="1534"/>
        <v>45488</v>
      </c>
      <c r="B8111" s="36"/>
      <c r="E8111" s="5" t="e">
        <f>Table4[[#This Row],[qty]]*(VLOOKUP(Table4[[#This Row],[item_sold]],Table1[],5,FALSE))</f>
        <v>#N/A</v>
      </c>
      <c r="F8111" s="5" t="e">
        <f>(VLOOKUP(Table4[[#This Row],[item_sold]],Table1[],4,FALSE))*Table4[[#This Row],[qty]]</f>
        <v>#N/A</v>
      </c>
      <c r="G8111" t="e">
        <f t="shared" si="1533"/>
        <v>#N/A</v>
      </c>
    </row>
    <row r="8112" spans="1:7" x14ac:dyDescent="0.25">
      <c r="A8112" s="1">
        <f t="shared" si="1534"/>
        <v>45488</v>
      </c>
      <c r="B8112" s="36"/>
      <c r="E8112" s="5" t="e">
        <f>Table4[[#This Row],[qty]]*(VLOOKUP(Table4[[#This Row],[item_sold]],Table1[],5,FALSE))</f>
        <v>#N/A</v>
      </c>
      <c r="F8112" s="5" t="e">
        <f>(VLOOKUP(Table4[[#This Row],[item_sold]],Table1[],4,FALSE))*Table4[[#This Row],[qty]]</f>
        <v>#N/A</v>
      </c>
      <c r="G8112" t="e">
        <f t="shared" si="1533"/>
        <v>#N/A</v>
      </c>
    </row>
    <row r="8113" spans="1:7" x14ac:dyDescent="0.25">
      <c r="A8113" s="1">
        <f t="shared" si="1534"/>
        <v>45488</v>
      </c>
      <c r="B8113" s="36"/>
      <c r="E8113" s="5" t="e">
        <f>Table4[[#This Row],[qty]]*(VLOOKUP(Table4[[#This Row],[item_sold]],Table1[],5,FALSE))</f>
        <v>#N/A</v>
      </c>
      <c r="F8113" s="5" t="e">
        <f>(VLOOKUP(Table4[[#This Row],[item_sold]],Table1[],4,FALSE))*Table4[[#This Row],[qty]]</f>
        <v>#N/A</v>
      </c>
      <c r="G8113" t="e">
        <f t="shared" si="1533"/>
        <v>#N/A</v>
      </c>
    </row>
    <row r="8114" spans="1:7" x14ac:dyDescent="0.25">
      <c r="A8114" s="1">
        <f t="shared" si="1534"/>
        <v>45488</v>
      </c>
      <c r="B8114" s="36"/>
      <c r="E8114" s="5" t="e">
        <f>Table4[[#This Row],[qty]]*(VLOOKUP(Table4[[#This Row],[item_sold]],Table1[],5,FALSE))</f>
        <v>#N/A</v>
      </c>
      <c r="F8114" s="5" t="e">
        <f>(VLOOKUP(Table4[[#This Row],[item_sold]],Table1[],4,FALSE))*Table4[[#This Row],[qty]]</f>
        <v>#N/A</v>
      </c>
      <c r="G8114" t="e">
        <f t="shared" si="1533"/>
        <v>#N/A</v>
      </c>
    </row>
    <row r="8115" spans="1:7" x14ac:dyDescent="0.25">
      <c r="A8115" s="1">
        <f t="shared" si="1534"/>
        <v>45488</v>
      </c>
      <c r="B8115" s="36"/>
      <c r="E8115" s="5" t="e">
        <f>Table4[[#This Row],[qty]]*(VLOOKUP(Table4[[#This Row],[item_sold]],Table1[],5,FALSE))</f>
        <v>#N/A</v>
      </c>
      <c r="F8115" s="5" t="e">
        <f>(VLOOKUP(Table4[[#This Row],[item_sold]],Table1[],4,FALSE))*Table4[[#This Row],[qty]]</f>
        <v>#N/A</v>
      </c>
      <c r="G8115" t="e">
        <f t="shared" si="1533"/>
        <v>#N/A</v>
      </c>
    </row>
    <row r="8116" spans="1:7" x14ac:dyDescent="0.25">
      <c r="A8116" s="1">
        <f t="shared" si="1534"/>
        <v>45488</v>
      </c>
      <c r="B8116" s="36"/>
      <c r="E8116" s="5" t="e">
        <f>Table4[[#This Row],[qty]]*(VLOOKUP(Table4[[#This Row],[item_sold]],Table1[],5,FALSE))</f>
        <v>#N/A</v>
      </c>
      <c r="F8116" s="5" t="e">
        <f>(VLOOKUP(Table4[[#This Row],[item_sold]],Table1[],4,FALSE))*Table4[[#This Row],[qty]]</f>
        <v>#N/A</v>
      </c>
      <c r="G8116" t="e">
        <f t="shared" si="1533"/>
        <v>#N/A</v>
      </c>
    </row>
    <row r="8117" spans="1:7" x14ac:dyDescent="0.25">
      <c r="A8117" s="1">
        <f t="shared" si="1534"/>
        <v>45488</v>
      </c>
      <c r="B8117" s="36"/>
      <c r="E8117" s="5" t="e">
        <f>Table4[[#This Row],[qty]]*(VLOOKUP(Table4[[#This Row],[item_sold]],Table1[],5,FALSE))</f>
        <v>#N/A</v>
      </c>
      <c r="F8117" s="5" t="e">
        <f>(VLOOKUP(Table4[[#This Row],[item_sold]],Table1[],4,FALSE))*Table4[[#This Row],[qty]]</f>
        <v>#N/A</v>
      </c>
      <c r="G8117" t="e">
        <f t="shared" si="1533"/>
        <v>#N/A</v>
      </c>
    </row>
    <row r="8118" spans="1:7" x14ac:dyDescent="0.25">
      <c r="A8118" s="1">
        <f t="shared" si="1534"/>
        <v>45488</v>
      </c>
      <c r="B8118" s="36"/>
      <c r="E8118" s="5" t="e">
        <f>Table4[[#This Row],[qty]]*(VLOOKUP(Table4[[#This Row],[item_sold]],Table1[],5,FALSE))</f>
        <v>#N/A</v>
      </c>
      <c r="F8118" s="5" t="e">
        <f>(VLOOKUP(Table4[[#This Row],[item_sold]],Table1[],4,FALSE))*Table4[[#This Row],[qty]]</f>
        <v>#N/A</v>
      </c>
      <c r="G8118" t="e">
        <f t="shared" si="1533"/>
        <v>#N/A</v>
      </c>
    </row>
    <row r="8119" spans="1:7" x14ac:dyDescent="0.25">
      <c r="A8119" s="1">
        <f t="shared" si="1534"/>
        <v>45488</v>
      </c>
      <c r="B8119" s="36"/>
      <c r="E8119" s="5" t="e">
        <f>Table4[[#This Row],[qty]]*(VLOOKUP(Table4[[#This Row],[item_sold]],Table1[],5,FALSE))</f>
        <v>#N/A</v>
      </c>
      <c r="F8119" s="5" t="e">
        <f>(VLOOKUP(Table4[[#This Row],[item_sold]],Table1[],4,FALSE))*Table4[[#This Row],[qty]]</f>
        <v>#N/A</v>
      </c>
      <c r="G8119" t="e">
        <f t="shared" si="1533"/>
        <v>#N/A</v>
      </c>
    </row>
    <row r="8120" spans="1:7" x14ac:dyDescent="0.25">
      <c r="A8120" s="1">
        <f t="shared" si="1534"/>
        <v>45488</v>
      </c>
      <c r="B8120" s="36"/>
      <c r="E8120" s="5" t="e">
        <f>Table4[[#This Row],[qty]]*(VLOOKUP(Table4[[#This Row],[item_sold]],Table1[],5,FALSE))</f>
        <v>#N/A</v>
      </c>
      <c r="F8120" s="5" t="e">
        <f>(VLOOKUP(Table4[[#This Row],[item_sold]],Table1[],4,FALSE))*Table4[[#This Row],[qty]]</f>
        <v>#N/A</v>
      </c>
      <c r="G8120" t="e">
        <f t="shared" si="1533"/>
        <v>#N/A</v>
      </c>
    </row>
    <row r="8121" spans="1:7" x14ac:dyDescent="0.25">
      <c r="A8121" s="1">
        <f t="shared" si="1534"/>
        <v>45488</v>
      </c>
      <c r="B8121" s="36"/>
      <c r="E8121" s="5" t="e">
        <f>Table4[[#This Row],[qty]]*(VLOOKUP(Table4[[#This Row],[item_sold]],Table1[],5,FALSE))</f>
        <v>#N/A</v>
      </c>
      <c r="F8121" s="5" t="e">
        <f>(VLOOKUP(Table4[[#This Row],[item_sold]],Table1[],4,FALSE))*Table4[[#This Row],[qty]]</f>
        <v>#N/A</v>
      </c>
      <c r="G8121" t="e">
        <f t="shared" si="1533"/>
        <v>#N/A</v>
      </c>
    </row>
    <row r="8122" spans="1:7" x14ac:dyDescent="0.25">
      <c r="A8122" s="1">
        <f t="shared" si="1534"/>
        <v>45488</v>
      </c>
      <c r="B8122" s="36"/>
      <c r="E8122" s="5" t="e">
        <f>Table4[[#This Row],[qty]]*(VLOOKUP(Table4[[#This Row],[item_sold]],Table1[],5,FALSE))</f>
        <v>#N/A</v>
      </c>
      <c r="F8122" s="5" t="e">
        <f>(VLOOKUP(Table4[[#This Row],[item_sold]],Table1[],4,FALSE))*Table4[[#This Row],[qty]]</f>
        <v>#N/A</v>
      </c>
      <c r="G8122" t="e">
        <f t="shared" si="1533"/>
        <v>#N/A</v>
      </c>
    </row>
    <row r="8123" spans="1:7" x14ac:dyDescent="0.25">
      <c r="A8123" s="1">
        <f t="shared" si="1534"/>
        <v>45488</v>
      </c>
      <c r="B8123" s="36"/>
      <c r="E8123" s="5" t="e">
        <f>Table4[[#This Row],[qty]]*(VLOOKUP(Table4[[#This Row],[item_sold]],Table1[],5,FALSE))</f>
        <v>#N/A</v>
      </c>
      <c r="F8123" s="5" t="e">
        <f>(VLOOKUP(Table4[[#This Row],[item_sold]],Table1[],4,FALSE))*Table4[[#This Row],[qty]]</f>
        <v>#N/A</v>
      </c>
      <c r="G8123" t="e">
        <f t="shared" si="1533"/>
        <v>#N/A</v>
      </c>
    </row>
    <row r="8124" spans="1:7" x14ac:dyDescent="0.25">
      <c r="A8124" s="1">
        <f t="shared" si="1534"/>
        <v>45488</v>
      </c>
      <c r="B8124" s="36"/>
      <c r="E8124" s="5" t="e">
        <f>Table4[[#This Row],[qty]]*(VLOOKUP(Table4[[#This Row],[item_sold]],Table1[],5,FALSE))</f>
        <v>#N/A</v>
      </c>
      <c r="F8124" s="5" t="e">
        <f>(VLOOKUP(Table4[[#This Row],[item_sold]],Table1[],4,FALSE))*Table4[[#This Row],[qty]]</f>
        <v>#N/A</v>
      </c>
      <c r="G8124" t="e">
        <f t="shared" si="1533"/>
        <v>#N/A</v>
      </c>
    </row>
    <row r="8125" spans="1:7" x14ac:dyDescent="0.25">
      <c r="A8125" s="1">
        <f t="shared" si="1534"/>
        <v>45488</v>
      </c>
      <c r="B8125" s="36"/>
      <c r="E8125" s="5" t="e">
        <f>Table4[[#This Row],[qty]]*(VLOOKUP(Table4[[#This Row],[item_sold]],Table1[],5,FALSE))</f>
        <v>#N/A</v>
      </c>
      <c r="F8125" s="5" t="e">
        <f>(VLOOKUP(Table4[[#This Row],[item_sold]],Table1[],4,FALSE))*Table4[[#This Row],[qty]]</f>
        <v>#N/A</v>
      </c>
      <c r="G8125" t="e">
        <f t="shared" si="1533"/>
        <v>#N/A</v>
      </c>
    </row>
    <row r="8126" spans="1:7" x14ac:dyDescent="0.25">
      <c r="A8126" s="1">
        <f t="shared" si="1534"/>
        <v>45488</v>
      </c>
      <c r="B8126" s="36"/>
      <c r="E8126" s="5" t="e">
        <f>Table4[[#This Row],[qty]]*(VLOOKUP(Table4[[#This Row],[item_sold]],Table1[],5,FALSE))</f>
        <v>#N/A</v>
      </c>
      <c r="F8126" s="5" t="e">
        <f>(VLOOKUP(Table4[[#This Row],[item_sold]],Table1[],4,FALSE))*Table4[[#This Row],[qty]]</f>
        <v>#N/A</v>
      </c>
      <c r="G8126" t="e">
        <f t="shared" si="1533"/>
        <v>#N/A</v>
      </c>
    </row>
    <row r="8127" spans="1:7" x14ac:dyDescent="0.25">
      <c r="A8127" s="1">
        <f t="shared" si="1534"/>
        <v>45488</v>
      </c>
      <c r="B8127" s="36"/>
      <c r="E8127" s="5" t="e">
        <f>Table4[[#This Row],[qty]]*(VLOOKUP(Table4[[#This Row],[item_sold]],Table1[],5,FALSE))</f>
        <v>#N/A</v>
      </c>
      <c r="F8127" s="5" t="e">
        <f>(VLOOKUP(Table4[[#This Row],[item_sold]],Table1[],4,FALSE))*Table4[[#This Row],[qty]]</f>
        <v>#N/A</v>
      </c>
      <c r="G8127" t="e">
        <f t="shared" si="1533"/>
        <v>#N/A</v>
      </c>
    </row>
    <row r="8128" spans="1:7" x14ac:dyDescent="0.25">
      <c r="A8128" s="1">
        <f t="shared" si="1534"/>
        <v>45488</v>
      </c>
      <c r="B8128" s="36"/>
      <c r="E8128" s="5" t="e">
        <f>Table4[[#This Row],[qty]]*(VLOOKUP(Table4[[#This Row],[item_sold]],Table1[],5,FALSE))</f>
        <v>#N/A</v>
      </c>
      <c r="F8128" s="5" t="e">
        <f>(VLOOKUP(Table4[[#This Row],[item_sold]],Table1[],4,FALSE))*Table4[[#This Row],[qty]]</f>
        <v>#N/A</v>
      </c>
      <c r="G8128" t="e">
        <f t="shared" si="1533"/>
        <v>#N/A</v>
      </c>
    </row>
    <row r="8129" spans="1:7" x14ac:dyDescent="0.25">
      <c r="A8129" s="1">
        <f t="shared" si="1534"/>
        <v>45488</v>
      </c>
      <c r="B8129" s="36"/>
      <c r="E8129" s="5" t="e">
        <f>Table4[[#This Row],[qty]]*(VLOOKUP(Table4[[#This Row],[item_sold]],Table1[],5,FALSE))</f>
        <v>#N/A</v>
      </c>
      <c r="F8129" s="5" t="e">
        <f>(VLOOKUP(Table4[[#This Row],[item_sold]],Table1[],4,FALSE))*Table4[[#This Row],[qty]]</f>
        <v>#N/A</v>
      </c>
      <c r="G8129" t="e">
        <f t="shared" si="1533"/>
        <v>#N/A</v>
      </c>
    </row>
    <row r="8130" spans="1:7" x14ac:dyDescent="0.25">
      <c r="A8130" s="1">
        <f t="shared" si="1534"/>
        <v>45488</v>
      </c>
      <c r="B8130" s="36"/>
      <c r="E8130" s="5" t="e">
        <f>Table4[[#This Row],[qty]]*(VLOOKUP(Table4[[#This Row],[item_sold]],Table1[],5,FALSE))</f>
        <v>#N/A</v>
      </c>
      <c r="F8130" s="5" t="e">
        <f>(VLOOKUP(Table4[[#This Row],[item_sold]],Table1[],4,FALSE))*Table4[[#This Row],[qty]]</f>
        <v>#N/A</v>
      </c>
      <c r="G8130" t="e">
        <f t="shared" si="1533"/>
        <v>#N/A</v>
      </c>
    </row>
    <row r="8131" spans="1:7" x14ac:dyDescent="0.25">
      <c r="A8131" s="1">
        <f t="shared" si="1534"/>
        <v>45488</v>
      </c>
      <c r="B8131" s="36"/>
      <c r="E8131" s="5" t="e">
        <f>Table4[[#This Row],[qty]]*(VLOOKUP(Table4[[#This Row],[item_sold]],Table1[],5,FALSE))</f>
        <v>#N/A</v>
      </c>
      <c r="F8131" s="5" t="e">
        <f>(VLOOKUP(Table4[[#This Row],[item_sold]],Table1[],4,FALSE))*Table4[[#This Row],[qty]]</f>
        <v>#N/A</v>
      </c>
      <c r="G8131" t="e">
        <f t="shared" si="1533"/>
        <v>#N/A</v>
      </c>
    </row>
    <row r="8132" spans="1:7" x14ac:dyDescent="0.25">
      <c r="A8132" s="1">
        <f t="shared" si="1534"/>
        <v>45488</v>
      </c>
      <c r="B8132" s="36"/>
      <c r="E8132" s="5" t="e">
        <f>Table4[[#This Row],[qty]]*(VLOOKUP(Table4[[#This Row],[item_sold]],Table1[],5,FALSE))</f>
        <v>#N/A</v>
      </c>
      <c r="F8132" s="5" t="e">
        <f>(VLOOKUP(Table4[[#This Row],[item_sold]],Table1[],4,FALSE))*Table4[[#This Row],[qty]]</f>
        <v>#N/A</v>
      </c>
      <c r="G8132" t="e">
        <f t="shared" si="1533"/>
        <v>#N/A</v>
      </c>
    </row>
    <row r="8133" spans="1:7" x14ac:dyDescent="0.25">
      <c r="A8133" s="1">
        <f t="shared" si="1534"/>
        <v>45488</v>
      </c>
      <c r="B8133" s="36"/>
      <c r="E8133" s="5" t="e">
        <f>Table4[[#This Row],[qty]]*(VLOOKUP(Table4[[#This Row],[item_sold]],Table1[],5,FALSE))</f>
        <v>#N/A</v>
      </c>
      <c r="F8133" s="5" t="e">
        <f>(VLOOKUP(Table4[[#This Row],[item_sold]],Table1[],4,FALSE))*Table4[[#This Row],[qty]]</f>
        <v>#N/A</v>
      </c>
      <c r="G8133" t="e">
        <f t="shared" si="1533"/>
        <v>#N/A</v>
      </c>
    </row>
    <row r="8134" spans="1:7" x14ac:dyDescent="0.25">
      <c r="A8134" s="1">
        <f t="shared" si="1534"/>
        <v>45488</v>
      </c>
      <c r="B8134" s="36"/>
      <c r="E8134" s="5" t="e">
        <f>Table4[[#This Row],[qty]]*(VLOOKUP(Table4[[#This Row],[item_sold]],Table1[],5,FALSE))</f>
        <v>#N/A</v>
      </c>
      <c r="F8134" s="5" t="e">
        <f>(VLOOKUP(Table4[[#This Row],[item_sold]],Table1[],4,FALSE))*Table4[[#This Row],[qty]]</f>
        <v>#N/A</v>
      </c>
      <c r="G8134" t="e">
        <f t="shared" si="1533"/>
        <v>#N/A</v>
      </c>
    </row>
    <row r="8135" spans="1:7" x14ac:dyDescent="0.25">
      <c r="A8135" s="1">
        <f t="shared" si="1534"/>
        <v>45488</v>
      </c>
      <c r="B8135" s="36"/>
      <c r="E8135" s="5" t="e">
        <f>Table4[[#This Row],[qty]]*(VLOOKUP(Table4[[#This Row],[item_sold]],Table1[],5,FALSE))</f>
        <v>#N/A</v>
      </c>
      <c r="F8135" s="5" t="e">
        <f>(VLOOKUP(Table4[[#This Row],[item_sold]],Table1[],4,FALSE))*Table4[[#This Row],[qty]]</f>
        <v>#N/A</v>
      </c>
      <c r="G8135" t="e">
        <f t="shared" si="1533"/>
        <v>#N/A</v>
      </c>
    </row>
    <row r="8136" spans="1:7" x14ac:dyDescent="0.25">
      <c r="A8136" s="1">
        <f t="shared" si="1534"/>
        <v>45488</v>
      </c>
      <c r="B8136" s="36"/>
      <c r="E8136" s="5" t="e">
        <f>Table4[[#This Row],[qty]]*(VLOOKUP(Table4[[#This Row],[item_sold]],Table1[],5,FALSE))</f>
        <v>#N/A</v>
      </c>
      <c r="F8136" s="5" t="e">
        <f>(VLOOKUP(Table4[[#This Row],[item_sold]],Table1[],4,FALSE))*Table4[[#This Row],[qty]]</f>
        <v>#N/A</v>
      </c>
      <c r="G8136" t="e">
        <f t="shared" si="1533"/>
        <v>#N/A</v>
      </c>
    </row>
    <row r="8137" spans="1:7" x14ac:dyDescent="0.25">
      <c r="A8137" s="1">
        <f t="shared" si="1534"/>
        <v>45488</v>
      </c>
      <c r="B8137" s="36"/>
      <c r="E8137" s="5" t="e">
        <f>Table4[[#This Row],[qty]]*(VLOOKUP(Table4[[#This Row],[item_sold]],Table1[],5,FALSE))</f>
        <v>#N/A</v>
      </c>
      <c r="F8137" s="5" t="e">
        <f>(VLOOKUP(Table4[[#This Row],[item_sold]],Table1[],4,FALSE))*Table4[[#This Row],[qty]]</f>
        <v>#N/A</v>
      </c>
      <c r="G8137" t="e">
        <f t="shared" si="1533"/>
        <v>#N/A</v>
      </c>
    </row>
    <row r="8138" spans="1:7" x14ac:dyDescent="0.25">
      <c r="A8138" s="1">
        <f t="shared" si="1534"/>
        <v>45488</v>
      </c>
      <c r="B8138" s="36"/>
      <c r="E8138" s="5" t="e">
        <f>Table4[[#This Row],[qty]]*(VLOOKUP(Table4[[#This Row],[item_sold]],Table1[],5,FALSE))</f>
        <v>#N/A</v>
      </c>
      <c r="F8138" s="5" t="e">
        <f>(VLOOKUP(Table4[[#This Row],[item_sold]],Table1[],4,FALSE))*Table4[[#This Row],[qty]]</f>
        <v>#N/A</v>
      </c>
      <c r="G8138" t="e">
        <f t="shared" si="1533"/>
        <v>#N/A</v>
      </c>
    </row>
    <row r="8139" spans="1:7" x14ac:dyDescent="0.25">
      <c r="A8139" s="1">
        <f t="shared" si="1534"/>
        <v>45488</v>
      </c>
      <c r="B8139" s="36"/>
      <c r="E8139" s="5" t="e">
        <f>Table4[[#This Row],[qty]]*(VLOOKUP(Table4[[#This Row],[item_sold]],Table1[],5,FALSE))</f>
        <v>#N/A</v>
      </c>
      <c r="F8139" s="5" t="e">
        <f>(VLOOKUP(Table4[[#This Row],[item_sold]],Table1[],4,FALSE))*Table4[[#This Row],[qty]]</f>
        <v>#N/A</v>
      </c>
      <c r="G8139" t="e">
        <f t="shared" si="1533"/>
        <v>#N/A</v>
      </c>
    </row>
    <row r="8140" spans="1:7" x14ac:dyDescent="0.25">
      <c r="A8140" s="1">
        <f t="shared" si="1534"/>
        <v>45488</v>
      </c>
      <c r="B8140" s="36"/>
      <c r="E8140" s="5" t="e">
        <f>Table4[[#This Row],[qty]]*(VLOOKUP(Table4[[#This Row],[item_sold]],Table1[],5,FALSE))</f>
        <v>#N/A</v>
      </c>
      <c r="F8140" s="5" t="e">
        <f>(VLOOKUP(Table4[[#This Row],[item_sold]],Table1[],4,FALSE))*Table4[[#This Row],[qty]]</f>
        <v>#N/A</v>
      </c>
      <c r="G8140" t="e">
        <f t="shared" si="1533"/>
        <v>#N/A</v>
      </c>
    </row>
    <row r="8141" spans="1:7" x14ac:dyDescent="0.25">
      <c r="A8141" s="1">
        <f t="shared" si="1534"/>
        <v>45488</v>
      </c>
      <c r="B8141" s="36"/>
      <c r="E8141" s="5" t="e">
        <f>Table4[[#This Row],[qty]]*(VLOOKUP(Table4[[#This Row],[item_sold]],Table1[],5,FALSE))</f>
        <v>#N/A</v>
      </c>
      <c r="F8141" s="5" t="e">
        <f>(VLOOKUP(Table4[[#This Row],[item_sold]],Table1[],4,FALSE))*Table4[[#This Row],[qty]]</f>
        <v>#N/A</v>
      </c>
      <c r="G8141" t="e">
        <f t="shared" si="1533"/>
        <v>#N/A</v>
      </c>
    </row>
    <row r="8142" spans="1:7" x14ac:dyDescent="0.25">
      <c r="A8142" s="1">
        <f t="shared" si="1534"/>
        <v>45488</v>
      </c>
      <c r="B8142" s="36"/>
      <c r="E8142" s="5" t="e">
        <f>Table4[[#This Row],[qty]]*(VLOOKUP(Table4[[#This Row],[item_sold]],Table1[],5,FALSE))</f>
        <v>#N/A</v>
      </c>
      <c r="F8142" s="5" t="e">
        <f>(VLOOKUP(Table4[[#This Row],[item_sold]],Table1[],4,FALSE))*Table4[[#This Row],[qty]]</f>
        <v>#N/A</v>
      </c>
      <c r="G8142" t="e">
        <f t="shared" si="1533"/>
        <v>#N/A</v>
      </c>
    </row>
    <row r="8143" spans="1:7" x14ac:dyDescent="0.25">
      <c r="A8143" s="1">
        <f t="shared" si="1534"/>
        <v>45488</v>
      </c>
      <c r="B8143" s="36"/>
      <c r="E8143" s="5" t="e">
        <f>Table4[[#This Row],[qty]]*(VLOOKUP(Table4[[#This Row],[item_sold]],Table1[],5,FALSE))</f>
        <v>#N/A</v>
      </c>
      <c r="F8143" s="5" t="e">
        <f>(VLOOKUP(Table4[[#This Row],[item_sold]],Table1[],4,FALSE))*Table4[[#This Row],[qty]]</f>
        <v>#N/A</v>
      </c>
      <c r="G8143" t="e">
        <f t="shared" si="1533"/>
        <v>#N/A</v>
      </c>
    </row>
    <row r="8144" spans="1:7" x14ac:dyDescent="0.25">
      <c r="A8144" s="1">
        <f t="shared" si="1534"/>
        <v>45488</v>
      </c>
      <c r="B8144" s="36"/>
      <c r="E8144" s="5" t="e">
        <f>Table4[[#This Row],[qty]]*(VLOOKUP(Table4[[#This Row],[item_sold]],Table1[],5,FALSE))</f>
        <v>#N/A</v>
      </c>
      <c r="F8144" s="5" t="e">
        <f>(VLOOKUP(Table4[[#This Row],[item_sold]],Table1[],4,FALSE))*Table4[[#This Row],[qty]]</f>
        <v>#N/A</v>
      </c>
      <c r="G8144" t="e">
        <f t="shared" si="1533"/>
        <v>#N/A</v>
      </c>
    </row>
    <row r="8145" spans="1:7" x14ac:dyDescent="0.25">
      <c r="A8145" s="1">
        <f t="shared" si="1534"/>
        <v>45488</v>
      </c>
      <c r="B8145" s="36"/>
      <c r="E8145" s="5" t="e">
        <f>Table4[[#This Row],[qty]]*(VLOOKUP(Table4[[#This Row],[item_sold]],Table1[],5,FALSE))</f>
        <v>#N/A</v>
      </c>
      <c r="F8145" s="5" t="e">
        <f>(VLOOKUP(Table4[[#This Row],[item_sold]],Table1[],4,FALSE))*Table4[[#This Row],[qty]]</f>
        <v>#N/A</v>
      </c>
      <c r="G8145" t="e">
        <f t="shared" si="1533"/>
        <v>#N/A</v>
      </c>
    </row>
    <row r="8146" spans="1:7" x14ac:dyDescent="0.25">
      <c r="A8146" s="1">
        <f t="shared" si="1534"/>
        <v>45488</v>
      </c>
      <c r="B8146" s="36"/>
      <c r="E8146" s="5" t="e">
        <f>Table4[[#This Row],[qty]]*(VLOOKUP(Table4[[#This Row],[item_sold]],Table1[],5,FALSE))</f>
        <v>#N/A</v>
      </c>
      <c r="F8146" s="5" t="e">
        <f>(VLOOKUP(Table4[[#This Row],[item_sold]],Table1[],4,FALSE))*Table4[[#This Row],[qty]]</f>
        <v>#N/A</v>
      </c>
      <c r="G8146" t="e">
        <f t="shared" si="1533"/>
        <v>#N/A</v>
      </c>
    </row>
    <row r="8147" spans="1:7" x14ac:dyDescent="0.25">
      <c r="A8147" s="1">
        <f t="shared" si="1534"/>
        <v>45488</v>
      </c>
      <c r="B8147" s="36"/>
      <c r="E8147" s="5" t="e">
        <f>Table4[[#This Row],[qty]]*(VLOOKUP(Table4[[#This Row],[item_sold]],Table1[],5,FALSE))</f>
        <v>#N/A</v>
      </c>
      <c r="F8147" s="5" t="e">
        <f>(VLOOKUP(Table4[[#This Row],[item_sold]],Table1[],4,FALSE))*Table4[[#This Row],[qty]]</f>
        <v>#N/A</v>
      </c>
      <c r="G8147" t="e">
        <f t="shared" si="1533"/>
        <v>#N/A</v>
      </c>
    </row>
    <row r="8148" spans="1:7" x14ac:dyDescent="0.25">
      <c r="A8148" s="1">
        <f t="shared" ref="A8148:A8211" si="1535">DATE(2024,7,15)</f>
        <v>45488</v>
      </c>
      <c r="B8148" s="36"/>
      <c r="E8148" s="5" t="e">
        <f>Table4[[#This Row],[qty]]*(VLOOKUP(Table4[[#This Row],[item_sold]],Table1[],5,FALSE))</f>
        <v>#N/A</v>
      </c>
      <c r="F8148" s="5" t="e">
        <f>(VLOOKUP(Table4[[#This Row],[item_sold]],Table1[],4,FALSE))*Table4[[#This Row],[qty]]</f>
        <v>#N/A</v>
      </c>
      <c r="G8148" t="e">
        <f t="shared" ref="G8148:G8211" si="1536">E8148-F8148</f>
        <v>#N/A</v>
      </c>
    </row>
    <row r="8149" spans="1:7" x14ac:dyDescent="0.25">
      <c r="A8149" s="1">
        <f t="shared" si="1535"/>
        <v>45488</v>
      </c>
      <c r="B8149" s="36"/>
      <c r="E8149" s="5" t="e">
        <f>Table4[[#This Row],[qty]]*(VLOOKUP(Table4[[#This Row],[item_sold]],Table1[],5,FALSE))</f>
        <v>#N/A</v>
      </c>
      <c r="F8149" s="5" t="e">
        <f>(VLOOKUP(Table4[[#This Row],[item_sold]],Table1[],4,FALSE))*Table4[[#This Row],[qty]]</f>
        <v>#N/A</v>
      </c>
      <c r="G8149" t="e">
        <f t="shared" si="1536"/>
        <v>#N/A</v>
      </c>
    </row>
    <row r="8150" spans="1:7" x14ac:dyDescent="0.25">
      <c r="A8150" s="1">
        <f t="shared" si="1535"/>
        <v>45488</v>
      </c>
      <c r="B8150" s="36"/>
      <c r="E8150" s="5" t="e">
        <f>Table4[[#This Row],[qty]]*(VLOOKUP(Table4[[#This Row],[item_sold]],Table1[],5,FALSE))</f>
        <v>#N/A</v>
      </c>
      <c r="F8150" s="5" t="e">
        <f>(VLOOKUP(Table4[[#This Row],[item_sold]],Table1[],4,FALSE))*Table4[[#This Row],[qty]]</f>
        <v>#N/A</v>
      </c>
      <c r="G8150" t="e">
        <f t="shared" si="1536"/>
        <v>#N/A</v>
      </c>
    </row>
    <row r="8151" spans="1:7" x14ac:dyDescent="0.25">
      <c r="A8151" s="1">
        <f t="shared" si="1535"/>
        <v>45488</v>
      </c>
      <c r="B8151" s="36"/>
      <c r="E8151" s="5" t="e">
        <f>Table4[[#This Row],[qty]]*(VLOOKUP(Table4[[#This Row],[item_sold]],Table1[],5,FALSE))</f>
        <v>#N/A</v>
      </c>
      <c r="F8151" s="5" t="e">
        <f>(VLOOKUP(Table4[[#This Row],[item_sold]],Table1[],4,FALSE))*Table4[[#This Row],[qty]]</f>
        <v>#N/A</v>
      </c>
      <c r="G8151" t="e">
        <f t="shared" si="1536"/>
        <v>#N/A</v>
      </c>
    </row>
    <row r="8152" spans="1:7" x14ac:dyDescent="0.25">
      <c r="A8152" s="1">
        <f t="shared" si="1535"/>
        <v>45488</v>
      </c>
      <c r="B8152" s="36"/>
      <c r="E8152" s="5" t="e">
        <f>Table4[[#This Row],[qty]]*(VLOOKUP(Table4[[#This Row],[item_sold]],Table1[],5,FALSE))</f>
        <v>#N/A</v>
      </c>
      <c r="F8152" s="5" t="e">
        <f>(VLOOKUP(Table4[[#This Row],[item_sold]],Table1[],4,FALSE))*Table4[[#This Row],[qty]]</f>
        <v>#N/A</v>
      </c>
      <c r="G8152" t="e">
        <f t="shared" si="1536"/>
        <v>#N/A</v>
      </c>
    </row>
    <row r="8153" spans="1:7" x14ac:dyDescent="0.25">
      <c r="A8153" s="1">
        <f t="shared" si="1535"/>
        <v>45488</v>
      </c>
      <c r="B8153" s="36"/>
      <c r="E8153" s="5" t="e">
        <f>Table4[[#This Row],[qty]]*(VLOOKUP(Table4[[#This Row],[item_sold]],Table1[],5,FALSE))</f>
        <v>#N/A</v>
      </c>
      <c r="F8153" s="5" t="e">
        <f>(VLOOKUP(Table4[[#This Row],[item_sold]],Table1[],4,FALSE))*Table4[[#This Row],[qty]]</f>
        <v>#N/A</v>
      </c>
      <c r="G8153" t="e">
        <f t="shared" si="1536"/>
        <v>#N/A</v>
      </c>
    </row>
    <row r="8154" spans="1:7" x14ac:dyDescent="0.25">
      <c r="A8154" s="1">
        <f t="shared" si="1535"/>
        <v>45488</v>
      </c>
      <c r="B8154" s="36"/>
      <c r="E8154" s="5" t="e">
        <f>Table4[[#This Row],[qty]]*(VLOOKUP(Table4[[#This Row],[item_sold]],Table1[],5,FALSE))</f>
        <v>#N/A</v>
      </c>
      <c r="F8154" s="5" t="e">
        <f>(VLOOKUP(Table4[[#This Row],[item_sold]],Table1[],4,FALSE))*Table4[[#This Row],[qty]]</f>
        <v>#N/A</v>
      </c>
      <c r="G8154" t="e">
        <f t="shared" si="1536"/>
        <v>#N/A</v>
      </c>
    </row>
    <row r="8155" spans="1:7" x14ac:dyDescent="0.25">
      <c r="A8155" s="1">
        <f t="shared" si="1535"/>
        <v>45488</v>
      </c>
      <c r="B8155" s="36"/>
      <c r="E8155" s="5" t="e">
        <f>Table4[[#This Row],[qty]]*(VLOOKUP(Table4[[#This Row],[item_sold]],Table1[],5,FALSE))</f>
        <v>#N/A</v>
      </c>
      <c r="F8155" s="5" t="e">
        <f>(VLOOKUP(Table4[[#This Row],[item_sold]],Table1[],4,FALSE))*Table4[[#This Row],[qty]]</f>
        <v>#N/A</v>
      </c>
      <c r="G8155" t="e">
        <f t="shared" si="1536"/>
        <v>#N/A</v>
      </c>
    </row>
    <row r="8156" spans="1:7" x14ac:dyDescent="0.25">
      <c r="A8156" s="1">
        <f t="shared" si="1535"/>
        <v>45488</v>
      </c>
      <c r="B8156" s="36"/>
      <c r="E8156" s="5" t="e">
        <f>Table4[[#This Row],[qty]]*(VLOOKUP(Table4[[#This Row],[item_sold]],Table1[],5,FALSE))</f>
        <v>#N/A</v>
      </c>
      <c r="F8156" s="5" t="e">
        <f>(VLOOKUP(Table4[[#This Row],[item_sold]],Table1[],4,FALSE))*Table4[[#This Row],[qty]]</f>
        <v>#N/A</v>
      </c>
      <c r="G8156" t="e">
        <f t="shared" si="1536"/>
        <v>#N/A</v>
      </c>
    </row>
    <row r="8157" spans="1:7" x14ac:dyDescent="0.25">
      <c r="A8157" s="1">
        <f t="shared" si="1535"/>
        <v>45488</v>
      </c>
      <c r="B8157" s="36"/>
      <c r="E8157" s="5" t="e">
        <f>Table4[[#This Row],[qty]]*(VLOOKUP(Table4[[#This Row],[item_sold]],Table1[],5,FALSE))</f>
        <v>#N/A</v>
      </c>
      <c r="F8157" s="5" t="e">
        <f>(VLOOKUP(Table4[[#This Row],[item_sold]],Table1[],4,FALSE))*Table4[[#This Row],[qty]]</f>
        <v>#N/A</v>
      </c>
      <c r="G8157" t="e">
        <f t="shared" si="1536"/>
        <v>#N/A</v>
      </c>
    </row>
    <row r="8158" spans="1:7" x14ac:dyDescent="0.25">
      <c r="A8158" s="1">
        <f t="shared" si="1535"/>
        <v>45488</v>
      </c>
      <c r="B8158" s="36"/>
      <c r="E8158" s="5" t="e">
        <f>Table4[[#This Row],[qty]]*(VLOOKUP(Table4[[#This Row],[item_sold]],Table1[],5,FALSE))</f>
        <v>#N/A</v>
      </c>
      <c r="F8158" s="5" t="e">
        <f>(VLOOKUP(Table4[[#This Row],[item_sold]],Table1[],4,FALSE))*Table4[[#This Row],[qty]]</f>
        <v>#N/A</v>
      </c>
      <c r="G8158" t="e">
        <f t="shared" si="1536"/>
        <v>#N/A</v>
      </c>
    </row>
    <row r="8159" spans="1:7" x14ac:dyDescent="0.25">
      <c r="A8159" s="1">
        <f t="shared" si="1535"/>
        <v>45488</v>
      </c>
      <c r="B8159" s="36"/>
      <c r="E8159" s="5" t="e">
        <f>Table4[[#This Row],[qty]]*(VLOOKUP(Table4[[#This Row],[item_sold]],Table1[],5,FALSE))</f>
        <v>#N/A</v>
      </c>
      <c r="F8159" s="5" t="e">
        <f>(VLOOKUP(Table4[[#This Row],[item_sold]],Table1[],4,FALSE))*Table4[[#This Row],[qty]]</f>
        <v>#N/A</v>
      </c>
      <c r="G8159" t="e">
        <f t="shared" si="1536"/>
        <v>#N/A</v>
      </c>
    </row>
    <row r="8160" spans="1:7" x14ac:dyDescent="0.25">
      <c r="A8160" s="1">
        <f t="shared" si="1535"/>
        <v>45488</v>
      </c>
      <c r="B8160" s="36"/>
      <c r="E8160" s="5" t="e">
        <f>Table4[[#This Row],[qty]]*(VLOOKUP(Table4[[#This Row],[item_sold]],Table1[],5,FALSE))</f>
        <v>#N/A</v>
      </c>
      <c r="F8160" s="5" t="e">
        <f>(VLOOKUP(Table4[[#This Row],[item_sold]],Table1[],4,FALSE))*Table4[[#This Row],[qty]]</f>
        <v>#N/A</v>
      </c>
      <c r="G8160" t="e">
        <f t="shared" si="1536"/>
        <v>#N/A</v>
      </c>
    </row>
    <row r="8161" spans="1:7" x14ac:dyDescent="0.25">
      <c r="A8161" s="1">
        <f t="shared" si="1535"/>
        <v>45488</v>
      </c>
      <c r="B8161" s="36"/>
      <c r="E8161" s="5" t="e">
        <f>Table4[[#This Row],[qty]]*(VLOOKUP(Table4[[#This Row],[item_sold]],Table1[],5,FALSE))</f>
        <v>#N/A</v>
      </c>
      <c r="F8161" s="5" t="e">
        <f>(VLOOKUP(Table4[[#This Row],[item_sold]],Table1[],4,FALSE))*Table4[[#This Row],[qty]]</f>
        <v>#N/A</v>
      </c>
      <c r="G8161" t="e">
        <f t="shared" si="1536"/>
        <v>#N/A</v>
      </c>
    </row>
    <row r="8162" spans="1:7" x14ac:dyDescent="0.25">
      <c r="A8162" s="1">
        <f t="shared" si="1535"/>
        <v>45488</v>
      </c>
      <c r="B8162" s="36"/>
      <c r="E8162" s="5" t="e">
        <f>Table4[[#This Row],[qty]]*(VLOOKUP(Table4[[#This Row],[item_sold]],Table1[],5,FALSE))</f>
        <v>#N/A</v>
      </c>
      <c r="F8162" s="5" t="e">
        <f>(VLOOKUP(Table4[[#This Row],[item_sold]],Table1[],4,FALSE))*Table4[[#This Row],[qty]]</f>
        <v>#N/A</v>
      </c>
      <c r="G8162" t="e">
        <f t="shared" si="1536"/>
        <v>#N/A</v>
      </c>
    </row>
    <row r="8163" spans="1:7" x14ac:dyDescent="0.25">
      <c r="A8163" s="1">
        <f t="shared" si="1535"/>
        <v>45488</v>
      </c>
      <c r="B8163" s="36"/>
      <c r="E8163" s="5" t="e">
        <f>Table4[[#This Row],[qty]]*(VLOOKUP(Table4[[#This Row],[item_sold]],Table1[],5,FALSE))</f>
        <v>#N/A</v>
      </c>
      <c r="F8163" s="5" t="e">
        <f>(VLOOKUP(Table4[[#This Row],[item_sold]],Table1[],4,FALSE))*Table4[[#This Row],[qty]]</f>
        <v>#N/A</v>
      </c>
      <c r="G8163" t="e">
        <f t="shared" si="1536"/>
        <v>#N/A</v>
      </c>
    </row>
    <row r="8164" spans="1:7" x14ac:dyDescent="0.25">
      <c r="A8164" s="1">
        <f t="shared" si="1535"/>
        <v>45488</v>
      </c>
      <c r="B8164" s="36"/>
      <c r="E8164" s="5" t="e">
        <f>Table4[[#This Row],[qty]]*(VLOOKUP(Table4[[#This Row],[item_sold]],Table1[],5,FALSE))</f>
        <v>#N/A</v>
      </c>
      <c r="F8164" s="5" t="e">
        <f>(VLOOKUP(Table4[[#This Row],[item_sold]],Table1[],4,FALSE))*Table4[[#This Row],[qty]]</f>
        <v>#N/A</v>
      </c>
      <c r="G8164" t="e">
        <f t="shared" si="1536"/>
        <v>#N/A</v>
      </c>
    </row>
    <row r="8165" spans="1:7" x14ac:dyDescent="0.25">
      <c r="A8165" s="1">
        <f t="shared" si="1535"/>
        <v>45488</v>
      </c>
      <c r="B8165" s="36"/>
      <c r="E8165" s="5" t="e">
        <f>Table4[[#This Row],[qty]]*(VLOOKUP(Table4[[#This Row],[item_sold]],Table1[],5,FALSE))</f>
        <v>#N/A</v>
      </c>
      <c r="F8165" s="5" t="e">
        <f>(VLOOKUP(Table4[[#This Row],[item_sold]],Table1[],4,FALSE))*Table4[[#This Row],[qty]]</f>
        <v>#N/A</v>
      </c>
      <c r="G8165" t="e">
        <f t="shared" si="1536"/>
        <v>#N/A</v>
      </c>
    </row>
    <row r="8166" spans="1:7" x14ac:dyDescent="0.25">
      <c r="A8166" s="1">
        <f t="shared" si="1535"/>
        <v>45488</v>
      </c>
      <c r="B8166" s="36"/>
      <c r="E8166" s="5" t="e">
        <f>Table4[[#This Row],[qty]]*(VLOOKUP(Table4[[#This Row],[item_sold]],Table1[],5,FALSE))</f>
        <v>#N/A</v>
      </c>
      <c r="F8166" s="5" t="e">
        <f>(VLOOKUP(Table4[[#This Row],[item_sold]],Table1[],4,FALSE))*Table4[[#This Row],[qty]]</f>
        <v>#N/A</v>
      </c>
      <c r="G8166" t="e">
        <f t="shared" si="1536"/>
        <v>#N/A</v>
      </c>
    </row>
    <row r="8167" spans="1:7" x14ac:dyDescent="0.25">
      <c r="A8167" s="1">
        <f t="shared" si="1535"/>
        <v>45488</v>
      </c>
      <c r="B8167" s="36"/>
      <c r="E8167" s="5" t="e">
        <f>Table4[[#This Row],[qty]]*(VLOOKUP(Table4[[#This Row],[item_sold]],Table1[],5,FALSE))</f>
        <v>#N/A</v>
      </c>
      <c r="F8167" s="5" t="e">
        <f>(VLOOKUP(Table4[[#This Row],[item_sold]],Table1[],4,FALSE))*Table4[[#This Row],[qty]]</f>
        <v>#N/A</v>
      </c>
      <c r="G8167" t="e">
        <f t="shared" si="1536"/>
        <v>#N/A</v>
      </c>
    </row>
    <row r="8168" spans="1:7" x14ac:dyDescent="0.25">
      <c r="A8168" s="1">
        <f t="shared" si="1535"/>
        <v>45488</v>
      </c>
      <c r="B8168" s="36"/>
      <c r="E8168" s="5" t="e">
        <f>Table4[[#This Row],[qty]]*(VLOOKUP(Table4[[#This Row],[item_sold]],Table1[],5,FALSE))</f>
        <v>#N/A</v>
      </c>
      <c r="F8168" s="5" t="e">
        <f>(VLOOKUP(Table4[[#This Row],[item_sold]],Table1[],4,FALSE))*Table4[[#This Row],[qty]]</f>
        <v>#N/A</v>
      </c>
      <c r="G8168" t="e">
        <f t="shared" si="1536"/>
        <v>#N/A</v>
      </c>
    </row>
    <row r="8169" spans="1:7" x14ac:dyDescent="0.25">
      <c r="A8169" s="1">
        <f t="shared" si="1535"/>
        <v>45488</v>
      </c>
      <c r="B8169" s="36"/>
      <c r="E8169" s="5" t="e">
        <f>Table4[[#This Row],[qty]]*(VLOOKUP(Table4[[#This Row],[item_sold]],Table1[],5,FALSE))</f>
        <v>#N/A</v>
      </c>
      <c r="F8169" s="5" t="e">
        <f>(VLOOKUP(Table4[[#This Row],[item_sold]],Table1[],4,FALSE))*Table4[[#This Row],[qty]]</f>
        <v>#N/A</v>
      </c>
      <c r="G8169" t="e">
        <f t="shared" si="1536"/>
        <v>#N/A</v>
      </c>
    </row>
    <row r="8170" spans="1:7" x14ac:dyDescent="0.25">
      <c r="A8170" s="1">
        <f t="shared" si="1535"/>
        <v>45488</v>
      </c>
      <c r="B8170" s="36"/>
      <c r="E8170" s="5" t="e">
        <f>Table4[[#This Row],[qty]]*(VLOOKUP(Table4[[#This Row],[item_sold]],Table1[],5,FALSE))</f>
        <v>#N/A</v>
      </c>
      <c r="F8170" s="5" t="e">
        <f>(VLOOKUP(Table4[[#This Row],[item_sold]],Table1[],4,FALSE))*Table4[[#This Row],[qty]]</f>
        <v>#N/A</v>
      </c>
      <c r="G8170" t="e">
        <f t="shared" si="1536"/>
        <v>#N/A</v>
      </c>
    </row>
    <row r="8171" spans="1:7" x14ac:dyDescent="0.25">
      <c r="A8171" s="1">
        <f t="shared" si="1535"/>
        <v>45488</v>
      </c>
      <c r="B8171" s="36"/>
      <c r="E8171" s="5" t="e">
        <f>Table4[[#This Row],[qty]]*(VLOOKUP(Table4[[#This Row],[item_sold]],Table1[],5,FALSE))</f>
        <v>#N/A</v>
      </c>
      <c r="F8171" s="5" t="e">
        <f>(VLOOKUP(Table4[[#This Row],[item_sold]],Table1[],4,FALSE))*Table4[[#This Row],[qty]]</f>
        <v>#N/A</v>
      </c>
      <c r="G8171" t="e">
        <f t="shared" si="1536"/>
        <v>#N/A</v>
      </c>
    </row>
    <row r="8172" spans="1:7" x14ac:dyDescent="0.25">
      <c r="A8172" s="1">
        <f t="shared" si="1535"/>
        <v>45488</v>
      </c>
      <c r="B8172" s="36"/>
      <c r="E8172" s="5" t="e">
        <f>Table4[[#This Row],[qty]]*(VLOOKUP(Table4[[#This Row],[item_sold]],Table1[],5,FALSE))</f>
        <v>#N/A</v>
      </c>
      <c r="F8172" s="5" t="e">
        <f>(VLOOKUP(Table4[[#This Row],[item_sold]],Table1[],4,FALSE))*Table4[[#This Row],[qty]]</f>
        <v>#N/A</v>
      </c>
      <c r="G8172" t="e">
        <f t="shared" si="1536"/>
        <v>#N/A</v>
      </c>
    </row>
    <row r="8173" spans="1:7" x14ac:dyDescent="0.25">
      <c r="A8173" s="1">
        <f t="shared" si="1535"/>
        <v>45488</v>
      </c>
      <c r="B8173" s="36"/>
      <c r="E8173" s="5" t="e">
        <f>Table4[[#This Row],[qty]]*(VLOOKUP(Table4[[#This Row],[item_sold]],Table1[],5,FALSE))</f>
        <v>#N/A</v>
      </c>
      <c r="F8173" s="5" t="e">
        <f>(VLOOKUP(Table4[[#This Row],[item_sold]],Table1[],4,FALSE))*Table4[[#This Row],[qty]]</f>
        <v>#N/A</v>
      </c>
      <c r="G8173" t="e">
        <f t="shared" si="1536"/>
        <v>#N/A</v>
      </c>
    </row>
    <row r="8174" spans="1:7" x14ac:dyDescent="0.25">
      <c r="A8174" s="1">
        <f t="shared" si="1535"/>
        <v>45488</v>
      </c>
      <c r="B8174" s="36"/>
      <c r="E8174" s="5" t="e">
        <f>Table4[[#This Row],[qty]]*(VLOOKUP(Table4[[#This Row],[item_sold]],Table1[],5,FALSE))</f>
        <v>#N/A</v>
      </c>
      <c r="F8174" s="5" t="e">
        <f>(VLOOKUP(Table4[[#This Row],[item_sold]],Table1[],4,FALSE))*Table4[[#This Row],[qty]]</f>
        <v>#N/A</v>
      </c>
      <c r="G8174" t="e">
        <f t="shared" si="1536"/>
        <v>#N/A</v>
      </c>
    </row>
    <row r="8175" spans="1:7" x14ac:dyDescent="0.25">
      <c r="A8175" s="1">
        <f t="shared" si="1535"/>
        <v>45488</v>
      </c>
      <c r="B8175" s="36"/>
      <c r="E8175" s="5" t="e">
        <f>Table4[[#This Row],[qty]]*(VLOOKUP(Table4[[#This Row],[item_sold]],Table1[],5,FALSE))</f>
        <v>#N/A</v>
      </c>
      <c r="F8175" s="5" t="e">
        <f>(VLOOKUP(Table4[[#This Row],[item_sold]],Table1[],4,FALSE))*Table4[[#This Row],[qty]]</f>
        <v>#N/A</v>
      </c>
      <c r="G8175" t="e">
        <f t="shared" si="1536"/>
        <v>#N/A</v>
      </c>
    </row>
    <row r="8176" spans="1:7" x14ac:dyDescent="0.25">
      <c r="A8176" s="1">
        <f t="shared" si="1535"/>
        <v>45488</v>
      </c>
      <c r="B8176" s="36"/>
      <c r="E8176" s="5" t="e">
        <f>Table4[[#This Row],[qty]]*(VLOOKUP(Table4[[#This Row],[item_sold]],Table1[],5,FALSE))</f>
        <v>#N/A</v>
      </c>
      <c r="F8176" s="5" t="e">
        <f>(VLOOKUP(Table4[[#This Row],[item_sold]],Table1[],4,FALSE))*Table4[[#This Row],[qty]]</f>
        <v>#N/A</v>
      </c>
      <c r="G8176" t="e">
        <f t="shared" si="1536"/>
        <v>#N/A</v>
      </c>
    </row>
    <row r="8177" spans="1:7" x14ac:dyDescent="0.25">
      <c r="A8177" s="1">
        <f t="shared" si="1535"/>
        <v>45488</v>
      </c>
      <c r="B8177" s="36"/>
      <c r="E8177" s="5" t="e">
        <f>Table4[[#This Row],[qty]]*(VLOOKUP(Table4[[#This Row],[item_sold]],Table1[],5,FALSE))</f>
        <v>#N/A</v>
      </c>
      <c r="F8177" s="5" t="e">
        <f>(VLOOKUP(Table4[[#This Row],[item_sold]],Table1[],4,FALSE))*Table4[[#This Row],[qty]]</f>
        <v>#N/A</v>
      </c>
      <c r="G8177" t="e">
        <f t="shared" si="1536"/>
        <v>#N/A</v>
      </c>
    </row>
    <row r="8178" spans="1:7" x14ac:dyDescent="0.25">
      <c r="A8178" s="1">
        <f t="shared" si="1535"/>
        <v>45488</v>
      </c>
      <c r="B8178" s="36"/>
      <c r="E8178" s="5" t="e">
        <f>Table4[[#This Row],[qty]]*(VLOOKUP(Table4[[#This Row],[item_sold]],Table1[],5,FALSE))</f>
        <v>#N/A</v>
      </c>
      <c r="F8178" s="5" t="e">
        <f>(VLOOKUP(Table4[[#This Row],[item_sold]],Table1[],4,FALSE))*Table4[[#This Row],[qty]]</f>
        <v>#N/A</v>
      </c>
      <c r="G8178" t="e">
        <f t="shared" si="1536"/>
        <v>#N/A</v>
      </c>
    </row>
    <row r="8179" spans="1:7" x14ac:dyDescent="0.25">
      <c r="A8179" s="1">
        <f t="shared" si="1535"/>
        <v>45488</v>
      </c>
      <c r="B8179" s="36"/>
      <c r="E8179" s="5" t="e">
        <f>Table4[[#This Row],[qty]]*(VLOOKUP(Table4[[#This Row],[item_sold]],Table1[],5,FALSE))</f>
        <v>#N/A</v>
      </c>
      <c r="F8179" s="5" t="e">
        <f>(VLOOKUP(Table4[[#This Row],[item_sold]],Table1[],4,FALSE))*Table4[[#This Row],[qty]]</f>
        <v>#N/A</v>
      </c>
      <c r="G8179" t="e">
        <f t="shared" si="1536"/>
        <v>#N/A</v>
      </c>
    </row>
    <row r="8180" spans="1:7" x14ac:dyDescent="0.25">
      <c r="A8180" s="1">
        <f t="shared" si="1535"/>
        <v>45488</v>
      </c>
      <c r="B8180" s="36"/>
      <c r="E8180" s="5" t="e">
        <f>Table4[[#This Row],[qty]]*(VLOOKUP(Table4[[#This Row],[item_sold]],Table1[],5,FALSE))</f>
        <v>#N/A</v>
      </c>
      <c r="F8180" s="5" t="e">
        <f>(VLOOKUP(Table4[[#This Row],[item_sold]],Table1[],4,FALSE))*Table4[[#This Row],[qty]]</f>
        <v>#N/A</v>
      </c>
      <c r="G8180" t="e">
        <f t="shared" si="1536"/>
        <v>#N/A</v>
      </c>
    </row>
    <row r="8181" spans="1:7" x14ac:dyDescent="0.25">
      <c r="A8181" s="1">
        <f t="shared" si="1535"/>
        <v>45488</v>
      </c>
      <c r="B8181" s="36"/>
      <c r="E8181" s="5" t="e">
        <f>Table4[[#This Row],[qty]]*(VLOOKUP(Table4[[#This Row],[item_sold]],Table1[],5,FALSE))</f>
        <v>#N/A</v>
      </c>
      <c r="F8181" s="5" t="e">
        <f>(VLOOKUP(Table4[[#This Row],[item_sold]],Table1[],4,FALSE))*Table4[[#This Row],[qty]]</f>
        <v>#N/A</v>
      </c>
      <c r="G8181" t="e">
        <f t="shared" si="1536"/>
        <v>#N/A</v>
      </c>
    </row>
    <row r="8182" spans="1:7" x14ac:dyDescent="0.25">
      <c r="A8182" s="1">
        <f t="shared" si="1535"/>
        <v>45488</v>
      </c>
      <c r="B8182" s="36"/>
      <c r="E8182" s="5" t="e">
        <f>Table4[[#This Row],[qty]]*(VLOOKUP(Table4[[#This Row],[item_sold]],Table1[],5,FALSE))</f>
        <v>#N/A</v>
      </c>
      <c r="F8182" s="5" t="e">
        <f>(VLOOKUP(Table4[[#This Row],[item_sold]],Table1[],4,FALSE))*Table4[[#This Row],[qty]]</f>
        <v>#N/A</v>
      </c>
      <c r="G8182" t="e">
        <f t="shared" si="1536"/>
        <v>#N/A</v>
      </c>
    </row>
    <row r="8183" spans="1:7" x14ac:dyDescent="0.25">
      <c r="A8183" s="1">
        <f t="shared" si="1535"/>
        <v>45488</v>
      </c>
      <c r="B8183" s="36"/>
      <c r="E8183" s="5" t="e">
        <f>Table4[[#This Row],[qty]]*(VLOOKUP(Table4[[#This Row],[item_sold]],Table1[],5,FALSE))</f>
        <v>#N/A</v>
      </c>
      <c r="F8183" s="5" t="e">
        <f>(VLOOKUP(Table4[[#This Row],[item_sold]],Table1[],4,FALSE))*Table4[[#This Row],[qty]]</f>
        <v>#N/A</v>
      </c>
      <c r="G8183" t="e">
        <f t="shared" si="1536"/>
        <v>#N/A</v>
      </c>
    </row>
    <row r="8184" spans="1:7" x14ac:dyDescent="0.25">
      <c r="A8184" s="1">
        <f t="shared" si="1535"/>
        <v>45488</v>
      </c>
      <c r="B8184" s="36"/>
      <c r="E8184" s="5" t="e">
        <f>Table4[[#This Row],[qty]]*(VLOOKUP(Table4[[#This Row],[item_sold]],Table1[],5,FALSE))</f>
        <v>#N/A</v>
      </c>
      <c r="F8184" s="5" t="e">
        <f>(VLOOKUP(Table4[[#This Row],[item_sold]],Table1[],4,FALSE))*Table4[[#This Row],[qty]]</f>
        <v>#N/A</v>
      </c>
      <c r="G8184" t="e">
        <f t="shared" si="1536"/>
        <v>#N/A</v>
      </c>
    </row>
    <row r="8185" spans="1:7" x14ac:dyDescent="0.25">
      <c r="A8185" s="1">
        <f t="shared" si="1535"/>
        <v>45488</v>
      </c>
      <c r="B8185" s="36"/>
      <c r="E8185" s="5" t="e">
        <f>Table4[[#This Row],[qty]]*(VLOOKUP(Table4[[#This Row],[item_sold]],Table1[],5,FALSE))</f>
        <v>#N/A</v>
      </c>
      <c r="F8185" s="5" t="e">
        <f>(VLOOKUP(Table4[[#This Row],[item_sold]],Table1[],4,FALSE))*Table4[[#This Row],[qty]]</f>
        <v>#N/A</v>
      </c>
      <c r="G8185" t="e">
        <f t="shared" si="1536"/>
        <v>#N/A</v>
      </c>
    </row>
    <row r="8186" spans="1:7" x14ac:dyDescent="0.25">
      <c r="A8186" s="1">
        <f t="shared" si="1535"/>
        <v>45488</v>
      </c>
      <c r="B8186" s="36"/>
      <c r="E8186" s="5" t="e">
        <f>Table4[[#This Row],[qty]]*(VLOOKUP(Table4[[#This Row],[item_sold]],Table1[],5,FALSE))</f>
        <v>#N/A</v>
      </c>
      <c r="F8186" s="5" t="e">
        <f>(VLOOKUP(Table4[[#This Row],[item_sold]],Table1[],4,FALSE))*Table4[[#This Row],[qty]]</f>
        <v>#N/A</v>
      </c>
      <c r="G8186" t="e">
        <f t="shared" si="1536"/>
        <v>#N/A</v>
      </c>
    </row>
    <row r="8187" spans="1:7" x14ac:dyDescent="0.25">
      <c r="A8187" s="1">
        <f t="shared" si="1535"/>
        <v>45488</v>
      </c>
      <c r="B8187" s="36"/>
      <c r="E8187" s="5" t="e">
        <f>Table4[[#This Row],[qty]]*(VLOOKUP(Table4[[#This Row],[item_sold]],Table1[],5,FALSE))</f>
        <v>#N/A</v>
      </c>
      <c r="F8187" s="5" t="e">
        <f>(VLOOKUP(Table4[[#This Row],[item_sold]],Table1[],4,FALSE))*Table4[[#This Row],[qty]]</f>
        <v>#N/A</v>
      </c>
      <c r="G8187" t="e">
        <f t="shared" si="1536"/>
        <v>#N/A</v>
      </c>
    </row>
    <row r="8188" spans="1:7" x14ac:dyDescent="0.25">
      <c r="A8188" s="1">
        <f t="shared" si="1535"/>
        <v>45488</v>
      </c>
      <c r="B8188" s="36"/>
      <c r="E8188" s="5" t="e">
        <f>Table4[[#This Row],[qty]]*(VLOOKUP(Table4[[#This Row],[item_sold]],Table1[],5,FALSE))</f>
        <v>#N/A</v>
      </c>
      <c r="F8188" s="5" t="e">
        <f>(VLOOKUP(Table4[[#This Row],[item_sold]],Table1[],4,FALSE))*Table4[[#This Row],[qty]]</f>
        <v>#N/A</v>
      </c>
      <c r="G8188" t="e">
        <f t="shared" si="1536"/>
        <v>#N/A</v>
      </c>
    </row>
    <row r="8189" spans="1:7" x14ac:dyDescent="0.25">
      <c r="A8189" s="1">
        <f t="shared" si="1535"/>
        <v>45488</v>
      </c>
      <c r="B8189" s="36"/>
      <c r="E8189" s="5" t="e">
        <f>Table4[[#This Row],[qty]]*(VLOOKUP(Table4[[#This Row],[item_sold]],Table1[],5,FALSE))</f>
        <v>#N/A</v>
      </c>
      <c r="F8189" s="5" t="e">
        <f>(VLOOKUP(Table4[[#This Row],[item_sold]],Table1[],4,FALSE))*Table4[[#This Row],[qty]]</f>
        <v>#N/A</v>
      </c>
      <c r="G8189" t="e">
        <f t="shared" si="1536"/>
        <v>#N/A</v>
      </c>
    </row>
    <row r="8190" spans="1:7" x14ac:dyDescent="0.25">
      <c r="A8190" s="1">
        <f t="shared" si="1535"/>
        <v>45488</v>
      </c>
      <c r="B8190" s="36"/>
      <c r="E8190" s="5" t="e">
        <f>Table4[[#This Row],[qty]]*(VLOOKUP(Table4[[#This Row],[item_sold]],Table1[],5,FALSE))</f>
        <v>#N/A</v>
      </c>
      <c r="F8190" s="5" t="e">
        <f>(VLOOKUP(Table4[[#This Row],[item_sold]],Table1[],4,FALSE))*Table4[[#This Row],[qty]]</f>
        <v>#N/A</v>
      </c>
      <c r="G8190" t="e">
        <f t="shared" si="1536"/>
        <v>#N/A</v>
      </c>
    </row>
    <row r="8191" spans="1:7" x14ac:dyDescent="0.25">
      <c r="A8191" s="1">
        <f t="shared" si="1535"/>
        <v>45488</v>
      </c>
      <c r="B8191" s="36"/>
      <c r="E8191" s="5" t="e">
        <f>Table4[[#This Row],[qty]]*(VLOOKUP(Table4[[#This Row],[item_sold]],Table1[],5,FALSE))</f>
        <v>#N/A</v>
      </c>
      <c r="F8191" s="5" t="e">
        <f>(VLOOKUP(Table4[[#This Row],[item_sold]],Table1[],4,FALSE))*Table4[[#This Row],[qty]]</f>
        <v>#N/A</v>
      </c>
      <c r="G8191" t="e">
        <f t="shared" si="1536"/>
        <v>#N/A</v>
      </c>
    </row>
    <row r="8192" spans="1:7" x14ac:dyDescent="0.25">
      <c r="A8192" s="1">
        <f t="shared" si="1535"/>
        <v>45488</v>
      </c>
      <c r="B8192" s="36"/>
      <c r="E8192" s="5" t="e">
        <f>Table4[[#This Row],[qty]]*(VLOOKUP(Table4[[#This Row],[item_sold]],Table1[],5,FALSE))</f>
        <v>#N/A</v>
      </c>
      <c r="F8192" s="5" t="e">
        <f>(VLOOKUP(Table4[[#This Row],[item_sold]],Table1[],4,FALSE))*Table4[[#This Row],[qty]]</f>
        <v>#N/A</v>
      </c>
      <c r="G8192" t="e">
        <f t="shared" si="1536"/>
        <v>#N/A</v>
      </c>
    </row>
    <row r="8193" spans="1:7" x14ac:dyDescent="0.25">
      <c r="A8193" s="1">
        <f t="shared" si="1535"/>
        <v>45488</v>
      </c>
      <c r="B8193" s="36"/>
      <c r="E8193" s="5" t="e">
        <f>Table4[[#This Row],[qty]]*(VLOOKUP(Table4[[#This Row],[item_sold]],Table1[],5,FALSE))</f>
        <v>#N/A</v>
      </c>
      <c r="F8193" s="5" t="e">
        <f>(VLOOKUP(Table4[[#This Row],[item_sold]],Table1[],4,FALSE))*Table4[[#This Row],[qty]]</f>
        <v>#N/A</v>
      </c>
      <c r="G8193" t="e">
        <f t="shared" si="1536"/>
        <v>#N/A</v>
      </c>
    </row>
    <row r="8194" spans="1:7" x14ac:dyDescent="0.25">
      <c r="A8194" s="1">
        <f t="shared" si="1535"/>
        <v>45488</v>
      </c>
      <c r="B8194" s="36"/>
      <c r="E8194" s="5" t="e">
        <f>Table4[[#This Row],[qty]]*(VLOOKUP(Table4[[#This Row],[item_sold]],Table1[],5,FALSE))</f>
        <v>#N/A</v>
      </c>
      <c r="F8194" s="5" t="e">
        <f>(VLOOKUP(Table4[[#This Row],[item_sold]],Table1[],4,FALSE))*Table4[[#This Row],[qty]]</f>
        <v>#N/A</v>
      </c>
      <c r="G8194" t="e">
        <f t="shared" si="1536"/>
        <v>#N/A</v>
      </c>
    </row>
    <row r="8195" spans="1:7" x14ac:dyDescent="0.25">
      <c r="A8195" s="1">
        <f t="shared" si="1535"/>
        <v>45488</v>
      </c>
      <c r="B8195" s="36"/>
      <c r="E8195" s="5" t="e">
        <f>Table4[[#This Row],[qty]]*(VLOOKUP(Table4[[#This Row],[item_sold]],Table1[],5,FALSE))</f>
        <v>#N/A</v>
      </c>
      <c r="F8195" s="5" t="e">
        <f>(VLOOKUP(Table4[[#This Row],[item_sold]],Table1[],4,FALSE))*Table4[[#This Row],[qty]]</f>
        <v>#N/A</v>
      </c>
      <c r="G8195" t="e">
        <f t="shared" si="1536"/>
        <v>#N/A</v>
      </c>
    </row>
    <row r="8196" spans="1:7" x14ac:dyDescent="0.25">
      <c r="A8196" s="1">
        <f t="shared" si="1535"/>
        <v>45488</v>
      </c>
      <c r="B8196" s="36"/>
      <c r="E8196" s="5" t="e">
        <f>Table4[[#This Row],[qty]]*(VLOOKUP(Table4[[#This Row],[item_sold]],Table1[],5,FALSE))</f>
        <v>#N/A</v>
      </c>
      <c r="F8196" s="5" t="e">
        <f>(VLOOKUP(Table4[[#This Row],[item_sold]],Table1[],4,FALSE))*Table4[[#This Row],[qty]]</f>
        <v>#N/A</v>
      </c>
      <c r="G8196" t="e">
        <f t="shared" si="1536"/>
        <v>#N/A</v>
      </c>
    </row>
    <row r="8197" spans="1:7" x14ac:dyDescent="0.25">
      <c r="A8197" s="1">
        <f t="shared" si="1535"/>
        <v>45488</v>
      </c>
      <c r="B8197" s="36"/>
      <c r="E8197" s="5" t="e">
        <f>Table4[[#This Row],[qty]]*(VLOOKUP(Table4[[#This Row],[item_sold]],Table1[],5,FALSE))</f>
        <v>#N/A</v>
      </c>
      <c r="F8197" s="5" t="e">
        <f>(VLOOKUP(Table4[[#This Row],[item_sold]],Table1[],4,FALSE))*Table4[[#This Row],[qty]]</f>
        <v>#N/A</v>
      </c>
      <c r="G8197" t="e">
        <f t="shared" si="1536"/>
        <v>#N/A</v>
      </c>
    </row>
    <row r="8198" spans="1:7" x14ac:dyDescent="0.25">
      <c r="A8198" s="1">
        <f t="shared" si="1535"/>
        <v>45488</v>
      </c>
      <c r="B8198" s="36"/>
      <c r="E8198" s="5" t="e">
        <f>Table4[[#This Row],[qty]]*(VLOOKUP(Table4[[#This Row],[item_sold]],Table1[],5,FALSE))</f>
        <v>#N/A</v>
      </c>
      <c r="F8198" s="5" t="e">
        <f>(VLOOKUP(Table4[[#This Row],[item_sold]],Table1[],4,FALSE))*Table4[[#This Row],[qty]]</f>
        <v>#N/A</v>
      </c>
      <c r="G8198" t="e">
        <f t="shared" si="1536"/>
        <v>#N/A</v>
      </c>
    </row>
    <row r="8199" spans="1:7" x14ac:dyDescent="0.25">
      <c r="A8199" s="1">
        <f t="shared" si="1535"/>
        <v>45488</v>
      </c>
      <c r="B8199" s="36"/>
      <c r="E8199" s="5" t="e">
        <f>Table4[[#This Row],[qty]]*(VLOOKUP(Table4[[#This Row],[item_sold]],Table1[],5,FALSE))</f>
        <v>#N/A</v>
      </c>
      <c r="F8199" s="5" t="e">
        <f>(VLOOKUP(Table4[[#This Row],[item_sold]],Table1[],4,FALSE))*Table4[[#This Row],[qty]]</f>
        <v>#N/A</v>
      </c>
      <c r="G8199" t="e">
        <f t="shared" si="1536"/>
        <v>#N/A</v>
      </c>
    </row>
    <row r="8200" spans="1:7" x14ac:dyDescent="0.25">
      <c r="A8200" s="1">
        <f t="shared" si="1535"/>
        <v>45488</v>
      </c>
      <c r="B8200" s="36"/>
      <c r="E8200" s="5" t="e">
        <f>Table4[[#This Row],[qty]]*(VLOOKUP(Table4[[#This Row],[item_sold]],Table1[],5,FALSE))</f>
        <v>#N/A</v>
      </c>
      <c r="F8200" s="5" t="e">
        <f>(VLOOKUP(Table4[[#This Row],[item_sold]],Table1[],4,FALSE))*Table4[[#This Row],[qty]]</f>
        <v>#N/A</v>
      </c>
      <c r="G8200" t="e">
        <f t="shared" si="1536"/>
        <v>#N/A</v>
      </c>
    </row>
    <row r="8201" spans="1:7" x14ac:dyDescent="0.25">
      <c r="A8201" s="1">
        <f t="shared" si="1535"/>
        <v>45488</v>
      </c>
      <c r="B8201" s="36"/>
      <c r="E8201" s="5" t="e">
        <f>Table4[[#This Row],[qty]]*(VLOOKUP(Table4[[#This Row],[item_sold]],Table1[],5,FALSE))</f>
        <v>#N/A</v>
      </c>
      <c r="F8201" s="5" t="e">
        <f>(VLOOKUP(Table4[[#This Row],[item_sold]],Table1[],4,FALSE))*Table4[[#This Row],[qty]]</f>
        <v>#N/A</v>
      </c>
      <c r="G8201" t="e">
        <f t="shared" si="1536"/>
        <v>#N/A</v>
      </c>
    </row>
    <row r="8202" spans="1:7" x14ac:dyDescent="0.25">
      <c r="A8202" s="1">
        <f t="shared" si="1535"/>
        <v>45488</v>
      </c>
      <c r="B8202" s="36"/>
      <c r="E8202" s="5" t="e">
        <f>Table4[[#This Row],[qty]]*(VLOOKUP(Table4[[#This Row],[item_sold]],Table1[],5,FALSE))</f>
        <v>#N/A</v>
      </c>
      <c r="F8202" s="5" t="e">
        <f>(VLOOKUP(Table4[[#This Row],[item_sold]],Table1[],4,FALSE))*Table4[[#This Row],[qty]]</f>
        <v>#N/A</v>
      </c>
      <c r="G8202" t="e">
        <f t="shared" si="1536"/>
        <v>#N/A</v>
      </c>
    </row>
    <row r="8203" spans="1:7" x14ac:dyDescent="0.25">
      <c r="A8203" s="1">
        <f t="shared" si="1535"/>
        <v>45488</v>
      </c>
      <c r="B8203" s="36"/>
      <c r="E8203" s="5" t="e">
        <f>Table4[[#This Row],[qty]]*(VLOOKUP(Table4[[#This Row],[item_sold]],Table1[],5,FALSE))</f>
        <v>#N/A</v>
      </c>
      <c r="F8203" s="5" t="e">
        <f>(VLOOKUP(Table4[[#This Row],[item_sold]],Table1[],4,FALSE))*Table4[[#This Row],[qty]]</f>
        <v>#N/A</v>
      </c>
      <c r="G8203" t="e">
        <f t="shared" si="1536"/>
        <v>#N/A</v>
      </c>
    </row>
    <row r="8204" spans="1:7" x14ac:dyDescent="0.25">
      <c r="A8204" s="1">
        <f t="shared" si="1535"/>
        <v>45488</v>
      </c>
      <c r="B8204" s="36"/>
      <c r="E8204" s="5" t="e">
        <f>Table4[[#This Row],[qty]]*(VLOOKUP(Table4[[#This Row],[item_sold]],Table1[],5,FALSE))</f>
        <v>#N/A</v>
      </c>
      <c r="F8204" s="5" t="e">
        <f>(VLOOKUP(Table4[[#This Row],[item_sold]],Table1[],4,FALSE))*Table4[[#This Row],[qty]]</f>
        <v>#N/A</v>
      </c>
      <c r="G8204" t="e">
        <f t="shared" si="1536"/>
        <v>#N/A</v>
      </c>
    </row>
    <row r="8205" spans="1:7" x14ac:dyDescent="0.25">
      <c r="A8205" s="1">
        <f t="shared" si="1535"/>
        <v>45488</v>
      </c>
      <c r="B8205" s="36"/>
      <c r="E8205" s="5" t="e">
        <f>Table4[[#This Row],[qty]]*(VLOOKUP(Table4[[#This Row],[item_sold]],Table1[],5,FALSE))</f>
        <v>#N/A</v>
      </c>
      <c r="F8205" s="5" t="e">
        <f>(VLOOKUP(Table4[[#This Row],[item_sold]],Table1[],4,FALSE))*Table4[[#This Row],[qty]]</f>
        <v>#N/A</v>
      </c>
      <c r="G8205" t="e">
        <f t="shared" si="1536"/>
        <v>#N/A</v>
      </c>
    </row>
    <row r="8206" spans="1:7" x14ac:dyDescent="0.25">
      <c r="A8206" s="1">
        <f t="shared" si="1535"/>
        <v>45488</v>
      </c>
      <c r="B8206" s="36"/>
      <c r="E8206" s="5" t="e">
        <f>Table4[[#This Row],[qty]]*(VLOOKUP(Table4[[#This Row],[item_sold]],Table1[],5,FALSE))</f>
        <v>#N/A</v>
      </c>
      <c r="F8206" s="5" t="e">
        <f>(VLOOKUP(Table4[[#This Row],[item_sold]],Table1[],4,FALSE))*Table4[[#This Row],[qty]]</f>
        <v>#N/A</v>
      </c>
      <c r="G8206" t="e">
        <f t="shared" si="1536"/>
        <v>#N/A</v>
      </c>
    </row>
    <row r="8207" spans="1:7" x14ac:dyDescent="0.25">
      <c r="A8207" s="1">
        <f t="shared" si="1535"/>
        <v>45488</v>
      </c>
      <c r="B8207" s="36"/>
      <c r="E8207" s="5" t="e">
        <f>Table4[[#This Row],[qty]]*(VLOOKUP(Table4[[#This Row],[item_sold]],Table1[],5,FALSE))</f>
        <v>#N/A</v>
      </c>
      <c r="F8207" s="5" t="e">
        <f>(VLOOKUP(Table4[[#This Row],[item_sold]],Table1[],4,FALSE))*Table4[[#This Row],[qty]]</f>
        <v>#N/A</v>
      </c>
      <c r="G8207" t="e">
        <f t="shared" si="1536"/>
        <v>#N/A</v>
      </c>
    </row>
    <row r="8208" spans="1:7" x14ac:dyDescent="0.25">
      <c r="A8208" s="1">
        <f t="shared" si="1535"/>
        <v>45488</v>
      </c>
      <c r="B8208" s="36"/>
      <c r="E8208" s="5" t="e">
        <f>Table4[[#This Row],[qty]]*(VLOOKUP(Table4[[#This Row],[item_sold]],Table1[],5,FALSE))</f>
        <v>#N/A</v>
      </c>
      <c r="F8208" s="5" t="e">
        <f>(VLOOKUP(Table4[[#This Row],[item_sold]],Table1[],4,FALSE))*Table4[[#This Row],[qty]]</f>
        <v>#N/A</v>
      </c>
      <c r="G8208" t="e">
        <f t="shared" si="1536"/>
        <v>#N/A</v>
      </c>
    </row>
    <row r="8209" spans="1:7" x14ac:dyDescent="0.25">
      <c r="A8209" s="1">
        <f t="shared" si="1535"/>
        <v>45488</v>
      </c>
      <c r="B8209" s="36"/>
      <c r="E8209" s="5" t="e">
        <f>Table4[[#This Row],[qty]]*(VLOOKUP(Table4[[#This Row],[item_sold]],Table1[],5,FALSE))</f>
        <v>#N/A</v>
      </c>
      <c r="F8209" s="5" t="e">
        <f>(VLOOKUP(Table4[[#This Row],[item_sold]],Table1[],4,FALSE))*Table4[[#This Row],[qty]]</f>
        <v>#N/A</v>
      </c>
      <c r="G8209" t="e">
        <f t="shared" si="1536"/>
        <v>#N/A</v>
      </c>
    </row>
    <row r="8210" spans="1:7" x14ac:dyDescent="0.25">
      <c r="A8210" s="1">
        <f t="shared" si="1535"/>
        <v>45488</v>
      </c>
      <c r="B8210" s="36"/>
      <c r="E8210" s="5" t="e">
        <f>Table4[[#This Row],[qty]]*(VLOOKUP(Table4[[#This Row],[item_sold]],Table1[],5,FALSE))</f>
        <v>#N/A</v>
      </c>
      <c r="F8210" s="5" t="e">
        <f>(VLOOKUP(Table4[[#This Row],[item_sold]],Table1[],4,FALSE))*Table4[[#This Row],[qty]]</f>
        <v>#N/A</v>
      </c>
      <c r="G8210" t="e">
        <f t="shared" si="1536"/>
        <v>#N/A</v>
      </c>
    </row>
    <row r="8211" spans="1:7" x14ac:dyDescent="0.25">
      <c r="A8211" s="1">
        <f t="shared" si="1535"/>
        <v>45488</v>
      </c>
      <c r="B8211" s="36"/>
      <c r="E8211" s="5" t="e">
        <f>Table4[[#This Row],[qty]]*(VLOOKUP(Table4[[#This Row],[item_sold]],Table1[],5,FALSE))</f>
        <v>#N/A</v>
      </c>
      <c r="F8211" s="5" t="e">
        <f>(VLOOKUP(Table4[[#This Row],[item_sold]],Table1[],4,FALSE))*Table4[[#This Row],[qty]]</f>
        <v>#N/A</v>
      </c>
      <c r="G8211" t="e">
        <f t="shared" si="1536"/>
        <v>#N/A</v>
      </c>
    </row>
    <row r="8212" spans="1:7" x14ac:dyDescent="0.25">
      <c r="A8212" s="1">
        <f t="shared" ref="A8212:A8275" si="1537">DATE(2024,7,15)</f>
        <v>45488</v>
      </c>
      <c r="B8212" s="36"/>
      <c r="E8212" s="5" t="e">
        <f>Table4[[#This Row],[qty]]*(VLOOKUP(Table4[[#This Row],[item_sold]],Table1[],5,FALSE))</f>
        <v>#N/A</v>
      </c>
      <c r="F8212" s="5" t="e">
        <f>(VLOOKUP(Table4[[#This Row],[item_sold]],Table1[],4,FALSE))*Table4[[#This Row],[qty]]</f>
        <v>#N/A</v>
      </c>
      <c r="G8212" t="e">
        <f t="shared" ref="G8212:G8275" si="1538">E8212-F8212</f>
        <v>#N/A</v>
      </c>
    </row>
    <row r="8213" spans="1:7" x14ac:dyDescent="0.25">
      <c r="A8213" s="1">
        <f t="shared" si="1537"/>
        <v>45488</v>
      </c>
      <c r="B8213" s="36"/>
      <c r="E8213" s="5" t="e">
        <f>Table4[[#This Row],[qty]]*(VLOOKUP(Table4[[#This Row],[item_sold]],Table1[],5,FALSE))</f>
        <v>#N/A</v>
      </c>
      <c r="F8213" s="5" t="e">
        <f>(VLOOKUP(Table4[[#This Row],[item_sold]],Table1[],4,FALSE))*Table4[[#This Row],[qty]]</f>
        <v>#N/A</v>
      </c>
      <c r="G8213" t="e">
        <f t="shared" si="1538"/>
        <v>#N/A</v>
      </c>
    </row>
    <row r="8214" spans="1:7" x14ac:dyDescent="0.25">
      <c r="A8214" s="1">
        <f t="shared" si="1537"/>
        <v>45488</v>
      </c>
      <c r="B8214" s="36"/>
      <c r="E8214" s="5" t="e">
        <f>Table4[[#This Row],[qty]]*(VLOOKUP(Table4[[#This Row],[item_sold]],Table1[],5,FALSE))</f>
        <v>#N/A</v>
      </c>
      <c r="F8214" s="5" t="e">
        <f>(VLOOKUP(Table4[[#This Row],[item_sold]],Table1[],4,FALSE))*Table4[[#This Row],[qty]]</f>
        <v>#N/A</v>
      </c>
      <c r="G8214" t="e">
        <f t="shared" si="1538"/>
        <v>#N/A</v>
      </c>
    </row>
    <row r="8215" spans="1:7" x14ac:dyDescent="0.25">
      <c r="A8215" s="1">
        <f t="shared" si="1537"/>
        <v>45488</v>
      </c>
      <c r="B8215" s="36"/>
      <c r="E8215" s="5" t="e">
        <f>Table4[[#This Row],[qty]]*(VLOOKUP(Table4[[#This Row],[item_sold]],Table1[],5,FALSE))</f>
        <v>#N/A</v>
      </c>
      <c r="F8215" s="5" t="e">
        <f>(VLOOKUP(Table4[[#This Row],[item_sold]],Table1[],4,FALSE))*Table4[[#This Row],[qty]]</f>
        <v>#N/A</v>
      </c>
      <c r="G8215" t="e">
        <f t="shared" si="1538"/>
        <v>#N/A</v>
      </c>
    </row>
    <row r="8216" spans="1:7" x14ac:dyDescent="0.25">
      <c r="A8216" s="1">
        <f t="shared" si="1537"/>
        <v>45488</v>
      </c>
      <c r="B8216" s="36"/>
      <c r="E8216" s="5" t="e">
        <f>Table4[[#This Row],[qty]]*(VLOOKUP(Table4[[#This Row],[item_sold]],Table1[],5,FALSE))</f>
        <v>#N/A</v>
      </c>
      <c r="F8216" s="5" t="e">
        <f>(VLOOKUP(Table4[[#This Row],[item_sold]],Table1[],4,FALSE))*Table4[[#This Row],[qty]]</f>
        <v>#N/A</v>
      </c>
      <c r="G8216" t="e">
        <f t="shared" si="1538"/>
        <v>#N/A</v>
      </c>
    </row>
    <row r="8217" spans="1:7" x14ac:dyDescent="0.25">
      <c r="A8217" s="1">
        <f t="shared" si="1537"/>
        <v>45488</v>
      </c>
      <c r="B8217" s="36"/>
      <c r="E8217" s="5" t="e">
        <f>Table4[[#This Row],[qty]]*(VLOOKUP(Table4[[#This Row],[item_sold]],Table1[],5,FALSE))</f>
        <v>#N/A</v>
      </c>
      <c r="F8217" s="5" t="e">
        <f>(VLOOKUP(Table4[[#This Row],[item_sold]],Table1[],4,FALSE))*Table4[[#This Row],[qty]]</f>
        <v>#N/A</v>
      </c>
      <c r="G8217" t="e">
        <f t="shared" si="1538"/>
        <v>#N/A</v>
      </c>
    </row>
    <row r="8218" spans="1:7" x14ac:dyDescent="0.25">
      <c r="A8218" s="1">
        <f t="shared" si="1537"/>
        <v>45488</v>
      </c>
      <c r="B8218" s="36"/>
      <c r="E8218" s="5" t="e">
        <f>Table4[[#This Row],[qty]]*(VLOOKUP(Table4[[#This Row],[item_sold]],Table1[],5,FALSE))</f>
        <v>#N/A</v>
      </c>
      <c r="F8218" s="5" t="e">
        <f>(VLOOKUP(Table4[[#This Row],[item_sold]],Table1[],4,FALSE))*Table4[[#This Row],[qty]]</f>
        <v>#N/A</v>
      </c>
      <c r="G8218" t="e">
        <f t="shared" si="1538"/>
        <v>#N/A</v>
      </c>
    </row>
    <row r="8219" spans="1:7" x14ac:dyDescent="0.25">
      <c r="A8219" s="1">
        <f t="shared" si="1537"/>
        <v>45488</v>
      </c>
      <c r="B8219" s="36"/>
      <c r="E8219" s="5" t="e">
        <f>Table4[[#This Row],[qty]]*(VLOOKUP(Table4[[#This Row],[item_sold]],Table1[],5,FALSE))</f>
        <v>#N/A</v>
      </c>
      <c r="F8219" s="5" t="e">
        <f>(VLOOKUP(Table4[[#This Row],[item_sold]],Table1[],4,FALSE))*Table4[[#This Row],[qty]]</f>
        <v>#N/A</v>
      </c>
      <c r="G8219" t="e">
        <f t="shared" si="1538"/>
        <v>#N/A</v>
      </c>
    </row>
    <row r="8220" spans="1:7" x14ac:dyDescent="0.25">
      <c r="A8220" s="1">
        <f t="shared" si="1537"/>
        <v>45488</v>
      </c>
      <c r="B8220" s="36"/>
      <c r="E8220" s="5" t="e">
        <f>Table4[[#This Row],[qty]]*(VLOOKUP(Table4[[#This Row],[item_sold]],Table1[],5,FALSE))</f>
        <v>#N/A</v>
      </c>
      <c r="F8220" s="5" t="e">
        <f>(VLOOKUP(Table4[[#This Row],[item_sold]],Table1[],4,FALSE))*Table4[[#This Row],[qty]]</f>
        <v>#N/A</v>
      </c>
      <c r="G8220" t="e">
        <f t="shared" si="1538"/>
        <v>#N/A</v>
      </c>
    </row>
    <row r="8221" spans="1:7" x14ac:dyDescent="0.25">
      <c r="A8221" s="1">
        <f t="shared" si="1537"/>
        <v>45488</v>
      </c>
      <c r="B8221" s="36"/>
      <c r="E8221" s="5" t="e">
        <f>Table4[[#This Row],[qty]]*(VLOOKUP(Table4[[#This Row],[item_sold]],Table1[],5,FALSE))</f>
        <v>#N/A</v>
      </c>
      <c r="F8221" s="5" t="e">
        <f>(VLOOKUP(Table4[[#This Row],[item_sold]],Table1[],4,FALSE))*Table4[[#This Row],[qty]]</f>
        <v>#N/A</v>
      </c>
      <c r="G8221" t="e">
        <f t="shared" si="1538"/>
        <v>#N/A</v>
      </c>
    </row>
    <row r="8222" spans="1:7" x14ac:dyDescent="0.25">
      <c r="A8222" s="1">
        <f t="shared" si="1537"/>
        <v>45488</v>
      </c>
      <c r="B8222" s="36"/>
      <c r="E8222" s="5" t="e">
        <f>Table4[[#This Row],[qty]]*(VLOOKUP(Table4[[#This Row],[item_sold]],Table1[],5,FALSE))</f>
        <v>#N/A</v>
      </c>
      <c r="F8222" s="5" t="e">
        <f>(VLOOKUP(Table4[[#This Row],[item_sold]],Table1[],4,FALSE))*Table4[[#This Row],[qty]]</f>
        <v>#N/A</v>
      </c>
      <c r="G8222" t="e">
        <f t="shared" si="1538"/>
        <v>#N/A</v>
      </c>
    </row>
    <row r="8223" spans="1:7" x14ac:dyDescent="0.25">
      <c r="A8223" s="1">
        <f t="shared" si="1537"/>
        <v>45488</v>
      </c>
      <c r="B8223" s="36"/>
      <c r="E8223" s="5" t="e">
        <f>Table4[[#This Row],[qty]]*(VLOOKUP(Table4[[#This Row],[item_sold]],Table1[],5,FALSE))</f>
        <v>#N/A</v>
      </c>
      <c r="F8223" s="5" t="e">
        <f>(VLOOKUP(Table4[[#This Row],[item_sold]],Table1[],4,FALSE))*Table4[[#This Row],[qty]]</f>
        <v>#N/A</v>
      </c>
      <c r="G8223" t="e">
        <f t="shared" si="1538"/>
        <v>#N/A</v>
      </c>
    </row>
    <row r="8224" spans="1:7" x14ac:dyDescent="0.25">
      <c r="A8224" s="1">
        <f t="shared" si="1537"/>
        <v>45488</v>
      </c>
      <c r="B8224" s="36"/>
      <c r="E8224" s="5" t="e">
        <f>Table4[[#This Row],[qty]]*(VLOOKUP(Table4[[#This Row],[item_sold]],Table1[],5,FALSE))</f>
        <v>#N/A</v>
      </c>
      <c r="F8224" s="5" t="e">
        <f>(VLOOKUP(Table4[[#This Row],[item_sold]],Table1[],4,FALSE))*Table4[[#This Row],[qty]]</f>
        <v>#N/A</v>
      </c>
      <c r="G8224" t="e">
        <f t="shared" si="1538"/>
        <v>#N/A</v>
      </c>
    </row>
    <row r="8225" spans="1:7" x14ac:dyDescent="0.25">
      <c r="A8225" s="1">
        <f t="shared" si="1537"/>
        <v>45488</v>
      </c>
      <c r="B8225" s="36"/>
      <c r="E8225" s="5" t="e">
        <f>Table4[[#This Row],[qty]]*(VLOOKUP(Table4[[#This Row],[item_sold]],Table1[],5,FALSE))</f>
        <v>#N/A</v>
      </c>
      <c r="F8225" s="5" t="e">
        <f>(VLOOKUP(Table4[[#This Row],[item_sold]],Table1[],4,FALSE))*Table4[[#This Row],[qty]]</f>
        <v>#N/A</v>
      </c>
      <c r="G8225" t="e">
        <f t="shared" si="1538"/>
        <v>#N/A</v>
      </c>
    </row>
    <row r="8226" spans="1:7" x14ac:dyDescent="0.25">
      <c r="A8226" s="1">
        <f t="shared" si="1537"/>
        <v>45488</v>
      </c>
      <c r="B8226" s="36"/>
      <c r="E8226" s="5" t="e">
        <f>Table4[[#This Row],[qty]]*(VLOOKUP(Table4[[#This Row],[item_sold]],Table1[],5,FALSE))</f>
        <v>#N/A</v>
      </c>
      <c r="F8226" s="5" t="e">
        <f>(VLOOKUP(Table4[[#This Row],[item_sold]],Table1[],4,FALSE))*Table4[[#This Row],[qty]]</f>
        <v>#N/A</v>
      </c>
      <c r="G8226" t="e">
        <f t="shared" si="1538"/>
        <v>#N/A</v>
      </c>
    </row>
    <row r="8227" spans="1:7" x14ac:dyDescent="0.25">
      <c r="A8227" s="1">
        <f t="shared" si="1537"/>
        <v>45488</v>
      </c>
      <c r="B8227" s="36"/>
      <c r="E8227" s="5" t="e">
        <f>Table4[[#This Row],[qty]]*(VLOOKUP(Table4[[#This Row],[item_sold]],Table1[],5,FALSE))</f>
        <v>#N/A</v>
      </c>
      <c r="F8227" s="5" t="e">
        <f>(VLOOKUP(Table4[[#This Row],[item_sold]],Table1[],4,FALSE))*Table4[[#This Row],[qty]]</f>
        <v>#N/A</v>
      </c>
      <c r="G8227" t="e">
        <f t="shared" si="1538"/>
        <v>#N/A</v>
      </c>
    </row>
    <row r="8228" spans="1:7" x14ac:dyDescent="0.25">
      <c r="A8228" s="1">
        <f t="shared" si="1537"/>
        <v>45488</v>
      </c>
      <c r="B8228" s="36"/>
      <c r="E8228" s="5" t="e">
        <f>Table4[[#This Row],[qty]]*(VLOOKUP(Table4[[#This Row],[item_sold]],Table1[],5,FALSE))</f>
        <v>#N/A</v>
      </c>
      <c r="F8228" s="5" t="e">
        <f>(VLOOKUP(Table4[[#This Row],[item_sold]],Table1[],4,FALSE))*Table4[[#This Row],[qty]]</f>
        <v>#N/A</v>
      </c>
      <c r="G8228" t="e">
        <f t="shared" si="1538"/>
        <v>#N/A</v>
      </c>
    </row>
    <row r="8229" spans="1:7" x14ac:dyDescent="0.25">
      <c r="A8229" s="1">
        <f t="shared" si="1537"/>
        <v>45488</v>
      </c>
      <c r="B8229" s="36"/>
      <c r="E8229" s="5" t="e">
        <f>Table4[[#This Row],[qty]]*(VLOOKUP(Table4[[#This Row],[item_sold]],Table1[],5,FALSE))</f>
        <v>#N/A</v>
      </c>
      <c r="F8229" s="5" t="e">
        <f>(VLOOKUP(Table4[[#This Row],[item_sold]],Table1[],4,FALSE))*Table4[[#This Row],[qty]]</f>
        <v>#N/A</v>
      </c>
      <c r="G8229" t="e">
        <f t="shared" si="1538"/>
        <v>#N/A</v>
      </c>
    </row>
    <row r="8230" spans="1:7" x14ac:dyDescent="0.25">
      <c r="A8230" s="1">
        <f t="shared" si="1537"/>
        <v>45488</v>
      </c>
      <c r="B8230" s="36"/>
      <c r="E8230" s="5" t="e">
        <f>Table4[[#This Row],[qty]]*(VLOOKUP(Table4[[#This Row],[item_sold]],Table1[],5,FALSE))</f>
        <v>#N/A</v>
      </c>
      <c r="F8230" s="5" t="e">
        <f>(VLOOKUP(Table4[[#This Row],[item_sold]],Table1[],4,FALSE))*Table4[[#This Row],[qty]]</f>
        <v>#N/A</v>
      </c>
      <c r="G8230" t="e">
        <f t="shared" si="1538"/>
        <v>#N/A</v>
      </c>
    </row>
    <row r="8231" spans="1:7" x14ac:dyDescent="0.25">
      <c r="A8231" s="1">
        <f t="shared" si="1537"/>
        <v>45488</v>
      </c>
      <c r="B8231" s="36"/>
      <c r="E8231" s="5" t="e">
        <f>Table4[[#This Row],[qty]]*(VLOOKUP(Table4[[#This Row],[item_sold]],Table1[],5,FALSE))</f>
        <v>#N/A</v>
      </c>
      <c r="F8231" s="5" t="e">
        <f>(VLOOKUP(Table4[[#This Row],[item_sold]],Table1[],4,FALSE))*Table4[[#This Row],[qty]]</f>
        <v>#N/A</v>
      </c>
      <c r="G8231" t="e">
        <f t="shared" si="1538"/>
        <v>#N/A</v>
      </c>
    </row>
    <row r="8232" spans="1:7" x14ac:dyDescent="0.25">
      <c r="A8232" s="1">
        <f t="shared" si="1537"/>
        <v>45488</v>
      </c>
      <c r="B8232" s="36"/>
      <c r="E8232" s="5" t="e">
        <f>Table4[[#This Row],[qty]]*(VLOOKUP(Table4[[#This Row],[item_sold]],Table1[],5,FALSE))</f>
        <v>#N/A</v>
      </c>
      <c r="F8232" s="5" t="e">
        <f>(VLOOKUP(Table4[[#This Row],[item_sold]],Table1[],4,FALSE))*Table4[[#This Row],[qty]]</f>
        <v>#N/A</v>
      </c>
      <c r="G8232" t="e">
        <f t="shared" si="1538"/>
        <v>#N/A</v>
      </c>
    </row>
    <row r="8233" spans="1:7" x14ac:dyDescent="0.25">
      <c r="A8233" s="1">
        <f t="shared" si="1537"/>
        <v>45488</v>
      </c>
      <c r="B8233" s="36"/>
      <c r="E8233" s="5" t="e">
        <f>Table4[[#This Row],[qty]]*(VLOOKUP(Table4[[#This Row],[item_sold]],Table1[],5,FALSE))</f>
        <v>#N/A</v>
      </c>
      <c r="F8233" s="5" t="e">
        <f>(VLOOKUP(Table4[[#This Row],[item_sold]],Table1[],4,FALSE))*Table4[[#This Row],[qty]]</f>
        <v>#N/A</v>
      </c>
      <c r="G8233" t="e">
        <f t="shared" si="1538"/>
        <v>#N/A</v>
      </c>
    </row>
    <row r="8234" spans="1:7" x14ac:dyDescent="0.25">
      <c r="A8234" s="1">
        <f t="shared" si="1537"/>
        <v>45488</v>
      </c>
      <c r="B8234" s="36"/>
      <c r="E8234" s="5" t="e">
        <f>Table4[[#This Row],[qty]]*(VLOOKUP(Table4[[#This Row],[item_sold]],Table1[],5,FALSE))</f>
        <v>#N/A</v>
      </c>
      <c r="F8234" s="5" t="e">
        <f>(VLOOKUP(Table4[[#This Row],[item_sold]],Table1[],4,FALSE))*Table4[[#This Row],[qty]]</f>
        <v>#N/A</v>
      </c>
      <c r="G8234" t="e">
        <f t="shared" si="1538"/>
        <v>#N/A</v>
      </c>
    </row>
    <row r="8235" spans="1:7" x14ac:dyDescent="0.25">
      <c r="A8235" s="1">
        <f t="shared" si="1537"/>
        <v>45488</v>
      </c>
      <c r="B8235" s="36"/>
      <c r="E8235" s="5" t="e">
        <f>Table4[[#This Row],[qty]]*(VLOOKUP(Table4[[#This Row],[item_sold]],Table1[],5,FALSE))</f>
        <v>#N/A</v>
      </c>
      <c r="F8235" s="5" t="e">
        <f>(VLOOKUP(Table4[[#This Row],[item_sold]],Table1[],4,FALSE))*Table4[[#This Row],[qty]]</f>
        <v>#N/A</v>
      </c>
      <c r="G8235" t="e">
        <f t="shared" si="1538"/>
        <v>#N/A</v>
      </c>
    </row>
    <row r="8236" spans="1:7" x14ac:dyDescent="0.25">
      <c r="A8236" s="1">
        <f t="shared" si="1537"/>
        <v>45488</v>
      </c>
      <c r="B8236" s="36"/>
      <c r="E8236" s="5" t="e">
        <f>Table4[[#This Row],[qty]]*(VLOOKUP(Table4[[#This Row],[item_sold]],Table1[],5,FALSE))</f>
        <v>#N/A</v>
      </c>
      <c r="F8236" s="5" t="e">
        <f>(VLOOKUP(Table4[[#This Row],[item_sold]],Table1[],4,FALSE))*Table4[[#This Row],[qty]]</f>
        <v>#N/A</v>
      </c>
      <c r="G8236" t="e">
        <f t="shared" si="1538"/>
        <v>#N/A</v>
      </c>
    </row>
    <row r="8237" spans="1:7" x14ac:dyDescent="0.25">
      <c r="A8237" s="1">
        <f t="shared" si="1537"/>
        <v>45488</v>
      </c>
      <c r="B8237" s="36"/>
      <c r="E8237" s="5" t="e">
        <f>Table4[[#This Row],[qty]]*(VLOOKUP(Table4[[#This Row],[item_sold]],Table1[],5,FALSE))</f>
        <v>#N/A</v>
      </c>
      <c r="F8237" s="5" t="e">
        <f>(VLOOKUP(Table4[[#This Row],[item_sold]],Table1[],4,FALSE))*Table4[[#This Row],[qty]]</f>
        <v>#N/A</v>
      </c>
      <c r="G8237" t="e">
        <f t="shared" si="1538"/>
        <v>#N/A</v>
      </c>
    </row>
    <row r="8238" spans="1:7" x14ac:dyDescent="0.25">
      <c r="A8238" s="1">
        <f t="shared" si="1537"/>
        <v>45488</v>
      </c>
      <c r="B8238" s="36"/>
      <c r="E8238" s="5" t="e">
        <f>Table4[[#This Row],[qty]]*(VLOOKUP(Table4[[#This Row],[item_sold]],Table1[],5,FALSE))</f>
        <v>#N/A</v>
      </c>
      <c r="F8238" s="5" t="e">
        <f>(VLOOKUP(Table4[[#This Row],[item_sold]],Table1[],4,FALSE))*Table4[[#This Row],[qty]]</f>
        <v>#N/A</v>
      </c>
      <c r="G8238" t="e">
        <f t="shared" si="1538"/>
        <v>#N/A</v>
      </c>
    </row>
    <row r="8239" spans="1:7" x14ac:dyDescent="0.25">
      <c r="A8239" s="1">
        <f t="shared" si="1537"/>
        <v>45488</v>
      </c>
      <c r="B8239" s="36"/>
      <c r="E8239" s="5" t="e">
        <f>Table4[[#This Row],[qty]]*(VLOOKUP(Table4[[#This Row],[item_sold]],Table1[],5,FALSE))</f>
        <v>#N/A</v>
      </c>
      <c r="F8239" s="5" t="e">
        <f>(VLOOKUP(Table4[[#This Row],[item_sold]],Table1[],4,FALSE))*Table4[[#This Row],[qty]]</f>
        <v>#N/A</v>
      </c>
      <c r="G8239" t="e">
        <f t="shared" si="1538"/>
        <v>#N/A</v>
      </c>
    </row>
    <row r="8240" spans="1:7" x14ac:dyDescent="0.25">
      <c r="A8240" s="1">
        <f t="shared" si="1537"/>
        <v>45488</v>
      </c>
      <c r="B8240" s="36"/>
      <c r="E8240" s="5" t="e">
        <f>Table4[[#This Row],[qty]]*(VLOOKUP(Table4[[#This Row],[item_sold]],Table1[],5,FALSE))</f>
        <v>#N/A</v>
      </c>
      <c r="F8240" s="5" t="e">
        <f>(VLOOKUP(Table4[[#This Row],[item_sold]],Table1[],4,FALSE))*Table4[[#This Row],[qty]]</f>
        <v>#N/A</v>
      </c>
      <c r="G8240" t="e">
        <f t="shared" si="1538"/>
        <v>#N/A</v>
      </c>
    </row>
    <row r="8241" spans="1:7" x14ac:dyDescent="0.25">
      <c r="A8241" s="1">
        <f t="shared" si="1537"/>
        <v>45488</v>
      </c>
      <c r="B8241" s="36"/>
      <c r="E8241" s="5" t="e">
        <f>Table4[[#This Row],[qty]]*(VLOOKUP(Table4[[#This Row],[item_sold]],Table1[],5,FALSE))</f>
        <v>#N/A</v>
      </c>
      <c r="F8241" s="5" t="e">
        <f>(VLOOKUP(Table4[[#This Row],[item_sold]],Table1[],4,FALSE))*Table4[[#This Row],[qty]]</f>
        <v>#N/A</v>
      </c>
      <c r="G8241" t="e">
        <f t="shared" si="1538"/>
        <v>#N/A</v>
      </c>
    </row>
    <row r="8242" spans="1:7" x14ac:dyDescent="0.25">
      <c r="A8242" s="1">
        <f t="shared" si="1537"/>
        <v>45488</v>
      </c>
      <c r="B8242" s="36"/>
      <c r="E8242" s="5" t="e">
        <f>Table4[[#This Row],[qty]]*(VLOOKUP(Table4[[#This Row],[item_sold]],Table1[],5,FALSE))</f>
        <v>#N/A</v>
      </c>
      <c r="F8242" s="5" t="e">
        <f>(VLOOKUP(Table4[[#This Row],[item_sold]],Table1[],4,FALSE))*Table4[[#This Row],[qty]]</f>
        <v>#N/A</v>
      </c>
      <c r="G8242" t="e">
        <f t="shared" si="1538"/>
        <v>#N/A</v>
      </c>
    </row>
    <row r="8243" spans="1:7" x14ac:dyDescent="0.25">
      <c r="A8243" s="1">
        <f t="shared" si="1537"/>
        <v>45488</v>
      </c>
      <c r="B8243" s="36"/>
      <c r="E8243" s="5" t="e">
        <f>Table4[[#This Row],[qty]]*(VLOOKUP(Table4[[#This Row],[item_sold]],Table1[],5,FALSE))</f>
        <v>#N/A</v>
      </c>
      <c r="F8243" s="5" t="e">
        <f>(VLOOKUP(Table4[[#This Row],[item_sold]],Table1[],4,FALSE))*Table4[[#This Row],[qty]]</f>
        <v>#N/A</v>
      </c>
      <c r="G8243" t="e">
        <f t="shared" si="1538"/>
        <v>#N/A</v>
      </c>
    </row>
    <row r="8244" spans="1:7" x14ac:dyDescent="0.25">
      <c r="A8244" s="1">
        <f t="shared" si="1537"/>
        <v>45488</v>
      </c>
      <c r="B8244" s="36"/>
      <c r="E8244" s="5" t="e">
        <f>Table4[[#This Row],[qty]]*(VLOOKUP(Table4[[#This Row],[item_sold]],Table1[],5,FALSE))</f>
        <v>#N/A</v>
      </c>
      <c r="F8244" s="5" t="e">
        <f>(VLOOKUP(Table4[[#This Row],[item_sold]],Table1[],4,FALSE))*Table4[[#This Row],[qty]]</f>
        <v>#N/A</v>
      </c>
      <c r="G8244" t="e">
        <f t="shared" si="1538"/>
        <v>#N/A</v>
      </c>
    </row>
    <row r="8245" spans="1:7" x14ac:dyDescent="0.25">
      <c r="A8245" s="1">
        <f t="shared" si="1537"/>
        <v>45488</v>
      </c>
      <c r="B8245" s="36"/>
      <c r="E8245" s="5" t="e">
        <f>Table4[[#This Row],[qty]]*(VLOOKUP(Table4[[#This Row],[item_sold]],Table1[],5,FALSE))</f>
        <v>#N/A</v>
      </c>
      <c r="F8245" s="5" t="e">
        <f>(VLOOKUP(Table4[[#This Row],[item_sold]],Table1[],4,FALSE))*Table4[[#This Row],[qty]]</f>
        <v>#N/A</v>
      </c>
      <c r="G8245" t="e">
        <f t="shared" si="1538"/>
        <v>#N/A</v>
      </c>
    </row>
    <row r="8246" spans="1:7" x14ac:dyDescent="0.25">
      <c r="A8246" s="1">
        <f t="shared" si="1537"/>
        <v>45488</v>
      </c>
      <c r="B8246" s="36"/>
      <c r="E8246" s="5" t="e">
        <f>Table4[[#This Row],[qty]]*(VLOOKUP(Table4[[#This Row],[item_sold]],Table1[],5,FALSE))</f>
        <v>#N/A</v>
      </c>
      <c r="F8246" s="5" t="e">
        <f>(VLOOKUP(Table4[[#This Row],[item_sold]],Table1[],4,FALSE))*Table4[[#This Row],[qty]]</f>
        <v>#N/A</v>
      </c>
      <c r="G8246" t="e">
        <f t="shared" si="1538"/>
        <v>#N/A</v>
      </c>
    </row>
    <row r="8247" spans="1:7" x14ac:dyDescent="0.25">
      <c r="A8247" s="1">
        <f t="shared" si="1537"/>
        <v>45488</v>
      </c>
      <c r="B8247" s="36"/>
      <c r="E8247" s="5" t="e">
        <f>Table4[[#This Row],[qty]]*(VLOOKUP(Table4[[#This Row],[item_sold]],Table1[],5,FALSE))</f>
        <v>#N/A</v>
      </c>
      <c r="F8247" s="5" t="e">
        <f>(VLOOKUP(Table4[[#This Row],[item_sold]],Table1[],4,FALSE))*Table4[[#This Row],[qty]]</f>
        <v>#N/A</v>
      </c>
      <c r="G8247" t="e">
        <f t="shared" si="1538"/>
        <v>#N/A</v>
      </c>
    </row>
    <row r="8248" spans="1:7" x14ac:dyDescent="0.25">
      <c r="A8248" s="1">
        <f t="shared" si="1537"/>
        <v>45488</v>
      </c>
      <c r="B8248" s="36"/>
      <c r="E8248" s="5" t="e">
        <f>Table4[[#This Row],[qty]]*(VLOOKUP(Table4[[#This Row],[item_sold]],Table1[],5,FALSE))</f>
        <v>#N/A</v>
      </c>
      <c r="F8248" s="5" t="e">
        <f>(VLOOKUP(Table4[[#This Row],[item_sold]],Table1[],4,FALSE))*Table4[[#This Row],[qty]]</f>
        <v>#N/A</v>
      </c>
      <c r="G8248" t="e">
        <f t="shared" si="1538"/>
        <v>#N/A</v>
      </c>
    </row>
    <row r="8249" spans="1:7" x14ac:dyDescent="0.25">
      <c r="A8249" s="1">
        <f t="shared" si="1537"/>
        <v>45488</v>
      </c>
      <c r="B8249" s="36"/>
      <c r="E8249" s="5" t="e">
        <f>Table4[[#This Row],[qty]]*(VLOOKUP(Table4[[#This Row],[item_sold]],Table1[],5,FALSE))</f>
        <v>#N/A</v>
      </c>
      <c r="F8249" s="5" t="e">
        <f>(VLOOKUP(Table4[[#This Row],[item_sold]],Table1[],4,FALSE))*Table4[[#This Row],[qty]]</f>
        <v>#N/A</v>
      </c>
      <c r="G8249" t="e">
        <f t="shared" si="1538"/>
        <v>#N/A</v>
      </c>
    </row>
    <row r="8250" spans="1:7" x14ac:dyDescent="0.25">
      <c r="A8250" s="1">
        <f t="shared" si="1537"/>
        <v>45488</v>
      </c>
      <c r="B8250" s="36"/>
      <c r="E8250" s="5" t="e">
        <f>Table4[[#This Row],[qty]]*(VLOOKUP(Table4[[#This Row],[item_sold]],Table1[],5,FALSE))</f>
        <v>#N/A</v>
      </c>
      <c r="F8250" s="5" t="e">
        <f>(VLOOKUP(Table4[[#This Row],[item_sold]],Table1[],4,FALSE))*Table4[[#This Row],[qty]]</f>
        <v>#N/A</v>
      </c>
      <c r="G8250" t="e">
        <f t="shared" si="1538"/>
        <v>#N/A</v>
      </c>
    </row>
    <row r="8251" spans="1:7" x14ac:dyDescent="0.25">
      <c r="A8251" s="1">
        <f t="shared" si="1537"/>
        <v>45488</v>
      </c>
      <c r="B8251" s="36"/>
      <c r="E8251" s="5" t="e">
        <f>Table4[[#This Row],[qty]]*(VLOOKUP(Table4[[#This Row],[item_sold]],Table1[],5,FALSE))</f>
        <v>#N/A</v>
      </c>
      <c r="F8251" s="5" t="e">
        <f>(VLOOKUP(Table4[[#This Row],[item_sold]],Table1[],4,FALSE))*Table4[[#This Row],[qty]]</f>
        <v>#N/A</v>
      </c>
      <c r="G8251" t="e">
        <f t="shared" si="1538"/>
        <v>#N/A</v>
      </c>
    </row>
    <row r="8252" spans="1:7" x14ac:dyDescent="0.25">
      <c r="A8252" s="1">
        <f t="shared" si="1537"/>
        <v>45488</v>
      </c>
      <c r="B8252" s="36"/>
      <c r="E8252" s="5" t="e">
        <f>Table4[[#This Row],[qty]]*(VLOOKUP(Table4[[#This Row],[item_sold]],Table1[],5,FALSE))</f>
        <v>#N/A</v>
      </c>
      <c r="F8252" s="5" t="e">
        <f>(VLOOKUP(Table4[[#This Row],[item_sold]],Table1[],4,FALSE))*Table4[[#This Row],[qty]]</f>
        <v>#N/A</v>
      </c>
      <c r="G8252" t="e">
        <f t="shared" si="1538"/>
        <v>#N/A</v>
      </c>
    </row>
    <row r="8253" spans="1:7" x14ac:dyDescent="0.25">
      <c r="A8253" s="1">
        <f t="shared" si="1537"/>
        <v>45488</v>
      </c>
      <c r="B8253" s="36"/>
      <c r="E8253" s="5" t="e">
        <f>Table4[[#This Row],[qty]]*(VLOOKUP(Table4[[#This Row],[item_sold]],Table1[],5,FALSE))</f>
        <v>#N/A</v>
      </c>
      <c r="F8253" s="5" t="e">
        <f>(VLOOKUP(Table4[[#This Row],[item_sold]],Table1[],4,FALSE))*Table4[[#This Row],[qty]]</f>
        <v>#N/A</v>
      </c>
      <c r="G8253" t="e">
        <f t="shared" si="1538"/>
        <v>#N/A</v>
      </c>
    </row>
    <row r="8254" spans="1:7" x14ac:dyDescent="0.25">
      <c r="A8254" s="1">
        <f t="shared" si="1537"/>
        <v>45488</v>
      </c>
      <c r="B8254" s="36"/>
      <c r="E8254" s="5" t="e">
        <f>Table4[[#This Row],[qty]]*(VLOOKUP(Table4[[#This Row],[item_sold]],Table1[],5,FALSE))</f>
        <v>#N/A</v>
      </c>
      <c r="F8254" s="5" t="e">
        <f>(VLOOKUP(Table4[[#This Row],[item_sold]],Table1[],4,FALSE))*Table4[[#This Row],[qty]]</f>
        <v>#N/A</v>
      </c>
      <c r="G8254" t="e">
        <f t="shared" si="1538"/>
        <v>#N/A</v>
      </c>
    </row>
    <row r="8255" spans="1:7" x14ac:dyDescent="0.25">
      <c r="A8255" s="1">
        <f t="shared" si="1537"/>
        <v>45488</v>
      </c>
      <c r="B8255" s="36"/>
      <c r="E8255" s="5" t="e">
        <f>Table4[[#This Row],[qty]]*(VLOOKUP(Table4[[#This Row],[item_sold]],Table1[],5,FALSE))</f>
        <v>#N/A</v>
      </c>
      <c r="F8255" s="5" t="e">
        <f>(VLOOKUP(Table4[[#This Row],[item_sold]],Table1[],4,FALSE))*Table4[[#This Row],[qty]]</f>
        <v>#N/A</v>
      </c>
      <c r="G8255" t="e">
        <f t="shared" si="1538"/>
        <v>#N/A</v>
      </c>
    </row>
    <row r="8256" spans="1:7" x14ac:dyDescent="0.25">
      <c r="A8256" s="1">
        <f t="shared" si="1537"/>
        <v>45488</v>
      </c>
      <c r="B8256" s="36"/>
      <c r="E8256" s="5" t="e">
        <f>Table4[[#This Row],[qty]]*(VLOOKUP(Table4[[#This Row],[item_sold]],Table1[],5,FALSE))</f>
        <v>#N/A</v>
      </c>
      <c r="F8256" s="5" t="e">
        <f>(VLOOKUP(Table4[[#This Row],[item_sold]],Table1[],4,FALSE))*Table4[[#This Row],[qty]]</f>
        <v>#N/A</v>
      </c>
      <c r="G8256" t="e">
        <f t="shared" si="1538"/>
        <v>#N/A</v>
      </c>
    </row>
    <row r="8257" spans="1:7" x14ac:dyDescent="0.25">
      <c r="A8257" s="1">
        <f t="shared" si="1537"/>
        <v>45488</v>
      </c>
      <c r="B8257" s="36"/>
      <c r="E8257" s="5" t="e">
        <f>Table4[[#This Row],[qty]]*(VLOOKUP(Table4[[#This Row],[item_sold]],Table1[],5,FALSE))</f>
        <v>#N/A</v>
      </c>
      <c r="F8257" s="5" t="e">
        <f>(VLOOKUP(Table4[[#This Row],[item_sold]],Table1[],4,FALSE))*Table4[[#This Row],[qty]]</f>
        <v>#N/A</v>
      </c>
      <c r="G8257" t="e">
        <f t="shared" si="1538"/>
        <v>#N/A</v>
      </c>
    </row>
    <row r="8258" spans="1:7" x14ac:dyDescent="0.25">
      <c r="A8258" s="1">
        <f t="shared" si="1537"/>
        <v>45488</v>
      </c>
      <c r="B8258" s="36"/>
      <c r="E8258" s="5" t="e">
        <f>Table4[[#This Row],[qty]]*(VLOOKUP(Table4[[#This Row],[item_sold]],Table1[],5,FALSE))</f>
        <v>#N/A</v>
      </c>
      <c r="F8258" s="5" t="e">
        <f>(VLOOKUP(Table4[[#This Row],[item_sold]],Table1[],4,FALSE))*Table4[[#This Row],[qty]]</f>
        <v>#N/A</v>
      </c>
      <c r="G8258" t="e">
        <f t="shared" si="1538"/>
        <v>#N/A</v>
      </c>
    </row>
    <row r="8259" spans="1:7" x14ac:dyDescent="0.25">
      <c r="A8259" s="1">
        <f t="shared" si="1537"/>
        <v>45488</v>
      </c>
      <c r="B8259" s="36"/>
      <c r="E8259" s="5" t="e">
        <f>Table4[[#This Row],[qty]]*(VLOOKUP(Table4[[#This Row],[item_sold]],Table1[],5,FALSE))</f>
        <v>#N/A</v>
      </c>
      <c r="F8259" s="5" t="e">
        <f>(VLOOKUP(Table4[[#This Row],[item_sold]],Table1[],4,FALSE))*Table4[[#This Row],[qty]]</f>
        <v>#N/A</v>
      </c>
      <c r="G8259" t="e">
        <f t="shared" si="1538"/>
        <v>#N/A</v>
      </c>
    </row>
    <row r="8260" spans="1:7" x14ac:dyDescent="0.25">
      <c r="A8260" s="1">
        <f t="shared" si="1537"/>
        <v>45488</v>
      </c>
      <c r="B8260" s="36"/>
      <c r="E8260" s="5" t="e">
        <f>Table4[[#This Row],[qty]]*(VLOOKUP(Table4[[#This Row],[item_sold]],Table1[],5,FALSE))</f>
        <v>#N/A</v>
      </c>
      <c r="F8260" s="5" t="e">
        <f>(VLOOKUP(Table4[[#This Row],[item_sold]],Table1[],4,FALSE))*Table4[[#This Row],[qty]]</f>
        <v>#N/A</v>
      </c>
      <c r="G8260" t="e">
        <f t="shared" si="1538"/>
        <v>#N/A</v>
      </c>
    </row>
    <row r="8261" spans="1:7" x14ac:dyDescent="0.25">
      <c r="A8261" s="1">
        <f t="shared" si="1537"/>
        <v>45488</v>
      </c>
      <c r="B8261" s="36"/>
      <c r="E8261" s="5" t="e">
        <f>Table4[[#This Row],[qty]]*(VLOOKUP(Table4[[#This Row],[item_sold]],Table1[],5,FALSE))</f>
        <v>#N/A</v>
      </c>
      <c r="F8261" s="5" t="e">
        <f>(VLOOKUP(Table4[[#This Row],[item_sold]],Table1[],4,FALSE))*Table4[[#This Row],[qty]]</f>
        <v>#N/A</v>
      </c>
      <c r="G8261" t="e">
        <f t="shared" si="1538"/>
        <v>#N/A</v>
      </c>
    </row>
    <row r="8262" spans="1:7" x14ac:dyDescent="0.25">
      <c r="A8262" s="1">
        <f t="shared" si="1537"/>
        <v>45488</v>
      </c>
      <c r="B8262" s="36"/>
      <c r="E8262" s="5" t="e">
        <f>Table4[[#This Row],[qty]]*(VLOOKUP(Table4[[#This Row],[item_sold]],Table1[],5,FALSE))</f>
        <v>#N/A</v>
      </c>
      <c r="F8262" s="5" t="e">
        <f>(VLOOKUP(Table4[[#This Row],[item_sold]],Table1[],4,FALSE))*Table4[[#This Row],[qty]]</f>
        <v>#N/A</v>
      </c>
      <c r="G8262" t="e">
        <f t="shared" si="1538"/>
        <v>#N/A</v>
      </c>
    </row>
    <row r="8263" spans="1:7" x14ac:dyDescent="0.25">
      <c r="A8263" s="1">
        <f t="shared" si="1537"/>
        <v>45488</v>
      </c>
      <c r="B8263" s="36"/>
      <c r="E8263" s="5" t="e">
        <f>Table4[[#This Row],[qty]]*(VLOOKUP(Table4[[#This Row],[item_sold]],Table1[],5,FALSE))</f>
        <v>#N/A</v>
      </c>
      <c r="F8263" s="5" t="e">
        <f>(VLOOKUP(Table4[[#This Row],[item_sold]],Table1[],4,FALSE))*Table4[[#This Row],[qty]]</f>
        <v>#N/A</v>
      </c>
      <c r="G8263" t="e">
        <f t="shared" si="1538"/>
        <v>#N/A</v>
      </c>
    </row>
    <row r="8264" spans="1:7" x14ac:dyDescent="0.25">
      <c r="A8264" s="1">
        <f t="shared" si="1537"/>
        <v>45488</v>
      </c>
      <c r="B8264" s="36"/>
      <c r="E8264" s="5" t="e">
        <f>Table4[[#This Row],[qty]]*(VLOOKUP(Table4[[#This Row],[item_sold]],Table1[],5,FALSE))</f>
        <v>#N/A</v>
      </c>
      <c r="F8264" s="5" t="e">
        <f>(VLOOKUP(Table4[[#This Row],[item_sold]],Table1[],4,FALSE))*Table4[[#This Row],[qty]]</f>
        <v>#N/A</v>
      </c>
      <c r="G8264" t="e">
        <f t="shared" si="1538"/>
        <v>#N/A</v>
      </c>
    </row>
    <row r="8265" spans="1:7" x14ac:dyDescent="0.25">
      <c r="A8265" s="1">
        <f t="shared" si="1537"/>
        <v>45488</v>
      </c>
      <c r="B8265" s="36"/>
      <c r="E8265" s="5" t="e">
        <f>Table4[[#This Row],[qty]]*(VLOOKUP(Table4[[#This Row],[item_sold]],Table1[],5,FALSE))</f>
        <v>#N/A</v>
      </c>
      <c r="F8265" s="5" t="e">
        <f>(VLOOKUP(Table4[[#This Row],[item_sold]],Table1[],4,FALSE))*Table4[[#This Row],[qty]]</f>
        <v>#N/A</v>
      </c>
      <c r="G8265" t="e">
        <f t="shared" si="1538"/>
        <v>#N/A</v>
      </c>
    </row>
    <row r="8266" spans="1:7" x14ac:dyDescent="0.25">
      <c r="A8266" s="1">
        <f t="shared" si="1537"/>
        <v>45488</v>
      </c>
      <c r="B8266" s="36"/>
      <c r="E8266" s="5" t="e">
        <f>Table4[[#This Row],[qty]]*(VLOOKUP(Table4[[#This Row],[item_sold]],Table1[],5,FALSE))</f>
        <v>#N/A</v>
      </c>
      <c r="F8266" s="5" t="e">
        <f>(VLOOKUP(Table4[[#This Row],[item_sold]],Table1[],4,FALSE))*Table4[[#This Row],[qty]]</f>
        <v>#N/A</v>
      </c>
      <c r="G8266" t="e">
        <f t="shared" si="1538"/>
        <v>#N/A</v>
      </c>
    </row>
    <row r="8267" spans="1:7" x14ac:dyDescent="0.25">
      <c r="A8267" s="1">
        <f t="shared" si="1537"/>
        <v>45488</v>
      </c>
      <c r="B8267" s="36"/>
      <c r="E8267" s="5" t="e">
        <f>Table4[[#This Row],[qty]]*(VLOOKUP(Table4[[#This Row],[item_sold]],Table1[],5,FALSE))</f>
        <v>#N/A</v>
      </c>
      <c r="F8267" s="5" t="e">
        <f>(VLOOKUP(Table4[[#This Row],[item_sold]],Table1[],4,FALSE))*Table4[[#This Row],[qty]]</f>
        <v>#N/A</v>
      </c>
      <c r="G8267" t="e">
        <f t="shared" si="1538"/>
        <v>#N/A</v>
      </c>
    </row>
    <row r="8268" spans="1:7" x14ac:dyDescent="0.25">
      <c r="A8268" s="1">
        <f t="shared" si="1537"/>
        <v>45488</v>
      </c>
      <c r="B8268" s="36"/>
      <c r="E8268" s="5" t="e">
        <f>Table4[[#This Row],[qty]]*(VLOOKUP(Table4[[#This Row],[item_sold]],Table1[],5,FALSE))</f>
        <v>#N/A</v>
      </c>
      <c r="F8268" s="5" t="e">
        <f>(VLOOKUP(Table4[[#This Row],[item_sold]],Table1[],4,FALSE))*Table4[[#This Row],[qty]]</f>
        <v>#N/A</v>
      </c>
      <c r="G8268" t="e">
        <f t="shared" si="1538"/>
        <v>#N/A</v>
      </c>
    </row>
    <row r="8269" spans="1:7" x14ac:dyDescent="0.25">
      <c r="A8269" s="1">
        <f t="shared" si="1537"/>
        <v>45488</v>
      </c>
      <c r="B8269" s="36"/>
      <c r="E8269" s="5" t="e">
        <f>Table4[[#This Row],[qty]]*(VLOOKUP(Table4[[#This Row],[item_sold]],Table1[],5,FALSE))</f>
        <v>#N/A</v>
      </c>
      <c r="F8269" s="5" t="e">
        <f>(VLOOKUP(Table4[[#This Row],[item_sold]],Table1[],4,FALSE))*Table4[[#This Row],[qty]]</f>
        <v>#N/A</v>
      </c>
      <c r="G8269" t="e">
        <f t="shared" si="1538"/>
        <v>#N/A</v>
      </c>
    </row>
    <row r="8270" spans="1:7" x14ac:dyDescent="0.25">
      <c r="A8270" s="1">
        <f t="shared" si="1537"/>
        <v>45488</v>
      </c>
      <c r="B8270" s="36"/>
      <c r="E8270" s="5" t="e">
        <f>Table4[[#This Row],[qty]]*(VLOOKUP(Table4[[#This Row],[item_sold]],Table1[],5,FALSE))</f>
        <v>#N/A</v>
      </c>
      <c r="F8270" s="5" t="e">
        <f>(VLOOKUP(Table4[[#This Row],[item_sold]],Table1[],4,FALSE))*Table4[[#This Row],[qty]]</f>
        <v>#N/A</v>
      </c>
      <c r="G8270" t="e">
        <f t="shared" si="1538"/>
        <v>#N/A</v>
      </c>
    </row>
    <row r="8271" spans="1:7" x14ac:dyDescent="0.25">
      <c r="A8271" s="1">
        <f t="shared" si="1537"/>
        <v>45488</v>
      </c>
      <c r="B8271" s="36"/>
      <c r="E8271" s="5" t="e">
        <f>Table4[[#This Row],[qty]]*(VLOOKUP(Table4[[#This Row],[item_sold]],Table1[],5,FALSE))</f>
        <v>#N/A</v>
      </c>
      <c r="F8271" s="5" t="e">
        <f>(VLOOKUP(Table4[[#This Row],[item_sold]],Table1[],4,FALSE))*Table4[[#This Row],[qty]]</f>
        <v>#N/A</v>
      </c>
      <c r="G8271" t="e">
        <f t="shared" si="1538"/>
        <v>#N/A</v>
      </c>
    </row>
    <row r="8272" spans="1:7" x14ac:dyDescent="0.25">
      <c r="A8272" s="1">
        <f t="shared" si="1537"/>
        <v>45488</v>
      </c>
      <c r="B8272" s="36"/>
      <c r="E8272" s="5" t="e">
        <f>Table4[[#This Row],[qty]]*(VLOOKUP(Table4[[#This Row],[item_sold]],Table1[],5,FALSE))</f>
        <v>#N/A</v>
      </c>
      <c r="F8272" s="5" t="e">
        <f>(VLOOKUP(Table4[[#This Row],[item_sold]],Table1[],4,FALSE))*Table4[[#This Row],[qty]]</f>
        <v>#N/A</v>
      </c>
      <c r="G8272" t="e">
        <f t="shared" si="1538"/>
        <v>#N/A</v>
      </c>
    </row>
    <row r="8273" spans="1:7" x14ac:dyDescent="0.25">
      <c r="A8273" s="1">
        <f t="shared" si="1537"/>
        <v>45488</v>
      </c>
      <c r="B8273" s="36"/>
      <c r="E8273" s="5" t="e">
        <f>Table4[[#This Row],[qty]]*(VLOOKUP(Table4[[#This Row],[item_sold]],Table1[],5,FALSE))</f>
        <v>#N/A</v>
      </c>
      <c r="F8273" s="5" t="e">
        <f>(VLOOKUP(Table4[[#This Row],[item_sold]],Table1[],4,FALSE))*Table4[[#This Row],[qty]]</f>
        <v>#N/A</v>
      </c>
      <c r="G8273" t="e">
        <f t="shared" si="1538"/>
        <v>#N/A</v>
      </c>
    </row>
    <row r="8274" spans="1:7" x14ac:dyDescent="0.25">
      <c r="A8274" s="1">
        <f t="shared" si="1537"/>
        <v>45488</v>
      </c>
      <c r="B8274" s="36"/>
      <c r="E8274" s="5" t="e">
        <f>Table4[[#This Row],[qty]]*(VLOOKUP(Table4[[#This Row],[item_sold]],Table1[],5,FALSE))</f>
        <v>#N/A</v>
      </c>
      <c r="F8274" s="5" t="e">
        <f>(VLOOKUP(Table4[[#This Row],[item_sold]],Table1[],4,FALSE))*Table4[[#This Row],[qty]]</f>
        <v>#N/A</v>
      </c>
      <c r="G8274" t="e">
        <f t="shared" si="1538"/>
        <v>#N/A</v>
      </c>
    </row>
    <row r="8275" spans="1:7" x14ac:dyDescent="0.25">
      <c r="A8275" s="1">
        <f t="shared" si="1537"/>
        <v>45488</v>
      </c>
      <c r="B8275" s="36"/>
      <c r="E8275" s="5" t="e">
        <f>Table4[[#This Row],[qty]]*(VLOOKUP(Table4[[#This Row],[item_sold]],Table1[],5,FALSE))</f>
        <v>#N/A</v>
      </c>
      <c r="F8275" s="5" t="e">
        <f>(VLOOKUP(Table4[[#This Row],[item_sold]],Table1[],4,FALSE))*Table4[[#This Row],[qty]]</f>
        <v>#N/A</v>
      </c>
      <c r="G8275" t="e">
        <f t="shared" si="1538"/>
        <v>#N/A</v>
      </c>
    </row>
    <row r="8276" spans="1:7" x14ac:dyDescent="0.25">
      <c r="A8276" s="1">
        <f t="shared" ref="A8276:A8339" si="1539">DATE(2024,7,15)</f>
        <v>45488</v>
      </c>
      <c r="B8276" s="36"/>
      <c r="E8276" s="5" t="e">
        <f>Table4[[#This Row],[qty]]*(VLOOKUP(Table4[[#This Row],[item_sold]],Table1[],5,FALSE))</f>
        <v>#N/A</v>
      </c>
      <c r="F8276" s="5" t="e">
        <f>(VLOOKUP(Table4[[#This Row],[item_sold]],Table1[],4,FALSE))*Table4[[#This Row],[qty]]</f>
        <v>#N/A</v>
      </c>
      <c r="G8276" t="e">
        <f t="shared" ref="G8276:G8339" si="1540">E8276-F8276</f>
        <v>#N/A</v>
      </c>
    </row>
    <row r="8277" spans="1:7" x14ac:dyDescent="0.25">
      <c r="A8277" s="1">
        <f t="shared" si="1539"/>
        <v>45488</v>
      </c>
      <c r="B8277" s="36"/>
      <c r="E8277" s="5" t="e">
        <f>Table4[[#This Row],[qty]]*(VLOOKUP(Table4[[#This Row],[item_sold]],Table1[],5,FALSE))</f>
        <v>#N/A</v>
      </c>
      <c r="F8277" s="5" t="e">
        <f>(VLOOKUP(Table4[[#This Row],[item_sold]],Table1[],4,FALSE))*Table4[[#This Row],[qty]]</f>
        <v>#N/A</v>
      </c>
      <c r="G8277" t="e">
        <f t="shared" si="1540"/>
        <v>#N/A</v>
      </c>
    </row>
    <row r="8278" spans="1:7" x14ac:dyDescent="0.25">
      <c r="A8278" s="1">
        <f t="shared" si="1539"/>
        <v>45488</v>
      </c>
      <c r="B8278" s="36"/>
      <c r="E8278" s="5" t="e">
        <f>Table4[[#This Row],[qty]]*(VLOOKUP(Table4[[#This Row],[item_sold]],Table1[],5,FALSE))</f>
        <v>#N/A</v>
      </c>
      <c r="F8278" s="5" t="e">
        <f>(VLOOKUP(Table4[[#This Row],[item_sold]],Table1[],4,FALSE))*Table4[[#This Row],[qty]]</f>
        <v>#N/A</v>
      </c>
      <c r="G8278" t="e">
        <f t="shared" si="1540"/>
        <v>#N/A</v>
      </c>
    </row>
    <row r="8279" spans="1:7" x14ac:dyDescent="0.25">
      <c r="A8279" s="1">
        <f t="shared" si="1539"/>
        <v>45488</v>
      </c>
      <c r="B8279" s="36"/>
      <c r="E8279" s="5" t="e">
        <f>Table4[[#This Row],[qty]]*(VLOOKUP(Table4[[#This Row],[item_sold]],Table1[],5,FALSE))</f>
        <v>#N/A</v>
      </c>
      <c r="F8279" s="5" t="e">
        <f>(VLOOKUP(Table4[[#This Row],[item_sold]],Table1[],4,FALSE))*Table4[[#This Row],[qty]]</f>
        <v>#N/A</v>
      </c>
      <c r="G8279" t="e">
        <f t="shared" si="1540"/>
        <v>#N/A</v>
      </c>
    </row>
    <row r="8280" spans="1:7" x14ac:dyDescent="0.25">
      <c r="A8280" s="1">
        <f t="shared" si="1539"/>
        <v>45488</v>
      </c>
      <c r="B8280" s="36"/>
      <c r="E8280" s="5" t="e">
        <f>Table4[[#This Row],[qty]]*(VLOOKUP(Table4[[#This Row],[item_sold]],Table1[],5,FALSE))</f>
        <v>#N/A</v>
      </c>
      <c r="F8280" s="5" t="e">
        <f>(VLOOKUP(Table4[[#This Row],[item_sold]],Table1[],4,FALSE))*Table4[[#This Row],[qty]]</f>
        <v>#N/A</v>
      </c>
      <c r="G8280" t="e">
        <f t="shared" si="1540"/>
        <v>#N/A</v>
      </c>
    </row>
    <row r="8281" spans="1:7" x14ac:dyDescent="0.25">
      <c r="A8281" s="1">
        <f t="shared" si="1539"/>
        <v>45488</v>
      </c>
      <c r="B8281" s="36"/>
      <c r="E8281" s="5" t="e">
        <f>Table4[[#This Row],[qty]]*(VLOOKUP(Table4[[#This Row],[item_sold]],Table1[],5,FALSE))</f>
        <v>#N/A</v>
      </c>
      <c r="F8281" s="5" t="e">
        <f>(VLOOKUP(Table4[[#This Row],[item_sold]],Table1[],4,FALSE))*Table4[[#This Row],[qty]]</f>
        <v>#N/A</v>
      </c>
      <c r="G8281" t="e">
        <f t="shared" si="1540"/>
        <v>#N/A</v>
      </c>
    </row>
    <row r="8282" spans="1:7" x14ac:dyDescent="0.25">
      <c r="A8282" s="1">
        <f t="shared" si="1539"/>
        <v>45488</v>
      </c>
      <c r="B8282" s="36"/>
      <c r="E8282" s="5" t="e">
        <f>Table4[[#This Row],[qty]]*(VLOOKUP(Table4[[#This Row],[item_sold]],Table1[],5,FALSE))</f>
        <v>#N/A</v>
      </c>
      <c r="F8282" s="5" t="e">
        <f>(VLOOKUP(Table4[[#This Row],[item_sold]],Table1[],4,FALSE))*Table4[[#This Row],[qty]]</f>
        <v>#N/A</v>
      </c>
      <c r="G8282" t="e">
        <f t="shared" si="1540"/>
        <v>#N/A</v>
      </c>
    </row>
    <row r="8283" spans="1:7" x14ac:dyDescent="0.25">
      <c r="A8283" s="1">
        <f t="shared" si="1539"/>
        <v>45488</v>
      </c>
      <c r="B8283" s="36"/>
      <c r="E8283" s="5" t="e">
        <f>Table4[[#This Row],[qty]]*(VLOOKUP(Table4[[#This Row],[item_sold]],Table1[],5,FALSE))</f>
        <v>#N/A</v>
      </c>
      <c r="F8283" s="5" t="e">
        <f>(VLOOKUP(Table4[[#This Row],[item_sold]],Table1[],4,FALSE))*Table4[[#This Row],[qty]]</f>
        <v>#N/A</v>
      </c>
      <c r="G8283" t="e">
        <f t="shared" si="1540"/>
        <v>#N/A</v>
      </c>
    </row>
    <row r="8284" spans="1:7" x14ac:dyDescent="0.25">
      <c r="A8284" s="1">
        <f t="shared" si="1539"/>
        <v>45488</v>
      </c>
      <c r="B8284" s="36"/>
      <c r="E8284" s="5" t="e">
        <f>Table4[[#This Row],[qty]]*(VLOOKUP(Table4[[#This Row],[item_sold]],Table1[],5,FALSE))</f>
        <v>#N/A</v>
      </c>
      <c r="F8284" s="5" t="e">
        <f>(VLOOKUP(Table4[[#This Row],[item_sold]],Table1[],4,FALSE))*Table4[[#This Row],[qty]]</f>
        <v>#N/A</v>
      </c>
      <c r="G8284" t="e">
        <f t="shared" si="1540"/>
        <v>#N/A</v>
      </c>
    </row>
    <row r="8285" spans="1:7" x14ac:dyDescent="0.25">
      <c r="A8285" s="1">
        <f t="shared" si="1539"/>
        <v>45488</v>
      </c>
      <c r="B8285" s="36"/>
      <c r="E8285" s="5" t="e">
        <f>Table4[[#This Row],[qty]]*(VLOOKUP(Table4[[#This Row],[item_sold]],Table1[],5,FALSE))</f>
        <v>#N/A</v>
      </c>
      <c r="F8285" s="5" t="e">
        <f>(VLOOKUP(Table4[[#This Row],[item_sold]],Table1[],4,FALSE))*Table4[[#This Row],[qty]]</f>
        <v>#N/A</v>
      </c>
      <c r="G8285" t="e">
        <f t="shared" si="1540"/>
        <v>#N/A</v>
      </c>
    </row>
    <row r="8286" spans="1:7" x14ac:dyDescent="0.25">
      <c r="A8286" s="1">
        <f t="shared" si="1539"/>
        <v>45488</v>
      </c>
      <c r="B8286" s="36"/>
      <c r="E8286" s="5" t="e">
        <f>Table4[[#This Row],[qty]]*(VLOOKUP(Table4[[#This Row],[item_sold]],Table1[],5,FALSE))</f>
        <v>#N/A</v>
      </c>
      <c r="F8286" s="5" t="e">
        <f>(VLOOKUP(Table4[[#This Row],[item_sold]],Table1[],4,FALSE))*Table4[[#This Row],[qty]]</f>
        <v>#N/A</v>
      </c>
      <c r="G8286" t="e">
        <f t="shared" si="1540"/>
        <v>#N/A</v>
      </c>
    </row>
    <row r="8287" spans="1:7" x14ac:dyDescent="0.25">
      <c r="A8287" s="1">
        <f t="shared" si="1539"/>
        <v>45488</v>
      </c>
      <c r="B8287" s="36"/>
      <c r="E8287" s="5" t="e">
        <f>Table4[[#This Row],[qty]]*(VLOOKUP(Table4[[#This Row],[item_sold]],Table1[],5,FALSE))</f>
        <v>#N/A</v>
      </c>
      <c r="F8287" s="5" t="e">
        <f>(VLOOKUP(Table4[[#This Row],[item_sold]],Table1[],4,FALSE))*Table4[[#This Row],[qty]]</f>
        <v>#N/A</v>
      </c>
      <c r="G8287" t="e">
        <f t="shared" si="1540"/>
        <v>#N/A</v>
      </c>
    </row>
    <row r="8288" spans="1:7" x14ac:dyDescent="0.25">
      <c r="A8288" s="1">
        <f t="shared" si="1539"/>
        <v>45488</v>
      </c>
      <c r="B8288" s="36"/>
      <c r="E8288" s="5" t="e">
        <f>Table4[[#This Row],[qty]]*(VLOOKUP(Table4[[#This Row],[item_sold]],Table1[],5,FALSE))</f>
        <v>#N/A</v>
      </c>
      <c r="F8288" s="5" t="e">
        <f>(VLOOKUP(Table4[[#This Row],[item_sold]],Table1[],4,FALSE))*Table4[[#This Row],[qty]]</f>
        <v>#N/A</v>
      </c>
      <c r="G8288" t="e">
        <f t="shared" si="1540"/>
        <v>#N/A</v>
      </c>
    </row>
    <row r="8289" spans="1:7" x14ac:dyDescent="0.25">
      <c r="A8289" s="1">
        <f t="shared" si="1539"/>
        <v>45488</v>
      </c>
      <c r="B8289" s="36"/>
      <c r="E8289" s="5" t="e">
        <f>Table4[[#This Row],[qty]]*(VLOOKUP(Table4[[#This Row],[item_sold]],Table1[],5,FALSE))</f>
        <v>#N/A</v>
      </c>
      <c r="F8289" s="5" t="e">
        <f>(VLOOKUP(Table4[[#This Row],[item_sold]],Table1[],4,FALSE))*Table4[[#This Row],[qty]]</f>
        <v>#N/A</v>
      </c>
      <c r="G8289" t="e">
        <f t="shared" si="1540"/>
        <v>#N/A</v>
      </c>
    </row>
    <row r="8290" spans="1:7" x14ac:dyDescent="0.25">
      <c r="A8290" s="1">
        <f t="shared" si="1539"/>
        <v>45488</v>
      </c>
      <c r="B8290" s="36"/>
      <c r="E8290" s="5" t="e">
        <f>Table4[[#This Row],[qty]]*(VLOOKUP(Table4[[#This Row],[item_sold]],Table1[],5,FALSE))</f>
        <v>#N/A</v>
      </c>
      <c r="F8290" s="5" t="e">
        <f>(VLOOKUP(Table4[[#This Row],[item_sold]],Table1[],4,FALSE))*Table4[[#This Row],[qty]]</f>
        <v>#N/A</v>
      </c>
      <c r="G8290" t="e">
        <f t="shared" si="1540"/>
        <v>#N/A</v>
      </c>
    </row>
    <row r="8291" spans="1:7" x14ac:dyDescent="0.25">
      <c r="A8291" s="1">
        <f t="shared" si="1539"/>
        <v>45488</v>
      </c>
      <c r="B8291" s="36"/>
      <c r="E8291" s="5" t="e">
        <f>Table4[[#This Row],[qty]]*(VLOOKUP(Table4[[#This Row],[item_sold]],Table1[],5,FALSE))</f>
        <v>#N/A</v>
      </c>
      <c r="F8291" s="5" t="e">
        <f>(VLOOKUP(Table4[[#This Row],[item_sold]],Table1[],4,FALSE))*Table4[[#This Row],[qty]]</f>
        <v>#N/A</v>
      </c>
      <c r="G8291" t="e">
        <f t="shared" si="1540"/>
        <v>#N/A</v>
      </c>
    </row>
    <row r="8292" spans="1:7" x14ac:dyDescent="0.25">
      <c r="A8292" s="1">
        <f t="shared" si="1539"/>
        <v>45488</v>
      </c>
      <c r="B8292" s="36"/>
      <c r="E8292" s="5" t="e">
        <f>Table4[[#This Row],[qty]]*(VLOOKUP(Table4[[#This Row],[item_sold]],Table1[],5,FALSE))</f>
        <v>#N/A</v>
      </c>
      <c r="F8292" s="5" t="e">
        <f>(VLOOKUP(Table4[[#This Row],[item_sold]],Table1[],4,FALSE))*Table4[[#This Row],[qty]]</f>
        <v>#N/A</v>
      </c>
      <c r="G8292" t="e">
        <f t="shared" si="1540"/>
        <v>#N/A</v>
      </c>
    </row>
    <row r="8293" spans="1:7" x14ac:dyDescent="0.25">
      <c r="A8293" s="1">
        <f t="shared" si="1539"/>
        <v>45488</v>
      </c>
      <c r="B8293" s="36"/>
      <c r="E8293" s="5" t="e">
        <f>Table4[[#This Row],[qty]]*(VLOOKUP(Table4[[#This Row],[item_sold]],Table1[],5,FALSE))</f>
        <v>#N/A</v>
      </c>
      <c r="F8293" s="5" t="e">
        <f>(VLOOKUP(Table4[[#This Row],[item_sold]],Table1[],4,FALSE))*Table4[[#This Row],[qty]]</f>
        <v>#N/A</v>
      </c>
      <c r="G8293" t="e">
        <f t="shared" si="1540"/>
        <v>#N/A</v>
      </c>
    </row>
    <row r="8294" spans="1:7" x14ac:dyDescent="0.25">
      <c r="A8294" s="1">
        <f t="shared" si="1539"/>
        <v>45488</v>
      </c>
      <c r="B8294" s="36"/>
      <c r="E8294" s="5" t="e">
        <f>Table4[[#This Row],[qty]]*(VLOOKUP(Table4[[#This Row],[item_sold]],Table1[],5,FALSE))</f>
        <v>#N/A</v>
      </c>
      <c r="F8294" s="5" t="e">
        <f>(VLOOKUP(Table4[[#This Row],[item_sold]],Table1[],4,FALSE))*Table4[[#This Row],[qty]]</f>
        <v>#N/A</v>
      </c>
      <c r="G8294" t="e">
        <f t="shared" si="1540"/>
        <v>#N/A</v>
      </c>
    </row>
    <row r="8295" spans="1:7" x14ac:dyDescent="0.25">
      <c r="A8295" s="1">
        <f t="shared" si="1539"/>
        <v>45488</v>
      </c>
      <c r="B8295" s="36"/>
      <c r="E8295" s="5" t="e">
        <f>Table4[[#This Row],[qty]]*(VLOOKUP(Table4[[#This Row],[item_sold]],Table1[],5,FALSE))</f>
        <v>#N/A</v>
      </c>
      <c r="F8295" s="5" t="e">
        <f>(VLOOKUP(Table4[[#This Row],[item_sold]],Table1[],4,FALSE))*Table4[[#This Row],[qty]]</f>
        <v>#N/A</v>
      </c>
      <c r="G8295" t="e">
        <f t="shared" si="1540"/>
        <v>#N/A</v>
      </c>
    </row>
    <row r="8296" spans="1:7" x14ac:dyDescent="0.25">
      <c r="A8296" s="1">
        <f t="shared" si="1539"/>
        <v>45488</v>
      </c>
      <c r="B8296" s="36"/>
      <c r="E8296" s="5" t="e">
        <f>Table4[[#This Row],[qty]]*(VLOOKUP(Table4[[#This Row],[item_sold]],Table1[],5,FALSE))</f>
        <v>#N/A</v>
      </c>
      <c r="F8296" s="5" t="e">
        <f>(VLOOKUP(Table4[[#This Row],[item_sold]],Table1[],4,FALSE))*Table4[[#This Row],[qty]]</f>
        <v>#N/A</v>
      </c>
      <c r="G8296" t="e">
        <f t="shared" si="1540"/>
        <v>#N/A</v>
      </c>
    </row>
    <row r="8297" spans="1:7" x14ac:dyDescent="0.25">
      <c r="A8297" s="1">
        <f t="shared" si="1539"/>
        <v>45488</v>
      </c>
      <c r="B8297" s="36"/>
      <c r="E8297" s="5" t="e">
        <f>Table4[[#This Row],[qty]]*(VLOOKUP(Table4[[#This Row],[item_sold]],Table1[],5,FALSE))</f>
        <v>#N/A</v>
      </c>
      <c r="F8297" s="5" t="e">
        <f>(VLOOKUP(Table4[[#This Row],[item_sold]],Table1[],4,FALSE))*Table4[[#This Row],[qty]]</f>
        <v>#N/A</v>
      </c>
      <c r="G8297" t="e">
        <f t="shared" si="1540"/>
        <v>#N/A</v>
      </c>
    </row>
    <row r="8298" spans="1:7" x14ac:dyDescent="0.25">
      <c r="A8298" s="1">
        <f t="shared" si="1539"/>
        <v>45488</v>
      </c>
      <c r="B8298" s="36"/>
      <c r="E8298" s="5" t="e">
        <f>Table4[[#This Row],[qty]]*(VLOOKUP(Table4[[#This Row],[item_sold]],Table1[],5,FALSE))</f>
        <v>#N/A</v>
      </c>
      <c r="F8298" s="5" t="e">
        <f>(VLOOKUP(Table4[[#This Row],[item_sold]],Table1[],4,FALSE))*Table4[[#This Row],[qty]]</f>
        <v>#N/A</v>
      </c>
      <c r="G8298" t="e">
        <f t="shared" si="1540"/>
        <v>#N/A</v>
      </c>
    </row>
    <row r="8299" spans="1:7" x14ac:dyDescent="0.25">
      <c r="A8299" s="1">
        <f t="shared" si="1539"/>
        <v>45488</v>
      </c>
      <c r="B8299" s="36"/>
      <c r="E8299" s="5" t="e">
        <f>Table4[[#This Row],[qty]]*(VLOOKUP(Table4[[#This Row],[item_sold]],Table1[],5,FALSE))</f>
        <v>#N/A</v>
      </c>
      <c r="F8299" s="5" t="e">
        <f>(VLOOKUP(Table4[[#This Row],[item_sold]],Table1[],4,FALSE))*Table4[[#This Row],[qty]]</f>
        <v>#N/A</v>
      </c>
      <c r="G8299" t="e">
        <f t="shared" si="1540"/>
        <v>#N/A</v>
      </c>
    </row>
    <row r="8300" spans="1:7" x14ac:dyDescent="0.25">
      <c r="A8300" s="1">
        <f t="shared" si="1539"/>
        <v>45488</v>
      </c>
      <c r="B8300" s="36"/>
      <c r="E8300" s="5" t="e">
        <f>Table4[[#This Row],[qty]]*(VLOOKUP(Table4[[#This Row],[item_sold]],Table1[],5,FALSE))</f>
        <v>#N/A</v>
      </c>
      <c r="F8300" s="5" t="e">
        <f>(VLOOKUP(Table4[[#This Row],[item_sold]],Table1[],4,FALSE))*Table4[[#This Row],[qty]]</f>
        <v>#N/A</v>
      </c>
      <c r="G8300" t="e">
        <f t="shared" si="1540"/>
        <v>#N/A</v>
      </c>
    </row>
    <row r="8301" spans="1:7" x14ac:dyDescent="0.25">
      <c r="A8301" s="1">
        <f t="shared" si="1539"/>
        <v>45488</v>
      </c>
      <c r="B8301" s="36"/>
      <c r="E8301" s="5" t="e">
        <f>Table4[[#This Row],[qty]]*(VLOOKUP(Table4[[#This Row],[item_sold]],Table1[],5,FALSE))</f>
        <v>#N/A</v>
      </c>
      <c r="F8301" s="5" t="e">
        <f>(VLOOKUP(Table4[[#This Row],[item_sold]],Table1[],4,FALSE))*Table4[[#This Row],[qty]]</f>
        <v>#N/A</v>
      </c>
      <c r="G8301" t="e">
        <f t="shared" si="1540"/>
        <v>#N/A</v>
      </c>
    </row>
    <row r="8302" spans="1:7" x14ac:dyDescent="0.25">
      <c r="A8302" s="1">
        <f t="shared" si="1539"/>
        <v>45488</v>
      </c>
      <c r="B8302" s="36"/>
      <c r="E8302" s="5" t="e">
        <f>Table4[[#This Row],[qty]]*(VLOOKUP(Table4[[#This Row],[item_sold]],Table1[],5,FALSE))</f>
        <v>#N/A</v>
      </c>
      <c r="F8302" s="5" t="e">
        <f>(VLOOKUP(Table4[[#This Row],[item_sold]],Table1[],4,FALSE))*Table4[[#This Row],[qty]]</f>
        <v>#N/A</v>
      </c>
      <c r="G8302" t="e">
        <f t="shared" si="1540"/>
        <v>#N/A</v>
      </c>
    </row>
    <row r="8303" spans="1:7" x14ac:dyDescent="0.25">
      <c r="A8303" s="1">
        <f t="shared" si="1539"/>
        <v>45488</v>
      </c>
      <c r="B8303" s="36"/>
      <c r="E8303" s="5" t="e">
        <f>Table4[[#This Row],[qty]]*(VLOOKUP(Table4[[#This Row],[item_sold]],Table1[],5,FALSE))</f>
        <v>#N/A</v>
      </c>
      <c r="F8303" s="5" t="e">
        <f>(VLOOKUP(Table4[[#This Row],[item_sold]],Table1[],4,FALSE))*Table4[[#This Row],[qty]]</f>
        <v>#N/A</v>
      </c>
      <c r="G8303" t="e">
        <f t="shared" si="1540"/>
        <v>#N/A</v>
      </c>
    </row>
    <row r="8304" spans="1:7" x14ac:dyDescent="0.25">
      <c r="A8304" s="1">
        <f t="shared" si="1539"/>
        <v>45488</v>
      </c>
      <c r="B8304" s="36"/>
      <c r="E8304" s="5" t="e">
        <f>Table4[[#This Row],[qty]]*(VLOOKUP(Table4[[#This Row],[item_sold]],Table1[],5,FALSE))</f>
        <v>#N/A</v>
      </c>
      <c r="F8304" s="5" t="e">
        <f>(VLOOKUP(Table4[[#This Row],[item_sold]],Table1[],4,FALSE))*Table4[[#This Row],[qty]]</f>
        <v>#N/A</v>
      </c>
      <c r="G8304" t="e">
        <f t="shared" si="1540"/>
        <v>#N/A</v>
      </c>
    </row>
    <row r="8305" spans="1:7" x14ac:dyDescent="0.25">
      <c r="A8305" s="1">
        <f t="shared" si="1539"/>
        <v>45488</v>
      </c>
      <c r="B8305" s="36"/>
      <c r="E8305" s="5" t="e">
        <f>Table4[[#This Row],[qty]]*(VLOOKUP(Table4[[#This Row],[item_sold]],Table1[],5,FALSE))</f>
        <v>#N/A</v>
      </c>
      <c r="F8305" s="5" t="e">
        <f>(VLOOKUP(Table4[[#This Row],[item_sold]],Table1[],4,FALSE))*Table4[[#This Row],[qty]]</f>
        <v>#N/A</v>
      </c>
      <c r="G8305" t="e">
        <f t="shared" si="1540"/>
        <v>#N/A</v>
      </c>
    </row>
    <row r="8306" spans="1:7" x14ac:dyDescent="0.25">
      <c r="A8306" s="1">
        <f t="shared" si="1539"/>
        <v>45488</v>
      </c>
      <c r="B8306" s="36"/>
      <c r="E8306" s="5" t="e">
        <f>Table4[[#This Row],[qty]]*(VLOOKUP(Table4[[#This Row],[item_sold]],Table1[],5,FALSE))</f>
        <v>#N/A</v>
      </c>
      <c r="F8306" s="5" t="e">
        <f>(VLOOKUP(Table4[[#This Row],[item_sold]],Table1[],4,FALSE))*Table4[[#This Row],[qty]]</f>
        <v>#N/A</v>
      </c>
      <c r="G8306" t="e">
        <f t="shared" si="1540"/>
        <v>#N/A</v>
      </c>
    </row>
    <row r="8307" spans="1:7" x14ac:dyDescent="0.25">
      <c r="A8307" s="1">
        <f t="shared" si="1539"/>
        <v>45488</v>
      </c>
      <c r="B8307" s="36"/>
      <c r="E8307" s="5" t="e">
        <f>Table4[[#This Row],[qty]]*(VLOOKUP(Table4[[#This Row],[item_sold]],Table1[],5,FALSE))</f>
        <v>#N/A</v>
      </c>
      <c r="F8307" s="5" t="e">
        <f>(VLOOKUP(Table4[[#This Row],[item_sold]],Table1[],4,FALSE))*Table4[[#This Row],[qty]]</f>
        <v>#N/A</v>
      </c>
      <c r="G8307" t="e">
        <f t="shared" si="1540"/>
        <v>#N/A</v>
      </c>
    </row>
    <row r="8308" spans="1:7" x14ac:dyDescent="0.25">
      <c r="A8308" s="1">
        <f t="shared" si="1539"/>
        <v>45488</v>
      </c>
      <c r="B8308" s="36"/>
      <c r="E8308" s="5" t="e">
        <f>Table4[[#This Row],[qty]]*(VLOOKUP(Table4[[#This Row],[item_sold]],Table1[],5,FALSE))</f>
        <v>#N/A</v>
      </c>
      <c r="F8308" s="5" t="e">
        <f>(VLOOKUP(Table4[[#This Row],[item_sold]],Table1[],4,FALSE))*Table4[[#This Row],[qty]]</f>
        <v>#N/A</v>
      </c>
      <c r="G8308" t="e">
        <f t="shared" si="1540"/>
        <v>#N/A</v>
      </c>
    </row>
    <row r="8309" spans="1:7" x14ac:dyDescent="0.25">
      <c r="A8309" s="1">
        <f t="shared" si="1539"/>
        <v>45488</v>
      </c>
      <c r="B8309" s="36"/>
      <c r="E8309" s="5" t="e">
        <f>Table4[[#This Row],[qty]]*(VLOOKUP(Table4[[#This Row],[item_sold]],Table1[],5,FALSE))</f>
        <v>#N/A</v>
      </c>
      <c r="F8309" s="5" t="e">
        <f>(VLOOKUP(Table4[[#This Row],[item_sold]],Table1[],4,FALSE))*Table4[[#This Row],[qty]]</f>
        <v>#N/A</v>
      </c>
      <c r="G8309" t="e">
        <f t="shared" si="1540"/>
        <v>#N/A</v>
      </c>
    </row>
    <row r="8310" spans="1:7" x14ac:dyDescent="0.25">
      <c r="A8310" s="1">
        <f t="shared" si="1539"/>
        <v>45488</v>
      </c>
      <c r="B8310" s="36"/>
      <c r="E8310" s="5" t="e">
        <f>Table4[[#This Row],[qty]]*(VLOOKUP(Table4[[#This Row],[item_sold]],Table1[],5,FALSE))</f>
        <v>#N/A</v>
      </c>
      <c r="F8310" s="5" t="e">
        <f>(VLOOKUP(Table4[[#This Row],[item_sold]],Table1[],4,FALSE))*Table4[[#This Row],[qty]]</f>
        <v>#N/A</v>
      </c>
      <c r="G8310" t="e">
        <f t="shared" si="1540"/>
        <v>#N/A</v>
      </c>
    </row>
    <row r="8311" spans="1:7" x14ac:dyDescent="0.25">
      <c r="A8311" s="1">
        <f t="shared" si="1539"/>
        <v>45488</v>
      </c>
      <c r="B8311" s="36"/>
      <c r="E8311" s="5" t="e">
        <f>Table4[[#This Row],[qty]]*(VLOOKUP(Table4[[#This Row],[item_sold]],Table1[],5,FALSE))</f>
        <v>#N/A</v>
      </c>
      <c r="F8311" s="5" t="e">
        <f>(VLOOKUP(Table4[[#This Row],[item_sold]],Table1[],4,FALSE))*Table4[[#This Row],[qty]]</f>
        <v>#N/A</v>
      </c>
      <c r="G8311" t="e">
        <f t="shared" si="1540"/>
        <v>#N/A</v>
      </c>
    </row>
    <row r="8312" spans="1:7" x14ac:dyDescent="0.25">
      <c r="A8312" s="1">
        <f t="shared" si="1539"/>
        <v>45488</v>
      </c>
      <c r="B8312" s="36"/>
      <c r="E8312" s="5" t="e">
        <f>Table4[[#This Row],[qty]]*(VLOOKUP(Table4[[#This Row],[item_sold]],Table1[],5,FALSE))</f>
        <v>#N/A</v>
      </c>
      <c r="F8312" s="5" t="e">
        <f>(VLOOKUP(Table4[[#This Row],[item_sold]],Table1[],4,FALSE))*Table4[[#This Row],[qty]]</f>
        <v>#N/A</v>
      </c>
      <c r="G8312" t="e">
        <f t="shared" si="1540"/>
        <v>#N/A</v>
      </c>
    </row>
    <row r="8313" spans="1:7" x14ac:dyDescent="0.25">
      <c r="A8313" s="1">
        <f t="shared" si="1539"/>
        <v>45488</v>
      </c>
      <c r="B8313" s="36"/>
      <c r="E8313" s="5" t="e">
        <f>Table4[[#This Row],[qty]]*(VLOOKUP(Table4[[#This Row],[item_sold]],Table1[],5,FALSE))</f>
        <v>#N/A</v>
      </c>
      <c r="F8313" s="5" t="e">
        <f>(VLOOKUP(Table4[[#This Row],[item_sold]],Table1[],4,FALSE))*Table4[[#This Row],[qty]]</f>
        <v>#N/A</v>
      </c>
      <c r="G8313" t="e">
        <f t="shared" si="1540"/>
        <v>#N/A</v>
      </c>
    </row>
    <row r="8314" spans="1:7" x14ac:dyDescent="0.25">
      <c r="A8314" s="1">
        <f t="shared" si="1539"/>
        <v>45488</v>
      </c>
      <c r="B8314" s="36"/>
      <c r="E8314" s="5" t="e">
        <f>Table4[[#This Row],[qty]]*(VLOOKUP(Table4[[#This Row],[item_sold]],Table1[],5,FALSE))</f>
        <v>#N/A</v>
      </c>
      <c r="F8314" s="5" t="e">
        <f>(VLOOKUP(Table4[[#This Row],[item_sold]],Table1[],4,FALSE))*Table4[[#This Row],[qty]]</f>
        <v>#N/A</v>
      </c>
      <c r="G8314" t="e">
        <f t="shared" si="1540"/>
        <v>#N/A</v>
      </c>
    </row>
    <row r="8315" spans="1:7" x14ac:dyDescent="0.25">
      <c r="A8315" s="1">
        <f t="shared" si="1539"/>
        <v>45488</v>
      </c>
      <c r="B8315" s="36"/>
      <c r="E8315" s="5" t="e">
        <f>Table4[[#This Row],[qty]]*(VLOOKUP(Table4[[#This Row],[item_sold]],Table1[],5,FALSE))</f>
        <v>#N/A</v>
      </c>
      <c r="F8315" s="5" t="e">
        <f>(VLOOKUP(Table4[[#This Row],[item_sold]],Table1[],4,FALSE))*Table4[[#This Row],[qty]]</f>
        <v>#N/A</v>
      </c>
      <c r="G8315" t="e">
        <f t="shared" si="1540"/>
        <v>#N/A</v>
      </c>
    </row>
    <row r="8316" spans="1:7" x14ac:dyDescent="0.25">
      <c r="A8316" s="1">
        <f t="shared" si="1539"/>
        <v>45488</v>
      </c>
      <c r="B8316" s="36"/>
      <c r="E8316" s="5" t="e">
        <f>Table4[[#This Row],[qty]]*(VLOOKUP(Table4[[#This Row],[item_sold]],Table1[],5,FALSE))</f>
        <v>#N/A</v>
      </c>
      <c r="F8316" s="5" t="e">
        <f>(VLOOKUP(Table4[[#This Row],[item_sold]],Table1[],4,FALSE))*Table4[[#This Row],[qty]]</f>
        <v>#N/A</v>
      </c>
      <c r="G8316" t="e">
        <f t="shared" si="1540"/>
        <v>#N/A</v>
      </c>
    </row>
    <row r="8317" spans="1:7" x14ac:dyDescent="0.25">
      <c r="A8317" s="1">
        <f t="shared" si="1539"/>
        <v>45488</v>
      </c>
      <c r="B8317" s="36"/>
      <c r="E8317" s="5" t="e">
        <f>Table4[[#This Row],[qty]]*(VLOOKUP(Table4[[#This Row],[item_sold]],Table1[],5,FALSE))</f>
        <v>#N/A</v>
      </c>
      <c r="F8317" s="5" t="e">
        <f>(VLOOKUP(Table4[[#This Row],[item_sold]],Table1[],4,FALSE))*Table4[[#This Row],[qty]]</f>
        <v>#N/A</v>
      </c>
      <c r="G8317" t="e">
        <f t="shared" si="1540"/>
        <v>#N/A</v>
      </c>
    </row>
    <row r="8318" spans="1:7" x14ac:dyDescent="0.25">
      <c r="A8318" s="1">
        <f t="shared" si="1539"/>
        <v>45488</v>
      </c>
      <c r="B8318" s="36"/>
      <c r="E8318" s="5" t="e">
        <f>Table4[[#This Row],[qty]]*(VLOOKUP(Table4[[#This Row],[item_sold]],Table1[],5,FALSE))</f>
        <v>#N/A</v>
      </c>
      <c r="F8318" s="5" t="e">
        <f>(VLOOKUP(Table4[[#This Row],[item_sold]],Table1[],4,FALSE))*Table4[[#This Row],[qty]]</f>
        <v>#N/A</v>
      </c>
      <c r="G8318" t="e">
        <f t="shared" si="1540"/>
        <v>#N/A</v>
      </c>
    </row>
    <row r="8319" spans="1:7" x14ac:dyDescent="0.25">
      <c r="A8319" s="1">
        <f t="shared" si="1539"/>
        <v>45488</v>
      </c>
      <c r="B8319" s="36"/>
      <c r="E8319" s="5" t="e">
        <f>Table4[[#This Row],[qty]]*(VLOOKUP(Table4[[#This Row],[item_sold]],Table1[],5,FALSE))</f>
        <v>#N/A</v>
      </c>
      <c r="F8319" s="5" t="e">
        <f>(VLOOKUP(Table4[[#This Row],[item_sold]],Table1[],4,FALSE))*Table4[[#This Row],[qty]]</f>
        <v>#N/A</v>
      </c>
      <c r="G8319" t="e">
        <f t="shared" si="1540"/>
        <v>#N/A</v>
      </c>
    </row>
    <row r="8320" spans="1:7" x14ac:dyDescent="0.25">
      <c r="A8320" s="1">
        <f t="shared" si="1539"/>
        <v>45488</v>
      </c>
      <c r="B8320" s="36"/>
      <c r="E8320" s="5" t="e">
        <f>Table4[[#This Row],[qty]]*(VLOOKUP(Table4[[#This Row],[item_sold]],Table1[],5,FALSE))</f>
        <v>#N/A</v>
      </c>
      <c r="F8320" s="5" t="e">
        <f>(VLOOKUP(Table4[[#This Row],[item_sold]],Table1[],4,FALSE))*Table4[[#This Row],[qty]]</f>
        <v>#N/A</v>
      </c>
      <c r="G8320" t="e">
        <f t="shared" si="1540"/>
        <v>#N/A</v>
      </c>
    </row>
    <row r="8321" spans="1:7" x14ac:dyDescent="0.25">
      <c r="A8321" s="1">
        <f t="shared" si="1539"/>
        <v>45488</v>
      </c>
      <c r="B8321" s="36"/>
      <c r="E8321" s="5" t="e">
        <f>Table4[[#This Row],[qty]]*(VLOOKUP(Table4[[#This Row],[item_sold]],Table1[],5,FALSE))</f>
        <v>#N/A</v>
      </c>
      <c r="F8321" s="5" t="e">
        <f>(VLOOKUP(Table4[[#This Row],[item_sold]],Table1[],4,FALSE))*Table4[[#This Row],[qty]]</f>
        <v>#N/A</v>
      </c>
      <c r="G8321" t="e">
        <f t="shared" si="1540"/>
        <v>#N/A</v>
      </c>
    </row>
    <row r="8322" spans="1:7" x14ac:dyDescent="0.25">
      <c r="A8322" s="1">
        <f t="shared" si="1539"/>
        <v>45488</v>
      </c>
      <c r="B8322" s="36"/>
      <c r="E8322" s="5" t="e">
        <f>Table4[[#This Row],[qty]]*(VLOOKUP(Table4[[#This Row],[item_sold]],Table1[],5,FALSE))</f>
        <v>#N/A</v>
      </c>
      <c r="F8322" s="5" t="e">
        <f>(VLOOKUP(Table4[[#This Row],[item_sold]],Table1[],4,FALSE))*Table4[[#This Row],[qty]]</f>
        <v>#N/A</v>
      </c>
      <c r="G8322" t="e">
        <f t="shared" si="1540"/>
        <v>#N/A</v>
      </c>
    </row>
    <row r="8323" spans="1:7" x14ac:dyDescent="0.25">
      <c r="A8323" s="1">
        <f t="shared" si="1539"/>
        <v>45488</v>
      </c>
      <c r="B8323" s="36"/>
      <c r="E8323" s="5" t="e">
        <f>Table4[[#This Row],[qty]]*(VLOOKUP(Table4[[#This Row],[item_sold]],Table1[],5,FALSE))</f>
        <v>#N/A</v>
      </c>
      <c r="F8323" s="5" t="e">
        <f>(VLOOKUP(Table4[[#This Row],[item_sold]],Table1[],4,FALSE))*Table4[[#This Row],[qty]]</f>
        <v>#N/A</v>
      </c>
      <c r="G8323" t="e">
        <f t="shared" si="1540"/>
        <v>#N/A</v>
      </c>
    </row>
    <row r="8324" spans="1:7" x14ac:dyDescent="0.25">
      <c r="A8324" s="1">
        <f t="shared" si="1539"/>
        <v>45488</v>
      </c>
      <c r="B8324" s="36"/>
      <c r="E8324" s="5" t="e">
        <f>Table4[[#This Row],[qty]]*(VLOOKUP(Table4[[#This Row],[item_sold]],Table1[],5,FALSE))</f>
        <v>#N/A</v>
      </c>
      <c r="F8324" s="5" t="e">
        <f>(VLOOKUP(Table4[[#This Row],[item_sold]],Table1[],4,FALSE))*Table4[[#This Row],[qty]]</f>
        <v>#N/A</v>
      </c>
      <c r="G8324" t="e">
        <f t="shared" si="1540"/>
        <v>#N/A</v>
      </c>
    </row>
    <row r="8325" spans="1:7" x14ac:dyDescent="0.25">
      <c r="A8325" s="1">
        <f t="shared" si="1539"/>
        <v>45488</v>
      </c>
      <c r="B8325" s="36"/>
      <c r="E8325" s="5" t="e">
        <f>Table4[[#This Row],[qty]]*(VLOOKUP(Table4[[#This Row],[item_sold]],Table1[],5,FALSE))</f>
        <v>#N/A</v>
      </c>
      <c r="F8325" s="5" t="e">
        <f>(VLOOKUP(Table4[[#This Row],[item_sold]],Table1[],4,FALSE))*Table4[[#This Row],[qty]]</f>
        <v>#N/A</v>
      </c>
      <c r="G8325" t="e">
        <f t="shared" si="1540"/>
        <v>#N/A</v>
      </c>
    </row>
    <row r="8326" spans="1:7" x14ac:dyDescent="0.25">
      <c r="A8326" s="1">
        <f t="shared" si="1539"/>
        <v>45488</v>
      </c>
      <c r="B8326" s="36"/>
      <c r="E8326" s="5" t="e">
        <f>Table4[[#This Row],[qty]]*(VLOOKUP(Table4[[#This Row],[item_sold]],Table1[],5,FALSE))</f>
        <v>#N/A</v>
      </c>
      <c r="F8326" s="5" t="e">
        <f>(VLOOKUP(Table4[[#This Row],[item_sold]],Table1[],4,FALSE))*Table4[[#This Row],[qty]]</f>
        <v>#N/A</v>
      </c>
      <c r="G8326" t="e">
        <f t="shared" si="1540"/>
        <v>#N/A</v>
      </c>
    </row>
    <row r="8327" spans="1:7" x14ac:dyDescent="0.25">
      <c r="A8327" s="1">
        <f t="shared" si="1539"/>
        <v>45488</v>
      </c>
      <c r="B8327" s="36"/>
      <c r="E8327" s="5" t="e">
        <f>Table4[[#This Row],[qty]]*(VLOOKUP(Table4[[#This Row],[item_sold]],Table1[],5,FALSE))</f>
        <v>#N/A</v>
      </c>
      <c r="F8327" s="5" t="e">
        <f>(VLOOKUP(Table4[[#This Row],[item_sold]],Table1[],4,FALSE))*Table4[[#This Row],[qty]]</f>
        <v>#N/A</v>
      </c>
      <c r="G8327" t="e">
        <f t="shared" si="1540"/>
        <v>#N/A</v>
      </c>
    </row>
    <row r="8328" spans="1:7" x14ac:dyDescent="0.25">
      <c r="A8328" s="1">
        <f t="shared" si="1539"/>
        <v>45488</v>
      </c>
      <c r="B8328" s="36"/>
      <c r="E8328" s="5" t="e">
        <f>Table4[[#This Row],[qty]]*(VLOOKUP(Table4[[#This Row],[item_sold]],Table1[],5,FALSE))</f>
        <v>#N/A</v>
      </c>
      <c r="F8328" s="5" t="e">
        <f>(VLOOKUP(Table4[[#This Row],[item_sold]],Table1[],4,FALSE))*Table4[[#This Row],[qty]]</f>
        <v>#N/A</v>
      </c>
      <c r="G8328" t="e">
        <f t="shared" si="1540"/>
        <v>#N/A</v>
      </c>
    </row>
    <row r="8329" spans="1:7" x14ac:dyDescent="0.25">
      <c r="A8329" s="1">
        <f t="shared" si="1539"/>
        <v>45488</v>
      </c>
      <c r="B8329" s="36"/>
      <c r="E8329" s="5" t="e">
        <f>Table4[[#This Row],[qty]]*(VLOOKUP(Table4[[#This Row],[item_sold]],Table1[],5,FALSE))</f>
        <v>#N/A</v>
      </c>
      <c r="F8329" s="5" t="e">
        <f>(VLOOKUP(Table4[[#This Row],[item_sold]],Table1[],4,FALSE))*Table4[[#This Row],[qty]]</f>
        <v>#N/A</v>
      </c>
      <c r="G8329" t="e">
        <f t="shared" si="1540"/>
        <v>#N/A</v>
      </c>
    </row>
    <row r="8330" spans="1:7" x14ac:dyDescent="0.25">
      <c r="A8330" s="1">
        <f t="shared" si="1539"/>
        <v>45488</v>
      </c>
      <c r="B8330" s="36"/>
      <c r="E8330" s="5" t="e">
        <f>Table4[[#This Row],[qty]]*(VLOOKUP(Table4[[#This Row],[item_sold]],Table1[],5,FALSE))</f>
        <v>#N/A</v>
      </c>
      <c r="F8330" s="5" t="e">
        <f>(VLOOKUP(Table4[[#This Row],[item_sold]],Table1[],4,FALSE))*Table4[[#This Row],[qty]]</f>
        <v>#N/A</v>
      </c>
      <c r="G8330" t="e">
        <f t="shared" si="1540"/>
        <v>#N/A</v>
      </c>
    </row>
    <row r="8331" spans="1:7" x14ac:dyDescent="0.25">
      <c r="A8331" s="1">
        <f t="shared" si="1539"/>
        <v>45488</v>
      </c>
      <c r="B8331" s="36"/>
      <c r="E8331" s="5" t="e">
        <f>Table4[[#This Row],[qty]]*(VLOOKUP(Table4[[#This Row],[item_sold]],Table1[],5,FALSE))</f>
        <v>#N/A</v>
      </c>
      <c r="F8331" s="5" t="e">
        <f>(VLOOKUP(Table4[[#This Row],[item_sold]],Table1[],4,FALSE))*Table4[[#This Row],[qty]]</f>
        <v>#N/A</v>
      </c>
      <c r="G8331" t="e">
        <f t="shared" si="1540"/>
        <v>#N/A</v>
      </c>
    </row>
    <row r="8332" spans="1:7" x14ac:dyDescent="0.25">
      <c r="A8332" s="1">
        <f t="shared" si="1539"/>
        <v>45488</v>
      </c>
      <c r="B8332" s="36"/>
      <c r="E8332" s="5" t="e">
        <f>Table4[[#This Row],[qty]]*(VLOOKUP(Table4[[#This Row],[item_sold]],Table1[],5,FALSE))</f>
        <v>#N/A</v>
      </c>
      <c r="F8332" s="5" t="e">
        <f>(VLOOKUP(Table4[[#This Row],[item_sold]],Table1[],4,FALSE))*Table4[[#This Row],[qty]]</f>
        <v>#N/A</v>
      </c>
      <c r="G8332" t="e">
        <f t="shared" si="1540"/>
        <v>#N/A</v>
      </c>
    </row>
    <row r="8333" spans="1:7" x14ac:dyDescent="0.25">
      <c r="A8333" s="1">
        <f t="shared" si="1539"/>
        <v>45488</v>
      </c>
      <c r="B8333" s="36"/>
      <c r="E8333" s="5" t="e">
        <f>Table4[[#This Row],[qty]]*(VLOOKUP(Table4[[#This Row],[item_sold]],Table1[],5,FALSE))</f>
        <v>#N/A</v>
      </c>
      <c r="F8333" s="5" t="e">
        <f>(VLOOKUP(Table4[[#This Row],[item_sold]],Table1[],4,FALSE))*Table4[[#This Row],[qty]]</f>
        <v>#N/A</v>
      </c>
      <c r="G8333" t="e">
        <f t="shared" si="1540"/>
        <v>#N/A</v>
      </c>
    </row>
    <row r="8334" spans="1:7" x14ac:dyDescent="0.25">
      <c r="A8334" s="1">
        <f t="shared" si="1539"/>
        <v>45488</v>
      </c>
      <c r="B8334" s="36"/>
      <c r="E8334" s="5" t="e">
        <f>Table4[[#This Row],[qty]]*(VLOOKUP(Table4[[#This Row],[item_sold]],Table1[],5,FALSE))</f>
        <v>#N/A</v>
      </c>
      <c r="F8334" s="5" t="e">
        <f>(VLOOKUP(Table4[[#This Row],[item_sold]],Table1[],4,FALSE))*Table4[[#This Row],[qty]]</f>
        <v>#N/A</v>
      </c>
      <c r="G8334" t="e">
        <f t="shared" si="1540"/>
        <v>#N/A</v>
      </c>
    </row>
    <row r="8335" spans="1:7" x14ac:dyDescent="0.25">
      <c r="A8335" s="1">
        <f t="shared" si="1539"/>
        <v>45488</v>
      </c>
      <c r="B8335" s="36"/>
      <c r="E8335" s="5" t="e">
        <f>Table4[[#This Row],[qty]]*(VLOOKUP(Table4[[#This Row],[item_sold]],Table1[],5,FALSE))</f>
        <v>#N/A</v>
      </c>
      <c r="F8335" s="5" t="e">
        <f>(VLOOKUP(Table4[[#This Row],[item_sold]],Table1[],4,FALSE))*Table4[[#This Row],[qty]]</f>
        <v>#N/A</v>
      </c>
      <c r="G8335" t="e">
        <f t="shared" si="1540"/>
        <v>#N/A</v>
      </c>
    </row>
    <row r="8336" spans="1:7" x14ac:dyDescent="0.25">
      <c r="A8336" s="1">
        <f t="shared" si="1539"/>
        <v>45488</v>
      </c>
      <c r="B8336" s="36"/>
      <c r="E8336" s="5" t="e">
        <f>Table4[[#This Row],[qty]]*(VLOOKUP(Table4[[#This Row],[item_sold]],Table1[],5,FALSE))</f>
        <v>#N/A</v>
      </c>
      <c r="F8336" s="5" t="e">
        <f>(VLOOKUP(Table4[[#This Row],[item_sold]],Table1[],4,FALSE))*Table4[[#This Row],[qty]]</f>
        <v>#N/A</v>
      </c>
      <c r="G8336" t="e">
        <f t="shared" si="1540"/>
        <v>#N/A</v>
      </c>
    </row>
    <row r="8337" spans="1:7" x14ac:dyDescent="0.25">
      <c r="A8337" s="1">
        <f t="shared" si="1539"/>
        <v>45488</v>
      </c>
      <c r="B8337" s="36"/>
      <c r="E8337" s="5" t="e">
        <f>Table4[[#This Row],[qty]]*(VLOOKUP(Table4[[#This Row],[item_sold]],Table1[],5,FALSE))</f>
        <v>#N/A</v>
      </c>
      <c r="F8337" s="5" t="e">
        <f>(VLOOKUP(Table4[[#This Row],[item_sold]],Table1[],4,FALSE))*Table4[[#This Row],[qty]]</f>
        <v>#N/A</v>
      </c>
      <c r="G8337" t="e">
        <f t="shared" si="1540"/>
        <v>#N/A</v>
      </c>
    </row>
    <row r="8338" spans="1:7" x14ac:dyDescent="0.25">
      <c r="A8338" s="1">
        <f t="shared" si="1539"/>
        <v>45488</v>
      </c>
      <c r="B8338" s="36"/>
      <c r="E8338" s="5" t="e">
        <f>Table4[[#This Row],[qty]]*(VLOOKUP(Table4[[#This Row],[item_sold]],Table1[],5,FALSE))</f>
        <v>#N/A</v>
      </c>
      <c r="F8338" s="5" t="e">
        <f>(VLOOKUP(Table4[[#This Row],[item_sold]],Table1[],4,FALSE))*Table4[[#This Row],[qty]]</f>
        <v>#N/A</v>
      </c>
      <c r="G8338" t="e">
        <f t="shared" si="1540"/>
        <v>#N/A</v>
      </c>
    </row>
    <row r="8339" spans="1:7" x14ac:dyDescent="0.25">
      <c r="A8339" s="1">
        <f t="shared" si="1539"/>
        <v>45488</v>
      </c>
      <c r="B8339" s="36"/>
      <c r="E8339" s="5" t="e">
        <f>Table4[[#This Row],[qty]]*(VLOOKUP(Table4[[#This Row],[item_sold]],Table1[],5,FALSE))</f>
        <v>#N/A</v>
      </c>
      <c r="F8339" s="5" t="e">
        <f>(VLOOKUP(Table4[[#This Row],[item_sold]],Table1[],4,FALSE))*Table4[[#This Row],[qty]]</f>
        <v>#N/A</v>
      </c>
      <c r="G8339" t="e">
        <f t="shared" si="1540"/>
        <v>#N/A</v>
      </c>
    </row>
    <row r="8340" spans="1:7" x14ac:dyDescent="0.25">
      <c r="A8340" s="1">
        <f t="shared" ref="A8340:A8403" si="1541">DATE(2024,7,15)</f>
        <v>45488</v>
      </c>
      <c r="B8340" s="36"/>
      <c r="E8340" s="5" t="e">
        <f>Table4[[#This Row],[qty]]*(VLOOKUP(Table4[[#This Row],[item_sold]],Table1[],5,FALSE))</f>
        <v>#N/A</v>
      </c>
      <c r="F8340" s="5" t="e">
        <f>(VLOOKUP(Table4[[#This Row],[item_sold]],Table1[],4,FALSE))*Table4[[#This Row],[qty]]</f>
        <v>#N/A</v>
      </c>
      <c r="G8340" t="e">
        <f t="shared" ref="G8340:G8403" si="1542">E8340-F8340</f>
        <v>#N/A</v>
      </c>
    </row>
    <row r="8341" spans="1:7" x14ac:dyDescent="0.25">
      <c r="A8341" s="1">
        <f t="shared" si="1541"/>
        <v>45488</v>
      </c>
      <c r="B8341" s="36"/>
      <c r="E8341" s="5" t="e">
        <f>Table4[[#This Row],[qty]]*(VLOOKUP(Table4[[#This Row],[item_sold]],Table1[],5,FALSE))</f>
        <v>#N/A</v>
      </c>
      <c r="F8341" s="5" t="e">
        <f>(VLOOKUP(Table4[[#This Row],[item_sold]],Table1[],4,FALSE))*Table4[[#This Row],[qty]]</f>
        <v>#N/A</v>
      </c>
      <c r="G8341" t="e">
        <f t="shared" si="1542"/>
        <v>#N/A</v>
      </c>
    </row>
    <row r="8342" spans="1:7" x14ac:dyDescent="0.25">
      <c r="A8342" s="1">
        <f t="shared" si="1541"/>
        <v>45488</v>
      </c>
      <c r="B8342" s="36"/>
      <c r="E8342" s="5" t="e">
        <f>Table4[[#This Row],[qty]]*(VLOOKUP(Table4[[#This Row],[item_sold]],Table1[],5,FALSE))</f>
        <v>#N/A</v>
      </c>
      <c r="F8342" s="5" t="e">
        <f>(VLOOKUP(Table4[[#This Row],[item_sold]],Table1[],4,FALSE))*Table4[[#This Row],[qty]]</f>
        <v>#N/A</v>
      </c>
      <c r="G8342" t="e">
        <f t="shared" si="1542"/>
        <v>#N/A</v>
      </c>
    </row>
    <row r="8343" spans="1:7" x14ac:dyDescent="0.25">
      <c r="A8343" s="1">
        <f t="shared" si="1541"/>
        <v>45488</v>
      </c>
      <c r="B8343" s="36"/>
      <c r="E8343" s="5" t="e">
        <f>Table4[[#This Row],[qty]]*(VLOOKUP(Table4[[#This Row],[item_sold]],Table1[],5,FALSE))</f>
        <v>#N/A</v>
      </c>
      <c r="F8343" s="5" t="e">
        <f>(VLOOKUP(Table4[[#This Row],[item_sold]],Table1[],4,FALSE))*Table4[[#This Row],[qty]]</f>
        <v>#N/A</v>
      </c>
      <c r="G8343" t="e">
        <f t="shared" si="1542"/>
        <v>#N/A</v>
      </c>
    </row>
    <row r="8344" spans="1:7" x14ac:dyDescent="0.25">
      <c r="A8344" s="1">
        <f t="shared" si="1541"/>
        <v>45488</v>
      </c>
      <c r="B8344" s="36"/>
      <c r="E8344" s="5" t="e">
        <f>Table4[[#This Row],[qty]]*(VLOOKUP(Table4[[#This Row],[item_sold]],Table1[],5,FALSE))</f>
        <v>#N/A</v>
      </c>
      <c r="F8344" s="5" t="e">
        <f>(VLOOKUP(Table4[[#This Row],[item_sold]],Table1[],4,FALSE))*Table4[[#This Row],[qty]]</f>
        <v>#N/A</v>
      </c>
      <c r="G8344" t="e">
        <f t="shared" si="1542"/>
        <v>#N/A</v>
      </c>
    </row>
    <row r="8345" spans="1:7" x14ac:dyDescent="0.25">
      <c r="A8345" s="1">
        <f t="shared" si="1541"/>
        <v>45488</v>
      </c>
      <c r="B8345" s="36"/>
      <c r="E8345" s="5" t="e">
        <f>Table4[[#This Row],[qty]]*(VLOOKUP(Table4[[#This Row],[item_sold]],Table1[],5,FALSE))</f>
        <v>#N/A</v>
      </c>
      <c r="F8345" s="5" t="e">
        <f>(VLOOKUP(Table4[[#This Row],[item_sold]],Table1[],4,FALSE))*Table4[[#This Row],[qty]]</f>
        <v>#N/A</v>
      </c>
      <c r="G8345" t="e">
        <f t="shared" si="1542"/>
        <v>#N/A</v>
      </c>
    </row>
    <row r="8346" spans="1:7" x14ac:dyDescent="0.25">
      <c r="A8346" s="1">
        <f t="shared" si="1541"/>
        <v>45488</v>
      </c>
      <c r="B8346" s="36"/>
      <c r="E8346" s="5" t="e">
        <f>Table4[[#This Row],[qty]]*(VLOOKUP(Table4[[#This Row],[item_sold]],Table1[],5,FALSE))</f>
        <v>#N/A</v>
      </c>
      <c r="F8346" s="5" t="e">
        <f>(VLOOKUP(Table4[[#This Row],[item_sold]],Table1[],4,FALSE))*Table4[[#This Row],[qty]]</f>
        <v>#N/A</v>
      </c>
      <c r="G8346" t="e">
        <f t="shared" si="1542"/>
        <v>#N/A</v>
      </c>
    </row>
    <row r="8347" spans="1:7" x14ac:dyDescent="0.25">
      <c r="A8347" s="1">
        <f t="shared" si="1541"/>
        <v>45488</v>
      </c>
      <c r="B8347" s="36"/>
      <c r="E8347" s="5" t="e">
        <f>Table4[[#This Row],[qty]]*(VLOOKUP(Table4[[#This Row],[item_sold]],Table1[],5,FALSE))</f>
        <v>#N/A</v>
      </c>
      <c r="F8347" s="5" t="e">
        <f>(VLOOKUP(Table4[[#This Row],[item_sold]],Table1[],4,FALSE))*Table4[[#This Row],[qty]]</f>
        <v>#N/A</v>
      </c>
      <c r="G8347" t="e">
        <f t="shared" si="1542"/>
        <v>#N/A</v>
      </c>
    </row>
    <row r="8348" spans="1:7" x14ac:dyDescent="0.25">
      <c r="A8348" s="1">
        <f t="shared" si="1541"/>
        <v>45488</v>
      </c>
      <c r="B8348" s="36"/>
      <c r="E8348" s="5" t="e">
        <f>Table4[[#This Row],[qty]]*(VLOOKUP(Table4[[#This Row],[item_sold]],Table1[],5,FALSE))</f>
        <v>#N/A</v>
      </c>
      <c r="F8348" s="5" t="e">
        <f>(VLOOKUP(Table4[[#This Row],[item_sold]],Table1[],4,FALSE))*Table4[[#This Row],[qty]]</f>
        <v>#N/A</v>
      </c>
      <c r="G8348" t="e">
        <f t="shared" si="1542"/>
        <v>#N/A</v>
      </c>
    </row>
    <row r="8349" spans="1:7" x14ac:dyDescent="0.25">
      <c r="A8349" s="1">
        <f t="shared" si="1541"/>
        <v>45488</v>
      </c>
      <c r="B8349" s="36"/>
      <c r="E8349" s="5" t="e">
        <f>Table4[[#This Row],[qty]]*(VLOOKUP(Table4[[#This Row],[item_sold]],Table1[],5,FALSE))</f>
        <v>#N/A</v>
      </c>
      <c r="F8349" s="5" t="e">
        <f>(VLOOKUP(Table4[[#This Row],[item_sold]],Table1[],4,FALSE))*Table4[[#This Row],[qty]]</f>
        <v>#N/A</v>
      </c>
      <c r="G8349" t="e">
        <f t="shared" si="1542"/>
        <v>#N/A</v>
      </c>
    </row>
    <row r="8350" spans="1:7" x14ac:dyDescent="0.25">
      <c r="A8350" s="1">
        <f t="shared" si="1541"/>
        <v>45488</v>
      </c>
      <c r="B8350" s="36"/>
      <c r="E8350" s="5" t="e">
        <f>Table4[[#This Row],[qty]]*(VLOOKUP(Table4[[#This Row],[item_sold]],Table1[],5,FALSE))</f>
        <v>#N/A</v>
      </c>
      <c r="F8350" s="5" t="e">
        <f>(VLOOKUP(Table4[[#This Row],[item_sold]],Table1[],4,FALSE))*Table4[[#This Row],[qty]]</f>
        <v>#N/A</v>
      </c>
      <c r="G8350" t="e">
        <f t="shared" si="1542"/>
        <v>#N/A</v>
      </c>
    </row>
    <row r="8351" spans="1:7" x14ac:dyDescent="0.25">
      <c r="A8351" s="1">
        <f t="shared" si="1541"/>
        <v>45488</v>
      </c>
      <c r="B8351" s="36"/>
      <c r="E8351" s="5" t="e">
        <f>Table4[[#This Row],[qty]]*(VLOOKUP(Table4[[#This Row],[item_sold]],Table1[],5,FALSE))</f>
        <v>#N/A</v>
      </c>
      <c r="F8351" s="5" t="e">
        <f>(VLOOKUP(Table4[[#This Row],[item_sold]],Table1[],4,FALSE))*Table4[[#This Row],[qty]]</f>
        <v>#N/A</v>
      </c>
      <c r="G8351" t="e">
        <f t="shared" si="1542"/>
        <v>#N/A</v>
      </c>
    </row>
    <row r="8352" spans="1:7" x14ac:dyDescent="0.25">
      <c r="A8352" s="1">
        <f t="shared" si="1541"/>
        <v>45488</v>
      </c>
      <c r="B8352" s="36"/>
      <c r="E8352" s="5" t="e">
        <f>Table4[[#This Row],[qty]]*(VLOOKUP(Table4[[#This Row],[item_sold]],Table1[],5,FALSE))</f>
        <v>#N/A</v>
      </c>
      <c r="F8352" s="5" t="e">
        <f>(VLOOKUP(Table4[[#This Row],[item_sold]],Table1[],4,FALSE))*Table4[[#This Row],[qty]]</f>
        <v>#N/A</v>
      </c>
      <c r="G8352" t="e">
        <f t="shared" si="1542"/>
        <v>#N/A</v>
      </c>
    </row>
    <row r="8353" spans="1:7" x14ac:dyDescent="0.25">
      <c r="A8353" s="1">
        <f t="shared" si="1541"/>
        <v>45488</v>
      </c>
      <c r="B8353" s="36"/>
      <c r="E8353" s="5" t="e">
        <f>Table4[[#This Row],[qty]]*(VLOOKUP(Table4[[#This Row],[item_sold]],Table1[],5,FALSE))</f>
        <v>#N/A</v>
      </c>
      <c r="F8353" s="5" t="e">
        <f>(VLOOKUP(Table4[[#This Row],[item_sold]],Table1[],4,FALSE))*Table4[[#This Row],[qty]]</f>
        <v>#N/A</v>
      </c>
      <c r="G8353" t="e">
        <f t="shared" si="1542"/>
        <v>#N/A</v>
      </c>
    </row>
    <row r="8354" spans="1:7" x14ac:dyDescent="0.25">
      <c r="A8354" s="1">
        <f t="shared" si="1541"/>
        <v>45488</v>
      </c>
      <c r="B8354" s="36"/>
      <c r="E8354" s="5" t="e">
        <f>Table4[[#This Row],[qty]]*(VLOOKUP(Table4[[#This Row],[item_sold]],Table1[],5,FALSE))</f>
        <v>#N/A</v>
      </c>
      <c r="F8354" s="5" t="e">
        <f>(VLOOKUP(Table4[[#This Row],[item_sold]],Table1[],4,FALSE))*Table4[[#This Row],[qty]]</f>
        <v>#N/A</v>
      </c>
      <c r="G8354" t="e">
        <f t="shared" si="1542"/>
        <v>#N/A</v>
      </c>
    </row>
    <row r="8355" spans="1:7" x14ac:dyDescent="0.25">
      <c r="A8355" s="1">
        <f t="shared" si="1541"/>
        <v>45488</v>
      </c>
      <c r="B8355" s="36"/>
      <c r="E8355" s="5" t="e">
        <f>Table4[[#This Row],[qty]]*(VLOOKUP(Table4[[#This Row],[item_sold]],Table1[],5,FALSE))</f>
        <v>#N/A</v>
      </c>
      <c r="F8355" s="5" t="e">
        <f>(VLOOKUP(Table4[[#This Row],[item_sold]],Table1[],4,FALSE))*Table4[[#This Row],[qty]]</f>
        <v>#N/A</v>
      </c>
      <c r="G8355" t="e">
        <f t="shared" si="1542"/>
        <v>#N/A</v>
      </c>
    </row>
    <row r="8356" spans="1:7" x14ac:dyDescent="0.25">
      <c r="A8356" s="1">
        <f t="shared" si="1541"/>
        <v>45488</v>
      </c>
      <c r="B8356" s="36"/>
      <c r="E8356" s="5" t="e">
        <f>Table4[[#This Row],[qty]]*(VLOOKUP(Table4[[#This Row],[item_sold]],Table1[],5,FALSE))</f>
        <v>#N/A</v>
      </c>
      <c r="F8356" s="5" t="e">
        <f>(VLOOKUP(Table4[[#This Row],[item_sold]],Table1[],4,FALSE))*Table4[[#This Row],[qty]]</f>
        <v>#N/A</v>
      </c>
      <c r="G8356" t="e">
        <f t="shared" si="1542"/>
        <v>#N/A</v>
      </c>
    </row>
    <row r="8357" spans="1:7" x14ac:dyDescent="0.25">
      <c r="A8357" s="1">
        <f t="shared" si="1541"/>
        <v>45488</v>
      </c>
      <c r="B8357" s="36"/>
      <c r="E8357" s="5" t="e">
        <f>Table4[[#This Row],[qty]]*(VLOOKUP(Table4[[#This Row],[item_sold]],Table1[],5,FALSE))</f>
        <v>#N/A</v>
      </c>
      <c r="F8357" s="5" t="e">
        <f>(VLOOKUP(Table4[[#This Row],[item_sold]],Table1[],4,FALSE))*Table4[[#This Row],[qty]]</f>
        <v>#N/A</v>
      </c>
      <c r="G8357" t="e">
        <f t="shared" si="1542"/>
        <v>#N/A</v>
      </c>
    </row>
    <row r="8358" spans="1:7" x14ac:dyDescent="0.25">
      <c r="A8358" s="1">
        <f t="shared" si="1541"/>
        <v>45488</v>
      </c>
      <c r="B8358" s="36"/>
      <c r="E8358" s="5" t="e">
        <f>Table4[[#This Row],[qty]]*(VLOOKUP(Table4[[#This Row],[item_sold]],Table1[],5,FALSE))</f>
        <v>#N/A</v>
      </c>
      <c r="F8358" s="5" t="e">
        <f>(VLOOKUP(Table4[[#This Row],[item_sold]],Table1[],4,FALSE))*Table4[[#This Row],[qty]]</f>
        <v>#N/A</v>
      </c>
      <c r="G8358" t="e">
        <f t="shared" si="1542"/>
        <v>#N/A</v>
      </c>
    </row>
    <row r="8359" spans="1:7" x14ac:dyDescent="0.25">
      <c r="A8359" s="1">
        <f t="shared" si="1541"/>
        <v>45488</v>
      </c>
      <c r="B8359" s="36"/>
      <c r="E8359" s="5" t="e">
        <f>Table4[[#This Row],[qty]]*(VLOOKUP(Table4[[#This Row],[item_sold]],Table1[],5,FALSE))</f>
        <v>#N/A</v>
      </c>
      <c r="F8359" s="5" t="e">
        <f>(VLOOKUP(Table4[[#This Row],[item_sold]],Table1[],4,FALSE))*Table4[[#This Row],[qty]]</f>
        <v>#N/A</v>
      </c>
      <c r="G8359" t="e">
        <f t="shared" si="1542"/>
        <v>#N/A</v>
      </c>
    </row>
    <row r="8360" spans="1:7" x14ac:dyDescent="0.25">
      <c r="A8360" s="1">
        <f t="shared" si="1541"/>
        <v>45488</v>
      </c>
      <c r="B8360" s="36"/>
      <c r="E8360" s="5" t="e">
        <f>Table4[[#This Row],[qty]]*(VLOOKUP(Table4[[#This Row],[item_sold]],Table1[],5,FALSE))</f>
        <v>#N/A</v>
      </c>
      <c r="F8360" s="5" t="e">
        <f>(VLOOKUP(Table4[[#This Row],[item_sold]],Table1[],4,FALSE))*Table4[[#This Row],[qty]]</f>
        <v>#N/A</v>
      </c>
      <c r="G8360" t="e">
        <f t="shared" si="1542"/>
        <v>#N/A</v>
      </c>
    </row>
    <row r="8361" spans="1:7" x14ac:dyDescent="0.25">
      <c r="A8361" s="1">
        <f t="shared" si="1541"/>
        <v>45488</v>
      </c>
      <c r="B8361" s="36"/>
      <c r="E8361" s="5" t="e">
        <f>Table4[[#This Row],[qty]]*(VLOOKUP(Table4[[#This Row],[item_sold]],Table1[],5,FALSE))</f>
        <v>#N/A</v>
      </c>
      <c r="F8361" s="5" t="e">
        <f>(VLOOKUP(Table4[[#This Row],[item_sold]],Table1[],4,FALSE))*Table4[[#This Row],[qty]]</f>
        <v>#N/A</v>
      </c>
      <c r="G8361" t="e">
        <f t="shared" si="1542"/>
        <v>#N/A</v>
      </c>
    </row>
    <row r="8362" spans="1:7" x14ac:dyDescent="0.25">
      <c r="A8362" s="1">
        <f t="shared" si="1541"/>
        <v>45488</v>
      </c>
      <c r="B8362" s="36"/>
      <c r="E8362" s="5" t="e">
        <f>Table4[[#This Row],[qty]]*(VLOOKUP(Table4[[#This Row],[item_sold]],Table1[],5,FALSE))</f>
        <v>#N/A</v>
      </c>
      <c r="F8362" s="5" t="e">
        <f>(VLOOKUP(Table4[[#This Row],[item_sold]],Table1[],4,FALSE))*Table4[[#This Row],[qty]]</f>
        <v>#N/A</v>
      </c>
      <c r="G8362" t="e">
        <f t="shared" si="1542"/>
        <v>#N/A</v>
      </c>
    </row>
    <row r="8363" spans="1:7" x14ac:dyDescent="0.25">
      <c r="A8363" s="1">
        <f t="shared" si="1541"/>
        <v>45488</v>
      </c>
      <c r="B8363" s="36"/>
      <c r="E8363" s="5" t="e">
        <f>Table4[[#This Row],[qty]]*(VLOOKUP(Table4[[#This Row],[item_sold]],Table1[],5,FALSE))</f>
        <v>#N/A</v>
      </c>
      <c r="F8363" s="5" t="e">
        <f>(VLOOKUP(Table4[[#This Row],[item_sold]],Table1[],4,FALSE))*Table4[[#This Row],[qty]]</f>
        <v>#N/A</v>
      </c>
      <c r="G8363" t="e">
        <f t="shared" si="1542"/>
        <v>#N/A</v>
      </c>
    </row>
    <row r="8364" spans="1:7" x14ac:dyDescent="0.25">
      <c r="A8364" s="1">
        <f t="shared" si="1541"/>
        <v>45488</v>
      </c>
      <c r="B8364" s="36"/>
      <c r="E8364" s="5" t="e">
        <f>Table4[[#This Row],[qty]]*(VLOOKUP(Table4[[#This Row],[item_sold]],Table1[],5,FALSE))</f>
        <v>#N/A</v>
      </c>
      <c r="F8364" s="5" t="e">
        <f>(VLOOKUP(Table4[[#This Row],[item_sold]],Table1[],4,FALSE))*Table4[[#This Row],[qty]]</f>
        <v>#N/A</v>
      </c>
      <c r="G8364" t="e">
        <f t="shared" si="1542"/>
        <v>#N/A</v>
      </c>
    </row>
    <row r="8365" spans="1:7" x14ac:dyDescent="0.25">
      <c r="A8365" s="1">
        <f t="shared" si="1541"/>
        <v>45488</v>
      </c>
      <c r="B8365" s="36"/>
      <c r="E8365" s="5" t="e">
        <f>Table4[[#This Row],[qty]]*(VLOOKUP(Table4[[#This Row],[item_sold]],Table1[],5,FALSE))</f>
        <v>#N/A</v>
      </c>
      <c r="F8365" s="5" t="e">
        <f>(VLOOKUP(Table4[[#This Row],[item_sold]],Table1[],4,FALSE))*Table4[[#This Row],[qty]]</f>
        <v>#N/A</v>
      </c>
      <c r="G8365" t="e">
        <f t="shared" si="1542"/>
        <v>#N/A</v>
      </c>
    </row>
    <row r="8366" spans="1:7" x14ac:dyDescent="0.25">
      <c r="A8366" s="1">
        <f t="shared" si="1541"/>
        <v>45488</v>
      </c>
      <c r="B8366" s="36"/>
      <c r="E8366" s="5" t="e">
        <f>Table4[[#This Row],[qty]]*(VLOOKUP(Table4[[#This Row],[item_sold]],Table1[],5,FALSE))</f>
        <v>#N/A</v>
      </c>
      <c r="F8366" s="5" t="e">
        <f>(VLOOKUP(Table4[[#This Row],[item_sold]],Table1[],4,FALSE))*Table4[[#This Row],[qty]]</f>
        <v>#N/A</v>
      </c>
      <c r="G8366" t="e">
        <f t="shared" si="1542"/>
        <v>#N/A</v>
      </c>
    </row>
    <row r="8367" spans="1:7" x14ac:dyDescent="0.25">
      <c r="A8367" s="1">
        <f t="shared" si="1541"/>
        <v>45488</v>
      </c>
      <c r="B8367" s="36"/>
      <c r="E8367" s="5" t="e">
        <f>Table4[[#This Row],[qty]]*(VLOOKUP(Table4[[#This Row],[item_sold]],Table1[],5,FALSE))</f>
        <v>#N/A</v>
      </c>
      <c r="F8367" s="5" t="e">
        <f>(VLOOKUP(Table4[[#This Row],[item_sold]],Table1[],4,FALSE))*Table4[[#This Row],[qty]]</f>
        <v>#N/A</v>
      </c>
      <c r="G8367" t="e">
        <f t="shared" si="1542"/>
        <v>#N/A</v>
      </c>
    </row>
    <row r="8368" spans="1:7" x14ac:dyDescent="0.25">
      <c r="A8368" s="1">
        <f t="shared" si="1541"/>
        <v>45488</v>
      </c>
      <c r="B8368" s="36"/>
      <c r="E8368" s="5" t="e">
        <f>Table4[[#This Row],[qty]]*(VLOOKUP(Table4[[#This Row],[item_sold]],Table1[],5,FALSE))</f>
        <v>#N/A</v>
      </c>
      <c r="F8368" s="5" t="e">
        <f>(VLOOKUP(Table4[[#This Row],[item_sold]],Table1[],4,FALSE))*Table4[[#This Row],[qty]]</f>
        <v>#N/A</v>
      </c>
      <c r="G8368" t="e">
        <f t="shared" si="1542"/>
        <v>#N/A</v>
      </c>
    </row>
    <row r="8369" spans="1:7" x14ac:dyDescent="0.25">
      <c r="A8369" s="1">
        <f t="shared" si="1541"/>
        <v>45488</v>
      </c>
      <c r="B8369" s="36"/>
      <c r="E8369" s="5" t="e">
        <f>Table4[[#This Row],[qty]]*(VLOOKUP(Table4[[#This Row],[item_sold]],Table1[],5,FALSE))</f>
        <v>#N/A</v>
      </c>
      <c r="F8369" s="5" t="e">
        <f>(VLOOKUP(Table4[[#This Row],[item_sold]],Table1[],4,FALSE))*Table4[[#This Row],[qty]]</f>
        <v>#N/A</v>
      </c>
      <c r="G8369" t="e">
        <f t="shared" si="1542"/>
        <v>#N/A</v>
      </c>
    </row>
    <row r="8370" spans="1:7" x14ac:dyDescent="0.25">
      <c r="A8370" s="1">
        <f t="shared" si="1541"/>
        <v>45488</v>
      </c>
      <c r="B8370" s="36"/>
      <c r="E8370" s="5" t="e">
        <f>Table4[[#This Row],[qty]]*(VLOOKUP(Table4[[#This Row],[item_sold]],Table1[],5,FALSE))</f>
        <v>#N/A</v>
      </c>
      <c r="F8370" s="5" t="e">
        <f>(VLOOKUP(Table4[[#This Row],[item_sold]],Table1[],4,FALSE))*Table4[[#This Row],[qty]]</f>
        <v>#N/A</v>
      </c>
      <c r="G8370" t="e">
        <f t="shared" si="1542"/>
        <v>#N/A</v>
      </c>
    </row>
    <row r="8371" spans="1:7" x14ac:dyDescent="0.25">
      <c r="A8371" s="1">
        <f t="shared" si="1541"/>
        <v>45488</v>
      </c>
      <c r="B8371" s="36"/>
      <c r="E8371" s="5" t="e">
        <f>Table4[[#This Row],[qty]]*(VLOOKUP(Table4[[#This Row],[item_sold]],Table1[],5,FALSE))</f>
        <v>#N/A</v>
      </c>
      <c r="F8371" s="5" t="e">
        <f>(VLOOKUP(Table4[[#This Row],[item_sold]],Table1[],4,FALSE))*Table4[[#This Row],[qty]]</f>
        <v>#N/A</v>
      </c>
      <c r="G8371" t="e">
        <f t="shared" si="1542"/>
        <v>#N/A</v>
      </c>
    </row>
    <row r="8372" spans="1:7" x14ac:dyDescent="0.25">
      <c r="A8372" s="1">
        <f t="shared" si="1541"/>
        <v>45488</v>
      </c>
      <c r="B8372" s="36"/>
      <c r="E8372" s="5" t="e">
        <f>Table4[[#This Row],[qty]]*(VLOOKUP(Table4[[#This Row],[item_sold]],Table1[],5,FALSE))</f>
        <v>#N/A</v>
      </c>
      <c r="F8372" s="5" t="e">
        <f>(VLOOKUP(Table4[[#This Row],[item_sold]],Table1[],4,FALSE))*Table4[[#This Row],[qty]]</f>
        <v>#N/A</v>
      </c>
      <c r="G8372" t="e">
        <f t="shared" si="1542"/>
        <v>#N/A</v>
      </c>
    </row>
    <row r="8373" spans="1:7" x14ac:dyDescent="0.25">
      <c r="A8373" s="1">
        <f t="shared" si="1541"/>
        <v>45488</v>
      </c>
      <c r="B8373" s="36"/>
      <c r="E8373" s="5" t="e">
        <f>Table4[[#This Row],[qty]]*(VLOOKUP(Table4[[#This Row],[item_sold]],Table1[],5,FALSE))</f>
        <v>#N/A</v>
      </c>
      <c r="F8373" s="5" t="e">
        <f>(VLOOKUP(Table4[[#This Row],[item_sold]],Table1[],4,FALSE))*Table4[[#This Row],[qty]]</f>
        <v>#N/A</v>
      </c>
      <c r="G8373" t="e">
        <f t="shared" si="1542"/>
        <v>#N/A</v>
      </c>
    </row>
    <row r="8374" spans="1:7" x14ac:dyDescent="0.25">
      <c r="A8374" s="1">
        <f t="shared" si="1541"/>
        <v>45488</v>
      </c>
      <c r="B8374" s="36"/>
      <c r="E8374" s="5" t="e">
        <f>Table4[[#This Row],[qty]]*(VLOOKUP(Table4[[#This Row],[item_sold]],Table1[],5,FALSE))</f>
        <v>#N/A</v>
      </c>
      <c r="F8374" s="5" t="e">
        <f>(VLOOKUP(Table4[[#This Row],[item_sold]],Table1[],4,FALSE))*Table4[[#This Row],[qty]]</f>
        <v>#N/A</v>
      </c>
      <c r="G8374" t="e">
        <f t="shared" si="1542"/>
        <v>#N/A</v>
      </c>
    </row>
    <row r="8375" spans="1:7" x14ac:dyDescent="0.25">
      <c r="A8375" s="1">
        <f t="shared" si="1541"/>
        <v>45488</v>
      </c>
      <c r="B8375" s="36"/>
      <c r="E8375" s="5" t="e">
        <f>Table4[[#This Row],[qty]]*(VLOOKUP(Table4[[#This Row],[item_sold]],Table1[],5,FALSE))</f>
        <v>#N/A</v>
      </c>
      <c r="F8375" s="5" t="e">
        <f>(VLOOKUP(Table4[[#This Row],[item_sold]],Table1[],4,FALSE))*Table4[[#This Row],[qty]]</f>
        <v>#N/A</v>
      </c>
      <c r="G8375" t="e">
        <f t="shared" si="1542"/>
        <v>#N/A</v>
      </c>
    </row>
    <row r="8376" spans="1:7" x14ac:dyDescent="0.25">
      <c r="A8376" s="1">
        <f t="shared" si="1541"/>
        <v>45488</v>
      </c>
      <c r="B8376" s="36"/>
      <c r="E8376" s="5" t="e">
        <f>Table4[[#This Row],[qty]]*(VLOOKUP(Table4[[#This Row],[item_sold]],Table1[],5,FALSE))</f>
        <v>#N/A</v>
      </c>
      <c r="F8376" s="5" t="e">
        <f>(VLOOKUP(Table4[[#This Row],[item_sold]],Table1[],4,FALSE))*Table4[[#This Row],[qty]]</f>
        <v>#N/A</v>
      </c>
      <c r="G8376" t="e">
        <f t="shared" si="1542"/>
        <v>#N/A</v>
      </c>
    </row>
    <row r="8377" spans="1:7" x14ac:dyDescent="0.25">
      <c r="A8377" s="1">
        <f t="shared" si="1541"/>
        <v>45488</v>
      </c>
      <c r="B8377" s="36"/>
      <c r="E8377" s="5" t="e">
        <f>Table4[[#This Row],[qty]]*(VLOOKUP(Table4[[#This Row],[item_sold]],Table1[],5,FALSE))</f>
        <v>#N/A</v>
      </c>
      <c r="F8377" s="5" t="e">
        <f>(VLOOKUP(Table4[[#This Row],[item_sold]],Table1[],4,FALSE))*Table4[[#This Row],[qty]]</f>
        <v>#N/A</v>
      </c>
      <c r="G8377" t="e">
        <f t="shared" si="1542"/>
        <v>#N/A</v>
      </c>
    </row>
    <row r="8378" spans="1:7" x14ac:dyDescent="0.25">
      <c r="A8378" s="1">
        <f t="shared" si="1541"/>
        <v>45488</v>
      </c>
      <c r="B8378" s="36"/>
      <c r="E8378" s="5" t="e">
        <f>Table4[[#This Row],[qty]]*(VLOOKUP(Table4[[#This Row],[item_sold]],Table1[],5,FALSE))</f>
        <v>#N/A</v>
      </c>
      <c r="F8378" s="5" t="e">
        <f>(VLOOKUP(Table4[[#This Row],[item_sold]],Table1[],4,FALSE))*Table4[[#This Row],[qty]]</f>
        <v>#N/A</v>
      </c>
      <c r="G8378" t="e">
        <f t="shared" si="1542"/>
        <v>#N/A</v>
      </c>
    </row>
    <row r="8379" spans="1:7" x14ac:dyDescent="0.25">
      <c r="A8379" s="1">
        <f t="shared" si="1541"/>
        <v>45488</v>
      </c>
      <c r="B8379" s="36"/>
      <c r="E8379" s="5" t="e">
        <f>Table4[[#This Row],[qty]]*(VLOOKUP(Table4[[#This Row],[item_sold]],Table1[],5,FALSE))</f>
        <v>#N/A</v>
      </c>
      <c r="F8379" s="5" t="e">
        <f>(VLOOKUP(Table4[[#This Row],[item_sold]],Table1[],4,FALSE))*Table4[[#This Row],[qty]]</f>
        <v>#N/A</v>
      </c>
      <c r="G8379" t="e">
        <f t="shared" si="1542"/>
        <v>#N/A</v>
      </c>
    </row>
    <row r="8380" spans="1:7" x14ac:dyDescent="0.25">
      <c r="A8380" s="1">
        <f t="shared" si="1541"/>
        <v>45488</v>
      </c>
      <c r="B8380" s="36"/>
      <c r="E8380" s="5" t="e">
        <f>Table4[[#This Row],[qty]]*(VLOOKUP(Table4[[#This Row],[item_sold]],Table1[],5,FALSE))</f>
        <v>#N/A</v>
      </c>
      <c r="F8380" s="5" t="e">
        <f>(VLOOKUP(Table4[[#This Row],[item_sold]],Table1[],4,FALSE))*Table4[[#This Row],[qty]]</f>
        <v>#N/A</v>
      </c>
      <c r="G8380" t="e">
        <f t="shared" si="1542"/>
        <v>#N/A</v>
      </c>
    </row>
    <row r="8381" spans="1:7" x14ac:dyDescent="0.25">
      <c r="A8381" s="1">
        <f t="shared" si="1541"/>
        <v>45488</v>
      </c>
      <c r="B8381" s="36"/>
      <c r="E8381" s="5" t="e">
        <f>Table4[[#This Row],[qty]]*(VLOOKUP(Table4[[#This Row],[item_sold]],Table1[],5,FALSE))</f>
        <v>#N/A</v>
      </c>
      <c r="F8381" s="5" t="e">
        <f>(VLOOKUP(Table4[[#This Row],[item_sold]],Table1[],4,FALSE))*Table4[[#This Row],[qty]]</f>
        <v>#N/A</v>
      </c>
      <c r="G8381" t="e">
        <f t="shared" si="1542"/>
        <v>#N/A</v>
      </c>
    </row>
    <row r="8382" spans="1:7" x14ac:dyDescent="0.25">
      <c r="A8382" s="1">
        <f t="shared" si="1541"/>
        <v>45488</v>
      </c>
      <c r="B8382" s="36"/>
      <c r="E8382" s="5" t="e">
        <f>Table4[[#This Row],[qty]]*(VLOOKUP(Table4[[#This Row],[item_sold]],Table1[],5,FALSE))</f>
        <v>#N/A</v>
      </c>
      <c r="F8382" s="5" t="e">
        <f>(VLOOKUP(Table4[[#This Row],[item_sold]],Table1[],4,FALSE))*Table4[[#This Row],[qty]]</f>
        <v>#N/A</v>
      </c>
      <c r="G8382" t="e">
        <f t="shared" si="1542"/>
        <v>#N/A</v>
      </c>
    </row>
    <row r="8383" spans="1:7" x14ac:dyDescent="0.25">
      <c r="A8383" s="1">
        <f t="shared" si="1541"/>
        <v>45488</v>
      </c>
      <c r="B8383" s="36"/>
      <c r="E8383" s="5" t="e">
        <f>Table4[[#This Row],[qty]]*(VLOOKUP(Table4[[#This Row],[item_sold]],Table1[],5,FALSE))</f>
        <v>#N/A</v>
      </c>
      <c r="F8383" s="5" t="e">
        <f>(VLOOKUP(Table4[[#This Row],[item_sold]],Table1[],4,FALSE))*Table4[[#This Row],[qty]]</f>
        <v>#N/A</v>
      </c>
      <c r="G8383" t="e">
        <f t="shared" si="1542"/>
        <v>#N/A</v>
      </c>
    </row>
    <row r="8384" spans="1:7" x14ac:dyDescent="0.25">
      <c r="A8384" s="1">
        <f t="shared" si="1541"/>
        <v>45488</v>
      </c>
      <c r="B8384" s="36"/>
      <c r="E8384" s="5" t="e">
        <f>Table4[[#This Row],[qty]]*(VLOOKUP(Table4[[#This Row],[item_sold]],Table1[],5,FALSE))</f>
        <v>#N/A</v>
      </c>
      <c r="F8384" s="5" t="e">
        <f>(VLOOKUP(Table4[[#This Row],[item_sold]],Table1[],4,FALSE))*Table4[[#This Row],[qty]]</f>
        <v>#N/A</v>
      </c>
      <c r="G8384" t="e">
        <f t="shared" si="1542"/>
        <v>#N/A</v>
      </c>
    </row>
    <row r="8385" spans="1:7" x14ac:dyDescent="0.25">
      <c r="A8385" s="1">
        <f t="shared" si="1541"/>
        <v>45488</v>
      </c>
      <c r="B8385" s="36"/>
      <c r="E8385" s="5" t="e">
        <f>Table4[[#This Row],[qty]]*(VLOOKUP(Table4[[#This Row],[item_sold]],Table1[],5,FALSE))</f>
        <v>#N/A</v>
      </c>
      <c r="F8385" s="5" t="e">
        <f>(VLOOKUP(Table4[[#This Row],[item_sold]],Table1[],4,FALSE))*Table4[[#This Row],[qty]]</f>
        <v>#N/A</v>
      </c>
      <c r="G8385" t="e">
        <f t="shared" si="1542"/>
        <v>#N/A</v>
      </c>
    </row>
    <row r="8386" spans="1:7" x14ac:dyDescent="0.25">
      <c r="A8386" s="1">
        <f t="shared" si="1541"/>
        <v>45488</v>
      </c>
      <c r="B8386" s="36"/>
      <c r="E8386" s="5" t="e">
        <f>Table4[[#This Row],[qty]]*(VLOOKUP(Table4[[#This Row],[item_sold]],Table1[],5,FALSE))</f>
        <v>#N/A</v>
      </c>
      <c r="F8386" s="5" t="e">
        <f>(VLOOKUP(Table4[[#This Row],[item_sold]],Table1[],4,FALSE))*Table4[[#This Row],[qty]]</f>
        <v>#N/A</v>
      </c>
      <c r="G8386" t="e">
        <f t="shared" si="1542"/>
        <v>#N/A</v>
      </c>
    </row>
    <row r="8387" spans="1:7" x14ac:dyDescent="0.25">
      <c r="A8387" s="1">
        <f t="shared" si="1541"/>
        <v>45488</v>
      </c>
      <c r="B8387" s="36"/>
      <c r="E8387" s="5" t="e">
        <f>Table4[[#This Row],[qty]]*(VLOOKUP(Table4[[#This Row],[item_sold]],Table1[],5,FALSE))</f>
        <v>#N/A</v>
      </c>
      <c r="F8387" s="5" t="e">
        <f>(VLOOKUP(Table4[[#This Row],[item_sold]],Table1[],4,FALSE))*Table4[[#This Row],[qty]]</f>
        <v>#N/A</v>
      </c>
      <c r="G8387" t="e">
        <f t="shared" si="1542"/>
        <v>#N/A</v>
      </c>
    </row>
    <row r="8388" spans="1:7" x14ac:dyDescent="0.25">
      <c r="A8388" s="1">
        <f t="shared" si="1541"/>
        <v>45488</v>
      </c>
      <c r="B8388" s="36"/>
      <c r="E8388" s="5" t="e">
        <f>Table4[[#This Row],[qty]]*(VLOOKUP(Table4[[#This Row],[item_sold]],Table1[],5,FALSE))</f>
        <v>#N/A</v>
      </c>
      <c r="F8388" s="5" t="e">
        <f>(VLOOKUP(Table4[[#This Row],[item_sold]],Table1[],4,FALSE))*Table4[[#This Row],[qty]]</f>
        <v>#N/A</v>
      </c>
      <c r="G8388" t="e">
        <f t="shared" si="1542"/>
        <v>#N/A</v>
      </c>
    </row>
    <row r="8389" spans="1:7" x14ac:dyDescent="0.25">
      <c r="A8389" s="1">
        <f t="shared" si="1541"/>
        <v>45488</v>
      </c>
      <c r="B8389" s="36"/>
      <c r="E8389" s="5" t="e">
        <f>Table4[[#This Row],[qty]]*(VLOOKUP(Table4[[#This Row],[item_sold]],Table1[],5,FALSE))</f>
        <v>#N/A</v>
      </c>
      <c r="F8389" s="5" t="e">
        <f>(VLOOKUP(Table4[[#This Row],[item_sold]],Table1[],4,FALSE))*Table4[[#This Row],[qty]]</f>
        <v>#N/A</v>
      </c>
      <c r="G8389" t="e">
        <f t="shared" si="1542"/>
        <v>#N/A</v>
      </c>
    </row>
    <row r="8390" spans="1:7" x14ac:dyDescent="0.25">
      <c r="A8390" s="1">
        <f t="shared" si="1541"/>
        <v>45488</v>
      </c>
      <c r="B8390" s="36"/>
      <c r="E8390" s="5" t="e">
        <f>Table4[[#This Row],[qty]]*(VLOOKUP(Table4[[#This Row],[item_sold]],Table1[],5,FALSE))</f>
        <v>#N/A</v>
      </c>
      <c r="F8390" s="5" t="e">
        <f>(VLOOKUP(Table4[[#This Row],[item_sold]],Table1[],4,FALSE))*Table4[[#This Row],[qty]]</f>
        <v>#N/A</v>
      </c>
      <c r="G8390" t="e">
        <f t="shared" si="1542"/>
        <v>#N/A</v>
      </c>
    </row>
    <row r="8391" spans="1:7" x14ac:dyDescent="0.25">
      <c r="A8391" s="1">
        <f t="shared" si="1541"/>
        <v>45488</v>
      </c>
      <c r="B8391" s="36"/>
      <c r="E8391" s="5" t="e">
        <f>Table4[[#This Row],[qty]]*(VLOOKUP(Table4[[#This Row],[item_sold]],Table1[],5,FALSE))</f>
        <v>#N/A</v>
      </c>
      <c r="F8391" s="5" t="e">
        <f>(VLOOKUP(Table4[[#This Row],[item_sold]],Table1[],4,FALSE))*Table4[[#This Row],[qty]]</f>
        <v>#N/A</v>
      </c>
      <c r="G8391" t="e">
        <f t="shared" si="1542"/>
        <v>#N/A</v>
      </c>
    </row>
    <row r="8392" spans="1:7" x14ac:dyDescent="0.25">
      <c r="A8392" s="1">
        <f t="shared" si="1541"/>
        <v>45488</v>
      </c>
      <c r="B8392" s="36"/>
      <c r="E8392" s="5" t="e">
        <f>Table4[[#This Row],[qty]]*(VLOOKUP(Table4[[#This Row],[item_sold]],Table1[],5,FALSE))</f>
        <v>#N/A</v>
      </c>
      <c r="F8392" s="5" t="e">
        <f>(VLOOKUP(Table4[[#This Row],[item_sold]],Table1[],4,FALSE))*Table4[[#This Row],[qty]]</f>
        <v>#N/A</v>
      </c>
      <c r="G8392" t="e">
        <f t="shared" si="1542"/>
        <v>#N/A</v>
      </c>
    </row>
    <row r="8393" spans="1:7" x14ac:dyDescent="0.25">
      <c r="A8393" s="1">
        <f t="shared" si="1541"/>
        <v>45488</v>
      </c>
      <c r="B8393" s="36"/>
      <c r="E8393" s="5" t="e">
        <f>Table4[[#This Row],[qty]]*(VLOOKUP(Table4[[#This Row],[item_sold]],Table1[],5,FALSE))</f>
        <v>#N/A</v>
      </c>
      <c r="F8393" s="5" t="e">
        <f>(VLOOKUP(Table4[[#This Row],[item_sold]],Table1[],4,FALSE))*Table4[[#This Row],[qty]]</f>
        <v>#N/A</v>
      </c>
      <c r="G8393" t="e">
        <f t="shared" si="1542"/>
        <v>#N/A</v>
      </c>
    </row>
    <row r="8394" spans="1:7" x14ac:dyDescent="0.25">
      <c r="A8394" s="1">
        <f t="shared" si="1541"/>
        <v>45488</v>
      </c>
      <c r="B8394" s="36"/>
      <c r="E8394" s="5" t="e">
        <f>Table4[[#This Row],[qty]]*(VLOOKUP(Table4[[#This Row],[item_sold]],Table1[],5,FALSE))</f>
        <v>#N/A</v>
      </c>
      <c r="F8394" s="5" t="e">
        <f>(VLOOKUP(Table4[[#This Row],[item_sold]],Table1[],4,FALSE))*Table4[[#This Row],[qty]]</f>
        <v>#N/A</v>
      </c>
      <c r="G8394" t="e">
        <f t="shared" si="1542"/>
        <v>#N/A</v>
      </c>
    </row>
    <row r="8395" spans="1:7" x14ac:dyDescent="0.25">
      <c r="A8395" s="1">
        <f t="shared" si="1541"/>
        <v>45488</v>
      </c>
      <c r="B8395" s="36"/>
      <c r="E8395" s="5" t="e">
        <f>Table4[[#This Row],[qty]]*(VLOOKUP(Table4[[#This Row],[item_sold]],Table1[],5,FALSE))</f>
        <v>#N/A</v>
      </c>
      <c r="F8395" s="5" t="e">
        <f>(VLOOKUP(Table4[[#This Row],[item_sold]],Table1[],4,FALSE))*Table4[[#This Row],[qty]]</f>
        <v>#N/A</v>
      </c>
      <c r="G8395" t="e">
        <f t="shared" si="1542"/>
        <v>#N/A</v>
      </c>
    </row>
    <row r="8396" spans="1:7" x14ac:dyDescent="0.25">
      <c r="A8396" s="1">
        <f t="shared" si="1541"/>
        <v>45488</v>
      </c>
      <c r="B8396" s="36"/>
      <c r="E8396" s="5" t="e">
        <f>Table4[[#This Row],[qty]]*(VLOOKUP(Table4[[#This Row],[item_sold]],Table1[],5,FALSE))</f>
        <v>#N/A</v>
      </c>
      <c r="F8396" s="5" t="e">
        <f>(VLOOKUP(Table4[[#This Row],[item_sold]],Table1[],4,FALSE))*Table4[[#This Row],[qty]]</f>
        <v>#N/A</v>
      </c>
      <c r="G8396" t="e">
        <f t="shared" si="1542"/>
        <v>#N/A</v>
      </c>
    </row>
    <row r="8397" spans="1:7" x14ac:dyDescent="0.25">
      <c r="A8397" s="1">
        <f t="shared" si="1541"/>
        <v>45488</v>
      </c>
      <c r="B8397" s="36"/>
      <c r="E8397" s="5" t="e">
        <f>Table4[[#This Row],[qty]]*(VLOOKUP(Table4[[#This Row],[item_sold]],Table1[],5,FALSE))</f>
        <v>#N/A</v>
      </c>
      <c r="F8397" s="5" t="e">
        <f>(VLOOKUP(Table4[[#This Row],[item_sold]],Table1[],4,FALSE))*Table4[[#This Row],[qty]]</f>
        <v>#N/A</v>
      </c>
      <c r="G8397" t="e">
        <f t="shared" si="1542"/>
        <v>#N/A</v>
      </c>
    </row>
    <row r="8398" spans="1:7" x14ac:dyDescent="0.25">
      <c r="A8398" s="1">
        <f t="shared" si="1541"/>
        <v>45488</v>
      </c>
      <c r="B8398" s="36"/>
      <c r="E8398" s="5" t="e">
        <f>Table4[[#This Row],[qty]]*(VLOOKUP(Table4[[#This Row],[item_sold]],Table1[],5,FALSE))</f>
        <v>#N/A</v>
      </c>
      <c r="F8398" s="5" t="e">
        <f>(VLOOKUP(Table4[[#This Row],[item_sold]],Table1[],4,FALSE))*Table4[[#This Row],[qty]]</f>
        <v>#N/A</v>
      </c>
      <c r="G8398" t="e">
        <f t="shared" si="1542"/>
        <v>#N/A</v>
      </c>
    </row>
    <row r="8399" spans="1:7" x14ac:dyDescent="0.25">
      <c r="A8399" s="1">
        <f t="shared" si="1541"/>
        <v>45488</v>
      </c>
      <c r="B8399" s="36"/>
      <c r="E8399" s="5" t="e">
        <f>Table4[[#This Row],[qty]]*(VLOOKUP(Table4[[#This Row],[item_sold]],Table1[],5,FALSE))</f>
        <v>#N/A</v>
      </c>
      <c r="F8399" s="5" t="e">
        <f>(VLOOKUP(Table4[[#This Row],[item_sold]],Table1[],4,FALSE))*Table4[[#This Row],[qty]]</f>
        <v>#N/A</v>
      </c>
      <c r="G8399" t="e">
        <f t="shared" si="1542"/>
        <v>#N/A</v>
      </c>
    </row>
    <row r="8400" spans="1:7" x14ac:dyDescent="0.25">
      <c r="A8400" s="1">
        <f t="shared" si="1541"/>
        <v>45488</v>
      </c>
      <c r="B8400" s="36"/>
      <c r="E8400" s="5" t="e">
        <f>Table4[[#This Row],[qty]]*(VLOOKUP(Table4[[#This Row],[item_sold]],Table1[],5,FALSE))</f>
        <v>#N/A</v>
      </c>
      <c r="F8400" s="5" t="e">
        <f>(VLOOKUP(Table4[[#This Row],[item_sold]],Table1[],4,FALSE))*Table4[[#This Row],[qty]]</f>
        <v>#N/A</v>
      </c>
      <c r="G8400" t="e">
        <f t="shared" si="1542"/>
        <v>#N/A</v>
      </c>
    </row>
    <row r="8401" spans="1:7" x14ac:dyDescent="0.25">
      <c r="A8401" s="1">
        <f t="shared" si="1541"/>
        <v>45488</v>
      </c>
      <c r="B8401" s="36"/>
      <c r="E8401" s="5" t="e">
        <f>Table4[[#This Row],[qty]]*(VLOOKUP(Table4[[#This Row],[item_sold]],Table1[],5,FALSE))</f>
        <v>#N/A</v>
      </c>
      <c r="F8401" s="5" t="e">
        <f>(VLOOKUP(Table4[[#This Row],[item_sold]],Table1[],4,FALSE))*Table4[[#This Row],[qty]]</f>
        <v>#N/A</v>
      </c>
      <c r="G8401" t="e">
        <f t="shared" si="1542"/>
        <v>#N/A</v>
      </c>
    </row>
    <row r="8402" spans="1:7" x14ac:dyDescent="0.25">
      <c r="A8402" s="1">
        <f t="shared" si="1541"/>
        <v>45488</v>
      </c>
      <c r="B8402" s="36"/>
      <c r="E8402" s="5" t="e">
        <f>Table4[[#This Row],[qty]]*(VLOOKUP(Table4[[#This Row],[item_sold]],Table1[],5,FALSE))</f>
        <v>#N/A</v>
      </c>
      <c r="F8402" s="5" t="e">
        <f>(VLOOKUP(Table4[[#This Row],[item_sold]],Table1[],4,FALSE))*Table4[[#This Row],[qty]]</f>
        <v>#N/A</v>
      </c>
      <c r="G8402" t="e">
        <f t="shared" si="1542"/>
        <v>#N/A</v>
      </c>
    </row>
    <row r="8403" spans="1:7" x14ac:dyDescent="0.25">
      <c r="A8403" s="1">
        <f t="shared" si="1541"/>
        <v>45488</v>
      </c>
      <c r="B8403" s="36"/>
      <c r="E8403" s="5" t="e">
        <f>Table4[[#This Row],[qty]]*(VLOOKUP(Table4[[#This Row],[item_sold]],Table1[],5,FALSE))</f>
        <v>#N/A</v>
      </c>
      <c r="F8403" s="5" t="e">
        <f>(VLOOKUP(Table4[[#This Row],[item_sold]],Table1[],4,FALSE))*Table4[[#This Row],[qty]]</f>
        <v>#N/A</v>
      </c>
      <c r="G8403" t="e">
        <f t="shared" si="1542"/>
        <v>#N/A</v>
      </c>
    </row>
    <row r="8404" spans="1:7" x14ac:dyDescent="0.25">
      <c r="A8404" s="1">
        <f t="shared" ref="A8404:A8467" si="1543">DATE(2024,7,15)</f>
        <v>45488</v>
      </c>
      <c r="B8404" s="36"/>
      <c r="E8404" s="5" t="e">
        <f>Table4[[#This Row],[qty]]*(VLOOKUP(Table4[[#This Row],[item_sold]],Table1[],5,FALSE))</f>
        <v>#N/A</v>
      </c>
      <c r="F8404" s="5" t="e">
        <f>(VLOOKUP(Table4[[#This Row],[item_sold]],Table1[],4,FALSE))*Table4[[#This Row],[qty]]</f>
        <v>#N/A</v>
      </c>
      <c r="G8404" t="e">
        <f t="shared" ref="G8404:G8467" si="1544">E8404-F8404</f>
        <v>#N/A</v>
      </c>
    </row>
    <row r="8405" spans="1:7" x14ac:dyDescent="0.25">
      <c r="A8405" s="1">
        <f t="shared" si="1543"/>
        <v>45488</v>
      </c>
      <c r="B8405" s="36"/>
      <c r="E8405" s="5" t="e">
        <f>Table4[[#This Row],[qty]]*(VLOOKUP(Table4[[#This Row],[item_sold]],Table1[],5,FALSE))</f>
        <v>#N/A</v>
      </c>
      <c r="F8405" s="5" t="e">
        <f>(VLOOKUP(Table4[[#This Row],[item_sold]],Table1[],4,FALSE))*Table4[[#This Row],[qty]]</f>
        <v>#N/A</v>
      </c>
      <c r="G8405" t="e">
        <f t="shared" si="1544"/>
        <v>#N/A</v>
      </c>
    </row>
    <row r="8406" spans="1:7" x14ac:dyDescent="0.25">
      <c r="A8406" s="1">
        <f t="shared" si="1543"/>
        <v>45488</v>
      </c>
      <c r="B8406" s="36"/>
      <c r="E8406" s="5" t="e">
        <f>Table4[[#This Row],[qty]]*(VLOOKUP(Table4[[#This Row],[item_sold]],Table1[],5,FALSE))</f>
        <v>#N/A</v>
      </c>
      <c r="F8406" s="5" t="e">
        <f>(VLOOKUP(Table4[[#This Row],[item_sold]],Table1[],4,FALSE))*Table4[[#This Row],[qty]]</f>
        <v>#N/A</v>
      </c>
      <c r="G8406" t="e">
        <f t="shared" si="1544"/>
        <v>#N/A</v>
      </c>
    </row>
    <row r="8407" spans="1:7" x14ac:dyDescent="0.25">
      <c r="A8407" s="1">
        <f t="shared" si="1543"/>
        <v>45488</v>
      </c>
      <c r="B8407" s="36"/>
      <c r="E8407" s="5" t="e">
        <f>Table4[[#This Row],[qty]]*(VLOOKUP(Table4[[#This Row],[item_sold]],Table1[],5,FALSE))</f>
        <v>#N/A</v>
      </c>
      <c r="F8407" s="5" t="e">
        <f>(VLOOKUP(Table4[[#This Row],[item_sold]],Table1[],4,FALSE))*Table4[[#This Row],[qty]]</f>
        <v>#N/A</v>
      </c>
      <c r="G8407" t="e">
        <f t="shared" si="1544"/>
        <v>#N/A</v>
      </c>
    </row>
    <row r="8408" spans="1:7" x14ac:dyDescent="0.25">
      <c r="A8408" s="1">
        <f t="shared" si="1543"/>
        <v>45488</v>
      </c>
      <c r="B8408" s="36"/>
      <c r="E8408" s="5" t="e">
        <f>Table4[[#This Row],[qty]]*(VLOOKUP(Table4[[#This Row],[item_sold]],Table1[],5,FALSE))</f>
        <v>#N/A</v>
      </c>
      <c r="F8408" s="5" t="e">
        <f>(VLOOKUP(Table4[[#This Row],[item_sold]],Table1[],4,FALSE))*Table4[[#This Row],[qty]]</f>
        <v>#N/A</v>
      </c>
      <c r="G8408" t="e">
        <f t="shared" si="1544"/>
        <v>#N/A</v>
      </c>
    </row>
    <row r="8409" spans="1:7" x14ac:dyDescent="0.25">
      <c r="A8409" s="1">
        <f t="shared" si="1543"/>
        <v>45488</v>
      </c>
      <c r="B8409" s="36"/>
      <c r="E8409" s="5" t="e">
        <f>Table4[[#This Row],[qty]]*(VLOOKUP(Table4[[#This Row],[item_sold]],Table1[],5,FALSE))</f>
        <v>#N/A</v>
      </c>
      <c r="F8409" s="5" t="e">
        <f>(VLOOKUP(Table4[[#This Row],[item_sold]],Table1[],4,FALSE))*Table4[[#This Row],[qty]]</f>
        <v>#N/A</v>
      </c>
      <c r="G8409" t="e">
        <f t="shared" si="1544"/>
        <v>#N/A</v>
      </c>
    </row>
    <row r="8410" spans="1:7" x14ac:dyDescent="0.25">
      <c r="A8410" s="1">
        <f t="shared" si="1543"/>
        <v>45488</v>
      </c>
      <c r="B8410" s="36"/>
      <c r="E8410" s="5" t="e">
        <f>Table4[[#This Row],[qty]]*(VLOOKUP(Table4[[#This Row],[item_sold]],Table1[],5,FALSE))</f>
        <v>#N/A</v>
      </c>
      <c r="F8410" s="5" t="e">
        <f>(VLOOKUP(Table4[[#This Row],[item_sold]],Table1[],4,FALSE))*Table4[[#This Row],[qty]]</f>
        <v>#N/A</v>
      </c>
      <c r="G8410" t="e">
        <f t="shared" si="1544"/>
        <v>#N/A</v>
      </c>
    </row>
    <row r="8411" spans="1:7" x14ac:dyDescent="0.25">
      <c r="A8411" s="1">
        <f t="shared" si="1543"/>
        <v>45488</v>
      </c>
      <c r="B8411" s="36"/>
      <c r="E8411" s="5" t="e">
        <f>Table4[[#This Row],[qty]]*(VLOOKUP(Table4[[#This Row],[item_sold]],Table1[],5,FALSE))</f>
        <v>#N/A</v>
      </c>
      <c r="F8411" s="5" t="e">
        <f>(VLOOKUP(Table4[[#This Row],[item_sold]],Table1[],4,FALSE))*Table4[[#This Row],[qty]]</f>
        <v>#N/A</v>
      </c>
      <c r="G8411" t="e">
        <f t="shared" si="1544"/>
        <v>#N/A</v>
      </c>
    </row>
    <row r="8412" spans="1:7" x14ac:dyDescent="0.25">
      <c r="A8412" s="1">
        <f t="shared" si="1543"/>
        <v>45488</v>
      </c>
      <c r="B8412" s="36"/>
      <c r="E8412" s="5" t="e">
        <f>Table4[[#This Row],[qty]]*(VLOOKUP(Table4[[#This Row],[item_sold]],Table1[],5,FALSE))</f>
        <v>#N/A</v>
      </c>
      <c r="F8412" s="5" t="e">
        <f>(VLOOKUP(Table4[[#This Row],[item_sold]],Table1[],4,FALSE))*Table4[[#This Row],[qty]]</f>
        <v>#N/A</v>
      </c>
      <c r="G8412" t="e">
        <f t="shared" si="1544"/>
        <v>#N/A</v>
      </c>
    </row>
    <row r="8413" spans="1:7" x14ac:dyDescent="0.25">
      <c r="A8413" s="1">
        <f t="shared" si="1543"/>
        <v>45488</v>
      </c>
      <c r="B8413" s="36"/>
      <c r="E8413" s="5" t="e">
        <f>Table4[[#This Row],[qty]]*(VLOOKUP(Table4[[#This Row],[item_sold]],Table1[],5,FALSE))</f>
        <v>#N/A</v>
      </c>
      <c r="F8413" s="5" t="e">
        <f>(VLOOKUP(Table4[[#This Row],[item_sold]],Table1[],4,FALSE))*Table4[[#This Row],[qty]]</f>
        <v>#N/A</v>
      </c>
      <c r="G8413" t="e">
        <f t="shared" si="1544"/>
        <v>#N/A</v>
      </c>
    </row>
    <row r="8414" spans="1:7" x14ac:dyDescent="0.25">
      <c r="A8414" s="1">
        <f t="shared" si="1543"/>
        <v>45488</v>
      </c>
      <c r="B8414" s="36"/>
      <c r="E8414" s="5" t="e">
        <f>Table4[[#This Row],[qty]]*(VLOOKUP(Table4[[#This Row],[item_sold]],Table1[],5,FALSE))</f>
        <v>#N/A</v>
      </c>
      <c r="F8414" s="5" t="e">
        <f>(VLOOKUP(Table4[[#This Row],[item_sold]],Table1[],4,FALSE))*Table4[[#This Row],[qty]]</f>
        <v>#N/A</v>
      </c>
      <c r="G8414" t="e">
        <f t="shared" si="1544"/>
        <v>#N/A</v>
      </c>
    </row>
    <row r="8415" spans="1:7" x14ac:dyDescent="0.25">
      <c r="A8415" s="1">
        <f t="shared" si="1543"/>
        <v>45488</v>
      </c>
      <c r="B8415" s="36"/>
      <c r="E8415" s="5" t="e">
        <f>Table4[[#This Row],[qty]]*(VLOOKUP(Table4[[#This Row],[item_sold]],Table1[],5,FALSE))</f>
        <v>#N/A</v>
      </c>
      <c r="F8415" s="5" t="e">
        <f>(VLOOKUP(Table4[[#This Row],[item_sold]],Table1[],4,FALSE))*Table4[[#This Row],[qty]]</f>
        <v>#N/A</v>
      </c>
      <c r="G8415" t="e">
        <f t="shared" si="1544"/>
        <v>#N/A</v>
      </c>
    </row>
    <row r="8416" spans="1:7" x14ac:dyDescent="0.25">
      <c r="A8416" s="1">
        <f t="shared" si="1543"/>
        <v>45488</v>
      </c>
      <c r="B8416" s="36"/>
      <c r="E8416" s="5" t="e">
        <f>Table4[[#This Row],[qty]]*(VLOOKUP(Table4[[#This Row],[item_sold]],Table1[],5,FALSE))</f>
        <v>#N/A</v>
      </c>
      <c r="F8416" s="5" t="e">
        <f>(VLOOKUP(Table4[[#This Row],[item_sold]],Table1[],4,FALSE))*Table4[[#This Row],[qty]]</f>
        <v>#N/A</v>
      </c>
      <c r="G8416" t="e">
        <f t="shared" si="1544"/>
        <v>#N/A</v>
      </c>
    </row>
    <row r="8417" spans="1:7" x14ac:dyDescent="0.25">
      <c r="A8417" s="1">
        <f t="shared" si="1543"/>
        <v>45488</v>
      </c>
      <c r="B8417" s="36"/>
      <c r="E8417" s="5" t="e">
        <f>Table4[[#This Row],[qty]]*(VLOOKUP(Table4[[#This Row],[item_sold]],Table1[],5,FALSE))</f>
        <v>#N/A</v>
      </c>
      <c r="F8417" s="5" t="e">
        <f>(VLOOKUP(Table4[[#This Row],[item_sold]],Table1[],4,FALSE))*Table4[[#This Row],[qty]]</f>
        <v>#N/A</v>
      </c>
      <c r="G8417" t="e">
        <f t="shared" si="1544"/>
        <v>#N/A</v>
      </c>
    </row>
    <row r="8418" spans="1:7" x14ac:dyDescent="0.25">
      <c r="A8418" s="1">
        <f t="shared" si="1543"/>
        <v>45488</v>
      </c>
      <c r="B8418" s="36"/>
      <c r="E8418" s="5" t="e">
        <f>Table4[[#This Row],[qty]]*(VLOOKUP(Table4[[#This Row],[item_sold]],Table1[],5,FALSE))</f>
        <v>#N/A</v>
      </c>
      <c r="F8418" s="5" t="e">
        <f>(VLOOKUP(Table4[[#This Row],[item_sold]],Table1[],4,FALSE))*Table4[[#This Row],[qty]]</f>
        <v>#N/A</v>
      </c>
      <c r="G8418" t="e">
        <f t="shared" si="1544"/>
        <v>#N/A</v>
      </c>
    </row>
    <row r="8419" spans="1:7" x14ac:dyDescent="0.25">
      <c r="A8419" s="1">
        <f t="shared" si="1543"/>
        <v>45488</v>
      </c>
      <c r="B8419" s="36"/>
      <c r="E8419" s="5" t="e">
        <f>Table4[[#This Row],[qty]]*(VLOOKUP(Table4[[#This Row],[item_sold]],Table1[],5,FALSE))</f>
        <v>#N/A</v>
      </c>
      <c r="F8419" s="5" t="e">
        <f>(VLOOKUP(Table4[[#This Row],[item_sold]],Table1[],4,FALSE))*Table4[[#This Row],[qty]]</f>
        <v>#N/A</v>
      </c>
      <c r="G8419" t="e">
        <f t="shared" si="1544"/>
        <v>#N/A</v>
      </c>
    </row>
    <row r="8420" spans="1:7" x14ac:dyDescent="0.25">
      <c r="A8420" s="1">
        <f t="shared" si="1543"/>
        <v>45488</v>
      </c>
      <c r="B8420" s="36"/>
      <c r="E8420" s="5" t="e">
        <f>Table4[[#This Row],[qty]]*(VLOOKUP(Table4[[#This Row],[item_sold]],Table1[],5,FALSE))</f>
        <v>#N/A</v>
      </c>
      <c r="F8420" s="5" t="e">
        <f>(VLOOKUP(Table4[[#This Row],[item_sold]],Table1[],4,FALSE))*Table4[[#This Row],[qty]]</f>
        <v>#N/A</v>
      </c>
      <c r="G8420" t="e">
        <f t="shared" si="1544"/>
        <v>#N/A</v>
      </c>
    </row>
    <row r="8421" spans="1:7" x14ac:dyDescent="0.25">
      <c r="A8421" s="1">
        <f t="shared" si="1543"/>
        <v>45488</v>
      </c>
      <c r="B8421" s="36"/>
      <c r="E8421" s="5" t="e">
        <f>Table4[[#This Row],[qty]]*(VLOOKUP(Table4[[#This Row],[item_sold]],Table1[],5,FALSE))</f>
        <v>#N/A</v>
      </c>
      <c r="F8421" s="5" t="e">
        <f>(VLOOKUP(Table4[[#This Row],[item_sold]],Table1[],4,FALSE))*Table4[[#This Row],[qty]]</f>
        <v>#N/A</v>
      </c>
      <c r="G8421" t="e">
        <f t="shared" si="1544"/>
        <v>#N/A</v>
      </c>
    </row>
    <row r="8422" spans="1:7" x14ac:dyDescent="0.25">
      <c r="A8422" s="1">
        <f t="shared" si="1543"/>
        <v>45488</v>
      </c>
      <c r="B8422" s="36"/>
      <c r="E8422" s="5" t="e">
        <f>Table4[[#This Row],[qty]]*(VLOOKUP(Table4[[#This Row],[item_sold]],Table1[],5,FALSE))</f>
        <v>#N/A</v>
      </c>
      <c r="F8422" s="5" t="e">
        <f>(VLOOKUP(Table4[[#This Row],[item_sold]],Table1[],4,FALSE))*Table4[[#This Row],[qty]]</f>
        <v>#N/A</v>
      </c>
      <c r="G8422" t="e">
        <f t="shared" si="1544"/>
        <v>#N/A</v>
      </c>
    </row>
    <row r="8423" spans="1:7" x14ac:dyDescent="0.25">
      <c r="A8423" s="1">
        <f t="shared" si="1543"/>
        <v>45488</v>
      </c>
      <c r="B8423" s="36"/>
      <c r="E8423" s="5" t="e">
        <f>Table4[[#This Row],[qty]]*(VLOOKUP(Table4[[#This Row],[item_sold]],Table1[],5,FALSE))</f>
        <v>#N/A</v>
      </c>
      <c r="F8423" s="5" t="e">
        <f>(VLOOKUP(Table4[[#This Row],[item_sold]],Table1[],4,FALSE))*Table4[[#This Row],[qty]]</f>
        <v>#N/A</v>
      </c>
      <c r="G8423" t="e">
        <f t="shared" si="1544"/>
        <v>#N/A</v>
      </c>
    </row>
    <row r="8424" spans="1:7" x14ac:dyDescent="0.25">
      <c r="A8424" s="1">
        <f t="shared" si="1543"/>
        <v>45488</v>
      </c>
      <c r="B8424" s="36"/>
      <c r="E8424" s="5" t="e">
        <f>Table4[[#This Row],[qty]]*(VLOOKUP(Table4[[#This Row],[item_sold]],Table1[],5,FALSE))</f>
        <v>#N/A</v>
      </c>
      <c r="F8424" s="5" t="e">
        <f>(VLOOKUP(Table4[[#This Row],[item_sold]],Table1[],4,FALSE))*Table4[[#This Row],[qty]]</f>
        <v>#N/A</v>
      </c>
      <c r="G8424" t="e">
        <f t="shared" si="1544"/>
        <v>#N/A</v>
      </c>
    </row>
    <row r="8425" spans="1:7" x14ac:dyDescent="0.25">
      <c r="A8425" s="1">
        <f t="shared" si="1543"/>
        <v>45488</v>
      </c>
      <c r="B8425" s="36"/>
      <c r="E8425" s="5" t="e">
        <f>Table4[[#This Row],[qty]]*(VLOOKUP(Table4[[#This Row],[item_sold]],Table1[],5,FALSE))</f>
        <v>#N/A</v>
      </c>
      <c r="F8425" s="5" t="e">
        <f>(VLOOKUP(Table4[[#This Row],[item_sold]],Table1[],4,FALSE))*Table4[[#This Row],[qty]]</f>
        <v>#N/A</v>
      </c>
      <c r="G8425" t="e">
        <f t="shared" si="1544"/>
        <v>#N/A</v>
      </c>
    </row>
    <row r="8426" spans="1:7" x14ac:dyDescent="0.25">
      <c r="A8426" s="1">
        <f t="shared" si="1543"/>
        <v>45488</v>
      </c>
      <c r="B8426" s="36"/>
      <c r="E8426" s="5" t="e">
        <f>Table4[[#This Row],[qty]]*(VLOOKUP(Table4[[#This Row],[item_sold]],Table1[],5,FALSE))</f>
        <v>#N/A</v>
      </c>
      <c r="F8426" s="5" t="e">
        <f>(VLOOKUP(Table4[[#This Row],[item_sold]],Table1[],4,FALSE))*Table4[[#This Row],[qty]]</f>
        <v>#N/A</v>
      </c>
      <c r="G8426" t="e">
        <f t="shared" si="1544"/>
        <v>#N/A</v>
      </c>
    </row>
    <row r="8427" spans="1:7" x14ac:dyDescent="0.25">
      <c r="A8427" s="1">
        <f t="shared" si="1543"/>
        <v>45488</v>
      </c>
      <c r="B8427" s="36"/>
      <c r="E8427" s="5" t="e">
        <f>Table4[[#This Row],[qty]]*(VLOOKUP(Table4[[#This Row],[item_sold]],Table1[],5,FALSE))</f>
        <v>#N/A</v>
      </c>
      <c r="F8427" s="5" t="e">
        <f>(VLOOKUP(Table4[[#This Row],[item_sold]],Table1[],4,FALSE))*Table4[[#This Row],[qty]]</f>
        <v>#N/A</v>
      </c>
      <c r="G8427" t="e">
        <f t="shared" si="1544"/>
        <v>#N/A</v>
      </c>
    </row>
    <row r="8428" spans="1:7" x14ac:dyDescent="0.25">
      <c r="A8428" s="1">
        <f t="shared" si="1543"/>
        <v>45488</v>
      </c>
      <c r="B8428" s="36"/>
      <c r="E8428" s="5" t="e">
        <f>Table4[[#This Row],[qty]]*(VLOOKUP(Table4[[#This Row],[item_sold]],Table1[],5,FALSE))</f>
        <v>#N/A</v>
      </c>
      <c r="F8428" s="5" t="e">
        <f>(VLOOKUP(Table4[[#This Row],[item_sold]],Table1[],4,FALSE))*Table4[[#This Row],[qty]]</f>
        <v>#N/A</v>
      </c>
      <c r="G8428" t="e">
        <f t="shared" si="1544"/>
        <v>#N/A</v>
      </c>
    </row>
    <row r="8429" spans="1:7" x14ac:dyDescent="0.25">
      <c r="A8429" s="1">
        <f t="shared" si="1543"/>
        <v>45488</v>
      </c>
      <c r="B8429" s="36"/>
      <c r="E8429" s="5" t="e">
        <f>Table4[[#This Row],[qty]]*(VLOOKUP(Table4[[#This Row],[item_sold]],Table1[],5,FALSE))</f>
        <v>#N/A</v>
      </c>
      <c r="F8429" s="5" t="e">
        <f>(VLOOKUP(Table4[[#This Row],[item_sold]],Table1[],4,FALSE))*Table4[[#This Row],[qty]]</f>
        <v>#N/A</v>
      </c>
      <c r="G8429" t="e">
        <f t="shared" si="1544"/>
        <v>#N/A</v>
      </c>
    </row>
    <row r="8430" spans="1:7" x14ac:dyDescent="0.25">
      <c r="A8430" s="1">
        <f t="shared" si="1543"/>
        <v>45488</v>
      </c>
      <c r="B8430" s="36"/>
      <c r="E8430" s="5" t="e">
        <f>Table4[[#This Row],[qty]]*(VLOOKUP(Table4[[#This Row],[item_sold]],Table1[],5,FALSE))</f>
        <v>#N/A</v>
      </c>
      <c r="F8430" s="5" t="e">
        <f>(VLOOKUP(Table4[[#This Row],[item_sold]],Table1[],4,FALSE))*Table4[[#This Row],[qty]]</f>
        <v>#N/A</v>
      </c>
      <c r="G8430" t="e">
        <f t="shared" si="1544"/>
        <v>#N/A</v>
      </c>
    </row>
    <row r="8431" spans="1:7" x14ac:dyDescent="0.25">
      <c r="A8431" s="1">
        <f t="shared" si="1543"/>
        <v>45488</v>
      </c>
      <c r="B8431" s="36"/>
      <c r="E8431" s="5" t="e">
        <f>Table4[[#This Row],[qty]]*(VLOOKUP(Table4[[#This Row],[item_sold]],Table1[],5,FALSE))</f>
        <v>#N/A</v>
      </c>
      <c r="F8431" s="5" t="e">
        <f>(VLOOKUP(Table4[[#This Row],[item_sold]],Table1[],4,FALSE))*Table4[[#This Row],[qty]]</f>
        <v>#N/A</v>
      </c>
      <c r="G8431" t="e">
        <f t="shared" si="1544"/>
        <v>#N/A</v>
      </c>
    </row>
    <row r="8432" spans="1:7" x14ac:dyDescent="0.25">
      <c r="A8432" s="1">
        <f t="shared" si="1543"/>
        <v>45488</v>
      </c>
      <c r="B8432" s="36"/>
      <c r="E8432" s="5" t="e">
        <f>Table4[[#This Row],[qty]]*(VLOOKUP(Table4[[#This Row],[item_sold]],Table1[],5,FALSE))</f>
        <v>#N/A</v>
      </c>
      <c r="F8432" s="5" t="e">
        <f>(VLOOKUP(Table4[[#This Row],[item_sold]],Table1[],4,FALSE))*Table4[[#This Row],[qty]]</f>
        <v>#N/A</v>
      </c>
      <c r="G8432" t="e">
        <f t="shared" si="1544"/>
        <v>#N/A</v>
      </c>
    </row>
    <row r="8433" spans="1:7" x14ac:dyDescent="0.25">
      <c r="A8433" s="1">
        <f t="shared" si="1543"/>
        <v>45488</v>
      </c>
      <c r="B8433" s="36"/>
      <c r="E8433" s="5" t="e">
        <f>Table4[[#This Row],[qty]]*(VLOOKUP(Table4[[#This Row],[item_sold]],Table1[],5,FALSE))</f>
        <v>#N/A</v>
      </c>
      <c r="F8433" s="5" t="e">
        <f>(VLOOKUP(Table4[[#This Row],[item_sold]],Table1[],4,FALSE))*Table4[[#This Row],[qty]]</f>
        <v>#N/A</v>
      </c>
      <c r="G8433" t="e">
        <f t="shared" si="1544"/>
        <v>#N/A</v>
      </c>
    </row>
    <row r="8434" spans="1:7" x14ac:dyDescent="0.25">
      <c r="A8434" s="1">
        <f t="shared" si="1543"/>
        <v>45488</v>
      </c>
      <c r="B8434" s="36"/>
      <c r="E8434" s="5" t="e">
        <f>Table4[[#This Row],[qty]]*(VLOOKUP(Table4[[#This Row],[item_sold]],Table1[],5,FALSE))</f>
        <v>#N/A</v>
      </c>
      <c r="F8434" s="5" t="e">
        <f>(VLOOKUP(Table4[[#This Row],[item_sold]],Table1[],4,FALSE))*Table4[[#This Row],[qty]]</f>
        <v>#N/A</v>
      </c>
      <c r="G8434" t="e">
        <f t="shared" si="1544"/>
        <v>#N/A</v>
      </c>
    </row>
    <row r="8435" spans="1:7" x14ac:dyDescent="0.25">
      <c r="A8435" s="1">
        <f t="shared" si="1543"/>
        <v>45488</v>
      </c>
      <c r="B8435" s="36"/>
      <c r="E8435" s="5" t="e">
        <f>Table4[[#This Row],[qty]]*(VLOOKUP(Table4[[#This Row],[item_sold]],Table1[],5,FALSE))</f>
        <v>#N/A</v>
      </c>
      <c r="F8435" s="5" t="e">
        <f>(VLOOKUP(Table4[[#This Row],[item_sold]],Table1[],4,FALSE))*Table4[[#This Row],[qty]]</f>
        <v>#N/A</v>
      </c>
      <c r="G8435" t="e">
        <f t="shared" si="1544"/>
        <v>#N/A</v>
      </c>
    </row>
    <row r="8436" spans="1:7" x14ac:dyDescent="0.25">
      <c r="A8436" s="1">
        <f t="shared" si="1543"/>
        <v>45488</v>
      </c>
      <c r="B8436" s="36"/>
      <c r="E8436" s="5" t="e">
        <f>Table4[[#This Row],[qty]]*(VLOOKUP(Table4[[#This Row],[item_sold]],Table1[],5,FALSE))</f>
        <v>#N/A</v>
      </c>
      <c r="F8436" s="5" t="e">
        <f>(VLOOKUP(Table4[[#This Row],[item_sold]],Table1[],4,FALSE))*Table4[[#This Row],[qty]]</f>
        <v>#N/A</v>
      </c>
      <c r="G8436" t="e">
        <f t="shared" si="1544"/>
        <v>#N/A</v>
      </c>
    </row>
    <row r="8437" spans="1:7" x14ac:dyDescent="0.25">
      <c r="A8437" s="1">
        <f t="shared" si="1543"/>
        <v>45488</v>
      </c>
      <c r="B8437" s="36"/>
      <c r="E8437" s="5" t="e">
        <f>Table4[[#This Row],[qty]]*(VLOOKUP(Table4[[#This Row],[item_sold]],Table1[],5,FALSE))</f>
        <v>#N/A</v>
      </c>
      <c r="F8437" s="5" t="e">
        <f>(VLOOKUP(Table4[[#This Row],[item_sold]],Table1[],4,FALSE))*Table4[[#This Row],[qty]]</f>
        <v>#N/A</v>
      </c>
      <c r="G8437" t="e">
        <f t="shared" si="1544"/>
        <v>#N/A</v>
      </c>
    </row>
    <row r="8438" spans="1:7" x14ac:dyDescent="0.25">
      <c r="A8438" s="1">
        <f t="shared" si="1543"/>
        <v>45488</v>
      </c>
      <c r="B8438" s="36"/>
      <c r="E8438" s="5" t="e">
        <f>Table4[[#This Row],[qty]]*(VLOOKUP(Table4[[#This Row],[item_sold]],Table1[],5,FALSE))</f>
        <v>#N/A</v>
      </c>
      <c r="F8438" s="5" t="e">
        <f>(VLOOKUP(Table4[[#This Row],[item_sold]],Table1[],4,FALSE))*Table4[[#This Row],[qty]]</f>
        <v>#N/A</v>
      </c>
      <c r="G8438" t="e">
        <f t="shared" si="1544"/>
        <v>#N/A</v>
      </c>
    </row>
    <row r="8439" spans="1:7" x14ac:dyDescent="0.25">
      <c r="A8439" s="1">
        <f t="shared" si="1543"/>
        <v>45488</v>
      </c>
      <c r="B8439" s="36"/>
      <c r="E8439" s="5" t="e">
        <f>Table4[[#This Row],[qty]]*(VLOOKUP(Table4[[#This Row],[item_sold]],Table1[],5,FALSE))</f>
        <v>#N/A</v>
      </c>
      <c r="F8439" s="5" t="e">
        <f>(VLOOKUP(Table4[[#This Row],[item_sold]],Table1[],4,FALSE))*Table4[[#This Row],[qty]]</f>
        <v>#N/A</v>
      </c>
      <c r="G8439" t="e">
        <f t="shared" si="1544"/>
        <v>#N/A</v>
      </c>
    </row>
    <row r="8440" spans="1:7" x14ac:dyDescent="0.25">
      <c r="A8440" s="1">
        <f t="shared" si="1543"/>
        <v>45488</v>
      </c>
      <c r="B8440" s="36"/>
      <c r="E8440" s="5" t="e">
        <f>Table4[[#This Row],[qty]]*(VLOOKUP(Table4[[#This Row],[item_sold]],Table1[],5,FALSE))</f>
        <v>#N/A</v>
      </c>
      <c r="F8440" s="5" t="e">
        <f>(VLOOKUP(Table4[[#This Row],[item_sold]],Table1[],4,FALSE))*Table4[[#This Row],[qty]]</f>
        <v>#N/A</v>
      </c>
      <c r="G8440" t="e">
        <f t="shared" si="1544"/>
        <v>#N/A</v>
      </c>
    </row>
    <row r="8441" spans="1:7" x14ac:dyDescent="0.25">
      <c r="A8441" s="1">
        <f t="shared" si="1543"/>
        <v>45488</v>
      </c>
      <c r="B8441" s="36"/>
      <c r="E8441" s="5" t="e">
        <f>Table4[[#This Row],[qty]]*(VLOOKUP(Table4[[#This Row],[item_sold]],Table1[],5,FALSE))</f>
        <v>#N/A</v>
      </c>
      <c r="F8441" s="5" t="e">
        <f>(VLOOKUP(Table4[[#This Row],[item_sold]],Table1[],4,FALSE))*Table4[[#This Row],[qty]]</f>
        <v>#N/A</v>
      </c>
      <c r="G8441" t="e">
        <f t="shared" si="1544"/>
        <v>#N/A</v>
      </c>
    </row>
    <row r="8442" spans="1:7" x14ac:dyDescent="0.25">
      <c r="A8442" s="1">
        <f t="shared" si="1543"/>
        <v>45488</v>
      </c>
      <c r="B8442" s="36"/>
      <c r="E8442" s="5" t="e">
        <f>Table4[[#This Row],[qty]]*(VLOOKUP(Table4[[#This Row],[item_sold]],Table1[],5,FALSE))</f>
        <v>#N/A</v>
      </c>
      <c r="F8442" s="5" t="e">
        <f>(VLOOKUP(Table4[[#This Row],[item_sold]],Table1[],4,FALSE))*Table4[[#This Row],[qty]]</f>
        <v>#N/A</v>
      </c>
      <c r="G8442" t="e">
        <f t="shared" si="1544"/>
        <v>#N/A</v>
      </c>
    </row>
    <row r="8443" spans="1:7" x14ac:dyDescent="0.25">
      <c r="A8443" s="1">
        <f t="shared" si="1543"/>
        <v>45488</v>
      </c>
      <c r="B8443" s="36"/>
      <c r="E8443" s="5" t="e">
        <f>Table4[[#This Row],[qty]]*(VLOOKUP(Table4[[#This Row],[item_sold]],Table1[],5,FALSE))</f>
        <v>#N/A</v>
      </c>
      <c r="F8443" s="5" t="e">
        <f>(VLOOKUP(Table4[[#This Row],[item_sold]],Table1[],4,FALSE))*Table4[[#This Row],[qty]]</f>
        <v>#N/A</v>
      </c>
      <c r="G8443" t="e">
        <f t="shared" si="1544"/>
        <v>#N/A</v>
      </c>
    </row>
    <row r="8444" spans="1:7" x14ac:dyDescent="0.25">
      <c r="A8444" s="1">
        <f t="shared" si="1543"/>
        <v>45488</v>
      </c>
      <c r="B8444" s="36"/>
      <c r="E8444" s="5" t="e">
        <f>Table4[[#This Row],[qty]]*(VLOOKUP(Table4[[#This Row],[item_sold]],Table1[],5,FALSE))</f>
        <v>#N/A</v>
      </c>
      <c r="F8444" s="5" t="e">
        <f>(VLOOKUP(Table4[[#This Row],[item_sold]],Table1[],4,FALSE))*Table4[[#This Row],[qty]]</f>
        <v>#N/A</v>
      </c>
      <c r="G8444" t="e">
        <f t="shared" si="1544"/>
        <v>#N/A</v>
      </c>
    </row>
    <row r="8445" spans="1:7" x14ac:dyDescent="0.25">
      <c r="A8445" s="1">
        <f t="shared" si="1543"/>
        <v>45488</v>
      </c>
      <c r="B8445" s="36"/>
      <c r="E8445" s="5" t="e">
        <f>Table4[[#This Row],[qty]]*(VLOOKUP(Table4[[#This Row],[item_sold]],Table1[],5,FALSE))</f>
        <v>#N/A</v>
      </c>
      <c r="F8445" s="5" t="e">
        <f>(VLOOKUP(Table4[[#This Row],[item_sold]],Table1[],4,FALSE))*Table4[[#This Row],[qty]]</f>
        <v>#N/A</v>
      </c>
      <c r="G8445" t="e">
        <f t="shared" si="1544"/>
        <v>#N/A</v>
      </c>
    </row>
    <row r="8446" spans="1:7" x14ac:dyDescent="0.25">
      <c r="A8446" s="1">
        <f t="shared" si="1543"/>
        <v>45488</v>
      </c>
      <c r="B8446" s="36"/>
      <c r="E8446" s="5" t="e">
        <f>Table4[[#This Row],[qty]]*(VLOOKUP(Table4[[#This Row],[item_sold]],Table1[],5,FALSE))</f>
        <v>#N/A</v>
      </c>
      <c r="F8446" s="5" t="e">
        <f>(VLOOKUP(Table4[[#This Row],[item_sold]],Table1[],4,FALSE))*Table4[[#This Row],[qty]]</f>
        <v>#N/A</v>
      </c>
      <c r="G8446" t="e">
        <f t="shared" si="1544"/>
        <v>#N/A</v>
      </c>
    </row>
    <row r="8447" spans="1:7" x14ac:dyDescent="0.25">
      <c r="A8447" s="1">
        <f t="shared" si="1543"/>
        <v>45488</v>
      </c>
      <c r="B8447" s="36"/>
      <c r="E8447" s="5" t="e">
        <f>Table4[[#This Row],[qty]]*(VLOOKUP(Table4[[#This Row],[item_sold]],Table1[],5,FALSE))</f>
        <v>#N/A</v>
      </c>
      <c r="F8447" s="5" t="e">
        <f>(VLOOKUP(Table4[[#This Row],[item_sold]],Table1[],4,FALSE))*Table4[[#This Row],[qty]]</f>
        <v>#N/A</v>
      </c>
      <c r="G8447" t="e">
        <f t="shared" si="1544"/>
        <v>#N/A</v>
      </c>
    </row>
    <row r="8448" spans="1:7" x14ac:dyDescent="0.25">
      <c r="A8448" s="1">
        <f t="shared" si="1543"/>
        <v>45488</v>
      </c>
      <c r="B8448" s="36"/>
      <c r="E8448" s="5" t="e">
        <f>Table4[[#This Row],[qty]]*(VLOOKUP(Table4[[#This Row],[item_sold]],Table1[],5,FALSE))</f>
        <v>#N/A</v>
      </c>
      <c r="F8448" s="5" t="e">
        <f>(VLOOKUP(Table4[[#This Row],[item_sold]],Table1[],4,FALSE))*Table4[[#This Row],[qty]]</f>
        <v>#N/A</v>
      </c>
      <c r="G8448" t="e">
        <f t="shared" si="1544"/>
        <v>#N/A</v>
      </c>
    </row>
    <row r="8449" spans="1:7" x14ac:dyDescent="0.25">
      <c r="A8449" s="1">
        <f t="shared" si="1543"/>
        <v>45488</v>
      </c>
      <c r="B8449" s="36"/>
      <c r="E8449" s="5" t="e">
        <f>Table4[[#This Row],[qty]]*(VLOOKUP(Table4[[#This Row],[item_sold]],Table1[],5,FALSE))</f>
        <v>#N/A</v>
      </c>
      <c r="F8449" s="5" t="e">
        <f>(VLOOKUP(Table4[[#This Row],[item_sold]],Table1[],4,FALSE))*Table4[[#This Row],[qty]]</f>
        <v>#N/A</v>
      </c>
      <c r="G8449" t="e">
        <f t="shared" si="1544"/>
        <v>#N/A</v>
      </c>
    </row>
    <row r="8450" spans="1:7" x14ac:dyDescent="0.25">
      <c r="A8450" s="1">
        <f t="shared" si="1543"/>
        <v>45488</v>
      </c>
      <c r="B8450" s="36"/>
      <c r="E8450" s="5" t="e">
        <f>Table4[[#This Row],[qty]]*(VLOOKUP(Table4[[#This Row],[item_sold]],Table1[],5,FALSE))</f>
        <v>#N/A</v>
      </c>
      <c r="F8450" s="5" t="e">
        <f>(VLOOKUP(Table4[[#This Row],[item_sold]],Table1[],4,FALSE))*Table4[[#This Row],[qty]]</f>
        <v>#N/A</v>
      </c>
      <c r="G8450" t="e">
        <f t="shared" si="1544"/>
        <v>#N/A</v>
      </c>
    </row>
    <row r="8451" spans="1:7" x14ac:dyDescent="0.25">
      <c r="A8451" s="1">
        <f t="shared" si="1543"/>
        <v>45488</v>
      </c>
      <c r="B8451" s="36"/>
      <c r="E8451" s="5" t="e">
        <f>Table4[[#This Row],[qty]]*(VLOOKUP(Table4[[#This Row],[item_sold]],Table1[],5,FALSE))</f>
        <v>#N/A</v>
      </c>
      <c r="F8451" s="5" t="e">
        <f>(VLOOKUP(Table4[[#This Row],[item_sold]],Table1[],4,FALSE))*Table4[[#This Row],[qty]]</f>
        <v>#N/A</v>
      </c>
      <c r="G8451" t="e">
        <f t="shared" si="1544"/>
        <v>#N/A</v>
      </c>
    </row>
    <row r="8452" spans="1:7" x14ac:dyDescent="0.25">
      <c r="A8452" s="1">
        <f t="shared" si="1543"/>
        <v>45488</v>
      </c>
      <c r="B8452" s="36"/>
      <c r="E8452" s="5" t="e">
        <f>Table4[[#This Row],[qty]]*(VLOOKUP(Table4[[#This Row],[item_sold]],Table1[],5,FALSE))</f>
        <v>#N/A</v>
      </c>
      <c r="F8452" s="5" t="e">
        <f>(VLOOKUP(Table4[[#This Row],[item_sold]],Table1[],4,FALSE))*Table4[[#This Row],[qty]]</f>
        <v>#N/A</v>
      </c>
      <c r="G8452" t="e">
        <f t="shared" si="1544"/>
        <v>#N/A</v>
      </c>
    </row>
    <row r="8453" spans="1:7" x14ac:dyDescent="0.25">
      <c r="A8453" s="1">
        <f t="shared" si="1543"/>
        <v>45488</v>
      </c>
      <c r="B8453" s="36"/>
      <c r="E8453" s="5" t="e">
        <f>Table4[[#This Row],[qty]]*(VLOOKUP(Table4[[#This Row],[item_sold]],Table1[],5,FALSE))</f>
        <v>#N/A</v>
      </c>
      <c r="F8453" s="5" t="e">
        <f>(VLOOKUP(Table4[[#This Row],[item_sold]],Table1[],4,FALSE))*Table4[[#This Row],[qty]]</f>
        <v>#N/A</v>
      </c>
      <c r="G8453" t="e">
        <f t="shared" si="1544"/>
        <v>#N/A</v>
      </c>
    </row>
    <row r="8454" spans="1:7" x14ac:dyDescent="0.25">
      <c r="A8454" s="1">
        <f t="shared" si="1543"/>
        <v>45488</v>
      </c>
      <c r="B8454" s="36"/>
      <c r="E8454" s="5" t="e">
        <f>Table4[[#This Row],[qty]]*(VLOOKUP(Table4[[#This Row],[item_sold]],Table1[],5,FALSE))</f>
        <v>#N/A</v>
      </c>
      <c r="F8454" s="5" t="e">
        <f>(VLOOKUP(Table4[[#This Row],[item_sold]],Table1[],4,FALSE))*Table4[[#This Row],[qty]]</f>
        <v>#N/A</v>
      </c>
      <c r="G8454" t="e">
        <f t="shared" si="1544"/>
        <v>#N/A</v>
      </c>
    </row>
    <row r="8455" spans="1:7" x14ac:dyDescent="0.25">
      <c r="A8455" s="1">
        <f t="shared" si="1543"/>
        <v>45488</v>
      </c>
      <c r="B8455" s="36"/>
      <c r="E8455" s="5" t="e">
        <f>Table4[[#This Row],[qty]]*(VLOOKUP(Table4[[#This Row],[item_sold]],Table1[],5,FALSE))</f>
        <v>#N/A</v>
      </c>
      <c r="F8455" s="5" t="e">
        <f>(VLOOKUP(Table4[[#This Row],[item_sold]],Table1[],4,FALSE))*Table4[[#This Row],[qty]]</f>
        <v>#N/A</v>
      </c>
      <c r="G8455" t="e">
        <f t="shared" si="1544"/>
        <v>#N/A</v>
      </c>
    </row>
    <row r="8456" spans="1:7" x14ac:dyDescent="0.25">
      <c r="A8456" s="1">
        <f t="shared" si="1543"/>
        <v>45488</v>
      </c>
      <c r="B8456" s="36"/>
      <c r="E8456" s="5" t="e">
        <f>Table4[[#This Row],[qty]]*(VLOOKUP(Table4[[#This Row],[item_sold]],Table1[],5,FALSE))</f>
        <v>#N/A</v>
      </c>
      <c r="F8456" s="5" t="e">
        <f>(VLOOKUP(Table4[[#This Row],[item_sold]],Table1[],4,FALSE))*Table4[[#This Row],[qty]]</f>
        <v>#N/A</v>
      </c>
      <c r="G8456" t="e">
        <f t="shared" si="1544"/>
        <v>#N/A</v>
      </c>
    </row>
    <row r="8457" spans="1:7" x14ac:dyDescent="0.25">
      <c r="A8457" s="1">
        <f t="shared" si="1543"/>
        <v>45488</v>
      </c>
      <c r="B8457" s="36"/>
      <c r="E8457" s="5" t="e">
        <f>Table4[[#This Row],[qty]]*(VLOOKUP(Table4[[#This Row],[item_sold]],Table1[],5,FALSE))</f>
        <v>#N/A</v>
      </c>
      <c r="F8457" s="5" t="e">
        <f>(VLOOKUP(Table4[[#This Row],[item_sold]],Table1[],4,FALSE))*Table4[[#This Row],[qty]]</f>
        <v>#N/A</v>
      </c>
      <c r="G8457" t="e">
        <f t="shared" si="1544"/>
        <v>#N/A</v>
      </c>
    </row>
    <row r="8458" spans="1:7" x14ac:dyDescent="0.25">
      <c r="A8458" s="1">
        <f t="shared" si="1543"/>
        <v>45488</v>
      </c>
      <c r="B8458" s="36"/>
      <c r="E8458" s="5" t="e">
        <f>Table4[[#This Row],[qty]]*(VLOOKUP(Table4[[#This Row],[item_sold]],Table1[],5,FALSE))</f>
        <v>#N/A</v>
      </c>
      <c r="F8458" s="5" t="e">
        <f>(VLOOKUP(Table4[[#This Row],[item_sold]],Table1[],4,FALSE))*Table4[[#This Row],[qty]]</f>
        <v>#N/A</v>
      </c>
      <c r="G8458" t="e">
        <f t="shared" si="1544"/>
        <v>#N/A</v>
      </c>
    </row>
    <row r="8459" spans="1:7" x14ac:dyDescent="0.25">
      <c r="A8459" s="1">
        <f t="shared" si="1543"/>
        <v>45488</v>
      </c>
      <c r="B8459" s="36"/>
      <c r="E8459" s="5" t="e">
        <f>Table4[[#This Row],[qty]]*(VLOOKUP(Table4[[#This Row],[item_sold]],Table1[],5,FALSE))</f>
        <v>#N/A</v>
      </c>
      <c r="F8459" s="5" t="e">
        <f>(VLOOKUP(Table4[[#This Row],[item_sold]],Table1[],4,FALSE))*Table4[[#This Row],[qty]]</f>
        <v>#N/A</v>
      </c>
      <c r="G8459" t="e">
        <f t="shared" si="1544"/>
        <v>#N/A</v>
      </c>
    </row>
    <row r="8460" spans="1:7" x14ac:dyDescent="0.25">
      <c r="A8460" s="1">
        <f t="shared" si="1543"/>
        <v>45488</v>
      </c>
      <c r="B8460" s="36"/>
      <c r="E8460" s="5" t="e">
        <f>Table4[[#This Row],[qty]]*(VLOOKUP(Table4[[#This Row],[item_sold]],Table1[],5,FALSE))</f>
        <v>#N/A</v>
      </c>
      <c r="F8460" s="5" t="e">
        <f>(VLOOKUP(Table4[[#This Row],[item_sold]],Table1[],4,FALSE))*Table4[[#This Row],[qty]]</f>
        <v>#N/A</v>
      </c>
      <c r="G8460" t="e">
        <f t="shared" si="1544"/>
        <v>#N/A</v>
      </c>
    </row>
    <row r="8461" spans="1:7" x14ac:dyDescent="0.25">
      <c r="A8461" s="1">
        <f t="shared" si="1543"/>
        <v>45488</v>
      </c>
      <c r="B8461" s="36"/>
      <c r="E8461" s="5" t="e">
        <f>Table4[[#This Row],[qty]]*(VLOOKUP(Table4[[#This Row],[item_sold]],Table1[],5,FALSE))</f>
        <v>#N/A</v>
      </c>
      <c r="F8461" s="5" t="e">
        <f>(VLOOKUP(Table4[[#This Row],[item_sold]],Table1[],4,FALSE))*Table4[[#This Row],[qty]]</f>
        <v>#N/A</v>
      </c>
      <c r="G8461" t="e">
        <f t="shared" si="1544"/>
        <v>#N/A</v>
      </c>
    </row>
    <row r="8462" spans="1:7" x14ac:dyDescent="0.25">
      <c r="A8462" s="1">
        <f t="shared" si="1543"/>
        <v>45488</v>
      </c>
      <c r="B8462" s="36"/>
      <c r="E8462" s="5" t="e">
        <f>Table4[[#This Row],[qty]]*(VLOOKUP(Table4[[#This Row],[item_sold]],Table1[],5,FALSE))</f>
        <v>#N/A</v>
      </c>
      <c r="F8462" s="5" t="e">
        <f>(VLOOKUP(Table4[[#This Row],[item_sold]],Table1[],4,FALSE))*Table4[[#This Row],[qty]]</f>
        <v>#N/A</v>
      </c>
      <c r="G8462" t="e">
        <f t="shared" si="1544"/>
        <v>#N/A</v>
      </c>
    </row>
    <row r="8463" spans="1:7" x14ac:dyDescent="0.25">
      <c r="A8463" s="1">
        <f t="shared" si="1543"/>
        <v>45488</v>
      </c>
      <c r="B8463" s="36"/>
      <c r="E8463" s="5" t="e">
        <f>Table4[[#This Row],[qty]]*(VLOOKUP(Table4[[#This Row],[item_sold]],Table1[],5,FALSE))</f>
        <v>#N/A</v>
      </c>
      <c r="F8463" s="5" t="e">
        <f>(VLOOKUP(Table4[[#This Row],[item_sold]],Table1[],4,FALSE))*Table4[[#This Row],[qty]]</f>
        <v>#N/A</v>
      </c>
      <c r="G8463" t="e">
        <f t="shared" si="1544"/>
        <v>#N/A</v>
      </c>
    </row>
    <row r="8464" spans="1:7" x14ac:dyDescent="0.25">
      <c r="A8464" s="1">
        <f t="shared" si="1543"/>
        <v>45488</v>
      </c>
      <c r="B8464" s="36"/>
      <c r="E8464" s="5" t="e">
        <f>Table4[[#This Row],[qty]]*(VLOOKUP(Table4[[#This Row],[item_sold]],Table1[],5,FALSE))</f>
        <v>#N/A</v>
      </c>
      <c r="F8464" s="5" t="e">
        <f>(VLOOKUP(Table4[[#This Row],[item_sold]],Table1[],4,FALSE))*Table4[[#This Row],[qty]]</f>
        <v>#N/A</v>
      </c>
      <c r="G8464" t="e">
        <f t="shared" si="1544"/>
        <v>#N/A</v>
      </c>
    </row>
    <row r="8465" spans="1:7" x14ac:dyDescent="0.25">
      <c r="A8465" s="1">
        <f t="shared" si="1543"/>
        <v>45488</v>
      </c>
      <c r="B8465" s="36"/>
      <c r="E8465" s="5" t="e">
        <f>Table4[[#This Row],[qty]]*(VLOOKUP(Table4[[#This Row],[item_sold]],Table1[],5,FALSE))</f>
        <v>#N/A</v>
      </c>
      <c r="F8465" s="5" t="e">
        <f>(VLOOKUP(Table4[[#This Row],[item_sold]],Table1[],4,FALSE))*Table4[[#This Row],[qty]]</f>
        <v>#N/A</v>
      </c>
      <c r="G8465" t="e">
        <f t="shared" si="1544"/>
        <v>#N/A</v>
      </c>
    </row>
    <row r="8466" spans="1:7" x14ac:dyDescent="0.25">
      <c r="A8466" s="1">
        <f t="shared" si="1543"/>
        <v>45488</v>
      </c>
      <c r="B8466" s="36"/>
      <c r="E8466" s="5" t="e">
        <f>Table4[[#This Row],[qty]]*(VLOOKUP(Table4[[#This Row],[item_sold]],Table1[],5,FALSE))</f>
        <v>#N/A</v>
      </c>
      <c r="F8466" s="5" t="e">
        <f>(VLOOKUP(Table4[[#This Row],[item_sold]],Table1[],4,FALSE))*Table4[[#This Row],[qty]]</f>
        <v>#N/A</v>
      </c>
      <c r="G8466" t="e">
        <f t="shared" si="1544"/>
        <v>#N/A</v>
      </c>
    </row>
    <row r="8467" spans="1:7" x14ac:dyDescent="0.25">
      <c r="A8467" s="1">
        <f t="shared" si="1543"/>
        <v>45488</v>
      </c>
      <c r="B8467" s="36"/>
      <c r="E8467" s="5" t="e">
        <f>Table4[[#This Row],[qty]]*(VLOOKUP(Table4[[#This Row],[item_sold]],Table1[],5,FALSE))</f>
        <v>#N/A</v>
      </c>
      <c r="F8467" s="5" t="e">
        <f>(VLOOKUP(Table4[[#This Row],[item_sold]],Table1[],4,FALSE))*Table4[[#This Row],[qty]]</f>
        <v>#N/A</v>
      </c>
      <c r="G8467" t="e">
        <f t="shared" si="1544"/>
        <v>#N/A</v>
      </c>
    </row>
    <row r="8468" spans="1:7" x14ac:dyDescent="0.25">
      <c r="A8468" s="1">
        <f t="shared" ref="A8468:A8531" si="1545">DATE(2024,7,15)</f>
        <v>45488</v>
      </c>
      <c r="B8468" s="36"/>
      <c r="E8468" s="5" t="e">
        <f>Table4[[#This Row],[qty]]*(VLOOKUP(Table4[[#This Row],[item_sold]],Table1[],5,FALSE))</f>
        <v>#N/A</v>
      </c>
      <c r="F8468" s="5" t="e">
        <f>(VLOOKUP(Table4[[#This Row],[item_sold]],Table1[],4,FALSE))*Table4[[#This Row],[qty]]</f>
        <v>#N/A</v>
      </c>
      <c r="G8468" t="e">
        <f t="shared" ref="G8468:G8531" si="1546">E8468-F8468</f>
        <v>#N/A</v>
      </c>
    </row>
    <row r="8469" spans="1:7" x14ac:dyDescent="0.25">
      <c r="A8469" s="1">
        <f t="shared" si="1545"/>
        <v>45488</v>
      </c>
      <c r="B8469" s="36"/>
      <c r="E8469" s="5" t="e">
        <f>Table4[[#This Row],[qty]]*(VLOOKUP(Table4[[#This Row],[item_sold]],Table1[],5,FALSE))</f>
        <v>#N/A</v>
      </c>
      <c r="F8469" s="5" t="e">
        <f>(VLOOKUP(Table4[[#This Row],[item_sold]],Table1[],4,FALSE))*Table4[[#This Row],[qty]]</f>
        <v>#N/A</v>
      </c>
      <c r="G8469" t="e">
        <f t="shared" si="1546"/>
        <v>#N/A</v>
      </c>
    </row>
    <row r="8470" spans="1:7" x14ac:dyDescent="0.25">
      <c r="A8470" s="1">
        <f t="shared" si="1545"/>
        <v>45488</v>
      </c>
      <c r="B8470" s="36"/>
      <c r="E8470" s="5" t="e">
        <f>Table4[[#This Row],[qty]]*(VLOOKUP(Table4[[#This Row],[item_sold]],Table1[],5,FALSE))</f>
        <v>#N/A</v>
      </c>
      <c r="F8470" s="5" t="e">
        <f>(VLOOKUP(Table4[[#This Row],[item_sold]],Table1[],4,FALSE))*Table4[[#This Row],[qty]]</f>
        <v>#N/A</v>
      </c>
      <c r="G8470" t="e">
        <f t="shared" si="1546"/>
        <v>#N/A</v>
      </c>
    </row>
    <row r="8471" spans="1:7" x14ac:dyDescent="0.25">
      <c r="A8471" s="1">
        <f t="shared" si="1545"/>
        <v>45488</v>
      </c>
      <c r="B8471" s="36"/>
      <c r="E8471" s="5" t="e">
        <f>Table4[[#This Row],[qty]]*(VLOOKUP(Table4[[#This Row],[item_sold]],Table1[],5,FALSE))</f>
        <v>#N/A</v>
      </c>
      <c r="F8471" s="5" t="e">
        <f>(VLOOKUP(Table4[[#This Row],[item_sold]],Table1[],4,FALSE))*Table4[[#This Row],[qty]]</f>
        <v>#N/A</v>
      </c>
      <c r="G8471" t="e">
        <f t="shared" si="1546"/>
        <v>#N/A</v>
      </c>
    </row>
    <row r="8472" spans="1:7" x14ac:dyDescent="0.25">
      <c r="A8472" s="1">
        <f t="shared" si="1545"/>
        <v>45488</v>
      </c>
      <c r="B8472" s="36"/>
      <c r="E8472" s="5" t="e">
        <f>Table4[[#This Row],[qty]]*(VLOOKUP(Table4[[#This Row],[item_sold]],Table1[],5,FALSE))</f>
        <v>#N/A</v>
      </c>
      <c r="F8472" s="5" t="e">
        <f>(VLOOKUP(Table4[[#This Row],[item_sold]],Table1[],4,FALSE))*Table4[[#This Row],[qty]]</f>
        <v>#N/A</v>
      </c>
      <c r="G8472" t="e">
        <f t="shared" si="1546"/>
        <v>#N/A</v>
      </c>
    </row>
    <row r="8473" spans="1:7" x14ac:dyDescent="0.25">
      <c r="A8473" s="1">
        <f t="shared" si="1545"/>
        <v>45488</v>
      </c>
      <c r="B8473" s="36"/>
      <c r="E8473" s="5" t="e">
        <f>Table4[[#This Row],[qty]]*(VLOOKUP(Table4[[#This Row],[item_sold]],Table1[],5,FALSE))</f>
        <v>#N/A</v>
      </c>
      <c r="F8473" s="5" t="e">
        <f>(VLOOKUP(Table4[[#This Row],[item_sold]],Table1[],4,FALSE))*Table4[[#This Row],[qty]]</f>
        <v>#N/A</v>
      </c>
      <c r="G8473" t="e">
        <f t="shared" si="1546"/>
        <v>#N/A</v>
      </c>
    </row>
    <row r="8474" spans="1:7" x14ac:dyDescent="0.25">
      <c r="A8474" s="1">
        <f t="shared" si="1545"/>
        <v>45488</v>
      </c>
      <c r="B8474" s="36"/>
      <c r="E8474" s="5" t="e">
        <f>Table4[[#This Row],[qty]]*(VLOOKUP(Table4[[#This Row],[item_sold]],Table1[],5,FALSE))</f>
        <v>#N/A</v>
      </c>
      <c r="F8474" s="5" t="e">
        <f>(VLOOKUP(Table4[[#This Row],[item_sold]],Table1[],4,FALSE))*Table4[[#This Row],[qty]]</f>
        <v>#N/A</v>
      </c>
      <c r="G8474" t="e">
        <f t="shared" si="1546"/>
        <v>#N/A</v>
      </c>
    </row>
    <row r="8475" spans="1:7" x14ac:dyDescent="0.25">
      <c r="A8475" s="1">
        <f t="shared" si="1545"/>
        <v>45488</v>
      </c>
      <c r="B8475" s="36"/>
      <c r="E8475" s="5" t="e">
        <f>Table4[[#This Row],[qty]]*(VLOOKUP(Table4[[#This Row],[item_sold]],Table1[],5,FALSE))</f>
        <v>#N/A</v>
      </c>
      <c r="F8475" s="5" t="e">
        <f>(VLOOKUP(Table4[[#This Row],[item_sold]],Table1[],4,FALSE))*Table4[[#This Row],[qty]]</f>
        <v>#N/A</v>
      </c>
      <c r="G8475" t="e">
        <f t="shared" si="1546"/>
        <v>#N/A</v>
      </c>
    </row>
    <row r="8476" spans="1:7" x14ac:dyDescent="0.25">
      <c r="A8476" s="1">
        <f t="shared" si="1545"/>
        <v>45488</v>
      </c>
      <c r="B8476" s="36"/>
      <c r="E8476" s="5" t="e">
        <f>Table4[[#This Row],[qty]]*(VLOOKUP(Table4[[#This Row],[item_sold]],Table1[],5,FALSE))</f>
        <v>#N/A</v>
      </c>
      <c r="F8476" s="5" t="e">
        <f>(VLOOKUP(Table4[[#This Row],[item_sold]],Table1[],4,FALSE))*Table4[[#This Row],[qty]]</f>
        <v>#N/A</v>
      </c>
      <c r="G8476" t="e">
        <f t="shared" si="1546"/>
        <v>#N/A</v>
      </c>
    </row>
    <row r="8477" spans="1:7" x14ac:dyDescent="0.25">
      <c r="A8477" s="1">
        <f t="shared" si="1545"/>
        <v>45488</v>
      </c>
      <c r="B8477" s="36"/>
      <c r="E8477" s="5" t="e">
        <f>Table4[[#This Row],[qty]]*(VLOOKUP(Table4[[#This Row],[item_sold]],Table1[],5,FALSE))</f>
        <v>#N/A</v>
      </c>
      <c r="F8477" s="5" t="e">
        <f>(VLOOKUP(Table4[[#This Row],[item_sold]],Table1[],4,FALSE))*Table4[[#This Row],[qty]]</f>
        <v>#N/A</v>
      </c>
      <c r="G8477" t="e">
        <f t="shared" si="1546"/>
        <v>#N/A</v>
      </c>
    </row>
    <row r="8478" spans="1:7" x14ac:dyDescent="0.25">
      <c r="A8478" s="1">
        <f t="shared" si="1545"/>
        <v>45488</v>
      </c>
      <c r="B8478" s="36"/>
      <c r="E8478" s="5" t="e">
        <f>Table4[[#This Row],[qty]]*(VLOOKUP(Table4[[#This Row],[item_sold]],Table1[],5,FALSE))</f>
        <v>#N/A</v>
      </c>
      <c r="F8478" s="5" t="e">
        <f>(VLOOKUP(Table4[[#This Row],[item_sold]],Table1[],4,FALSE))*Table4[[#This Row],[qty]]</f>
        <v>#N/A</v>
      </c>
      <c r="G8478" t="e">
        <f t="shared" si="1546"/>
        <v>#N/A</v>
      </c>
    </row>
    <row r="8479" spans="1:7" x14ac:dyDescent="0.25">
      <c r="A8479" s="1">
        <f t="shared" si="1545"/>
        <v>45488</v>
      </c>
      <c r="B8479" s="36"/>
      <c r="E8479" s="5" t="e">
        <f>Table4[[#This Row],[qty]]*(VLOOKUP(Table4[[#This Row],[item_sold]],Table1[],5,FALSE))</f>
        <v>#N/A</v>
      </c>
      <c r="F8479" s="5" t="e">
        <f>(VLOOKUP(Table4[[#This Row],[item_sold]],Table1[],4,FALSE))*Table4[[#This Row],[qty]]</f>
        <v>#N/A</v>
      </c>
      <c r="G8479" t="e">
        <f t="shared" si="1546"/>
        <v>#N/A</v>
      </c>
    </row>
    <row r="8480" spans="1:7" x14ac:dyDescent="0.25">
      <c r="A8480" s="1">
        <f t="shared" si="1545"/>
        <v>45488</v>
      </c>
      <c r="B8480" s="36"/>
      <c r="E8480" s="5" t="e">
        <f>Table4[[#This Row],[qty]]*(VLOOKUP(Table4[[#This Row],[item_sold]],Table1[],5,FALSE))</f>
        <v>#N/A</v>
      </c>
      <c r="F8480" s="5" t="e">
        <f>(VLOOKUP(Table4[[#This Row],[item_sold]],Table1[],4,FALSE))*Table4[[#This Row],[qty]]</f>
        <v>#N/A</v>
      </c>
      <c r="G8480" t="e">
        <f t="shared" si="1546"/>
        <v>#N/A</v>
      </c>
    </row>
    <row r="8481" spans="1:7" x14ac:dyDescent="0.25">
      <c r="A8481" s="1">
        <f t="shared" si="1545"/>
        <v>45488</v>
      </c>
      <c r="B8481" s="36"/>
      <c r="E8481" s="5" t="e">
        <f>Table4[[#This Row],[qty]]*(VLOOKUP(Table4[[#This Row],[item_sold]],Table1[],5,FALSE))</f>
        <v>#N/A</v>
      </c>
      <c r="F8481" s="5" t="e">
        <f>(VLOOKUP(Table4[[#This Row],[item_sold]],Table1[],4,FALSE))*Table4[[#This Row],[qty]]</f>
        <v>#N/A</v>
      </c>
      <c r="G8481" t="e">
        <f t="shared" si="1546"/>
        <v>#N/A</v>
      </c>
    </row>
    <row r="8482" spans="1:7" x14ac:dyDescent="0.25">
      <c r="A8482" s="1">
        <f t="shared" si="1545"/>
        <v>45488</v>
      </c>
      <c r="B8482" s="36"/>
      <c r="E8482" s="5" t="e">
        <f>Table4[[#This Row],[qty]]*(VLOOKUP(Table4[[#This Row],[item_sold]],Table1[],5,FALSE))</f>
        <v>#N/A</v>
      </c>
      <c r="F8482" s="5" t="e">
        <f>(VLOOKUP(Table4[[#This Row],[item_sold]],Table1[],4,FALSE))*Table4[[#This Row],[qty]]</f>
        <v>#N/A</v>
      </c>
      <c r="G8482" t="e">
        <f t="shared" si="1546"/>
        <v>#N/A</v>
      </c>
    </row>
    <row r="8483" spans="1:7" x14ac:dyDescent="0.25">
      <c r="A8483" s="1">
        <f t="shared" si="1545"/>
        <v>45488</v>
      </c>
      <c r="B8483" s="36"/>
      <c r="E8483" s="5" t="e">
        <f>Table4[[#This Row],[qty]]*(VLOOKUP(Table4[[#This Row],[item_sold]],Table1[],5,FALSE))</f>
        <v>#N/A</v>
      </c>
      <c r="F8483" s="5" t="e">
        <f>(VLOOKUP(Table4[[#This Row],[item_sold]],Table1[],4,FALSE))*Table4[[#This Row],[qty]]</f>
        <v>#N/A</v>
      </c>
      <c r="G8483" t="e">
        <f t="shared" si="1546"/>
        <v>#N/A</v>
      </c>
    </row>
    <row r="8484" spans="1:7" x14ac:dyDescent="0.25">
      <c r="A8484" s="1">
        <f t="shared" si="1545"/>
        <v>45488</v>
      </c>
      <c r="B8484" s="36"/>
      <c r="E8484" s="5" t="e">
        <f>Table4[[#This Row],[qty]]*(VLOOKUP(Table4[[#This Row],[item_sold]],Table1[],5,FALSE))</f>
        <v>#N/A</v>
      </c>
      <c r="F8484" s="5" t="e">
        <f>(VLOOKUP(Table4[[#This Row],[item_sold]],Table1[],4,FALSE))*Table4[[#This Row],[qty]]</f>
        <v>#N/A</v>
      </c>
      <c r="G8484" t="e">
        <f t="shared" si="1546"/>
        <v>#N/A</v>
      </c>
    </row>
    <row r="8485" spans="1:7" x14ac:dyDescent="0.25">
      <c r="A8485" s="1">
        <f t="shared" si="1545"/>
        <v>45488</v>
      </c>
      <c r="B8485" s="36"/>
      <c r="E8485" s="5" t="e">
        <f>Table4[[#This Row],[qty]]*(VLOOKUP(Table4[[#This Row],[item_sold]],Table1[],5,FALSE))</f>
        <v>#N/A</v>
      </c>
      <c r="F8485" s="5" t="e">
        <f>(VLOOKUP(Table4[[#This Row],[item_sold]],Table1[],4,FALSE))*Table4[[#This Row],[qty]]</f>
        <v>#N/A</v>
      </c>
      <c r="G8485" t="e">
        <f t="shared" si="1546"/>
        <v>#N/A</v>
      </c>
    </row>
    <row r="8486" spans="1:7" x14ac:dyDescent="0.25">
      <c r="A8486" s="1">
        <f t="shared" si="1545"/>
        <v>45488</v>
      </c>
      <c r="B8486" s="36"/>
      <c r="E8486" s="5" t="e">
        <f>Table4[[#This Row],[qty]]*(VLOOKUP(Table4[[#This Row],[item_sold]],Table1[],5,FALSE))</f>
        <v>#N/A</v>
      </c>
      <c r="F8486" s="5" t="e">
        <f>(VLOOKUP(Table4[[#This Row],[item_sold]],Table1[],4,FALSE))*Table4[[#This Row],[qty]]</f>
        <v>#N/A</v>
      </c>
      <c r="G8486" t="e">
        <f t="shared" si="1546"/>
        <v>#N/A</v>
      </c>
    </row>
    <row r="8487" spans="1:7" x14ac:dyDescent="0.25">
      <c r="A8487" s="1">
        <f t="shared" si="1545"/>
        <v>45488</v>
      </c>
      <c r="B8487" s="36"/>
      <c r="E8487" s="5" t="e">
        <f>Table4[[#This Row],[qty]]*(VLOOKUP(Table4[[#This Row],[item_sold]],Table1[],5,FALSE))</f>
        <v>#N/A</v>
      </c>
      <c r="F8487" s="5" t="e">
        <f>(VLOOKUP(Table4[[#This Row],[item_sold]],Table1[],4,FALSE))*Table4[[#This Row],[qty]]</f>
        <v>#N/A</v>
      </c>
      <c r="G8487" t="e">
        <f t="shared" si="1546"/>
        <v>#N/A</v>
      </c>
    </row>
    <row r="8488" spans="1:7" x14ac:dyDescent="0.25">
      <c r="A8488" s="1">
        <f t="shared" si="1545"/>
        <v>45488</v>
      </c>
      <c r="B8488" s="36"/>
      <c r="E8488" s="5" t="e">
        <f>Table4[[#This Row],[qty]]*(VLOOKUP(Table4[[#This Row],[item_sold]],Table1[],5,FALSE))</f>
        <v>#N/A</v>
      </c>
      <c r="F8488" s="5" t="e">
        <f>(VLOOKUP(Table4[[#This Row],[item_sold]],Table1[],4,FALSE))*Table4[[#This Row],[qty]]</f>
        <v>#N/A</v>
      </c>
      <c r="G8488" t="e">
        <f t="shared" si="1546"/>
        <v>#N/A</v>
      </c>
    </row>
    <row r="8489" spans="1:7" x14ac:dyDescent="0.25">
      <c r="A8489" s="1">
        <f t="shared" si="1545"/>
        <v>45488</v>
      </c>
      <c r="B8489" s="36"/>
      <c r="E8489" s="5" t="e">
        <f>Table4[[#This Row],[qty]]*(VLOOKUP(Table4[[#This Row],[item_sold]],Table1[],5,FALSE))</f>
        <v>#N/A</v>
      </c>
      <c r="F8489" s="5" t="e">
        <f>(VLOOKUP(Table4[[#This Row],[item_sold]],Table1[],4,FALSE))*Table4[[#This Row],[qty]]</f>
        <v>#N/A</v>
      </c>
      <c r="G8489" t="e">
        <f t="shared" si="1546"/>
        <v>#N/A</v>
      </c>
    </row>
    <row r="8490" spans="1:7" x14ac:dyDescent="0.25">
      <c r="A8490" s="1">
        <f t="shared" si="1545"/>
        <v>45488</v>
      </c>
      <c r="B8490" s="36"/>
      <c r="E8490" s="5" t="e">
        <f>Table4[[#This Row],[qty]]*(VLOOKUP(Table4[[#This Row],[item_sold]],Table1[],5,FALSE))</f>
        <v>#N/A</v>
      </c>
      <c r="F8490" s="5" t="e">
        <f>(VLOOKUP(Table4[[#This Row],[item_sold]],Table1[],4,FALSE))*Table4[[#This Row],[qty]]</f>
        <v>#N/A</v>
      </c>
      <c r="G8490" t="e">
        <f t="shared" si="1546"/>
        <v>#N/A</v>
      </c>
    </row>
    <row r="8491" spans="1:7" x14ac:dyDescent="0.25">
      <c r="A8491" s="1">
        <f t="shared" si="1545"/>
        <v>45488</v>
      </c>
      <c r="B8491" s="36"/>
      <c r="E8491" s="5" t="e">
        <f>Table4[[#This Row],[qty]]*(VLOOKUP(Table4[[#This Row],[item_sold]],Table1[],5,FALSE))</f>
        <v>#N/A</v>
      </c>
      <c r="F8491" s="5" t="e">
        <f>(VLOOKUP(Table4[[#This Row],[item_sold]],Table1[],4,FALSE))*Table4[[#This Row],[qty]]</f>
        <v>#N/A</v>
      </c>
      <c r="G8491" t="e">
        <f t="shared" si="1546"/>
        <v>#N/A</v>
      </c>
    </row>
    <row r="8492" spans="1:7" x14ac:dyDescent="0.25">
      <c r="A8492" s="1">
        <f t="shared" si="1545"/>
        <v>45488</v>
      </c>
      <c r="B8492" s="36"/>
      <c r="E8492" s="5" t="e">
        <f>Table4[[#This Row],[qty]]*(VLOOKUP(Table4[[#This Row],[item_sold]],Table1[],5,FALSE))</f>
        <v>#N/A</v>
      </c>
      <c r="F8492" s="5" t="e">
        <f>(VLOOKUP(Table4[[#This Row],[item_sold]],Table1[],4,FALSE))*Table4[[#This Row],[qty]]</f>
        <v>#N/A</v>
      </c>
      <c r="G8492" t="e">
        <f t="shared" si="1546"/>
        <v>#N/A</v>
      </c>
    </row>
    <row r="8493" spans="1:7" x14ac:dyDescent="0.25">
      <c r="A8493" s="1">
        <f t="shared" si="1545"/>
        <v>45488</v>
      </c>
      <c r="B8493" s="36"/>
      <c r="E8493" s="5" t="e">
        <f>Table4[[#This Row],[qty]]*(VLOOKUP(Table4[[#This Row],[item_sold]],Table1[],5,FALSE))</f>
        <v>#N/A</v>
      </c>
      <c r="F8493" s="5" t="e">
        <f>(VLOOKUP(Table4[[#This Row],[item_sold]],Table1[],4,FALSE))*Table4[[#This Row],[qty]]</f>
        <v>#N/A</v>
      </c>
      <c r="G8493" t="e">
        <f t="shared" si="1546"/>
        <v>#N/A</v>
      </c>
    </row>
    <row r="8494" spans="1:7" x14ac:dyDescent="0.25">
      <c r="A8494" s="1">
        <f t="shared" si="1545"/>
        <v>45488</v>
      </c>
      <c r="B8494" s="36"/>
      <c r="E8494" s="5" t="e">
        <f>Table4[[#This Row],[qty]]*(VLOOKUP(Table4[[#This Row],[item_sold]],Table1[],5,FALSE))</f>
        <v>#N/A</v>
      </c>
      <c r="F8494" s="5" t="e">
        <f>(VLOOKUP(Table4[[#This Row],[item_sold]],Table1[],4,FALSE))*Table4[[#This Row],[qty]]</f>
        <v>#N/A</v>
      </c>
      <c r="G8494" t="e">
        <f t="shared" si="1546"/>
        <v>#N/A</v>
      </c>
    </row>
    <row r="8495" spans="1:7" x14ac:dyDescent="0.25">
      <c r="A8495" s="1">
        <f t="shared" si="1545"/>
        <v>45488</v>
      </c>
      <c r="B8495" s="36"/>
      <c r="E8495" s="5" t="e">
        <f>Table4[[#This Row],[qty]]*(VLOOKUP(Table4[[#This Row],[item_sold]],Table1[],5,FALSE))</f>
        <v>#N/A</v>
      </c>
      <c r="F8495" s="5" t="e">
        <f>(VLOOKUP(Table4[[#This Row],[item_sold]],Table1[],4,FALSE))*Table4[[#This Row],[qty]]</f>
        <v>#N/A</v>
      </c>
      <c r="G8495" t="e">
        <f t="shared" si="1546"/>
        <v>#N/A</v>
      </c>
    </row>
    <row r="8496" spans="1:7" x14ac:dyDescent="0.25">
      <c r="A8496" s="1">
        <f t="shared" si="1545"/>
        <v>45488</v>
      </c>
      <c r="B8496" s="36"/>
      <c r="E8496" s="5" t="e">
        <f>Table4[[#This Row],[qty]]*(VLOOKUP(Table4[[#This Row],[item_sold]],Table1[],5,FALSE))</f>
        <v>#N/A</v>
      </c>
      <c r="F8496" s="5" t="e">
        <f>(VLOOKUP(Table4[[#This Row],[item_sold]],Table1[],4,FALSE))*Table4[[#This Row],[qty]]</f>
        <v>#N/A</v>
      </c>
      <c r="G8496" t="e">
        <f t="shared" si="1546"/>
        <v>#N/A</v>
      </c>
    </row>
    <row r="8497" spans="1:7" x14ac:dyDescent="0.25">
      <c r="A8497" s="1">
        <f t="shared" si="1545"/>
        <v>45488</v>
      </c>
      <c r="B8497" s="36"/>
      <c r="E8497" s="5" t="e">
        <f>Table4[[#This Row],[qty]]*(VLOOKUP(Table4[[#This Row],[item_sold]],Table1[],5,FALSE))</f>
        <v>#N/A</v>
      </c>
      <c r="F8497" s="5" t="e">
        <f>(VLOOKUP(Table4[[#This Row],[item_sold]],Table1[],4,FALSE))*Table4[[#This Row],[qty]]</f>
        <v>#N/A</v>
      </c>
      <c r="G8497" t="e">
        <f t="shared" si="1546"/>
        <v>#N/A</v>
      </c>
    </row>
    <row r="8498" spans="1:7" x14ac:dyDescent="0.25">
      <c r="A8498" s="1">
        <f t="shared" si="1545"/>
        <v>45488</v>
      </c>
      <c r="B8498" s="36"/>
      <c r="E8498" s="5" t="e">
        <f>Table4[[#This Row],[qty]]*(VLOOKUP(Table4[[#This Row],[item_sold]],Table1[],5,FALSE))</f>
        <v>#N/A</v>
      </c>
      <c r="F8498" s="5" t="e">
        <f>(VLOOKUP(Table4[[#This Row],[item_sold]],Table1[],4,FALSE))*Table4[[#This Row],[qty]]</f>
        <v>#N/A</v>
      </c>
      <c r="G8498" t="e">
        <f t="shared" si="1546"/>
        <v>#N/A</v>
      </c>
    </row>
    <row r="8499" spans="1:7" x14ac:dyDescent="0.25">
      <c r="A8499" s="1">
        <f t="shared" si="1545"/>
        <v>45488</v>
      </c>
      <c r="B8499" s="36"/>
      <c r="E8499" s="5" t="e">
        <f>Table4[[#This Row],[qty]]*(VLOOKUP(Table4[[#This Row],[item_sold]],Table1[],5,FALSE))</f>
        <v>#N/A</v>
      </c>
      <c r="F8499" s="5" t="e">
        <f>(VLOOKUP(Table4[[#This Row],[item_sold]],Table1[],4,FALSE))*Table4[[#This Row],[qty]]</f>
        <v>#N/A</v>
      </c>
      <c r="G8499" t="e">
        <f t="shared" si="1546"/>
        <v>#N/A</v>
      </c>
    </row>
    <row r="8500" spans="1:7" x14ac:dyDescent="0.25">
      <c r="A8500" s="1">
        <f t="shared" si="1545"/>
        <v>45488</v>
      </c>
      <c r="B8500" s="36"/>
      <c r="E8500" s="5" t="e">
        <f>Table4[[#This Row],[qty]]*(VLOOKUP(Table4[[#This Row],[item_sold]],Table1[],5,FALSE))</f>
        <v>#N/A</v>
      </c>
      <c r="F8500" s="5" t="e">
        <f>(VLOOKUP(Table4[[#This Row],[item_sold]],Table1[],4,FALSE))*Table4[[#This Row],[qty]]</f>
        <v>#N/A</v>
      </c>
      <c r="G8500" t="e">
        <f t="shared" si="1546"/>
        <v>#N/A</v>
      </c>
    </row>
    <row r="8501" spans="1:7" x14ac:dyDescent="0.25">
      <c r="A8501" s="1">
        <f t="shared" si="1545"/>
        <v>45488</v>
      </c>
      <c r="B8501" s="36"/>
      <c r="E8501" s="5" t="e">
        <f>Table4[[#This Row],[qty]]*(VLOOKUP(Table4[[#This Row],[item_sold]],Table1[],5,FALSE))</f>
        <v>#N/A</v>
      </c>
      <c r="F8501" s="5" t="e">
        <f>(VLOOKUP(Table4[[#This Row],[item_sold]],Table1[],4,FALSE))*Table4[[#This Row],[qty]]</f>
        <v>#N/A</v>
      </c>
      <c r="G8501" t="e">
        <f t="shared" si="1546"/>
        <v>#N/A</v>
      </c>
    </row>
    <row r="8502" spans="1:7" x14ac:dyDescent="0.25">
      <c r="A8502" s="1">
        <f t="shared" si="1545"/>
        <v>45488</v>
      </c>
      <c r="B8502" s="36"/>
      <c r="E8502" s="5" t="e">
        <f>Table4[[#This Row],[qty]]*(VLOOKUP(Table4[[#This Row],[item_sold]],Table1[],5,FALSE))</f>
        <v>#N/A</v>
      </c>
      <c r="F8502" s="5" t="e">
        <f>(VLOOKUP(Table4[[#This Row],[item_sold]],Table1[],4,FALSE))*Table4[[#This Row],[qty]]</f>
        <v>#N/A</v>
      </c>
      <c r="G8502" t="e">
        <f t="shared" si="1546"/>
        <v>#N/A</v>
      </c>
    </row>
    <row r="8503" spans="1:7" x14ac:dyDescent="0.25">
      <c r="A8503" s="1">
        <f t="shared" si="1545"/>
        <v>45488</v>
      </c>
      <c r="B8503" s="36"/>
      <c r="E8503" s="5" t="e">
        <f>Table4[[#This Row],[qty]]*(VLOOKUP(Table4[[#This Row],[item_sold]],Table1[],5,FALSE))</f>
        <v>#N/A</v>
      </c>
      <c r="F8503" s="5" t="e">
        <f>(VLOOKUP(Table4[[#This Row],[item_sold]],Table1[],4,FALSE))*Table4[[#This Row],[qty]]</f>
        <v>#N/A</v>
      </c>
      <c r="G8503" t="e">
        <f t="shared" si="1546"/>
        <v>#N/A</v>
      </c>
    </row>
    <row r="8504" spans="1:7" x14ac:dyDescent="0.25">
      <c r="A8504" s="1">
        <f t="shared" si="1545"/>
        <v>45488</v>
      </c>
      <c r="B8504" s="36"/>
      <c r="E8504" s="5" t="e">
        <f>Table4[[#This Row],[qty]]*(VLOOKUP(Table4[[#This Row],[item_sold]],Table1[],5,FALSE))</f>
        <v>#N/A</v>
      </c>
      <c r="F8504" s="5" t="e">
        <f>(VLOOKUP(Table4[[#This Row],[item_sold]],Table1[],4,FALSE))*Table4[[#This Row],[qty]]</f>
        <v>#N/A</v>
      </c>
      <c r="G8504" t="e">
        <f t="shared" si="1546"/>
        <v>#N/A</v>
      </c>
    </row>
    <row r="8505" spans="1:7" x14ac:dyDescent="0.25">
      <c r="A8505" s="1">
        <f t="shared" si="1545"/>
        <v>45488</v>
      </c>
      <c r="B8505" s="36"/>
      <c r="E8505" s="5" t="e">
        <f>Table4[[#This Row],[qty]]*(VLOOKUP(Table4[[#This Row],[item_sold]],Table1[],5,FALSE))</f>
        <v>#N/A</v>
      </c>
      <c r="F8505" s="5" t="e">
        <f>(VLOOKUP(Table4[[#This Row],[item_sold]],Table1[],4,FALSE))*Table4[[#This Row],[qty]]</f>
        <v>#N/A</v>
      </c>
      <c r="G8505" t="e">
        <f t="shared" si="1546"/>
        <v>#N/A</v>
      </c>
    </row>
    <row r="8506" spans="1:7" x14ac:dyDescent="0.25">
      <c r="A8506" s="1">
        <f t="shared" si="1545"/>
        <v>45488</v>
      </c>
      <c r="B8506" s="36"/>
      <c r="E8506" s="5" t="e">
        <f>Table4[[#This Row],[qty]]*(VLOOKUP(Table4[[#This Row],[item_sold]],Table1[],5,FALSE))</f>
        <v>#N/A</v>
      </c>
      <c r="F8506" s="5" t="e">
        <f>(VLOOKUP(Table4[[#This Row],[item_sold]],Table1[],4,FALSE))*Table4[[#This Row],[qty]]</f>
        <v>#N/A</v>
      </c>
      <c r="G8506" t="e">
        <f t="shared" si="1546"/>
        <v>#N/A</v>
      </c>
    </row>
    <row r="8507" spans="1:7" x14ac:dyDescent="0.25">
      <c r="A8507" s="1">
        <f t="shared" si="1545"/>
        <v>45488</v>
      </c>
      <c r="B8507" s="36"/>
      <c r="E8507" s="5" t="e">
        <f>Table4[[#This Row],[qty]]*(VLOOKUP(Table4[[#This Row],[item_sold]],Table1[],5,FALSE))</f>
        <v>#N/A</v>
      </c>
      <c r="F8507" s="5" t="e">
        <f>(VLOOKUP(Table4[[#This Row],[item_sold]],Table1[],4,FALSE))*Table4[[#This Row],[qty]]</f>
        <v>#N/A</v>
      </c>
      <c r="G8507" t="e">
        <f t="shared" si="1546"/>
        <v>#N/A</v>
      </c>
    </row>
    <row r="8508" spans="1:7" x14ac:dyDescent="0.25">
      <c r="A8508" s="1">
        <f t="shared" si="1545"/>
        <v>45488</v>
      </c>
      <c r="B8508" s="36"/>
      <c r="E8508" s="5" t="e">
        <f>Table4[[#This Row],[qty]]*(VLOOKUP(Table4[[#This Row],[item_sold]],Table1[],5,FALSE))</f>
        <v>#N/A</v>
      </c>
      <c r="F8508" s="5" t="e">
        <f>(VLOOKUP(Table4[[#This Row],[item_sold]],Table1[],4,FALSE))*Table4[[#This Row],[qty]]</f>
        <v>#N/A</v>
      </c>
      <c r="G8508" t="e">
        <f t="shared" si="1546"/>
        <v>#N/A</v>
      </c>
    </row>
    <row r="8509" spans="1:7" x14ac:dyDescent="0.25">
      <c r="A8509" s="1">
        <f t="shared" si="1545"/>
        <v>45488</v>
      </c>
      <c r="B8509" s="36"/>
      <c r="E8509" s="5" t="e">
        <f>Table4[[#This Row],[qty]]*(VLOOKUP(Table4[[#This Row],[item_sold]],Table1[],5,FALSE))</f>
        <v>#N/A</v>
      </c>
      <c r="F8509" s="5" t="e">
        <f>(VLOOKUP(Table4[[#This Row],[item_sold]],Table1[],4,FALSE))*Table4[[#This Row],[qty]]</f>
        <v>#N/A</v>
      </c>
      <c r="G8509" t="e">
        <f t="shared" si="1546"/>
        <v>#N/A</v>
      </c>
    </row>
    <row r="8510" spans="1:7" x14ac:dyDescent="0.25">
      <c r="A8510" s="1">
        <f t="shared" si="1545"/>
        <v>45488</v>
      </c>
      <c r="B8510" s="36"/>
      <c r="E8510" s="5" t="e">
        <f>Table4[[#This Row],[qty]]*(VLOOKUP(Table4[[#This Row],[item_sold]],Table1[],5,FALSE))</f>
        <v>#N/A</v>
      </c>
      <c r="F8510" s="5" t="e">
        <f>(VLOOKUP(Table4[[#This Row],[item_sold]],Table1[],4,FALSE))*Table4[[#This Row],[qty]]</f>
        <v>#N/A</v>
      </c>
      <c r="G8510" t="e">
        <f t="shared" si="1546"/>
        <v>#N/A</v>
      </c>
    </row>
    <row r="8511" spans="1:7" x14ac:dyDescent="0.25">
      <c r="A8511" s="1">
        <f t="shared" si="1545"/>
        <v>45488</v>
      </c>
      <c r="B8511" s="36"/>
      <c r="E8511" s="5" t="e">
        <f>Table4[[#This Row],[qty]]*(VLOOKUP(Table4[[#This Row],[item_sold]],Table1[],5,FALSE))</f>
        <v>#N/A</v>
      </c>
      <c r="F8511" s="5" t="e">
        <f>(VLOOKUP(Table4[[#This Row],[item_sold]],Table1[],4,FALSE))*Table4[[#This Row],[qty]]</f>
        <v>#N/A</v>
      </c>
      <c r="G8511" t="e">
        <f t="shared" si="1546"/>
        <v>#N/A</v>
      </c>
    </row>
    <row r="8512" spans="1:7" x14ac:dyDescent="0.25">
      <c r="A8512" s="1">
        <f t="shared" si="1545"/>
        <v>45488</v>
      </c>
      <c r="B8512" s="36"/>
      <c r="E8512" s="5" t="e">
        <f>Table4[[#This Row],[qty]]*(VLOOKUP(Table4[[#This Row],[item_sold]],Table1[],5,FALSE))</f>
        <v>#N/A</v>
      </c>
      <c r="F8512" s="5" t="e">
        <f>(VLOOKUP(Table4[[#This Row],[item_sold]],Table1[],4,FALSE))*Table4[[#This Row],[qty]]</f>
        <v>#N/A</v>
      </c>
      <c r="G8512" t="e">
        <f t="shared" si="1546"/>
        <v>#N/A</v>
      </c>
    </row>
    <row r="8513" spans="1:7" x14ac:dyDescent="0.25">
      <c r="A8513" s="1">
        <f t="shared" si="1545"/>
        <v>45488</v>
      </c>
      <c r="B8513" s="36"/>
      <c r="E8513" s="5" t="e">
        <f>Table4[[#This Row],[qty]]*(VLOOKUP(Table4[[#This Row],[item_sold]],Table1[],5,FALSE))</f>
        <v>#N/A</v>
      </c>
      <c r="F8513" s="5" t="e">
        <f>(VLOOKUP(Table4[[#This Row],[item_sold]],Table1[],4,FALSE))*Table4[[#This Row],[qty]]</f>
        <v>#N/A</v>
      </c>
      <c r="G8513" t="e">
        <f t="shared" si="1546"/>
        <v>#N/A</v>
      </c>
    </row>
    <row r="8514" spans="1:7" x14ac:dyDescent="0.25">
      <c r="A8514" s="1">
        <f t="shared" si="1545"/>
        <v>45488</v>
      </c>
      <c r="B8514" s="36"/>
      <c r="E8514" s="5" t="e">
        <f>Table4[[#This Row],[qty]]*(VLOOKUP(Table4[[#This Row],[item_sold]],Table1[],5,FALSE))</f>
        <v>#N/A</v>
      </c>
      <c r="F8514" s="5" t="e">
        <f>(VLOOKUP(Table4[[#This Row],[item_sold]],Table1[],4,FALSE))*Table4[[#This Row],[qty]]</f>
        <v>#N/A</v>
      </c>
      <c r="G8514" t="e">
        <f t="shared" si="1546"/>
        <v>#N/A</v>
      </c>
    </row>
    <row r="8515" spans="1:7" x14ac:dyDescent="0.25">
      <c r="A8515" s="1">
        <f t="shared" si="1545"/>
        <v>45488</v>
      </c>
      <c r="B8515" s="36"/>
      <c r="E8515" s="5" t="e">
        <f>Table4[[#This Row],[qty]]*(VLOOKUP(Table4[[#This Row],[item_sold]],Table1[],5,FALSE))</f>
        <v>#N/A</v>
      </c>
      <c r="F8515" s="5" t="e">
        <f>(VLOOKUP(Table4[[#This Row],[item_sold]],Table1[],4,FALSE))*Table4[[#This Row],[qty]]</f>
        <v>#N/A</v>
      </c>
      <c r="G8515" t="e">
        <f t="shared" si="1546"/>
        <v>#N/A</v>
      </c>
    </row>
    <row r="8516" spans="1:7" x14ac:dyDescent="0.25">
      <c r="A8516" s="1">
        <f t="shared" si="1545"/>
        <v>45488</v>
      </c>
      <c r="B8516" s="36"/>
      <c r="E8516" s="5" t="e">
        <f>Table4[[#This Row],[qty]]*(VLOOKUP(Table4[[#This Row],[item_sold]],Table1[],5,FALSE))</f>
        <v>#N/A</v>
      </c>
      <c r="F8516" s="5" t="e">
        <f>(VLOOKUP(Table4[[#This Row],[item_sold]],Table1[],4,FALSE))*Table4[[#This Row],[qty]]</f>
        <v>#N/A</v>
      </c>
      <c r="G8516" t="e">
        <f t="shared" si="1546"/>
        <v>#N/A</v>
      </c>
    </row>
    <row r="8517" spans="1:7" x14ac:dyDescent="0.25">
      <c r="A8517" s="1">
        <f t="shared" si="1545"/>
        <v>45488</v>
      </c>
      <c r="B8517" s="36"/>
      <c r="E8517" s="5" t="e">
        <f>Table4[[#This Row],[qty]]*(VLOOKUP(Table4[[#This Row],[item_sold]],Table1[],5,FALSE))</f>
        <v>#N/A</v>
      </c>
      <c r="F8517" s="5" t="e">
        <f>(VLOOKUP(Table4[[#This Row],[item_sold]],Table1[],4,FALSE))*Table4[[#This Row],[qty]]</f>
        <v>#N/A</v>
      </c>
      <c r="G8517" t="e">
        <f t="shared" si="1546"/>
        <v>#N/A</v>
      </c>
    </row>
    <row r="8518" spans="1:7" x14ac:dyDescent="0.25">
      <c r="A8518" s="1">
        <f t="shared" si="1545"/>
        <v>45488</v>
      </c>
      <c r="B8518" s="36"/>
      <c r="E8518" s="5" t="e">
        <f>Table4[[#This Row],[qty]]*(VLOOKUP(Table4[[#This Row],[item_sold]],Table1[],5,FALSE))</f>
        <v>#N/A</v>
      </c>
      <c r="F8518" s="5" t="e">
        <f>(VLOOKUP(Table4[[#This Row],[item_sold]],Table1[],4,FALSE))*Table4[[#This Row],[qty]]</f>
        <v>#N/A</v>
      </c>
      <c r="G8518" t="e">
        <f t="shared" si="1546"/>
        <v>#N/A</v>
      </c>
    </row>
    <row r="8519" spans="1:7" x14ac:dyDescent="0.25">
      <c r="A8519" s="1">
        <f t="shared" si="1545"/>
        <v>45488</v>
      </c>
      <c r="B8519" s="36"/>
      <c r="E8519" s="5" t="e">
        <f>Table4[[#This Row],[qty]]*(VLOOKUP(Table4[[#This Row],[item_sold]],Table1[],5,FALSE))</f>
        <v>#N/A</v>
      </c>
      <c r="F8519" s="5" t="e">
        <f>(VLOOKUP(Table4[[#This Row],[item_sold]],Table1[],4,FALSE))*Table4[[#This Row],[qty]]</f>
        <v>#N/A</v>
      </c>
      <c r="G8519" t="e">
        <f t="shared" si="1546"/>
        <v>#N/A</v>
      </c>
    </row>
    <row r="8520" spans="1:7" x14ac:dyDescent="0.25">
      <c r="A8520" s="1">
        <f t="shared" si="1545"/>
        <v>45488</v>
      </c>
      <c r="B8520" s="36"/>
      <c r="E8520" s="5" t="e">
        <f>Table4[[#This Row],[qty]]*(VLOOKUP(Table4[[#This Row],[item_sold]],Table1[],5,FALSE))</f>
        <v>#N/A</v>
      </c>
      <c r="F8520" s="5" t="e">
        <f>(VLOOKUP(Table4[[#This Row],[item_sold]],Table1[],4,FALSE))*Table4[[#This Row],[qty]]</f>
        <v>#N/A</v>
      </c>
      <c r="G8520" t="e">
        <f t="shared" si="1546"/>
        <v>#N/A</v>
      </c>
    </row>
    <row r="8521" spans="1:7" x14ac:dyDescent="0.25">
      <c r="A8521" s="1">
        <f t="shared" si="1545"/>
        <v>45488</v>
      </c>
      <c r="B8521" s="36"/>
      <c r="E8521" s="5" t="e">
        <f>Table4[[#This Row],[qty]]*(VLOOKUP(Table4[[#This Row],[item_sold]],Table1[],5,FALSE))</f>
        <v>#N/A</v>
      </c>
      <c r="F8521" s="5" t="e">
        <f>(VLOOKUP(Table4[[#This Row],[item_sold]],Table1[],4,FALSE))*Table4[[#This Row],[qty]]</f>
        <v>#N/A</v>
      </c>
      <c r="G8521" t="e">
        <f t="shared" si="1546"/>
        <v>#N/A</v>
      </c>
    </row>
    <row r="8522" spans="1:7" x14ac:dyDescent="0.25">
      <c r="A8522" s="1">
        <f t="shared" si="1545"/>
        <v>45488</v>
      </c>
      <c r="B8522" s="36"/>
      <c r="E8522" s="5" t="e">
        <f>Table4[[#This Row],[qty]]*(VLOOKUP(Table4[[#This Row],[item_sold]],Table1[],5,FALSE))</f>
        <v>#N/A</v>
      </c>
      <c r="F8522" s="5" t="e">
        <f>(VLOOKUP(Table4[[#This Row],[item_sold]],Table1[],4,FALSE))*Table4[[#This Row],[qty]]</f>
        <v>#N/A</v>
      </c>
      <c r="G8522" t="e">
        <f t="shared" si="1546"/>
        <v>#N/A</v>
      </c>
    </row>
    <row r="8523" spans="1:7" x14ac:dyDescent="0.25">
      <c r="A8523" s="1">
        <f t="shared" si="1545"/>
        <v>45488</v>
      </c>
      <c r="B8523" s="36"/>
      <c r="E8523" s="5" t="e">
        <f>Table4[[#This Row],[qty]]*(VLOOKUP(Table4[[#This Row],[item_sold]],Table1[],5,FALSE))</f>
        <v>#N/A</v>
      </c>
      <c r="F8523" s="5" t="e">
        <f>(VLOOKUP(Table4[[#This Row],[item_sold]],Table1[],4,FALSE))*Table4[[#This Row],[qty]]</f>
        <v>#N/A</v>
      </c>
      <c r="G8523" t="e">
        <f t="shared" si="1546"/>
        <v>#N/A</v>
      </c>
    </row>
    <row r="8524" spans="1:7" x14ac:dyDescent="0.25">
      <c r="A8524" s="1">
        <f t="shared" si="1545"/>
        <v>45488</v>
      </c>
      <c r="B8524" s="36"/>
      <c r="E8524" s="5" t="e">
        <f>Table4[[#This Row],[qty]]*(VLOOKUP(Table4[[#This Row],[item_sold]],Table1[],5,FALSE))</f>
        <v>#N/A</v>
      </c>
      <c r="F8524" s="5" t="e">
        <f>(VLOOKUP(Table4[[#This Row],[item_sold]],Table1[],4,FALSE))*Table4[[#This Row],[qty]]</f>
        <v>#N/A</v>
      </c>
      <c r="G8524" t="e">
        <f t="shared" si="1546"/>
        <v>#N/A</v>
      </c>
    </row>
    <row r="8525" spans="1:7" x14ac:dyDescent="0.25">
      <c r="A8525" s="1">
        <f t="shared" si="1545"/>
        <v>45488</v>
      </c>
      <c r="B8525" s="36"/>
      <c r="E8525" s="5" t="e">
        <f>Table4[[#This Row],[qty]]*(VLOOKUP(Table4[[#This Row],[item_sold]],Table1[],5,FALSE))</f>
        <v>#N/A</v>
      </c>
      <c r="F8525" s="5" t="e">
        <f>(VLOOKUP(Table4[[#This Row],[item_sold]],Table1[],4,FALSE))*Table4[[#This Row],[qty]]</f>
        <v>#N/A</v>
      </c>
      <c r="G8525" t="e">
        <f t="shared" si="1546"/>
        <v>#N/A</v>
      </c>
    </row>
    <row r="8526" spans="1:7" x14ac:dyDescent="0.25">
      <c r="A8526" s="1">
        <f t="shared" si="1545"/>
        <v>45488</v>
      </c>
      <c r="B8526" s="36"/>
      <c r="E8526" s="5" t="e">
        <f>Table4[[#This Row],[qty]]*(VLOOKUP(Table4[[#This Row],[item_sold]],Table1[],5,FALSE))</f>
        <v>#N/A</v>
      </c>
      <c r="F8526" s="5" t="e">
        <f>(VLOOKUP(Table4[[#This Row],[item_sold]],Table1[],4,FALSE))*Table4[[#This Row],[qty]]</f>
        <v>#N/A</v>
      </c>
      <c r="G8526" t="e">
        <f t="shared" si="1546"/>
        <v>#N/A</v>
      </c>
    </row>
    <row r="8527" spans="1:7" x14ac:dyDescent="0.25">
      <c r="A8527" s="1">
        <f t="shared" si="1545"/>
        <v>45488</v>
      </c>
      <c r="B8527" s="36"/>
      <c r="E8527" s="5" t="e">
        <f>Table4[[#This Row],[qty]]*(VLOOKUP(Table4[[#This Row],[item_sold]],Table1[],5,FALSE))</f>
        <v>#N/A</v>
      </c>
      <c r="F8527" s="5" t="e">
        <f>(VLOOKUP(Table4[[#This Row],[item_sold]],Table1[],4,FALSE))*Table4[[#This Row],[qty]]</f>
        <v>#N/A</v>
      </c>
      <c r="G8527" t="e">
        <f t="shared" si="1546"/>
        <v>#N/A</v>
      </c>
    </row>
    <row r="8528" spans="1:7" x14ac:dyDescent="0.25">
      <c r="A8528" s="1">
        <f t="shared" si="1545"/>
        <v>45488</v>
      </c>
      <c r="B8528" s="36"/>
      <c r="E8528" s="5" t="e">
        <f>Table4[[#This Row],[qty]]*(VLOOKUP(Table4[[#This Row],[item_sold]],Table1[],5,FALSE))</f>
        <v>#N/A</v>
      </c>
      <c r="F8528" s="5" t="e">
        <f>(VLOOKUP(Table4[[#This Row],[item_sold]],Table1[],4,FALSE))*Table4[[#This Row],[qty]]</f>
        <v>#N/A</v>
      </c>
      <c r="G8528" t="e">
        <f t="shared" si="1546"/>
        <v>#N/A</v>
      </c>
    </row>
    <row r="8529" spans="1:7" x14ac:dyDescent="0.25">
      <c r="A8529" s="1">
        <f t="shared" si="1545"/>
        <v>45488</v>
      </c>
      <c r="B8529" s="36"/>
      <c r="E8529" s="5" t="e">
        <f>Table4[[#This Row],[qty]]*(VLOOKUP(Table4[[#This Row],[item_sold]],Table1[],5,FALSE))</f>
        <v>#N/A</v>
      </c>
      <c r="F8529" s="5" t="e">
        <f>(VLOOKUP(Table4[[#This Row],[item_sold]],Table1[],4,FALSE))*Table4[[#This Row],[qty]]</f>
        <v>#N/A</v>
      </c>
      <c r="G8529" t="e">
        <f t="shared" si="1546"/>
        <v>#N/A</v>
      </c>
    </row>
    <row r="8530" spans="1:7" x14ac:dyDescent="0.25">
      <c r="A8530" s="1">
        <f t="shared" si="1545"/>
        <v>45488</v>
      </c>
      <c r="B8530" s="36"/>
      <c r="E8530" s="5" t="e">
        <f>Table4[[#This Row],[qty]]*(VLOOKUP(Table4[[#This Row],[item_sold]],Table1[],5,FALSE))</f>
        <v>#N/A</v>
      </c>
      <c r="F8530" s="5" t="e">
        <f>(VLOOKUP(Table4[[#This Row],[item_sold]],Table1[],4,FALSE))*Table4[[#This Row],[qty]]</f>
        <v>#N/A</v>
      </c>
      <c r="G8530" t="e">
        <f t="shared" si="1546"/>
        <v>#N/A</v>
      </c>
    </row>
    <row r="8531" spans="1:7" x14ac:dyDescent="0.25">
      <c r="A8531" s="1">
        <f t="shared" si="1545"/>
        <v>45488</v>
      </c>
      <c r="B8531" s="36"/>
      <c r="E8531" s="5" t="e">
        <f>Table4[[#This Row],[qty]]*(VLOOKUP(Table4[[#This Row],[item_sold]],Table1[],5,FALSE))</f>
        <v>#N/A</v>
      </c>
      <c r="F8531" s="5" t="e">
        <f>(VLOOKUP(Table4[[#This Row],[item_sold]],Table1[],4,FALSE))*Table4[[#This Row],[qty]]</f>
        <v>#N/A</v>
      </c>
      <c r="G8531" t="e">
        <f t="shared" si="1546"/>
        <v>#N/A</v>
      </c>
    </row>
    <row r="8532" spans="1:7" x14ac:dyDescent="0.25">
      <c r="A8532" s="1">
        <f t="shared" ref="A8532:A8595" si="1547">DATE(2024,7,15)</f>
        <v>45488</v>
      </c>
      <c r="B8532" s="36"/>
      <c r="E8532" s="5" t="e">
        <f>Table4[[#This Row],[qty]]*(VLOOKUP(Table4[[#This Row],[item_sold]],Table1[],5,FALSE))</f>
        <v>#N/A</v>
      </c>
      <c r="F8532" s="5" t="e">
        <f>(VLOOKUP(Table4[[#This Row],[item_sold]],Table1[],4,FALSE))*Table4[[#This Row],[qty]]</f>
        <v>#N/A</v>
      </c>
      <c r="G8532" t="e">
        <f t="shared" ref="G8532:G8595" si="1548">E8532-F8532</f>
        <v>#N/A</v>
      </c>
    </row>
    <row r="8533" spans="1:7" x14ac:dyDescent="0.25">
      <c r="A8533" s="1">
        <f t="shared" si="1547"/>
        <v>45488</v>
      </c>
      <c r="B8533" s="36"/>
      <c r="E8533" s="5" t="e">
        <f>Table4[[#This Row],[qty]]*(VLOOKUP(Table4[[#This Row],[item_sold]],Table1[],5,FALSE))</f>
        <v>#N/A</v>
      </c>
      <c r="F8533" s="5" t="e">
        <f>(VLOOKUP(Table4[[#This Row],[item_sold]],Table1[],4,FALSE))*Table4[[#This Row],[qty]]</f>
        <v>#N/A</v>
      </c>
      <c r="G8533" t="e">
        <f t="shared" si="1548"/>
        <v>#N/A</v>
      </c>
    </row>
    <row r="8534" spans="1:7" x14ac:dyDescent="0.25">
      <c r="A8534" s="1">
        <f t="shared" si="1547"/>
        <v>45488</v>
      </c>
      <c r="B8534" s="36"/>
      <c r="E8534" s="5" t="e">
        <f>Table4[[#This Row],[qty]]*(VLOOKUP(Table4[[#This Row],[item_sold]],Table1[],5,FALSE))</f>
        <v>#N/A</v>
      </c>
      <c r="F8534" s="5" t="e">
        <f>(VLOOKUP(Table4[[#This Row],[item_sold]],Table1[],4,FALSE))*Table4[[#This Row],[qty]]</f>
        <v>#N/A</v>
      </c>
      <c r="G8534" t="e">
        <f t="shared" si="1548"/>
        <v>#N/A</v>
      </c>
    </row>
    <row r="8535" spans="1:7" x14ac:dyDescent="0.25">
      <c r="A8535" s="1">
        <f t="shared" si="1547"/>
        <v>45488</v>
      </c>
      <c r="B8535" s="36"/>
      <c r="E8535" s="5" t="e">
        <f>Table4[[#This Row],[qty]]*(VLOOKUP(Table4[[#This Row],[item_sold]],Table1[],5,FALSE))</f>
        <v>#N/A</v>
      </c>
      <c r="F8535" s="5" t="e">
        <f>(VLOOKUP(Table4[[#This Row],[item_sold]],Table1[],4,FALSE))*Table4[[#This Row],[qty]]</f>
        <v>#N/A</v>
      </c>
      <c r="G8535" t="e">
        <f t="shared" si="1548"/>
        <v>#N/A</v>
      </c>
    </row>
    <row r="8536" spans="1:7" x14ac:dyDescent="0.25">
      <c r="A8536" s="1">
        <f t="shared" si="1547"/>
        <v>45488</v>
      </c>
      <c r="B8536" s="36"/>
      <c r="E8536" s="5" t="e">
        <f>Table4[[#This Row],[qty]]*(VLOOKUP(Table4[[#This Row],[item_sold]],Table1[],5,FALSE))</f>
        <v>#N/A</v>
      </c>
      <c r="F8536" s="5" t="e">
        <f>(VLOOKUP(Table4[[#This Row],[item_sold]],Table1[],4,FALSE))*Table4[[#This Row],[qty]]</f>
        <v>#N/A</v>
      </c>
      <c r="G8536" t="e">
        <f t="shared" si="1548"/>
        <v>#N/A</v>
      </c>
    </row>
    <row r="8537" spans="1:7" x14ac:dyDescent="0.25">
      <c r="A8537" s="1">
        <f t="shared" si="1547"/>
        <v>45488</v>
      </c>
      <c r="B8537" s="36"/>
      <c r="E8537" s="5" t="e">
        <f>Table4[[#This Row],[qty]]*(VLOOKUP(Table4[[#This Row],[item_sold]],Table1[],5,FALSE))</f>
        <v>#N/A</v>
      </c>
      <c r="F8537" s="5" t="e">
        <f>(VLOOKUP(Table4[[#This Row],[item_sold]],Table1[],4,FALSE))*Table4[[#This Row],[qty]]</f>
        <v>#N/A</v>
      </c>
      <c r="G8537" t="e">
        <f t="shared" si="1548"/>
        <v>#N/A</v>
      </c>
    </row>
    <row r="8538" spans="1:7" x14ac:dyDescent="0.25">
      <c r="A8538" s="1">
        <f t="shared" si="1547"/>
        <v>45488</v>
      </c>
      <c r="B8538" s="36"/>
      <c r="E8538" s="5" t="e">
        <f>Table4[[#This Row],[qty]]*(VLOOKUP(Table4[[#This Row],[item_sold]],Table1[],5,FALSE))</f>
        <v>#N/A</v>
      </c>
      <c r="F8538" s="5" t="e">
        <f>(VLOOKUP(Table4[[#This Row],[item_sold]],Table1[],4,FALSE))*Table4[[#This Row],[qty]]</f>
        <v>#N/A</v>
      </c>
      <c r="G8538" t="e">
        <f t="shared" si="1548"/>
        <v>#N/A</v>
      </c>
    </row>
    <row r="8539" spans="1:7" x14ac:dyDescent="0.25">
      <c r="A8539" s="1">
        <f t="shared" si="1547"/>
        <v>45488</v>
      </c>
      <c r="B8539" s="36"/>
      <c r="E8539" s="5" t="e">
        <f>Table4[[#This Row],[qty]]*(VLOOKUP(Table4[[#This Row],[item_sold]],Table1[],5,FALSE))</f>
        <v>#N/A</v>
      </c>
      <c r="F8539" s="5" t="e">
        <f>(VLOOKUP(Table4[[#This Row],[item_sold]],Table1[],4,FALSE))*Table4[[#This Row],[qty]]</f>
        <v>#N/A</v>
      </c>
      <c r="G8539" t="e">
        <f t="shared" si="1548"/>
        <v>#N/A</v>
      </c>
    </row>
    <row r="8540" spans="1:7" x14ac:dyDescent="0.25">
      <c r="A8540" s="1">
        <f t="shared" si="1547"/>
        <v>45488</v>
      </c>
      <c r="B8540" s="36"/>
      <c r="E8540" s="5" t="e">
        <f>Table4[[#This Row],[qty]]*(VLOOKUP(Table4[[#This Row],[item_sold]],Table1[],5,FALSE))</f>
        <v>#N/A</v>
      </c>
      <c r="F8540" s="5" t="e">
        <f>(VLOOKUP(Table4[[#This Row],[item_sold]],Table1[],4,FALSE))*Table4[[#This Row],[qty]]</f>
        <v>#N/A</v>
      </c>
      <c r="G8540" t="e">
        <f t="shared" si="1548"/>
        <v>#N/A</v>
      </c>
    </row>
    <row r="8541" spans="1:7" x14ac:dyDescent="0.25">
      <c r="A8541" s="1">
        <f t="shared" si="1547"/>
        <v>45488</v>
      </c>
      <c r="B8541" s="36"/>
      <c r="E8541" s="5" t="e">
        <f>Table4[[#This Row],[qty]]*(VLOOKUP(Table4[[#This Row],[item_sold]],Table1[],5,FALSE))</f>
        <v>#N/A</v>
      </c>
      <c r="F8541" s="5" t="e">
        <f>(VLOOKUP(Table4[[#This Row],[item_sold]],Table1[],4,FALSE))*Table4[[#This Row],[qty]]</f>
        <v>#N/A</v>
      </c>
      <c r="G8541" t="e">
        <f t="shared" si="1548"/>
        <v>#N/A</v>
      </c>
    </row>
    <row r="8542" spans="1:7" x14ac:dyDescent="0.25">
      <c r="A8542" s="1">
        <f t="shared" si="1547"/>
        <v>45488</v>
      </c>
      <c r="B8542" s="36"/>
      <c r="E8542" s="5" t="e">
        <f>Table4[[#This Row],[qty]]*(VLOOKUP(Table4[[#This Row],[item_sold]],Table1[],5,FALSE))</f>
        <v>#N/A</v>
      </c>
      <c r="F8542" s="5" t="e">
        <f>(VLOOKUP(Table4[[#This Row],[item_sold]],Table1[],4,FALSE))*Table4[[#This Row],[qty]]</f>
        <v>#N/A</v>
      </c>
      <c r="G8542" t="e">
        <f t="shared" si="1548"/>
        <v>#N/A</v>
      </c>
    </row>
    <row r="8543" spans="1:7" x14ac:dyDescent="0.25">
      <c r="A8543" s="1">
        <f t="shared" si="1547"/>
        <v>45488</v>
      </c>
      <c r="B8543" s="36"/>
      <c r="E8543" s="5" t="e">
        <f>Table4[[#This Row],[qty]]*(VLOOKUP(Table4[[#This Row],[item_sold]],Table1[],5,FALSE))</f>
        <v>#N/A</v>
      </c>
      <c r="F8543" s="5" t="e">
        <f>(VLOOKUP(Table4[[#This Row],[item_sold]],Table1[],4,FALSE))*Table4[[#This Row],[qty]]</f>
        <v>#N/A</v>
      </c>
      <c r="G8543" t="e">
        <f t="shared" si="1548"/>
        <v>#N/A</v>
      </c>
    </row>
    <row r="8544" spans="1:7" x14ac:dyDescent="0.25">
      <c r="A8544" s="1">
        <f t="shared" si="1547"/>
        <v>45488</v>
      </c>
      <c r="B8544" s="36"/>
      <c r="E8544" s="5" t="e">
        <f>Table4[[#This Row],[qty]]*(VLOOKUP(Table4[[#This Row],[item_sold]],Table1[],5,FALSE))</f>
        <v>#N/A</v>
      </c>
      <c r="F8544" s="5" t="e">
        <f>(VLOOKUP(Table4[[#This Row],[item_sold]],Table1[],4,FALSE))*Table4[[#This Row],[qty]]</f>
        <v>#N/A</v>
      </c>
      <c r="G8544" t="e">
        <f t="shared" si="1548"/>
        <v>#N/A</v>
      </c>
    </row>
    <row r="8545" spans="1:7" x14ac:dyDescent="0.25">
      <c r="A8545" s="1">
        <f t="shared" si="1547"/>
        <v>45488</v>
      </c>
      <c r="B8545" s="36"/>
      <c r="E8545" s="5" t="e">
        <f>Table4[[#This Row],[qty]]*(VLOOKUP(Table4[[#This Row],[item_sold]],Table1[],5,FALSE))</f>
        <v>#N/A</v>
      </c>
      <c r="F8545" s="5" t="e">
        <f>(VLOOKUP(Table4[[#This Row],[item_sold]],Table1[],4,FALSE))*Table4[[#This Row],[qty]]</f>
        <v>#N/A</v>
      </c>
      <c r="G8545" t="e">
        <f t="shared" si="1548"/>
        <v>#N/A</v>
      </c>
    </row>
    <row r="8546" spans="1:7" x14ac:dyDescent="0.25">
      <c r="A8546" s="1">
        <f t="shared" si="1547"/>
        <v>45488</v>
      </c>
      <c r="B8546" s="36"/>
      <c r="E8546" s="5" t="e">
        <f>Table4[[#This Row],[qty]]*(VLOOKUP(Table4[[#This Row],[item_sold]],Table1[],5,FALSE))</f>
        <v>#N/A</v>
      </c>
      <c r="F8546" s="5" t="e">
        <f>(VLOOKUP(Table4[[#This Row],[item_sold]],Table1[],4,FALSE))*Table4[[#This Row],[qty]]</f>
        <v>#N/A</v>
      </c>
      <c r="G8546" t="e">
        <f t="shared" si="1548"/>
        <v>#N/A</v>
      </c>
    </row>
    <row r="8547" spans="1:7" x14ac:dyDescent="0.25">
      <c r="A8547" s="1">
        <f t="shared" si="1547"/>
        <v>45488</v>
      </c>
      <c r="B8547" s="36"/>
      <c r="E8547" s="5" t="e">
        <f>Table4[[#This Row],[qty]]*(VLOOKUP(Table4[[#This Row],[item_sold]],Table1[],5,FALSE))</f>
        <v>#N/A</v>
      </c>
      <c r="F8547" s="5" t="e">
        <f>(VLOOKUP(Table4[[#This Row],[item_sold]],Table1[],4,FALSE))*Table4[[#This Row],[qty]]</f>
        <v>#N/A</v>
      </c>
      <c r="G8547" t="e">
        <f t="shared" si="1548"/>
        <v>#N/A</v>
      </c>
    </row>
    <row r="8548" spans="1:7" x14ac:dyDescent="0.25">
      <c r="A8548" s="1">
        <f t="shared" si="1547"/>
        <v>45488</v>
      </c>
      <c r="B8548" s="36"/>
      <c r="E8548" s="5" t="e">
        <f>Table4[[#This Row],[qty]]*(VLOOKUP(Table4[[#This Row],[item_sold]],Table1[],5,FALSE))</f>
        <v>#N/A</v>
      </c>
      <c r="F8548" s="5" t="e">
        <f>(VLOOKUP(Table4[[#This Row],[item_sold]],Table1[],4,FALSE))*Table4[[#This Row],[qty]]</f>
        <v>#N/A</v>
      </c>
      <c r="G8548" t="e">
        <f t="shared" si="1548"/>
        <v>#N/A</v>
      </c>
    </row>
    <row r="8549" spans="1:7" x14ac:dyDescent="0.25">
      <c r="A8549" s="1">
        <f t="shared" si="1547"/>
        <v>45488</v>
      </c>
      <c r="B8549" s="36"/>
      <c r="E8549" s="5" t="e">
        <f>Table4[[#This Row],[qty]]*(VLOOKUP(Table4[[#This Row],[item_sold]],Table1[],5,FALSE))</f>
        <v>#N/A</v>
      </c>
      <c r="F8549" s="5" t="e">
        <f>(VLOOKUP(Table4[[#This Row],[item_sold]],Table1[],4,FALSE))*Table4[[#This Row],[qty]]</f>
        <v>#N/A</v>
      </c>
      <c r="G8549" t="e">
        <f t="shared" si="1548"/>
        <v>#N/A</v>
      </c>
    </row>
    <row r="8550" spans="1:7" x14ac:dyDescent="0.25">
      <c r="A8550" s="1">
        <f t="shared" si="1547"/>
        <v>45488</v>
      </c>
      <c r="B8550" s="36"/>
      <c r="E8550" s="5" t="e">
        <f>Table4[[#This Row],[qty]]*(VLOOKUP(Table4[[#This Row],[item_sold]],Table1[],5,FALSE))</f>
        <v>#N/A</v>
      </c>
      <c r="F8550" s="5" t="e">
        <f>(VLOOKUP(Table4[[#This Row],[item_sold]],Table1[],4,FALSE))*Table4[[#This Row],[qty]]</f>
        <v>#N/A</v>
      </c>
      <c r="G8550" t="e">
        <f t="shared" si="1548"/>
        <v>#N/A</v>
      </c>
    </row>
    <row r="8551" spans="1:7" x14ac:dyDescent="0.25">
      <c r="A8551" s="1">
        <f t="shared" si="1547"/>
        <v>45488</v>
      </c>
      <c r="B8551" s="36"/>
      <c r="E8551" s="5" t="e">
        <f>Table4[[#This Row],[qty]]*(VLOOKUP(Table4[[#This Row],[item_sold]],Table1[],5,FALSE))</f>
        <v>#N/A</v>
      </c>
      <c r="F8551" s="5" t="e">
        <f>(VLOOKUP(Table4[[#This Row],[item_sold]],Table1[],4,FALSE))*Table4[[#This Row],[qty]]</f>
        <v>#N/A</v>
      </c>
      <c r="G8551" t="e">
        <f t="shared" si="1548"/>
        <v>#N/A</v>
      </c>
    </row>
    <row r="8552" spans="1:7" x14ac:dyDescent="0.25">
      <c r="A8552" s="1">
        <f t="shared" si="1547"/>
        <v>45488</v>
      </c>
      <c r="B8552" s="36"/>
      <c r="E8552" s="5" t="e">
        <f>Table4[[#This Row],[qty]]*(VLOOKUP(Table4[[#This Row],[item_sold]],Table1[],5,FALSE))</f>
        <v>#N/A</v>
      </c>
      <c r="F8552" s="5" t="e">
        <f>(VLOOKUP(Table4[[#This Row],[item_sold]],Table1[],4,FALSE))*Table4[[#This Row],[qty]]</f>
        <v>#N/A</v>
      </c>
      <c r="G8552" t="e">
        <f t="shared" si="1548"/>
        <v>#N/A</v>
      </c>
    </row>
    <row r="8553" spans="1:7" x14ac:dyDescent="0.25">
      <c r="A8553" s="1">
        <f t="shared" si="1547"/>
        <v>45488</v>
      </c>
      <c r="B8553" s="36"/>
      <c r="E8553" s="5" t="e">
        <f>Table4[[#This Row],[qty]]*(VLOOKUP(Table4[[#This Row],[item_sold]],Table1[],5,FALSE))</f>
        <v>#N/A</v>
      </c>
      <c r="F8553" s="5" t="e">
        <f>(VLOOKUP(Table4[[#This Row],[item_sold]],Table1[],4,FALSE))*Table4[[#This Row],[qty]]</f>
        <v>#N/A</v>
      </c>
      <c r="G8553" t="e">
        <f t="shared" si="1548"/>
        <v>#N/A</v>
      </c>
    </row>
    <row r="8554" spans="1:7" x14ac:dyDescent="0.25">
      <c r="A8554" s="1">
        <f t="shared" si="1547"/>
        <v>45488</v>
      </c>
      <c r="B8554" s="36"/>
      <c r="E8554" s="5" t="e">
        <f>Table4[[#This Row],[qty]]*(VLOOKUP(Table4[[#This Row],[item_sold]],Table1[],5,FALSE))</f>
        <v>#N/A</v>
      </c>
      <c r="F8554" s="5" t="e">
        <f>(VLOOKUP(Table4[[#This Row],[item_sold]],Table1[],4,FALSE))*Table4[[#This Row],[qty]]</f>
        <v>#N/A</v>
      </c>
      <c r="G8554" t="e">
        <f t="shared" si="1548"/>
        <v>#N/A</v>
      </c>
    </row>
    <row r="8555" spans="1:7" x14ac:dyDescent="0.25">
      <c r="A8555" s="1">
        <f t="shared" si="1547"/>
        <v>45488</v>
      </c>
      <c r="B8555" s="36"/>
      <c r="E8555" s="5" t="e">
        <f>Table4[[#This Row],[qty]]*(VLOOKUP(Table4[[#This Row],[item_sold]],Table1[],5,FALSE))</f>
        <v>#N/A</v>
      </c>
      <c r="F8555" s="5" t="e">
        <f>(VLOOKUP(Table4[[#This Row],[item_sold]],Table1[],4,FALSE))*Table4[[#This Row],[qty]]</f>
        <v>#N/A</v>
      </c>
      <c r="G8555" t="e">
        <f t="shared" si="1548"/>
        <v>#N/A</v>
      </c>
    </row>
    <row r="8556" spans="1:7" x14ac:dyDescent="0.25">
      <c r="A8556" s="1">
        <f t="shared" si="1547"/>
        <v>45488</v>
      </c>
      <c r="B8556" s="36"/>
      <c r="E8556" s="5" t="e">
        <f>Table4[[#This Row],[qty]]*(VLOOKUP(Table4[[#This Row],[item_sold]],Table1[],5,FALSE))</f>
        <v>#N/A</v>
      </c>
      <c r="F8556" s="5" t="e">
        <f>(VLOOKUP(Table4[[#This Row],[item_sold]],Table1[],4,FALSE))*Table4[[#This Row],[qty]]</f>
        <v>#N/A</v>
      </c>
      <c r="G8556" t="e">
        <f t="shared" si="1548"/>
        <v>#N/A</v>
      </c>
    </row>
    <row r="8557" spans="1:7" x14ac:dyDescent="0.25">
      <c r="A8557" s="1">
        <f t="shared" si="1547"/>
        <v>45488</v>
      </c>
      <c r="B8557" s="36"/>
      <c r="E8557" s="5" t="e">
        <f>Table4[[#This Row],[qty]]*(VLOOKUP(Table4[[#This Row],[item_sold]],Table1[],5,FALSE))</f>
        <v>#N/A</v>
      </c>
      <c r="F8557" s="5" t="e">
        <f>(VLOOKUP(Table4[[#This Row],[item_sold]],Table1[],4,FALSE))*Table4[[#This Row],[qty]]</f>
        <v>#N/A</v>
      </c>
      <c r="G8557" t="e">
        <f t="shared" si="1548"/>
        <v>#N/A</v>
      </c>
    </row>
    <row r="8558" spans="1:7" x14ac:dyDescent="0.25">
      <c r="A8558" s="1">
        <f t="shared" si="1547"/>
        <v>45488</v>
      </c>
      <c r="B8558" s="36"/>
      <c r="E8558" s="5" t="e">
        <f>Table4[[#This Row],[qty]]*(VLOOKUP(Table4[[#This Row],[item_sold]],Table1[],5,FALSE))</f>
        <v>#N/A</v>
      </c>
      <c r="F8558" s="5" t="e">
        <f>(VLOOKUP(Table4[[#This Row],[item_sold]],Table1[],4,FALSE))*Table4[[#This Row],[qty]]</f>
        <v>#N/A</v>
      </c>
      <c r="G8558" t="e">
        <f t="shared" si="1548"/>
        <v>#N/A</v>
      </c>
    </row>
    <row r="8559" spans="1:7" x14ac:dyDescent="0.25">
      <c r="A8559" s="1">
        <f t="shared" si="1547"/>
        <v>45488</v>
      </c>
      <c r="B8559" s="36"/>
      <c r="E8559" s="5" t="e">
        <f>Table4[[#This Row],[qty]]*(VLOOKUP(Table4[[#This Row],[item_sold]],Table1[],5,FALSE))</f>
        <v>#N/A</v>
      </c>
      <c r="F8559" s="5" t="e">
        <f>(VLOOKUP(Table4[[#This Row],[item_sold]],Table1[],4,FALSE))*Table4[[#This Row],[qty]]</f>
        <v>#N/A</v>
      </c>
      <c r="G8559" t="e">
        <f t="shared" si="1548"/>
        <v>#N/A</v>
      </c>
    </row>
    <row r="8560" spans="1:7" x14ac:dyDescent="0.25">
      <c r="A8560" s="1">
        <f t="shared" si="1547"/>
        <v>45488</v>
      </c>
      <c r="B8560" s="36"/>
      <c r="E8560" s="5" t="e">
        <f>Table4[[#This Row],[qty]]*(VLOOKUP(Table4[[#This Row],[item_sold]],Table1[],5,FALSE))</f>
        <v>#N/A</v>
      </c>
      <c r="F8560" s="5" t="e">
        <f>(VLOOKUP(Table4[[#This Row],[item_sold]],Table1[],4,FALSE))*Table4[[#This Row],[qty]]</f>
        <v>#N/A</v>
      </c>
      <c r="G8560" t="e">
        <f t="shared" si="1548"/>
        <v>#N/A</v>
      </c>
    </row>
    <row r="8561" spans="1:7" x14ac:dyDescent="0.25">
      <c r="A8561" s="1">
        <f t="shared" si="1547"/>
        <v>45488</v>
      </c>
      <c r="B8561" s="36"/>
      <c r="E8561" s="5" t="e">
        <f>Table4[[#This Row],[qty]]*(VLOOKUP(Table4[[#This Row],[item_sold]],Table1[],5,FALSE))</f>
        <v>#N/A</v>
      </c>
      <c r="F8561" s="5" t="e">
        <f>(VLOOKUP(Table4[[#This Row],[item_sold]],Table1[],4,FALSE))*Table4[[#This Row],[qty]]</f>
        <v>#N/A</v>
      </c>
      <c r="G8561" t="e">
        <f t="shared" si="1548"/>
        <v>#N/A</v>
      </c>
    </row>
    <row r="8562" spans="1:7" x14ac:dyDescent="0.25">
      <c r="A8562" s="1">
        <f t="shared" si="1547"/>
        <v>45488</v>
      </c>
      <c r="B8562" s="36"/>
      <c r="E8562" s="5" t="e">
        <f>Table4[[#This Row],[qty]]*(VLOOKUP(Table4[[#This Row],[item_sold]],Table1[],5,FALSE))</f>
        <v>#N/A</v>
      </c>
      <c r="F8562" s="5" t="e">
        <f>(VLOOKUP(Table4[[#This Row],[item_sold]],Table1[],4,FALSE))*Table4[[#This Row],[qty]]</f>
        <v>#N/A</v>
      </c>
      <c r="G8562" t="e">
        <f t="shared" si="1548"/>
        <v>#N/A</v>
      </c>
    </row>
    <row r="8563" spans="1:7" x14ac:dyDescent="0.25">
      <c r="A8563" s="1">
        <f t="shared" si="1547"/>
        <v>45488</v>
      </c>
      <c r="B8563" s="36"/>
      <c r="E8563" s="5" t="e">
        <f>Table4[[#This Row],[qty]]*(VLOOKUP(Table4[[#This Row],[item_sold]],Table1[],5,FALSE))</f>
        <v>#N/A</v>
      </c>
      <c r="F8563" s="5" t="e">
        <f>(VLOOKUP(Table4[[#This Row],[item_sold]],Table1[],4,FALSE))*Table4[[#This Row],[qty]]</f>
        <v>#N/A</v>
      </c>
      <c r="G8563" t="e">
        <f t="shared" si="1548"/>
        <v>#N/A</v>
      </c>
    </row>
    <row r="8564" spans="1:7" x14ac:dyDescent="0.25">
      <c r="A8564" s="1">
        <f t="shared" si="1547"/>
        <v>45488</v>
      </c>
      <c r="B8564" s="36"/>
      <c r="E8564" s="5" t="e">
        <f>Table4[[#This Row],[qty]]*(VLOOKUP(Table4[[#This Row],[item_sold]],Table1[],5,FALSE))</f>
        <v>#N/A</v>
      </c>
      <c r="F8564" s="5" t="e">
        <f>(VLOOKUP(Table4[[#This Row],[item_sold]],Table1[],4,FALSE))*Table4[[#This Row],[qty]]</f>
        <v>#N/A</v>
      </c>
      <c r="G8564" t="e">
        <f t="shared" si="1548"/>
        <v>#N/A</v>
      </c>
    </row>
    <row r="8565" spans="1:7" x14ac:dyDescent="0.25">
      <c r="A8565" s="1">
        <f t="shared" si="1547"/>
        <v>45488</v>
      </c>
      <c r="B8565" s="36"/>
      <c r="E8565" s="5" t="e">
        <f>Table4[[#This Row],[qty]]*(VLOOKUP(Table4[[#This Row],[item_sold]],Table1[],5,FALSE))</f>
        <v>#N/A</v>
      </c>
      <c r="F8565" s="5" t="e">
        <f>(VLOOKUP(Table4[[#This Row],[item_sold]],Table1[],4,FALSE))*Table4[[#This Row],[qty]]</f>
        <v>#N/A</v>
      </c>
      <c r="G8565" t="e">
        <f t="shared" si="1548"/>
        <v>#N/A</v>
      </c>
    </row>
    <row r="8566" spans="1:7" x14ac:dyDescent="0.25">
      <c r="A8566" s="1">
        <f t="shared" si="1547"/>
        <v>45488</v>
      </c>
      <c r="B8566" s="36"/>
      <c r="E8566" s="5" t="e">
        <f>Table4[[#This Row],[qty]]*(VLOOKUP(Table4[[#This Row],[item_sold]],Table1[],5,FALSE))</f>
        <v>#N/A</v>
      </c>
      <c r="F8566" s="5" t="e">
        <f>(VLOOKUP(Table4[[#This Row],[item_sold]],Table1[],4,FALSE))*Table4[[#This Row],[qty]]</f>
        <v>#N/A</v>
      </c>
      <c r="G8566" t="e">
        <f t="shared" si="1548"/>
        <v>#N/A</v>
      </c>
    </row>
    <row r="8567" spans="1:7" x14ac:dyDescent="0.25">
      <c r="A8567" s="1">
        <f t="shared" si="1547"/>
        <v>45488</v>
      </c>
      <c r="B8567" s="36"/>
      <c r="E8567" s="5" t="e">
        <f>Table4[[#This Row],[qty]]*(VLOOKUP(Table4[[#This Row],[item_sold]],Table1[],5,FALSE))</f>
        <v>#N/A</v>
      </c>
      <c r="F8567" s="5" t="e">
        <f>(VLOOKUP(Table4[[#This Row],[item_sold]],Table1[],4,FALSE))*Table4[[#This Row],[qty]]</f>
        <v>#N/A</v>
      </c>
      <c r="G8567" t="e">
        <f t="shared" si="1548"/>
        <v>#N/A</v>
      </c>
    </row>
    <row r="8568" spans="1:7" x14ac:dyDescent="0.25">
      <c r="A8568" s="1">
        <f t="shared" si="1547"/>
        <v>45488</v>
      </c>
      <c r="B8568" s="36"/>
      <c r="E8568" s="5" t="e">
        <f>Table4[[#This Row],[qty]]*(VLOOKUP(Table4[[#This Row],[item_sold]],Table1[],5,FALSE))</f>
        <v>#N/A</v>
      </c>
      <c r="F8568" s="5" t="e">
        <f>(VLOOKUP(Table4[[#This Row],[item_sold]],Table1[],4,FALSE))*Table4[[#This Row],[qty]]</f>
        <v>#N/A</v>
      </c>
      <c r="G8568" t="e">
        <f t="shared" si="1548"/>
        <v>#N/A</v>
      </c>
    </row>
    <row r="8569" spans="1:7" x14ac:dyDescent="0.25">
      <c r="A8569" s="1">
        <f t="shared" si="1547"/>
        <v>45488</v>
      </c>
      <c r="B8569" s="36"/>
      <c r="E8569" s="5" t="e">
        <f>Table4[[#This Row],[qty]]*(VLOOKUP(Table4[[#This Row],[item_sold]],Table1[],5,FALSE))</f>
        <v>#N/A</v>
      </c>
      <c r="F8569" s="5" t="e">
        <f>(VLOOKUP(Table4[[#This Row],[item_sold]],Table1[],4,FALSE))*Table4[[#This Row],[qty]]</f>
        <v>#N/A</v>
      </c>
      <c r="G8569" t="e">
        <f t="shared" si="1548"/>
        <v>#N/A</v>
      </c>
    </row>
    <row r="8570" spans="1:7" x14ac:dyDescent="0.25">
      <c r="A8570" s="1">
        <f t="shared" si="1547"/>
        <v>45488</v>
      </c>
      <c r="B8570" s="36"/>
      <c r="E8570" s="5" t="e">
        <f>Table4[[#This Row],[qty]]*(VLOOKUP(Table4[[#This Row],[item_sold]],Table1[],5,FALSE))</f>
        <v>#N/A</v>
      </c>
      <c r="F8570" s="5" t="e">
        <f>(VLOOKUP(Table4[[#This Row],[item_sold]],Table1[],4,FALSE))*Table4[[#This Row],[qty]]</f>
        <v>#N/A</v>
      </c>
      <c r="G8570" t="e">
        <f t="shared" si="1548"/>
        <v>#N/A</v>
      </c>
    </row>
    <row r="8571" spans="1:7" x14ac:dyDescent="0.25">
      <c r="A8571" s="1">
        <f t="shared" si="1547"/>
        <v>45488</v>
      </c>
      <c r="B8571" s="36"/>
      <c r="E8571" s="5" t="e">
        <f>Table4[[#This Row],[qty]]*(VLOOKUP(Table4[[#This Row],[item_sold]],Table1[],5,FALSE))</f>
        <v>#N/A</v>
      </c>
      <c r="F8571" s="5" t="e">
        <f>(VLOOKUP(Table4[[#This Row],[item_sold]],Table1[],4,FALSE))*Table4[[#This Row],[qty]]</f>
        <v>#N/A</v>
      </c>
      <c r="G8571" t="e">
        <f t="shared" si="1548"/>
        <v>#N/A</v>
      </c>
    </row>
    <row r="8572" spans="1:7" x14ac:dyDescent="0.25">
      <c r="A8572" s="1">
        <f t="shared" si="1547"/>
        <v>45488</v>
      </c>
      <c r="B8572" s="36"/>
      <c r="E8572" s="5" t="e">
        <f>Table4[[#This Row],[qty]]*(VLOOKUP(Table4[[#This Row],[item_sold]],Table1[],5,FALSE))</f>
        <v>#N/A</v>
      </c>
      <c r="F8572" s="5" t="e">
        <f>(VLOOKUP(Table4[[#This Row],[item_sold]],Table1[],4,FALSE))*Table4[[#This Row],[qty]]</f>
        <v>#N/A</v>
      </c>
      <c r="G8572" t="e">
        <f t="shared" si="1548"/>
        <v>#N/A</v>
      </c>
    </row>
    <row r="8573" spans="1:7" x14ac:dyDescent="0.25">
      <c r="A8573" s="1">
        <f t="shared" si="1547"/>
        <v>45488</v>
      </c>
      <c r="B8573" s="36"/>
      <c r="E8573" s="5" t="e">
        <f>Table4[[#This Row],[qty]]*(VLOOKUP(Table4[[#This Row],[item_sold]],Table1[],5,FALSE))</f>
        <v>#N/A</v>
      </c>
      <c r="F8573" s="5" t="e">
        <f>(VLOOKUP(Table4[[#This Row],[item_sold]],Table1[],4,FALSE))*Table4[[#This Row],[qty]]</f>
        <v>#N/A</v>
      </c>
      <c r="G8573" t="e">
        <f t="shared" si="1548"/>
        <v>#N/A</v>
      </c>
    </row>
    <row r="8574" spans="1:7" x14ac:dyDescent="0.25">
      <c r="A8574" s="1">
        <f t="shared" si="1547"/>
        <v>45488</v>
      </c>
      <c r="B8574" s="36"/>
      <c r="E8574" s="5" t="e">
        <f>Table4[[#This Row],[qty]]*(VLOOKUP(Table4[[#This Row],[item_sold]],Table1[],5,FALSE))</f>
        <v>#N/A</v>
      </c>
      <c r="F8574" s="5" t="e">
        <f>(VLOOKUP(Table4[[#This Row],[item_sold]],Table1[],4,FALSE))*Table4[[#This Row],[qty]]</f>
        <v>#N/A</v>
      </c>
      <c r="G8574" t="e">
        <f t="shared" si="1548"/>
        <v>#N/A</v>
      </c>
    </row>
    <row r="8575" spans="1:7" x14ac:dyDescent="0.25">
      <c r="A8575" s="1">
        <f t="shared" si="1547"/>
        <v>45488</v>
      </c>
      <c r="B8575" s="36"/>
      <c r="E8575" s="5" t="e">
        <f>Table4[[#This Row],[qty]]*(VLOOKUP(Table4[[#This Row],[item_sold]],Table1[],5,FALSE))</f>
        <v>#N/A</v>
      </c>
      <c r="F8575" s="5" t="e">
        <f>(VLOOKUP(Table4[[#This Row],[item_sold]],Table1[],4,FALSE))*Table4[[#This Row],[qty]]</f>
        <v>#N/A</v>
      </c>
      <c r="G8575" t="e">
        <f t="shared" si="1548"/>
        <v>#N/A</v>
      </c>
    </row>
    <row r="8576" spans="1:7" x14ac:dyDescent="0.25">
      <c r="A8576" s="1">
        <f t="shared" si="1547"/>
        <v>45488</v>
      </c>
      <c r="B8576" s="36"/>
      <c r="E8576" s="5" t="e">
        <f>Table4[[#This Row],[qty]]*(VLOOKUP(Table4[[#This Row],[item_sold]],Table1[],5,FALSE))</f>
        <v>#N/A</v>
      </c>
      <c r="F8576" s="5" t="e">
        <f>(VLOOKUP(Table4[[#This Row],[item_sold]],Table1[],4,FALSE))*Table4[[#This Row],[qty]]</f>
        <v>#N/A</v>
      </c>
      <c r="G8576" t="e">
        <f t="shared" si="1548"/>
        <v>#N/A</v>
      </c>
    </row>
    <row r="8577" spans="1:7" x14ac:dyDescent="0.25">
      <c r="A8577" s="1">
        <f t="shared" si="1547"/>
        <v>45488</v>
      </c>
      <c r="B8577" s="36"/>
      <c r="E8577" s="5" t="e">
        <f>Table4[[#This Row],[qty]]*(VLOOKUP(Table4[[#This Row],[item_sold]],Table1[],5,FALSE))</f>
        <v>#N/A</v>
      </c>
      <c r="F8577" s="5" t="e">
        <f>(VLOOKUP(Table4[[#This Row],[item_sold]],Table1[],4,FALSE))*Table4[[#This Row],[qty]]</f>
        <v>#N/A</v>
      </c>
      <c r="G8577" t="e">
        <f t="shared" si="1548"/>
        <v>#N/A</v>
      </c>
    </row>
    <row r="8578" spans="1:7" x14ac:dyDescent="0.25">
      <c r="A8578" s="1">
        <f t="shared" si="1547"/>
        <v>45488</v>
      </c>
      <c r="B8578" s="36"/>
      <c r="E8578" s="5" t="e">
        <f>Table4[[#This Row],[qty]]*(VLOOKUP(Table4[[#This Row],[item_sold]],Table1[],5,FALSE))</f>
        <v>#N/A</v>
      </c>
      <c r="F8578" s="5" t="e">
        <f>(VLOOKUP(Table4[[#This Row],[item_sold]],Table1[],4,FALSE))*Table4[[#This Row],[qty]]</f>
        <v>#N/A</v>
      </c>
      <c r="G8578" t="e">
        <f t="shared" si="1548"/>
        <v>#N/A</v>
      </c>
    </row>
    <row r="8579" spans="1:7" x14ac:dyDescent="0.25">
      <c r="A8579" s="1">
        <f t="shared" si="1547"/>
        <v>45488</v>
      </c>
      <c r="B8579" s="36"/>
      <c r="E8579" s="5" t="e">
        <f>Table4[[#This Row],[qty]]*(VLOOKUP(Table4[[#This Row],[item_sold]],Table1[],5,FALSE))</f>
        <v>#N/A</v>
      </c>
      <c r="F8579" s="5" t="e">
        <f>(VLOOKUP(Table4[[#This Row],[item_sold]],Table1[],4,FALSE))*Table4[[#This Row],[qty]]</f>
        <v>#N/A</v>
      </c>
      <c r="G8579" t="e">
        <f t="shared" si="1548"/>
        <v>#N/A</v>
      </c>
    </row>
    <row r="8580" spans="1:7" x14ac:dyDescent="0.25">
      <c r="A8580" s="1">
        <f t="shared" si="1547"/>
        <v>45488</v>
      </c>
      <c r="B8580" s="36"/>
      <c r="E8580" s="5" t="e">
        <f>Table4[[#This Row],[qty]]*(VLOOKUP(Table4[[#This Row],[item_sold]],Table1[],5,FALSE))</f>
        <v>#N/A</v>
      </c>
      <c r="F8580" s="5" t="e">
        <f>(VLOOKUP(Table4[[#This Row],[item_sold]],Table1[],4,FALSE))*Table4[[#This Row],[qty]]</f>
        <v>#N/A</v>
      </c>
      <c r="G8580" t="e">
        <f t="shared" si="1548"/>
        <v>#N/A</v>
      </c>
    </row>
    <row r="8581" spans="1:7" x14ac:dyDescent="0.25">
      <c r="A8581" s="1">
        <f t="shared" si="1547"/>
        <v>45488</v>
      </c>
      <c r="B8581" s="36"/>
      <c r="E8581" s="5" t="e">
        <f>Table4[[#This Row],[qty]]*(VLOOKUP(Table4[[#This Row],[item_sold]],Table1[],5,FALSE))</f>
        <v>#N/A</v>
      </c>
      <c r="F8581" s="5" t="e">
        <f>(VLOOKUP(Table4[[#This Row],[item_sold]],Table1[],4,FALSE))*Table4[[#This Row],[qty]]</f>
        <v>#N/A</v>
      </c>
      <c r="G8581" t="e">
        <f t="shared" si="1548"/>
        <v>#N/A</v>
      </c>
    </row>
    <row r="8582" spans="1:7" x14ac:dyDescent="0.25">
      <c r="A8582" s="1">
        <f t="shared" si="1547"/>
        <v>45488</v>
      </c>
      <c r="B8582" s="36"/>
      <c r="E8582" s="5" t="e">
        <f>Table4[[#This Row],[qty]]*(VLOOKUP(Table4[[#This Row],[item_sold]],Table1[],5,FALSE))</f>
        <v>#N/A</v>
      </c>
      <c r="F8582" s="5" t="e">
        <f>(VLOOKUP(Table4[[#This Row],[item_sold]],Table1[],4,FALSE))*Table4[[#This Row],[qty]]</f>
        <v>#N/A</v>
      </c>
      <c r="G8582" t="e">
        <f t="shared" si="1548"/>
        <v>#N/A</v>
      </c>
    </row>
    <row r="8583" spans="1:7" x14ac:dyDescent="0.25">
      <c r="A8583" s="1">
        <f t="shared" si="1547"/>
        <v>45488</v>
      </c>
      <c r="B8583" s="36"/>
      <c r="E8583" s="5" t="e">
        <f>Table4[[#This Row],[qty]]*(VLOOKUP(Table4[[#This Row],[item_sold]],Table1[],5,FALSE))</f>
        <v>#N/A</v>
      </c>
      <c r="F8583" s="5" t="e">
        <f>(VLOOKUP(Table4[[#This Row],[item_sold]],Table1[],4,FALSE))*Table4[[#This Row],[qty]]</f>
        <v>#N/A</v>
      </c>
      <c r="G8583" t="e">
        <f t="shared" si="1548"/>
        <v>#N/A</v>
      </c>
    </row>
    <row r="8584" spans="1:7" x14ac:dyDescent="0.25">
      <c r="A8584" s="1">
        <f t="shared" si="1547"/>
        <v>45488</v>
      </c>
      <c r="B8584" s="36"/>
      <c r="E8584" s="5" t="e">
        <f>Table4[[#This Row],[qty]]*(VLOOKUP(Table4[[#This Row],[item_sold]],Table1[],5,FALSE))</f>
        <v>#N/A</v>
      </c>
      <c r="F8584" s="5" t="e">
        <f>(VLOOKUP(Table4[[#This Row],[item_sold]],Table1[],4,FALSE))*Table4[[#This Row],[qty]]</f>
        <v>#N/A</v>
      </c>
      <c r="G8584" t="e">
        <f t="shared" si="1548"/>
        <v>#N/A</v>
      </c>
    </row>
    <row r="8585" spans="1:7" x14ac:dyDescent="0.25">
      <c r="A8585" s="1">
        <f t="shared" si="1547"/>
        <v>45488</v>
      </c>
      <c r="B8585" s="36"/>
      <c r="E8585" s="5" t="e">
        <f>Table4[[#This Row],[qty]]*(VLOOKUP(Table4[[#This Row],[item_sold]],Table1[],5,FALSE))</f>
        <v>#N/A</v>
      </c>
      <c r="F8585" s="5" t="e">
        <f>(VLOOKUP(Table4[[#This Row],[item_sold]],Table1[],4,FALSE))*Table4[[#This Row],[qty]]</f>
        <v>#N/A</v>
      </c>
      <c r="G8585" t="e">
        <f t="shared" si="1548"/>
        <v>#N/A</v>
      </c>
    </row>
    <row r="8586" spans="1:7" x14ac:dyDescent="0.25">
      <c r="A8586" s="1">
        <f t="shared" si="1547"/>
        <v>45488</v>
      </c>
      <c r="B8586" s="36"/>
      <c r="E8586" s="5" t="e">
        <f>Table4[[#This Row],[qty]]*(VLOOKUP(Table4[[#This Row],[item_sold]],Table1[],5,FALSE))</f>
        <v>#N/A</v>
      </c>
      <c r="F8586" s="5" t="e">
        <f>(VLOOKUP(Table4[[#This Row],[item_sold]],Table1[],4,FALSE))*Table4[[#This Row],[qty]]</f>
        <v>#N/A</v>
      </c>
      <c r="G8586" t="e">
        <f t="shared" si="1548"/>
        <v>#N/A</v>
      </c>
    </row>
    <row r="8587" spans="1:7" x14ac:dyDescent="0.25">
      <c r="A8587" s="1">
        <f t="shared" si="1547"/>
        <v>45488</v>
      </c>
      <c r="B8587" s="36"/>
      <c r="E8587" s="5" t="e">
        <f>Table4[[#This Row],[qty]]*(VLOOKUP(Table4[[#This Row],[item_sold]],Table1[],5,FALSE))</f>
        <v>#N/A</v>
      </c>
      <c r="F8587" s="5" t="e">
        <f>(VLOOKUP(Table4[[#This Row],[item_sold]],Table1[],4,FALSE))*Table4[[#This Row],[qty]]</f>
        <v>#N/A</v>
      </c>
      <c r="G8587" t="e">
        <f t="shared" si="1548"/>
        <v>#N/A</v>
      </c>
    </row>
    <row r="8588" spans="1:7" x14ac:dyDescent="0.25">
      <c r="A8588" s="1">
        <f t="shared" si="1547"/>
        <v>45488</v>
      </c>
      <c r="B8588" s="36"/>
      <c r="E8588" s="5" t="e">
        <f>Table4[[#This Row],[qty]]*(VLOOKUP(Table4[[#This Row],[item_sold]],Table1[],5,FALSE))</f>
        <v>#N/A</v>
      </c>
      <c r="F8588" s="5" t="e">
        <f>(VLOOKUP(Table4[[#This Row],[item_sold]],Table1[],4,FALSE))*Table4[[#This Row],[qty]]</f>
        <v>#N/A</v>
      </c>
      <c r="G8588" t="e">
        <f t="shared" si="1548"/>
        <v>#N/A</v>
      </c>
    </row>
    <row r="8589" spans="1:7" x14ac:dyDescent="0.25">
      <c r="A8589" s="1">
        <f t="shared" si="1547"/>
        <v>45488</v>
      </c>
      <c r="B8589" s="36"/>
      <c r="E8589" s="5" t="e">
        <f>Table4[[#This Row],[qty]]*(VLOOKUP(Table4[[#This Row],[item_sold]],Table1[],5,FALSE))</f>
        <v>#N/A</v>
      </c>
      <c r="F8589" s="5" t="e">
        <f>(VLOOKUP(Table4[[#This Row],[item_sold]],Table1[],4,FALSE))*Table4[[#This Row],[qty]]</f>
        <v>#N/A</v>
      </c>
      <c r="G8589" t="e">
        <f t="shared" si="1548"/>
        <v>#N/A</v>
      </c>
    </row>
    <row r="8590" spans="1:7" x14ac:dyDescent="0.25">
      <c r="A8590" s="1">
        <f t="shared" si="1547"/>
        <v>45488</v>
      </c>
      <c r="B8590" s="36"/>
      <c r="E8590" s="5" t="e">
        <f>Table4[[#This Row],[qty]]*(VLOOKUP(Table4[[#This Row],[item_sold]],Table1[],5,FALSE))</f>
        <v>#N/A</v>
      </c>
      <c r="F8590" s="5" t="e">
        <f>(VLOOKUP(Table4[[#This Row],[item_sold]],Table1[],4,FALSE))*Table4[[#This Row],[qty]]</f>
        <v>#N/A</v>
      </c>
      <c r="G8590" t="e">
        <f t="shared" si="1548"/>
        <v>#N/A</v>
      </c>
    </row>
    <row r="8591" spans="1:7" x14ac:dyDescent="0.25">
      <c r="A8591" s="1">
        <f t="shared" si="1547"/>
        <v>45488</v>
      </c>
      <c r="B8591" s="36"/>
      <c r="E8591" s="5" t="e">
        <f>Table4[[#This Row],[qty]]*(VLOOKUP(Table4[[#This Row],[item_sold]],Table1[],5,FALSE))</f>
        <v>#N/A</v>
      </c>
      <c r="F8591" s="5" t="e">
        <f>(VLOOKUP(Table4[[#This Row],[item_sold]],Table1[],4,FALSE))*Table4[[#This Row],[qty]]</f>
        <v>#N/A</v>
      </c>
      <c r="G8591" t="e">
        <f t="shared" si="1548"/>
        <v>#N/A</v>
      </c>
    </row>
    <row r="8592" spans="1:7" x14ac:dyDescent="0.25">
      <c r="A8592" s="1">
        <f t="shared" si="1547"/>
        <v>45488</v>
      </c>
      <c r="B8592" s="36"/>
      <c r="E8592" s="5" t="e">
        <f>Table4[[#This Row],[qty]]*(VLOOKUP(Table4[[#This Row],[item_sold]],Table1[],5,FALSE))</f>
        <v>#N/A</v>
      </c>
      <c r="F8592" s="5" t="e">
        <f>(VLOOKUP(Table4[[#This Row],[item_sold]],Table1[],4,FALSE))*Table4[[#This Row],[qty]]</f>
        <v>#N/A</v>
      </c>
      <c r="G8592" t="e">
        <f t="shared" si="1548"/>
        <v>#N/A</v>
      </c>
    </row>
    <row r="8593" spans="1:7" x14ac:dyDescent="0.25">
      <c r="A8593" s="1">
        <f t="shared" si="1547"/>
        <v>45488</v>
      </c>
      <c r="B8593" s="36"/>
      <c r="E8593" s="5" t="e">
        <f>Table4[[#This Row],[qty]]*(VLOOKUP(Table4[[#This Row],[item_sold]],Table1[],5,FALSE))</f>
        <v>#N/A</v>
      </c>
      <c r="F8593" s="5" t="e">
        <f>(VLOOKUP(Table4[[#This Row],[item_sold]],Table1[],4,FALSE))*Table4[[#This Row],[qty]]</f>
        <v>#N/A</v>
      </c>
      <c r="G8593" t="e">
        <f t="shared" si="1548"/>
        <v>#N/A</v>
      </c>
    </row>
    <row r="8594" spans="1:7" x14ac:dyDescent="0.25">
      <c r="A8594" s="1">
        <f t="shared" si="1547"/>
        <v>45488</v>
      </c>
      <c r="B8594" s="36"/>
      <c r="E8594" s="5" t="e">
        <f>Table4[[#This Row],[qty]]*(VLOOKUP(Table4[[#This Row],[item_sold]],Table1[],5,FALSE))</f>
        <v>#N/A</v>
      </c>
      <c r="F8594" s="5" t="e">
        <f>(VLOOKUP(Table4[[#This Row],[item_sold]],Table1[],4,FALSE))*Table4[[#This Row],[qty]]</f>
        <v>#N/A</v>
      </c>
      <c r="G8594" t="e">
        <f t="shared" si="1548"/>
        <v>#N/A</v>
      </c>
    </row>
    <row r="8595" spans="1:7" x14ac:dyDescent="0.25">
      <c r="A8595" s="1">
        <f t="shared" si="1547"/>
        <v>45488</v>
      </c>
      <c r="B8595" s="36"/>
      <c r="E8595" s="5" t="e">
        <f>Table4[[#This Row],[qty]]*(VLOOKUP(Table4[[#This Row],[item_sold]],Table1[],5,FALSE))</f>
        <v>#N/A</v>
      </c>
      <c r="F8595" s="5" t="e">
        <f>(VLOOKUP(Table4[[#This Row],[item_sold]],Table1[],4,FALSE))*Table4[[#This Row],[qty]]</f>
        <v>#N/A</v>
      </c>
      <c r="G8595" t="e">
        <f t="shared" si="1548"/>
        <v>#N/A</v>
      </c>
    </row>
    <row r="8596" spans="1:7" x14ac:dyDescent="0.25">
      <c r="A8596" s="1">
        <f t="shared" ref="A8596:A8659" si="1549">DATE(2024,7,15)</f>
        <v>45488</v>
      </c>
      <c r="B8596" s="36"/>
      <c r="E8596" s="5" t="e">
        <f>Table4[[#This Row],[qty]]*(VLOOKUP(Table4[[#This Row],[item_sold]],Table1[],5,FALSE))</f>
        <v>#N/A</v>
      </c>
      <c r="F8596" s="5" t="e">
        <f>(VLOOKUP(Table4[[#This Row],[item_sold]],Table1[],4,FALSE))*Table4[[#This Row],[qty]]</f>
        <v>#N/A</v>
      </c>
      <c r="G8596" t="e">
        <f t="shared" ref="G8596:G8659" si="1550">E8596-F8596</f>
        <v>#N/A</v>
      </c>
    </row>
    <row r="8597" spans="1:7" x14ac:dyDescent="0.25">
      <c r="A8597" s="1">
        <f t="shared" si="1549"/>
        <v>45488</v>
      </c>
      <c r="B8597" s="36"/>
      <c r="E8597" s="5" t="e">
        <f>Table4[[#This Row],[qty]]*(VLOOKUP(Table4[[#This Row],[item_sold]],Table1[],5,FALSE))</f>
        <v>#N/A</v>
      </c>
      <c r="F8597" s="5" t="e">
        <f>(VLOOKUP(Table4[[#This Row],[item_sold]],Table1[],4,FALSE))*Table4[[#This Row],[qty]]</f>
        <v>#N/A</v>
      </c>
      <c r="G8597" t="e">
        <f t="shared" si="1550"/>
        <v>#N/A</v>
      </c>
    </row>
    <row r="8598" spans="1:7" x14ac:dyDescent="0.25">
      <c r="A8598" s="1">
        <f t="shared" si="1549"/>
        <v>45488</v>
      </c>
      <c r="B8598" s="36"/>
      <c r="E8598" s="5" t="e">
        <f>Table4[[#This Row],[qty]]*(VLOOKUP(Table4[[#This Row],[item_sold]],Table1[],5,FALSE))</f>
        <v>#N/A</v>
      </c>
      <c r="F8598" s="5" t="e">
        <f>(VLOOKUP(Table4[[#This Row],[item_sold]],Table1[],4,FALSE))*Table4[[#This Row],[qty]]</f>
        <v>#N/A</v>
      </c>
      <c r="G8598" t="e">
        <f t="shared" si="1550"/>
        <v>#N/A</v>
      </c>
    </row>
    <row r="8599" spans="1:7" x14ac:dyDescent="0.25">
      <c r="A8599" s="1">
        <f t="shared" si="1549"/>
        <v>45488</v>
      </c>
      <c r="B8599" s="36"/>
      <c r="E8599" s="5" t="e">
        <f>Table4[[#This Row],[qty]]*(VLOOKUP(Table4[[#This Row],[item_sold]],Table1[],5,FALSE))</f>
        <v>#N/A</v>
      </c>
      <c r="F8599" s="5" t="e">
        <f>(VLOOKUP(Table4[[#This Row],[item_sold]],Table1[],4,FALSE))*Table4[[#This Row],[qty]]</f>
        <v>#N/A</v>
      </c>
      <c r="G8599" t="e">
        <f t="shared" si="1550"/>
        <v>#N/A</v>
      </c>
    </row>
    <row r="8600" spans="1:7" x14ac:dyDescent="0.25">
      <c r="A8600" s="1">
        <f t="shared" si="1549"/>
        <v>45488</v>
      </c>
      <c r="B8600" s="36"/>
      <c r="E8600" s="5" t="e">
        <f>Table4[[#This Row],[qty]]*(VLOOKUP(Table4[[#This Row],[item_sold]],Table1[],5,FALSE))</f>
        <v>#N/A</v>
      </c>
      <c r="F8600" s="5" t="e">
        <f>(VLOOKUP(Table4[[#This Row],[item_sold]],Table1[],4,FALSE))*Table4[[#This Row],[qty]]</f>
        <v>#N/A</v>
      </c>
      <c r="G8600" t="e">
        <f t="shared" si="1550"/>
        <v>#N/A</v>
      </c>
    </row>
    <row r="8601" spans="1:7" x14ac:dyDescent="0.25">
      <c r="A8601" s="1">
        <f t="shared" si="1549"/>
        <v>45488</v>
      </c>
      <c r="B8601" s="36"/>
      <c r="E8601" s="5" t="e">
        <f>Table4[[#This Row],[qty]]*(VLOOKUP(Table4[[#This Row],[item_sold]],Table1[],5,FALSE))</f>
        <v>#N/A</v>
      </c>
      <c r="F8601" s="5" t="e">
        <f>(VLOOKUP(Table4[[#This Row],[item_sold]],Table1[],4,FALSE))*Table4[[#This Row],[qty]]</f>
        <v>#N/A</v>
      </c>
      <c r="G8601" t="e">
        <f t="shared" si="1550"/>
        <v>#N/A</v>
      </c>
    </row>
    <row r="8602" spans="1:7" x14ac:dyDescent="0.25">
      <c r="A8602" s="1">
        <f t="shared" si="1549"/>
        <v>45488</v>
      </c>
      <c r="B8602" s="36"/>
      <c r="E8602" s="5" t="e">
        <f>Table4[[#This Row],[qty]]*(VLOOKUP(Table4[[#This Row],[item_sold]],Table1[],5,FALSE))</f>
        <v>#N/A</v>
      </c>
      <c r="F8602" s="5" t="e">
        <f>(VLOOKUP(Table4[[#This Row],[item_sold]],Table1[],4,FALSE))*Table4[[#This Row],[qty]]</f>
        <v>#N/A</v>
      </c>
      <c r="G8602" t="e">
        <f t="shared" si="1550"/>
        <v>#N/A</v>
      </c>
    </row>
    <row r="8603" spans="1:7" x14ac:dyDescent="0.25">
      <c r="A8603" s="1">
        <f t="shared" si="1549"/>
        <v>45488</v>
      </c>
      <c r="B8603" s="36"/>
      <c r="E8603" s="5" t="e">
        <f>Table4[[#This Row],[qty]]*(VLOOKUP(Table4[[#This Row],[item_sold]],Table1[],5,FALSE))</f>
        <v>#N/A</v>
      </c>
      <c r="F8603" s="5" t="e">
        <f>(VLOOKUP(Table4[[#This Row],[item_sold]],Table1[],4,FALSE))*Table4[[#This Row],[qty]]</f>
        <v>#N/A</v>
      </c>
      <c r="G8603" t="e">
        <f t="shared" si="1550"/>
        <v>#N/A</v>
      </c>
    </row>
    <row r="8604" spans="1:7" x14ac:dyDescent="0.25">
      <c r="A8604" s="1">
        <f t="shared" si="1549"/>
        <v>45488</v>
      </c>
      <c r="B8604" s="36"/>
      <c r="E8604" s="5" t="e">
        <f>Table4[[#This Row],[qty]]*(VLOOKUP(Table4[[#This Row],[item_sold]],Table1[],5,FALSE))</f>
        <v>#N/A</v>
      </c>
      <c r="F8604" s="5" t="e">
        <f>(VLOOKUP(Table4[[#This Row],[item_sold]],Table1[],4,FALSE))*Table4[[#This Row],[qty]]</f>
        <v>#N/A</v>
      </c>
      <c r="G8604" t="e">
        <f t="shared" si="1550"/>
        <v>#N/A</v>
      </c>
    </row>
    <row r="8605" spans="1:7" x14ac:dyDescent="0.25">
      <c r="A8605" s="1">
        <f t="shared" si="1549"/>
        <v>45488</v>
      </c>
      <c r="B8605" s="36"/>
      <c r="E8605" s="5" t="e">
        <f>Table4[[#This Row],[qty]]*(VLOOKUP(Table4[[#This Row],[item_sold]],Table1[],5,FALSE))</f>
        <v>#N/A</v>
      </c>
      <c r="F8605" s="5" t="e">
        <f>(VLOOKUP(Table4[[#This Row],[item_sold]],Table1[],4,FALSE))*Table4[[#This Row],[qty]]</f>
        <v>#N/A</v>
      </c>
      <c r="G8605" t="e">
        <f t="shared" si="1550"/>
        <v>#N/A</v>
      </c>
    </row>
    <row r="8606" spans="1:7" x14ac:dyDescent="0.25">
      <c r="A8606" s="1">
        <f t="shared" si="1549"/>
        <v>45488</v>
      </c>
      <c r="B8606" s="36"/>
      <c r="E8606" s="5" t="e">
        <f>Table4[[#This Row],[qty]]*(VLOOKUP(Table4[[#This Row],[item_sold]],Table1[],5,FALSE))</f>
        <v>#N/A</v>
      </c>
      <c r="F8606" s="5" t="e">
        <f>(VLOOKUP(Table4[[#This Row],[item_sold]],Table1[],4,FALSE))*Table4[[#This Row],[qty]]</f>
        <v>#N/A</v>
      </c>
      <c r="G8606" t="e">
        <f t="shared" si="1550"/>
        <v>#N/A</v>
      </c>
    </row>
    <row r="8607" spans="1:7" x14ac:dyDescent="0.25">
      <c r="A8607" s="1">
        <f t="shared" si="1549"/>
        <v>45488</v>
      </c>
      <c r="B8607" s="36"/>
      <c r="E8607" s="5" t="e">
        <f>Table4[[#This Row],[qty]]*(VLOOKUP(Table4[[#This Row],[item_sold]],Table1[],5,FALSE))</f>
        <v>#N/A</v>
      </c>
      <c r="F8607" s="5" t="e">
        <f>(VLOOKUP(Table4[[#This Row],[item_sold]],Table1[],4,FALSE))*Table4[[#This Row],[qty]]</f>
        <v>#N/A</v>
      </c>
      <c r="G8607" t="e">
        <f t="shared" si="1550"/>
        <v>#N/A</v>
      </c>
    </row>
    <row r="8608" spans="1:7" x14ac:dyDescent="0.25">
      <c r="A8608" s="1">
        <f t="shared" si="1549"/>
        <v>45488</v>
      </c>
      <c r="B8608" s="36"/>
      <c r="E8608" s="5" t="e">
        <f>Table4[[#This Row],[qty]]*(VLOOKUP(Table4[[#This Row],[item_sold]],Table1[],5,FALSE))</f>
        <v>#N/A</v>
      </c>
      <c r="F8608" s="5" t="e">
        <f>(VLOOKUP(Table4[[#This Row],[item_sold]],Table1[],4,FALSE))*Table4[[#This Row],[qty]]</f>
        <v>#N/A</v>
      </c>
      <c r="G8608" t="e">
        <f t="shared" si="1550"/>
        <v>#N/A</v>
      </c>
    </row>
    <row r="8609" spans="1:7" x14ac:dyDescent="0.25">
      <c r="A8609" s="1">
        <f t="shared" si="1549"/>
        <v>45488</v>
      </c>
      <c r="B8609" s="36"/>
      <c r="E8609" s="5" t="e">
        <f>Table4[[#This Row],[qty]]*(VLOOKUP(Table4[[#This Row],[item_sold]],Table1[],5,FALSE))</f>
        <v>#N/A</v>
      </c>
      <c r="F8609" s="5" t="e">
        <f>(VLOOKUP(Table4[[#This Row],[item_sold]],Table1[],4,FALSE))*Table4[[#This Row],[qty]]</f>
        <v>#N/A</v>
      </c>
      <c r="G8609" t="e">
        <f t="shared" si="1550"/>
        <v>#N/A</v>
      </c>
    </row>
    <row r="8610" spans="1:7" x14ac:dyDescent="0.25">
      <c r="A8610" s="1">
        <f t="shared" si="1549"/>
        <v>45488</v>
      </c>
      <c r="B8610" s="36"/>
      <c r="E8610" s="5" t="e">
        <f>Table4[[#This Row],[qty]]*(VLOOKUP(Table4[[#This Row],[item_sold]],Table1[],5,FALSE))</f>
        <v>#N/A</v>
      </c>
      <c r="F8610" s="5" t="e">
        <f>(VLOOKUP(Table4[[#This Row],[item_sold]],Table1[],4,FALSE))*Table4[[#This Row],[qty]]</f>
        <v>#N/A</v>
      </c>
      <c r="G8610" t="e">
        <f t="shared" si="1550"/>
        <v>#N/A</v>
      </c>
    </row>
    <row r="8611" spans="1:7" x14ac:dyDescent="0.25">
      <c r="A8611" s="1">
        <f t="shared" si="1549"/>
        <v>45488</v>
      </c>
      <c r="B8611" s="36"/>
      <c r="E8611" s="5" t="e">
        <f>Table4[[#This Row],[qty]]*(VLOOKUP(Table4[[#This Row],[item_sold]],Table1[],5,FALSE))</f>
        <v>#N/A</v>
      </c>
      <c r="F8611" s="5" t="e">
        <f>(VLOOKUP(Table4[[#This Row],[item_sold]],Table1[],4,FALSE))*Table4[[#This Row],[qty]]</f>
        <v>#N/A</v>
      </c>
      <c r="G8611" t="e">
        <f t="shared" si="1550"/>
        <v>#N/A</v>
      </c>
    </row>
    <row r="8612" spans="1:7" x14ac:dyDescent="0.25">
      <c r="A8612" s="1">
        <f t="shared" si="1549"/>
        <v>45488</v>
      </c>
      <c r="B8612" s="36"/>
      <c r="E8612" s="5" t="e">
        <f>Table4[[#This Row],[qty]]*(VLOOKUP(Table4[[#This Row],[item_sold]],Table1[],5,FALSE))</f>
        <v>#N/A</v>
      </c>
      <c r="F8612" s="5" t="e">
        <f>(VLOOKUP(Table4[[#This Row],[item_sold]],Table1[],4,FALSE))*Table4[[#This Row],[qty]]</f>
        <v>#N/A</v>
      </c>
      <c r="G8612" t="e">
        <f t="shared" si="1550"/>
        <v>#N/A</v>
      </c>
    </row>
    <row r="8613" spans="1:7" x14ac:dyDescent="0.25">
      <c r="A8613" s="1">
        <f t="shared" si="1549"/>
        <v>45488</v>
      </c>
      <c r="B8613" s="36"/>
      <c r="E8613" s="5" t="e">
        <f>Table4[[#This Row],[qty]]*(VLOOKUP(Table4[[#This Row],[item_sold]],Table1[],5,FALSE))</f>
        <v>#N/A</v>
      </c>
      <c r="F8613" s="5" t="e">
        <f>(VLOOKUP(Table4[[#This Row],[item_sold]],Table1[],4,FALSE))*Table4[[#This Row],[qty]]</f>
        <v>#N/A</v>
      </c>
      <c r="G8613" t="e">
        <f t="shared" si="1550"/>
        <v>#N/A</v>
      </c>
    </row>
    <row r="8614" spans="1:7" x14ac:dyDescent="0.25">
      <c r="A8614" s="1">
        <f t="shared" si="1549"/>
        <v>45488</v>
      </c>
      <c r="B8614" s="36"/>
      <c r="E8614" s="5" t="e">
        <f>Table4[[#This Row],[qty]]*(VLOOKUP(Table4[[#This Row],[item_sold]],Table1[],5,FALSE))</f>
        <v>#N/A</v>
      </c>
      <c r="F8614" s="5" t="e">
        <f>(VLOOKUP(Table4[[#This Row],[item_sold]],Table1[],4,FALSE))*Table4[[#This Row],[qty]]</f>
        <v>#N/A</v>
      </c>
      <c r="G8614" t="e">
        <f t="shared" si="1550"/>
        <v>#N/A</v>
      </c>
    </row>
    <row r="8615" spans="1:7" x14ac:dyDescent="0.25">
      <c r="A8615" s="1">
        <f t="shared" si="1549"/>
        <v>45488</v>
      </c>
      <c r="B8615" s="36"/>
      <c r="E8615" s="5" t="e">
        <f>Table4[[#This Row],[qty]]*(VLOOKUP(Table4[[#This Row],[item_sold]],Table1[],5,FALSE))</f>
        <v>#N/A</v>
      </c>
      <c r="F8615" s="5" t="e">
        <f>(VLOOKUP(Table4[[#This Row],[item_sold]],Table1[],4,FALSE))*Table4[[#This Row],[qty]]</f>
        <v>#N/A</v>
      </c>
      <c r="G8615" t="e">
        <f t="shared" si="1550"/>
        <v>#N/A</v>
      </c>
    </row>
    <row r="8616" spans="1:7" x14ac:dyDescent="0.25">
      <c r="A8616" s="1">
        <f t="shared" si="1549"/>
        <v>45488</v>
      </c>
      <c r="B8616" s="36"/>
      <c r="E8616" s="5" t="e">
        <f>Table4[[#This Row],[qty]]*(VLOOKUP(Table4[[#This Row],[item_sold]],Table1[],5,FALSE))</f>
        <v>#N/A</v>
      </c>
      <c r="F8616" s="5" t="e">
        <f>(VLOOKUP(Table4[[#This Row],[item_sold]],Table1[],4,FALSE))*Table4[[#This Row],[qty]]</f>
        <v>#N/A</v>
      </c>
      <c r="G8616" t="e">
        <f t="shared" si="1550"/>
        <v>#N/A</v>
      </c>
    </row>
    <row r="8617" spans="1:7" x14ac:dyDescent="0.25">
      <c r="A8617" s="1">
        <f t="shared" si="1549"/>
        <v>45488</v>
      </c>
      <c r="B8617" s="36"/>
      <c r="E8617" s="5" t="e">
        <f>Table4[[#This Row],[qty]]*(VLOOKUP(Table4[[#This Row],[item_sold]],Table1[],5,FALSE))</f>
        <v>#N/A</v>
      </c>
      <c r="F8617" s="5" t="e">
        <f>(VLOOKUP(Table4[[#This Row],[item_sold]],Table1[],4,FALSE))*Table4[[#This Row],[qty]]</f>
        <v>#N/A</v>
      </c>
      <c r="G8617" t="e">
        <f t="shared" si="1550"/>
        <v>#N/A</v>
      </c>
    </row>
    <row r="8618" spans="1:7" x14ac:dyDescent="0.25">
      <c r="A8618" s="1">
        <f t="shared" si="1549"/>
        <v>45488</v>
      </c>
      <c r="B8618" s="36"/>
      <c r="E8618" s="5" t="e">
        <f>Table4[[#This Row],[qty]]*(VLOOKUP(Table4[[#This Row],[item_sold]],Table1[],5,FALSE))</f>
        <v>#N/A</v>
      </c>
      <c r="F8618" s="5" t="e">
        <f>(VLOOKUP(Table4[[#This Row],[item_sold]],Table1[],4,FALSE))*Table4[[#This Row],[qty]]</f>
        <v>#N/A</v>
      </c>
      <c r="G8618" t="e">
        <f t="shared" si="1550"/>
        <v>#N/A</v>
      </c>
    </row>
    <row r="8619" spans="1:7" x14ac:dyDescent="0.25">
      <c r="A8619" s="1">
        <f t="shared" si="1549"/>
        <v>45488</v>
      </c>
      <c r="B8619" s="36"/>
      <c r="E8619" s="5" t="e">
        <f>Table4[[#This Row],[qty]]*(VLOOKUP(Table4[[#This Row],[item_sold]],Table1[],5,FALSE))</f>
        <v>#N/A</v>
      </c>
      <c r="F8619" s="5" t="e">
        <f>(VLOOKUP(Table4[[#This Row],[item_sold]],Table1[],4,FALSE))*Table4[[#This Row],[qty]]</f>
        <v>#N/A</v>
      </c>
      <c r="G8619" t="e">
        <f t="shared" si="1550"/>
        <v>#N/A</v>
      </c>
    </row>
    <row r="8620" spans="1:7" x14ac:dyDescent="0.25">
      <c r="A8620" s="1">
        <f t="shared" si="1549"/>
        <v>45488</v>
      </c>
      <c r="B8620" s="36"/>
      <c r="E8620" s="5" t="e">
        <f>Table4[[#This Row],[qty]]*(VLOOKUP(Table4[[#This Row],[item_sold]],Table1[],5,FALSE))</f>
        <v>#N/A</v>
      </c>
      <c r="F8620" s="5" t="e">
        <f>(VLOOKUP(Table4[[#This Row],[item_sold]],Table1[],4,FALSE))*Table4[[#This Row],[qty]]</f>
        <v>#N/A</v>
      </c>
      <c r="G8620" t="e">
        <f t="shared" si="1550"/>
        <v>#N/A</v>
      </c>
    </row>
    <row r="8621" spans="1:7" x14ac:dyDescent="0.25">
      <c r="A8621" s="1">
        <f t="shared" si="1549"/>
        <v>45488</v>
      </c>
      <c r="B8621" s="36"/>
      <c r="E8621" s="5" t="e">
        <f>Table4[[#This Row],[qty]]*(VLOOKUP(Table4[[#This Row],[item_sold]],Table1[],5,FALSE))</f>
        <v>#N/A</v>
      </c>
      <c r="F8621" s="5" t="e">
        <f>(VLOOKUP(Table4[[#This Row],[item_sold]],Table1[],4,FALSE))*Table4[[#This Row],[qty]]</f>
        <v>#N/A</v>
      </c>
      <c r="G8621" t="e">
        <f t="shared" si="1550"/>
        <v>#N/A</v>
      </c>
    </row>
    <row r="8622" spans="1:7" x14ac:dyDescent="0.25">
      <c r="A8622" s="1">
        <f t="shared" si="1549"/>
        <v>45488</v>
      </c>
      <c r="B8622" s="36"/>
      <c r="E8622" s="5" t="e">
        <f>Table4[[#This Row],[qty]]*(VLOOKUP(Table4[[#This Row],[item_sold]],Table1[],5,FALSE))</f>
        <v>#N/A</v>
      </c>
      <c r="F8622" s="5" t="e">
        <f>(VLOOKUP(Table4[[#This Row],[item_sold]],Table1[],4,FALSE))*Table4[[#This Row],[qty]]</f>
        <v>#N/A</v>
      </c>
      <c r="G8622" t="e">
        <f t="shared" si="1550"/>
        <v>#N/A</v>
      </c>
    </row>
    <row r="8623" spans="1:7" x14ac:dyDescent="0.25">
      <c r="A8623" s="1">
        <f t="shared" si="1549"/>
        <v>45488</v>
      </c>
      <c r="B8623" s="36"/>
      <c r="E8623" s="5" t="e">
        <f>Table4[[#This Row],[qty]]*(VLOOKUP(Table4[[#This Row],[item_sold]],Table1[],5,FALSE))</f>
        <v>#N/A</v>
      </c>
      <c r="F8623" s="5" t="e">
        <f>(VLOOKUP(Table4[[#This Row],[item_sold]],Table1[],4,FALSE))*Table4[[#This Row],[qty]]</f>
        <v>#N/A</v>
      </c>
      <c r="G8623" t="e">
        <f t="shared" si="1550"/>
        <v>#N/A</v>
      </c>
    </row>
    <row r="8624" spans="1:7" x14ac:dyDescent="0.25">
      <c r="A8624" s="1">
        <f t="shared" si="1549"/>
        <v>45488</v>
      </c>
      <c r="B8624" s="36"/>
      <c r="E8624" s="5" t="e">
        <f>Table4[[#This Row],[qty]]*(VLOOKUP(Table4[[#This Row],[item_sold]],Table1[],5,FALSE))</f>
        <v>#N/A</v>
      </c>
      <c r="F8624" s="5" t="e">
        <f>(VLOOKUP(Table4[[#This Row],[item_sold]],Table1[],4,FALSE))*Table4[[#This Row],[qty]]</f>
        <v>#N/A</v>
      </c>
      <c r="G8624" t="e">
        <f t="shared" si="1550"/>
        <v>#N/A</v>
      </c>
    </row>
    <row r="8625" spans="1:7" x14ac:dyDescent="0.25">
      <c r="A8625" s="1">
        <f t="shared" si="1549"/>
        <v>45488</v>
      </c>
      <c r="B8625" s="36"/>
      <c r="E8625" s="5" t="e">
        <f>Table4[[#This Row],[qty]]*(VLOOKUP(Table4[[#This Row],[item_sold]],Table1[],5,FALSE))</f>
        <v>#N/A</v>
      </c>
      <c r="F8625" s="5" t="e">
        <f>(VLOOKUP(Table4[[#This Row],[item_sold]],Table1[],4,FALSE))*Table4[[#This Row],[qty]]</f>
        <v>#N/A</v>
      </c>
      <c r="G8625" t="e">
        <f t="shared" si="1550"/>
        <v>#N/A</v>
      </c>
    </row>
    <row r="8626" spans="1:7" x14ac:dyDescent="0.25">
      <c r="A8626" s="1">
        <f t="shared" si="1549"/>
        <v>45488</v>
      </c>
      <c r="B8626" s="36"/>
      <c r="E8626" s="5" t="e">
        <f>Table4[[#This Row],[qty]]*(VLOOKUP(Table4[[#This Row],[item_sold]],Table1[],5,FALSE))</f>
        <v>#N/A</v>
      </c>
      <c r="F8626" s="5" t="e">
        <f>(VLOOKUP(Table4[[#This Row],[item_sold]],Table1[],4,FALSE))*Table4[[#This Row],[qty]]</f>
        <v>#N/A</v>
      </c>
      <c r="G8626" t="e">
        <f t="shared" si="1550"/>
        <v>#N/A</v>
      </c>
    </row>
    <row r="8627" spans="1:7" x14ac:dyDescent="0.25">
      <c r="A8627" s="1">
        <f t="shared" si="1549"/>
        <v>45488</v>
      </c>
      <c r="B8627" s="36"/>
      <c r="E8627" s="5" t="e">
        <f>Table4[[#This Row],[qty]]*(VLOOKUP(Table4[[#This Row],[item_sold]],Table1[],5,FALSE))</f>
        <v>#N/A</v>
      </c>
      <c r="F8627" s="5" t="e">
        <f>(VLOOKUP(Table4[[#This Row],[item_sold]],Table1[],4,FALSE))*Table4[[#This Row],[qty]]</f>
        <v>#N/A</v>
      </c>
      <c r="G8627" t="e">
        <f t="shared" si="1550"/>
        <v>#N/A</v>
      </c>
    </row>
    <row r="8628" spans="1:7" x14ac:dyDescent="0.25">
      <c r="A8628" s="1">
        <f t="shared" si="1549"/>
        <v>45488</v>
      </c>
      <c r="B8628" s="36"/>
      <c r="E8628" s="5" t="e">
        <f>Table4[[#This Row],[qty]]*(VLOOKUP(Table4[[#This Row],[item_sold]],Table1[],5,FALSE))</f>
        <v>#N/A</v>
      </c>
      <c r="F8628" s="5" t="e">
        <f>(VLOOKUP(Table4[[#This Row],[item_sold]],Table1[],4,FALSE))*Table4[[#This Row],[qty]]</f>
        <v>#N/A</v>
      </c>
      <c r="G8628" t="e">
        <f t="shared" si="1550"/>
        <v>#N/A</v>
      </c>
    </row>
    <row r="8629" spans="1:7" x14ac:dyDescent="0.25">
      <c r="A8629" s="1">
        <f t="shared" si="1549"/>
        <v>45488</v>
      </c>
      <c r="B8629" s="36"/>
      <c r="E8629" s="5" t="e">
        <f>Table4[[#This Row],[qty]]*(VLOOKUP(Table4[[#This Row],[item_sold]],Table1[],5,FALSE))</f>
        <v>#N/A</v>
      </c>
      <c r="F8629" s="5" t="e">
        <f>(VLOOKUP(Table4[[#This Row],[item_sold]],Table1[],4,FALSE))*Table4[[#This Row],[qty]]</f>
        <v>#N/A</v>
      </c>
      <c r="G8629" t="e">
        <f t="shared" si="1550"/>
        <v>#N/A</v>
      </c>
    </row>
    <row r="8630" spans="1:7" x14ac:dyDescent="0.25">
      <c r="A8630" s="1">
        <f t="shared" si="1549"/>
        <v>45488</v>
      </c>
      <c r="B8630" s="36"/>
      <c r="E8630" s="5" t="e">
        <f>Table4[[#This Row],[qty]]*(VLOOKUP(Table4[[#This Row],[item_sold]],Table1[],5,FALSE))</f>
        <v>#N/A</v>
      </c>
      <c r="F8630" s="5" t="e">
        <f>(VLOOKUP(Table4[[#This Row],[item_sold]],Table1[],4,FALSE))*Table4[[#This Row],[qty]]</f>
        <v>#N/A</v>
      </c>
      <c r="G8630" t="e">
        <f t="shared" si="1550"/>
        <v>#N/A</v>
      </c>
    </row>
    <row r="8631" spans="1:7" x14ac:dyDescent="0.25">
      <c r="A8631" s="1">
        <f t="shared" si="1549"/>
        <v>45488</v>
      </c>
      <c r="B8631" s="36"/>
      <c r="E8631" s="5" t="e">
        <f>Table4[[#This Row],[qty]]*(VLOOKUP(Table4[[#This Row],[item_sold]],Table1[],5,FALSE))</f>
        <v>#N/A</v>
      </c>
      <c r="F8631" s="5" t="e">
        <f>(VLOOKUP(Table4[[#This Row],[item_sold]],Table1[],4,FALSE))*Table4[[#This Row],[qty]]</f>
        <v>#N/A</v>
      </c>
      <c r="G8631" t="e">
        <f t="shared" si="1550"/>
        <v>#N/A</v>
      </c>
    </row>
    <row r="8632" spans="1:7" x14ac:dyDescent="0.25">
      <c r="A8632" s="1">
        <f t="shared" si="1549"/>
        <v>45488</v>
      </c>
      <c r="B8632" s="36"/>
      <c r="E8632" s="5" t="e">
        <f>Table4[[#This Row],[qty]]*(VLOOKUP(Table4[[#This Row],[item_sold]],Table1[],5,FALSE))</f>
        <v>#N/A</v>
      </c>
      <c r="F8632" s="5" t="e">
        <f>(VLOOKUP(Table4[[#This Row],[item_sold]],Table1[],4,FALSE))*Table4[[#This Row],[qty]]</f>
        <v>#N/A</v>
      </c>
      <c r="G8632" t="e">
        <f t="shared" si="1550"/>
        <v>#N/A</v>
      </c>
    </row>
    <row r="8633" spans="1:7" x14ac:dyDescent="0.25">
      <c r="A8633" s="1">
        <f t="shared" si="1549"/>
        <v>45488</v>
      </c>
      <c r="B8633" s="36"/>
      <c r="E8633" s="5" t="e">
        <f>Table4[[#This Row],[qty]]*(VLOOKUP(Table4[[#This Row],[item_sold]],Table1[],5,FALSE))</f>
        <v>#N/A</v>
      </c>
      <c r="F8633" s="5" t="e">
        <f>(VLOOKUP(Table4[[#This Row],[item_sold]],Table1[],4,FALSE))*Table4[[#This Row],[qty]]</f>
        <v>#N/A</v>
      </c>
      <c r="G8633" t="e">
        <f t="shared" si="1550"/>
        <v>#N/A</v>
      </c>
    </row>
    <row r="8634" spans="1:7" x14ac:dyDescent="0.25">
      <c r="A8634" s="1">
        <f t="shared" si="1549"/>
        <v>45488</v>
      </c>
      <c r="B8634" s="36"/>
      <c r="E8634" s="5" t="e">
        <f>Table4[[#This Row],[qty]]*(VLOOKUP(Table4[[#This Row],[item_sold]],Table1[],5,FALSE))</f>
        <v>#N/A</v>
      </c>
      <c r="F8634" s="5" t="e">
        <f>(VLOOKUP(Table4[[#This Row],[item_sold]],Table1[],4,FALSE))*Table4[[#This Row],[qty]]</f>
        <v>#N/A</v>
      </c>
      <c r="G8634" t="e">
        <f t="shared" si="1550"/>
        <v>#N/A</v>
      </c>
    </row>
    <row r="8635" spans="1:7" x14ac:dyDescent="0.25">
      <c r="A8635" s="1">
        <f t="shared" si="1549"/>
        <v>45488</v>
      </c>
      <c r="B8635" s="36"/>
      <c r="E8635" s="5" t="e">
        <f>Table4[[#This Row],[qty]]*(VLOOKUP(Table4[[#This Row],[item_sold]],Table1[],5,FALSE))</f>
        <v>#N/A</v>
      </c>
      <c r="F8635" s="5" t="e">
        <f>(VLOOKUP(Table4[[#This Row],[item_sold]],Table1[],4,FALSE))*Table4[[#This Row],[qty]]</f>
        <v>#N/A</v>
      </c>
      <c r="G8635" t="e">
        <f t="shared" si="1550"/>
        <v>#N/A</v>
      </c>
    </row>
    <row r="8636" spans="1:7" x14ac:dyDescent="0.25">
      <c r="A8636" s="1">
        <f t="shared" si="1549"/>
        <v>45488</v>
      </c>
      <c r="B8636" s="36"/>
      <c r="E8636" s="5" t="e">
        <f>Table4[[#This Row],[qty]]*(VLOOKUP(Table4[[#This Row],[item_sold]],Table1[],5,FALSE))</f>
        <v>#N/A</v>
      </c>
      <c r="F8636" s="5" t="e">
        <f>(VLOOKUP(Table4[[#This Row],[item_sold]],Table1[],4,FALSE))*Table4[[#This Row],[qty]]</f>
        <v>#N/A</v>
      </c>
      <c r="G8636" t="e">
        <f t="shared" si="1550"/>
        <v>#N/A</v>
      </c>
    </row>
    <row r="8637" spans="1:7" x14ac:dyDescent="0.25">
      <c r="A8637" s="1">
        <f t="shared" si="1549"/>
        <v>45488</v>
      </c>
      <c r="B8637" s="36"/>
      <c r="E8637" s="5" t="e">
        <f>Table4[[#This Row],[qty]]*(VLOOKUP(Table4[[#This Row],[item_sold]],Table1[],5,FALSE))</f>
        <v>#N/A</v>
      </c>
      <c r="F8637" s="5" t="e">
        <f>(VLOOKUP(Table4[[#This Row],[item_sold]],Table1[],4,FALSE))*Table4[[#This Row],[qty]]</f>
        <v>#N/A</v>
      </c>
      <c r="G8637" t="e">
        <f t="shared" si="1550"/>
        <v>#N/A</v>
      </c>
    </row>
    <row r="8638" spans="1:7" x14ac:dyDescent="0.25">
      <c r="A8638" s="1">
        <f t="shared" si="1549"/>
        <v>45488</v>
      </c>
      <c r="B8638" s="36"/>
      <c r="E8638" s="5" t="e">
        <f>Table4[[#This Row],[qty]]*(VLOOKUP(Table4[[#This Row],[item_sold]],Table1[],5,FALSE))</f>
        <v>#N/A</v>
      </c>
      <c r="F8638" s="5" t="e">
        <f>(VLOOKUP(Table4[[#This Row],[item_sold]],Table1[],4,FALSE))*Table4[[#This Row],[qty]]</f>
        <v>#N/A</v>
      </c>
      <c r="G8638" t="e">
        <f t="shared" si="1550"/>
        <v>#N/A</v>
      </c>
    </row>
    <row r="8639" spans="1:7" x14ac:dyDescent="0.25">
      <c r="A8639" s="1">
        <f t="shared" si="1549"/>
        <v>45488</v>
      </c>
      <c r="B8639" s="36"/>
      <c r="E8639" s="5" t="e">
        <f>Table4[[#This Row],[qty]]*(VLOOKUP(Table4[[#This Row],[item_sold]],Table1[],5,FALSE))</f>
        <v>#N/A</v>
      </c>
      <c r="F8639" s="5" t="e">
        <f>(VLOOKUP(Table4[[#This Row],[item_sold]],Table1[],4,FALSE))*Table4[[#This Row],[qty]]</f>
        <v>#N/A</v>
      </c>
      <c r="G8639" t="e">
        <f t="shared" si="1550"/>
        <v>#N/A</v>
      </c>
    </row>
    <row r="8640" spans="1:7" x14ac:dyDescent="0.25">
      <c r="A8640" s="1">
        <f t="shared" si="1549"/>
        <v>45488</v>
      </c>
      <c r="B8640" s="36"/>
      <c r="E8640" s="5" t="e">
        <f>Table4[[#This Row],[qty]]*(VLOOKUP(Table4[[#This Row],[item_sold]],Table1[],5,FALSE))</f>
        <v>#N/A</v>
      </c>
      <c r="F8640" s="5" t="e">
        <f>(VLOOKUP(Table4[[#This Row],[item_sold]],Table1[],4,FALSE))*Table4[[#This Row],[qty]]</f>
        <v>#N/A</v>
      </c>
      <c r="G8640" t="e">
        <f t="shared" si="1550"/>
        <v>#N/A</v>
      </c>
    </row>
    <row r="8641" spans="1:7" x14ac:dyDescent="0.25">
      <c r="A8641" s="1">
        <f t="shared" si="1549"/>
        <v>45488</v>
      </c>
      <c r="B8641" s="36"/>
      <c r="E8641" s="5" t="e">
        <f>Table4[[#This Row],[qty]]*(VLOOKUP(Table4[[#This Row],[item_sold]],Table1[],5,FALSE))</f>
        <v>#N/A</v>
      </c>
      <c r="F8641" s="5" t="e">
        <f>(VLOOKUP(Table4[[#This Row],[item_sold]],Table1[],4,FALSE))*Table4[[#This Row],[qty]]</f>
        <v>#N/A</v>
      </c>
      <c r="G8641" t="e">
        <f t="shared" si="1550"/>
        <v>#N/A</v>
      </c>
    </row>
    <row r="8642" spans="1:7" x14ac:dyDescent="0.25">
      <c r="A8642" s="1">
        <f t="shared" si="1549"/>
        <v>45488</v>
      </c>
      <c r="B8642" s="36"/>
      <c r="E8642" s="5" t="e">
        <f>Table4[[#This Row],[qty]]*(VLOOKUP(Table4[[#This Row],[item_sold]],Table1[],5,FALSE))</f>
        <v>#N/A</v>
      </c>
      <c r="F8642" s="5" t="e">
        <f>(VLOOKUP(Table4[[#This Row],[item_sold]],Table1[],4,FALSE))*Table4[[#This Row],[qty]]</f>
        <v>#N/A</v>
      </c>
      <c r="G8642" t="e">
        <f t="shared" si="1550"/>
        <v>#N/A</v>
      </c>
    </row>
    <row r="8643" spans="1:7" x14ac:dyDescent="0.25">
      <c r="A8643" s="1">
        <f t="shared" si="1549"/>
        <v>45488</v>
      </c>
      <c r="B8643" s="36"/>
      <c r="E8643" s="5" t="e">
        <f>Table4[[#This Row],[qty]]*(VLOOKUP(Table4[[#This Row],[item_sold]],Table1[],5,FALSE))</f>
        <v>#N/A</v>
      </c>
      <c r="F8643" s="5" t="e">
        <f>(VLOOKUP(Table4[[#This Row],[item_sold]],Table1[],4,FALSE))*Table4[[#This Row],[qty]]</f>
        <v>#N/A</v>
      </c>
      <c r="G8643" t="e">
        <f t="shared" si="1550"/>
        <v>#N/A</v>
      </c>
    </row>
    <row r="8644" spans="1:7" x14ac:dyDescent="0.25">
      <c r="A8644" s="1">
        <f t="shared" si="1549"/>
        <v>45488</v>
      </c>
      <c r="B8644" s="36"/>
      <c r="E8644" s="5" t="e">
        <f>Table4[[#This Row],[qty]]*(VLOOKUP(Table4[[#This Row],[item_sold]],Table1[],5,FALSE))</f>
        <v>#N/A</v>
      </c>
      <c r="F8644" s="5" t="e">
        <f>(VLOOKUP(Table4[[#This Row],[item_sold]],Table1[],4,FALSE))*Table4[[#This Row],[qty]]</f>
        <v>#N/A</v>
      </c>
      <c r="G8644" t="e">
        <f t="shared" si="1550"/>
        <v>#N/A</v>
      </c>
    </row>
    <row r="8645" spans="1:7" x14ac:dyDescent="0.25">
      <c r="A8645" s="1">
        <f t="shared" si="1549"/>
        <v>45488</v>
      </c>
      <c r="B8645" s="36"/>
      <c r="E8645" s="5" t="e">
        <f>Table4[[#This Row],[qty]]*(VLOOKUP(Table4[[#This Row],[item_sold]],Table1[],5,FALSE))</f>
        <v>#N/A</v>
      </c>
      <c r="F8645" s="5" t="e">
        <f>(VLOOKUP(Table4[[#This Row],[item_sold]],Table1[],4,FALSE))*Table4[[#This Row],[qty]]</f>
        <v>#N/A</v>
      </c>
      <c r="G8645" t="e">
        <f t="shared" si="1550"/>
        <v>#N/A</v>
      </c>
    </row>
    <row r="8646" spans="1:7" x14ac:dyDescent="0.25">
      <c r="A8646" s="1">
        <f t="shared" si="1549"/>
        <v>45488</v>
      </c>
      <c r="B8646" s="36"/>
      <c r="E8646" s="5" t="e">
        <f>Table4[[#This Row],[qty]]*(VLOOKUP(Table4[[#This Row],[item_sold]],Table1[],5,FALSE))</f>
        <v>#N/A</v>
      </c>
      <c r="F8646" s="5" t="e">
        <f>(VLOOKUP(Table4[[#This Row],[item_sold]],Table1[],4,FALSE))*Table4[[#This Row],[qty]]</f>
        <v>#N/A</v>
      </c>
      <c r="G8646" t="e">
        <f t="shared" si="1550"/>
        <v>#N/A</v>
      </c>
    </row>
    <row r="8647" spans="1:7" x14ac:dyDescent="0.25">
      <c r="A8647" s="1">
        <f t="shared" si="1549"/>
        <v>45488</v>
      </c>
      <c r="B8647" s="36"/>
      <c r="E8647" s="5" t="e">
        <f>Table4[[#This Row],[qty]]*(VLOOKUP(Table4[[#This Row],[item_sold]],Table1[],5,FALSE))</f>
        <v>#N/A</v>
      </c>
      <c r="F8647" s="5" t="e">
        <f>(VLOOKUP(Table4[[#This Row],[item_sold]],Table1[],4,FALSE))*Table4[[#This Row],[qty]]</f>
        <v>#N/A</v>
      </c>
      <c r="G8647" t="e">
        <f t="shared" si="1550"/>
        <v>#N/A</v>
      </c>
    </row>
    <row r="8648" spans="1:7" x14ac:dyDescent="0.25">
      <c r="A8648" s="1">
        <f t="shared" si="1549"/>
        <v>45488</v>
      </c>
      <c r="B8648" s="36"/>
      <c r="E8648" s="5" t="e">
        <f>Table4[[#This Row],[qty]]*(VLOOKUP(Table4[[#This Row],[item_sold]],Table1[],5,FALSE))</f>
        <v>#N/A</v>
      </c>
      <c r="F8648" s="5" t="e">
        <f>(VLOOKUP(Table4[[#This Row],[item_sold]],Table1[],4,FALSE))*Table4[[#This Row],[qty]]</f>
        <v>#N/A</v>
      </c>
      <c r="G8648" t="e">
        <f t="shared" si="1550"/>
        <v>#N/A</v>
      </c>
    </row>
    <row r="8649" spans="1:7" x14ac:dyDescent="0.25">
      <c r="A8649" s="1">
        <f t="shared" si="1549"/>
        <v>45488</v>
      </c>
      <c r="B8649" s="36"/>
      <c r="E8649" s="5" t="e">
        <f>Table4[[#This Row],[qty]]*(VLOOKUP(Table4[[#This Row],[item_sold]],Table1[],5,FALSE))</f>
        <v>#N/A</v>
      </c>
      <c r="F8649" s="5" t="e">
        <f>(VLOOKUP(Table4[[#This Row],[item_sold]],Table1[],4,FALSE))*Table4[[#This Row],[qty]]</f>
        <v>#N/A</v>
      </c>
      <c r="G8649" t="e">
        <f t="shared" si="1550"/>
        <v>#N/A</v>
      </c>
    </row>
    <row r="8650" spans="1:7" x14ac:dyDescent="0.25">
      <c r="A8650" s="1">
        <f t="shared" si="1549"/>
        <v>45488</v>
      </c>
      <c r="B8650" s="36"/>
      <c r="E8650" s="5" t="e">
        <f>Table4[[#This Row],[qty]]*(VLOOKUP(Table4[[#This Row],[item_sold]],Table1[],5,FALSE))</f>
        <v>#N/A</v>
      </c>
      <c r="F8650" s="5" t="e">
        <f>(VLOOKUP(Table4[[#This Row],[item_sold]],Table1[],4,FALSE))*Table4[[#This Row],[qty]]</f>
        <v>#N/A</v>
      </c>
      <c r="G8650" t="e">
        <f t="shared" si="1550"/>
        <v>#N/A</v>
      </c>
    </row>
    <row r="8651" spans="1:7" x14ac:dyDescent="0.25">
      <c r="A8651" s="1">
        <f t="shared" si="1549"/>
        <v>45488</v>
      </c>
      <c r="B8651" s="36"/>
      <c r="E8651" s="5" t="e">
        <f>Table4[[#This Row],[qty]]*(VLOOKUP(Table4[[#This Row],[item_sold]],Table1[],5,FALSE))</f>
        <v>#N/A</v>
      </c>
      <c r="F8651" s="5" t="e">
        <f>(VLOOKUP(Table4[[#This Row],[item_sold]],Table1[],4,FALSE))*Table4[[#This Row],[qty]]</f>
        <v>#N/A</v>
      </c>
      <c r="G8651" t="e">
        <f t="shared" si="1550"/>
        <v>#N/A</v>
      </c>
    </row>
    <row r="8652" spans="1:7" x14ac:dyDescent="0.25">
      <c r="A8652" s="1">
        <f t="shared" si="1549"/>
        <v>45488</v>
      </c>
      <c r="B8652" s="36"/>
      <c r="E8652" s="5" t="e">
        <f>Table4[[#This Row],[qty]]*(VLOOKUP(Table4[[#This Row],[item_sold]],Table1[],5,FALSE))</f>
        <v>#N/A</v>
      </c>
      <c r="F8652" s="5" t="e">
        <f>(VLOOKUP(Table4[[#This Row],[item_sold]],Table1[],4,FALSE))*Table4[[#This Row],[qty]]</f>
        <v>#N/A</v>
      </c>
      <c r="G8652" t="e">
        <f t="shared" si="1550"/>
        <v>#N/A</v>
      </c>
    </row>
    <row r="8653" spans="1:7" x14ac:dyDescent="0.25">
      <c r="A8653" s="1">
        <f t="shared" si="1549"/>
        <v>45488</v>
      </c>
      <c r="B8653" s="36"/>
      <c r="E8653" s="5" t="e">
        <f>Table4[[#This Row],[qty]]*(VLOOKUP(Table4[[#This Row],[item_sold]],Table1[],5,FALSE))</f>
        <v>#N/A</v>
      </c>
      <c r="F8653" s="5" t="e">
        <f>(VLOOKUP(Table4[[#This Row],[item_sold]],Table1[],4,FALSE))*Table4[[#This Row],[qty]]</f>
        <v>#N/A</v>
      </c>
      <c r="G8653" t="e">
        <f t="shared" si="1550"/>
        <v>#N/A</v>
      </c>
    </row>
    <row r="8654" spans="1:7" x14ac:dyDescent="0.25">
      <c r="A8654" s="1">
        <f t="shared" si="1549"/>
        <v>45488</v>
      </c>
      <c r="B8654" s="36"/>
      <c r="E8654" s="5" t="e">
        <f>Table4[[#This Row],[qty]]*(VLOOKUP(Table4[[#This Row],[item_sold]],Table1[],5,FALSE))</f>
        <v>#N/A</v>
      </c>
      <c r="F8654" s="5" t="e">
        <f>(VLOOKUP(Table4[[#This Row],[item_sold]],Table1[],4,FALSE))*Table4[[#This Row],[qty]]</f>
        <v>#N/A</v>
      </c>
      <c r="G8654" t="e">
        <f t="shared" si="1550"/>
        <v>#N/A</v>
      </c>
    </row>
    <row r="8655" spans="1:7" x14ac:dyDescent="0.25">
      <c r="A8655" s="1">
        <f t="shared" si="1549"/>
        <v>45488</v>
      </c>
      <c r="B8655" s="36"/>
      <c r="E8655" s="5" t="e">
        <f>Table4[[#This Row],[qty]]*(VLOOKUP(Table4[[#This Row],[item_sold]],Table1[],5,FALSE))</f>
        <v>#N/A</v>
      </c>
      <c r="F8655" s="5" t="e">
        <f>(VLOOKUP(Table4[[#This Row],[item_sold]],Table1[],4,FALSE))*Table4[[#This Row],[qty]]</f>
        <v>#N/A</v>
      </c>
      <c r="G8655" t="e">
        <f t="shared" si="1550"/>
        <v>#N/A</v>
      </c>
    </row>
    <row r="8656" spans="1:7" x14ac:dyDescent="0.25">
      <c r="A8656" s="1">
        <f t="shared" si="1549"/>
        <v>45488</v>
      </c>
      <c r="B8656" s="36"/>
      <c r="E8656" s="5" t="e">
        <f>Table4[[#This Row],[qty]]*(VLOOKUP(Table4[[#This Row],[item_sold]],Table1[],5,FALSE))</f>
        <v>#N/A</v>
      </c>
      <c r="F8656" s="5" t="e">
        <f>(VLOOKUP(Table4[[#This Row],[item_sold]],Table1[],4,FALSE))*Table4[[#This Row],[qty]]</f>
        <v>#N/A</v>
      </c>
      <c r="G8656" t="e">
        <f t="shared" si="1550"/>
        <v>#N/A</v>
      </c>
    </row>
    <row r="8657" spans="1:7" x14ac:dyDescent="0.25">
      <c r="A8657" s="1">
        <f t="shared" si="1549"/>
        <v>45488</v>
      </c>
      <c r="B8657" s="36"/>
      <c r="E8657" s="5" t="e">
        <f>Table4[[#This Row],[qty]]*(VLOOKUP(Table4[[#This Row],[item_sold]],Table1[],5,FALSE))</f>
        <v>#N/A</v>
      </c>
      <c r="F8657" s="5" t="e">
        <f>(VLOOKUP(Table4[[#This Row],[item_sold]],Table1[],4,FALSE))*Table4[[#This Row],[qty]]</f>
        <v>#N/A</v>
      </c>
      <c r="G8657" t="e">
        <f t="shared" si="1550"/>
        <v>#N/A</v>
      </c>
    </row>
    <row r="8658" spans="1:7" x14ac:dyDescent="0.25">
      <c r="A8658" s="1">
        <f t="shared" si="1549"/>
        <v>45488</v>
      </c>
      <c r="B8658" s="36"/>
      <c r="E8658" s="5" t="e">
        <f>Table4[[#This Row],[qty]]*(VLOOKUP(Table4[[#This Row],[item_sold]],Table1[],5,FALSE))</f>
        <v>#N/A</v>
      </c>
      <c r="F8658" s="5" t="e">
        <f>(VLOOKUP(Table4[[#This Row],[item_sold]],Table1[],4,FALSE))*Table4[[#This Row],[qty]]</f>
        <v>#N/A</v>
      </c>
      <c r="G8658" t="e">
        <f t="shared" si="1550"/>
        <v>#N/A</v>
      </c>
    </row>
    <row r="8659" spans="1:7" x14ac:dyDescent="0.25">
      <c r="A8659" s="1">
        <f t="shared" si="1549"/>
        <v>45488</v>
      </c>
      <c r="B8659" s="36"/>
      <c r="E8659" s="5" t="e">
        <f>Table4[[#This Row],[qty]]*(VLOOKUP(Table4[[#This Row],[item_sold]],Table1[],5,FALSE))</f>
        <v>#N/A</v>
      </c>
      <c r="F8659" s="5" t="e">
        <f>(VLOOKUP(Table4[[#This Row],[item_sold]],Table1[],4,FALSE))*Table4[[#This Row],[qty]]</f>
        <v>#N/A</v>
      </c>
      <c r="G8659" t="e">
        <f t="shared" si="1550"/>
        <v>#N/A</v>
      </c>
    </row>
    <row r="8660" spans="1:7" x14ac:dyDescent="0.25">
      <c r="A8660" s="1">
        <f t="shared" ref="A8660:A8723" si="1551">DATE(2024,7,15)</f>
        <v>45488</v>
      </c>
      <c r="B8660" s="36"/>
      <c r="E8660" s="5" t="e">
        <f>Table4[[#This Row],[qty]]*(VLOOKUP(Table4[[#This Row],[item_sold]],Table1[],5,FALSE))</f>
        <v>#N/A</v>
      </c>
      <c r="F8660" s="5" t="e">
        <f>(VLOOKUP(Table4[[#This Row],[item_sold]],Table1[],4,FALSE))*Table4[[#This Row],[qty]]</f>
        <v>#N/A</v>
      </c>
      <c r="G8660" t="e">
        <f t="shared" ref="G8660:G8723" si="1552">E8660-F8660</f>
        <v>#N/A</v>
      </c>
    </row>
    <row r="8661" spans="1:7" x14ac:dyDescent="0.25">
      <c r="A8661" s="1">
        <f t="shared" si="1551"/>
        <v>45488</v>
      </c>
      <c r="B8661" s="36"/>
      <c r="E8661" s="5" t="e">
        <f>Table4[[#This Row],[qty]]*(VLOOKUP(Table4[[#This Row],[item_sold]],Table1[],5,FALSE))</f>
        <v>#N/A</v>
      </c>
      <c r="F8661" s="5" t="e">
        <f>(VLOOKUP(Table4[[#This Row],[item_sold]],Table1[],4,FALSE))*Table4[[#This Row],[qty]]</f>
        <v>#N/A</v>
      </c>
      <c r="G8661" t="e">
        <f t="shared" si="1552"/>
        <v>#N/A</v>
      </c>
    </row>
    <row r="8662" spans="1:7" x14ac:dyDescent="0.25">
      <c r="A8662" s="1">
        <f t="shared" si="1551"/>
        <v>45488</v>
      </c>
      <c r="B8662" s="36"/>
      <c r="E8662" s="5" t="e">
        <f>Table4[[#This Row],[qty]]*(VLOOKUP(Table4[[#This Row],[item_sold]],Table1[],5,FALSE))</f>
        <v>#N/A</v>
      </c>
      <c r="F8662" s="5" t="e">
        <f>(VLOOKUP(Table4[[#This Row],[item_sold]],Table1[],4,FALSE))*Table4[[#This Row],[qty]]</f>
        <v>#N/A</v>
      </c>
      <c r="G8662" t="e">
        <f t="shared" si="1552"/>
        <v>#N/A</v>
      </c>
    </row>
    <row r="8663" spans="1:7" x14ac:dyDescent="0.25">
      <c r="A8663" s="1">
        <f t="shared" si="1551"/>
        <v>45488</v>
      </c>
      <c r="B8663" s="36"/>
      <c r="E8663" s="5" t="e">
        <f>Table4[[#This Row],[qty]]*(VLOOKUP(Table4[[#This Row],[item_sold]],Table1[],5,FALSE))</f>
        <v>#N/A</v>
      </c>
      <c r="F8663" s="5" t="e">
        <f>(VLOOKUP(Table4[[#This Row],[item_sold]],Table1[],4,FALSE))*Table4[[#This Row],[qty]]</f>
        <v>#N/A</v>
      </c>
      <c r="G8663" t="e">
        <f t="shared" si="1552"/>
        <v>#N/A</v>
      </c>
    </row>
    <row r="8664" spans="1:7" x14ac:dyDescent="0.25">
      <c r="A8664" s="1">
        <f t="shared" si="1551"/>
        <v>45488</v>
      </c>
      <c r="B8664" s="36"/>
      <c r="E8664" s="5" t="e">
        <f>Table4[[#This Row],[qty]]*(VLOOKUP(Table4[[#This Row],[item_sold]],Table1[],5,FALSE))</f>
        <v>#N/A</v>
      </c>
      <c r="F8664" s="5" t="e">
        <f>(VLOOKUP(Table4[[#This Row],[item_sold]],Table1[],4,FALSE))*Table4[[#This Row],[qty]]</f>
        <v>#N/A</v>
      </c>
      <c r="G8664" t="e">
        <f t="shared" si="1552"/>
        <v>#N/A</v>
      </c>
    </row>
    <row r="8665" spans="1:7" x14ac:dyDescent="0.25">
      <c r="A8665" s="1">
        <f t="shared" si="1551"/>
        <v>45488</v>
      </c>
      <c r="B8665" s="36"/>
      <c r="E8665" s="5" t="e">
        <f>Table4[[#This Row],[qty]]*(VLOOKUP(Table4[[#This Row],[item_sold]],Table1[],5,FALSE))</f>
        <v>#N/A</v>
      </c>
      <c r="F8665" s="5" t="e">
        <f>(VLOOKUP(Table4[[#This Row],[item_sold]],Table1[],4,FALSE))*Table4[[#This Row],[qty]]</f>
        <v>#N/A</v>
      </c>
      <c r="G8665" t="e">
        <f t="shared" si="1552"/>
        <v>#N/A</v>
      </c>
    </row>
    <row r="8666" spans="1:7" x14ac:dyDescent="0.25">
      <c r="A8666" s="1">
        <f t="shared" si="1551"/>
        <v>45488</v>
      </c>
      <c r="B8666" s="36"/>
      <c r="E8666" s="5" t="e">
        <f>Table4[[#This Row],[qty]]*(VLOOKUP(Table4[[#This Row],[item_sold]],Table1[],5,FALSE))</f>
        <v>#N/A</v>
      </c>
      <c r="F8666" s="5" t="e">
        <f>(VLOOKUP(Table4[[#This Row],[item_sold]],Table1[],4,FALSE))*Table4[[#This Row],[qty]]</f>
        <v>#N/A</v>
      </c>
      <c r="G8666" t="e">
        <f t="shared" si="1552"/>
        <v>#N/A</v>
      </c>
    </row>
    <row r="8667" spans="1:7" x14ac:dyDescent="0.25">
      <c r="A8667" s="1">
        <f t="shared" si="1551"/>
        <v>45488</v>
      </c>
      <c r="B8667" s="36"/>
      <c r="E8667" s="5" t="e">
        <f>Table4[[#This Row],[qty]]*(VLOOKUP(Table4[[#This Row],[item_sold]],Table1[],5,FALSE))</f>
        <v>#N/A</v>
      </c>
      <c r="F8667" s="5" t="e">
        <f>(VLOOKUP(Table4[[#This Row],[item_sold]],Table1[],4,FALSE))*Table4[[#This Row],[qty]]</f>
        <v>#N/A</v>
      </c>
      <c r="G8667" t="e">
        <f t="shared" si="1552"/>
        <v>#N/A</v>
      </c>
    </row>
    <row r="8668" spans="1:7" x14ac:dyDescent="0.25">
      <c r="A8668" s="1">
        <f t="shared" si="1551"/>
        <v>45488</v>
      </c>
      <c r="B8668" s="36"/>
      <c r="E8668" s="5" t="e">
        <f>Table4[[#This Row],[qty]]*(VLOOKUP(Table4[[#This Row],[item_sold]],Table1[],5,FALSE))</f>
        <v>#N/A</v>
      </c>
      <c r="F8668" s="5" t="e">
        <f>(VLOOKUP(Table4[[#This Row],[item_sold]],Table1[],4,FALSE))*Table4[[#This Row],[qty]]</f>
        <v>#N/A</v>
      </c>
      <c r="G8668" t="e">
        <f t="shared" si="1552"/>
        <v>#N/A</v>
      </c>
    </row>
    <row r="8669" spans="1:7" x14ac:dyDescent="0.25">
      <c r="A8669" s="1">
        <f t="shared" si="1551"/>
        <v>45488</v>
      </c>
      <c r="B8669" s="36"/>
      <c r="E8669" s="5" t="e">
        <f>Table4[[#This Row],[qty]]*(VLOOKUP(Table4[[#This Row],[item_sold]],Table1[],5,FALSE))</f>
        <v>#N/A</v>
      </c>
      <c r="F8669" s="5" t="e">
        <f>(VLOOKUP(Table4[[#This Row],[item_sold]],Table1[],4,FALSE))*Table4[[#This Row],[qty]]</f>
        <v>#N/A</v>
      </c>
      <c r="G8669" t="e">
        <f t="shared" si="1552"/>
        <v>#N/A</v>
      </c>
    </row>
    <row r="8670" spans="1:7" x14ac:dyDescent="0.25">
      <c r="A8670" s="1">
        <f t="shared" si="1551"/>
        <v>45488</v>
      </c>
      <c r="B8670" s="36"/>
      <c r="E8670" s="5" t="e">
        <f>Table4[[#This Row],[qty]]*(VLOOKUP(Table4[[#This Row],[item_sold]],Table1[],5,FALSE))</f>
        <v>#N/A</v>
      </c>
      <c r="F8670" s="5" t="e">
        <f>(VLOOKUP(Table4[[#This Row],[item_sold]],Table1[],4,FALSE))*Table4[[#This Row],[qty]]</f>
        <v>#N/A</v>
      </c>
      <c r="G8670" t="e">
        <f t="shared" si="1552"/>
        <v>#N/A</v>
      </c>
    </row>
    <row r="8671" spans="1:7" x14ac:dyDescent="0.25">
      <c r="A8671" s="1">
        <f t="shared" si="1551"/>
        <v>45488</v>
      </c>
      <c r="B8671" s="36"/>
      <c r="E8671" s="5" t="e">
        <f>Table4[[#This Row],[qty]]*(VLOOKUP(Table4[[#This Row],[item_sold]],Table1[],5,FALSE))</f>
        <v>#N/A</v>
      </c>
      <c r="F8671" s="5" t="e">
        <f>(VLOOKUP(Table4[[#This Row],[item_sold]],Table1[],4,FALSE))*Table4[[#This Row],[qty]]</f>
        <v>#N/A</v>
      </c>
      <c r="G8671" t="e">
        <f t="shared" si="1552"/>
        <v>#N/A</v>
      </c>
    </row>
    <row r="8672" spans="1:7" x14ac:dyDescent="0.25">
      <c r="A8672" s="1">
        <f t="shared" si="1551"/>
        <v>45488</v>
      </c>
      <c r="B8672" s="36"/>
      <c r="E8672" s="5" t="e">
        <f>Table4[[#This Row],[qty]]*(VLOOKUP(Table4[[#This Row],[item_sold]],Table1[],5,FALSE))</f>
        <v>#N/A</v>
      </c>
      <c r="F8672" s="5" t="e">
        <f>(VLOOKUP(Table4[[#This Row],[item_sold]],Table1[],4,FALSE))*Table4[[#This Row],[qty]]</f>
        <v>#N/A</v>
      </c>
      <c r="G8672" t="e">
        <f t="shared" si="1552"/>
        <v>#N/A</v>
      </c>
    </row>
    <row r="8673" spans="1:7" x14ac:dyDescent="0.25">
      <c r="A8673" s="1">
        <f t="shared" si="1551"/>
        <v>45488</v>
      </c>
      <c r="B8673" s="36"/>
      <c r="E8673" s="5" t="e">
        <f>Table4[[#This Row],[qty]]*(VLOOKUP(Table4[[#This Row],[item_sold]],Table1[],5,FALSE))</f>
        <v>#N/A</v>
      </c>
      <c r="F8673" s="5" t="e">
        <f>(VLOOKUP(Table4[[#This Row],[item_sold]],Table1[],4,FALSE))*Table4[[#This Row],[qty]]</f>
        <v>#N/A</v>
      </c>
      <c r="G8673" t="e">
        <f t="shared" si="1552"/>
        <v>#N/A</v>
      </c>
    </row>
    <row r="8674" spans="1:7" x14ac:dyDescent="0.25">
      <c r="A8674" s="1">
        <f t="shared" si="1551"/>
        <v>45488</v>
      </c>
      <c r="B8674" s="36"/>
      <c r="E8674" s="5" t="e">
        <f>Table4[[#This Row],[qty]]*(VLOOKUP(Table4[[#This Row],[item_sold]],Table1[],5,FALSE))</f>
        <v>#N/A</v>
      </c>
      <c r="F8674" s="5" t="e">
        <f>(VLOOKUP(Table4[[#This Row],[item_sold]],Table1[],4,FALSE))*Table4[[#This Row],[qty]]</f>
        <v>#N/A</v>
      </c>
      <c r="G8674" t="e">
        <f t="shared" si="1552"/>
        <v>#N/A</v>
      </c>
    </row>
    <row r="8675" spans="1:7" x14ac:dyDescent="0.25">
      <c r="A8675" s="1">
        <f t="shared" si="1551"/>
        <v>45488</v>
      </c>
      <c r="B8675" s="36"/>
      <c r="E8675" s="5" t="e">
        <f>Table4[[#This Row],[qty]]*(VLOOKUP(Table4[[#This Row],[item_sold]],Table1[],5,FALSE))</f>
        <v>#N/A</v>
      </c>
      <c r="F8675" s="5" t="e">
        <f>(VLOOKUP(Table4[[#This Row],[item_sold]],Table1[],4,FALSE))*Table4[[#This Row],[qty]]</f>
        <v>#N/A</v>
      </c>
      <c r="G8675" t="e">
        <f t="shared" si="1552"/>
        <v>#N/A</v>
      </c>
    </row>
    <row r="8676" spans="1:7" x14ac:dyDescent="0.25">
      <c r="A8676" s="1">
        <f t="shared" si="1551"/>
        <v>45488</v>
      </c>
      <c r="B8676" s="36"/>
      <c r="E8676" s="5" t="e">
        <f>Table4[[#This Row],[qty]]*(VLOOKUP(Table4[[#This Row],[item_sold]],Table1[],5,FALSE))</f>
        <v>#N/A</v>
      </c>
      <c r="F8676" s="5" t="e">
        <f>(VLOOKUP(Table4[[#This Row],[item_sold]],Table1[],4,FALSE))*Table4[[#This Row],[qty]]</f>
        <v>#N/A</v>
      </c>
      <c r="G8676" t="e">
        <f t="shared" si="1552"/>
        <v>#N/A</v>
      </c>
    </row>
    <row r="8677" spans="1:7" x14ac:dyDescent="0.25">
      <c r="A8677" s="1">
        <f t="shared" si="1551"/>
        <v>45488</v>
      </c>
      <c r="B8677" s="36"/>
      <c r="E8677" s="5" t="e">
        <f>Table4[[#This Row],[qty]]*(VLOOKUP(Table4[[#This Row],[item_sold]],Table1[],5,FALSE))</f>
        <v>#N/A</v>
      </c>
      <c r="F8677" s="5" t="e">
        <f>(VLOOKUP(Table4[[#This Row],[item_sold]],Table1[],4,FALSE))*Table4[[#This Row],[qty]]</f>
        <v>#N/A</v>
      </c>
      <c r="G8677" t="e">
        <f t="shared" si="1552"/>
        <v>#N/A</v>
      </c>
    </row>
    <row r="8678" spans="1:7" x14ac:dyDescent="0.25">
      <c r="A8678" s="1">
        <f t="shared" si="1551"/>
        <v>45488</v>
      </c>
      <c r="B8678" s="36"/>
      <c r="E8678" s="5" t="e">
        <f>Table4[[#This Row],[qty]]*(VLOOKUP(Table4[[#This Row],[item_sold]],Table1[],5,FALSE))</f>
        <v>#N/A</v>
      </c>
      <c r="F8678" s="5" t="e">
        <f>(VLOOKUP(Table4[[#This Row],[item_sold]],Table1[],4,FALSE))*Table4[[#This Row],[qty]]</f>
        <v>#N/A</v>
      </c>
      <c r="G8678" t="e">
        <f t="shared" si="1552"/>
        <v>#N/A</v>
      </c>
    </row>
    <row r="8679" spans="1:7" x14ac:dyDescent="0.25">
      <c r="A8679" s="1">
        <f t="shared" si="1551"/>
        <v>45488</v>
      </c>
      <c r="B8679" s="36"/>
      <c r="E8679" s="5" t="e">
        <f>Table4[[#This Row],[qty]]*(VLOOKUP(Table4[[#This Row],[item_sold]],Table1[],5,FALSE))</f>
        <v>#N/A</v>
      </c>
      <c r="F8679" s="5" t="e">
        <f>(VLOOKUP(Table4[[#This Row],[item_sold]],Table1[],4,FALSE))*Table4[[#This Row],[qty]]</f>
        <v>#N/A</v>
      </c>
      <c r="G8679" t="e">
        <f t="shared" si="1552"/>
        <v>#N/A</v>
      </c>
    </row>
    <row r="8680" spans="1:7" x14ac:dyDescent="0.25">
      <c r="A8680" s="1">
        <f t="shared" si="1551"/>
        <v>45488</v>
      </c>
      <c r="B8680" s="36"/>
      <c r="E8680" s="5" t="e">
        <f>Table4[[#This Row],[qty]]*(VLOOKUP(Table4[[#This Row],[item_sold]],Table1[],5,FALSE))</f>
        <v>#N/A</v>
      </c>
      <c r="F8680" s="5" t="e">
        <f>(VLOOKUP(Table4[[#This Row],[item_sold]],Table1[],4,FALSE))*Table4[[#This Row],[qty]]</f>
        <v>#N/A</v>
      </c>
      <c r="G8680" t="e">
        <f t="shared" si="1552"/>
        <v>#N/A</v>
      </c>
    </row>
    <row r="8681" spans="1:7" x14ac:dyDescent="0.25">
      <c r="A8681" s="1">
        <f t="shared" si="1551"/>
        <v>45488</v>
      </c>
      <c r="B8681" s="36"/>
      <c r="E8681" s="5" t="e">
        <f>Table4[[#This Row],[qty]]*(VLOOKUP(Table4[[#This Row],[item_sold]],Table1[],5,FALSE))</f>
        <v>#N/A</v>
      </c>
      <c r="F8681" s="5" t="e">
        <f>(VLOOKUP(Table4[[#This Row],[item_sold]],Table1[],4,FALSE))*Table4[[#This Row],[qty]]</f>
        <v>#N/A</v>
      </c>
      <c r="G8681" t="e">
        <f t="shared" si="1552"/>
        <v>#N/A</v>
      </c>
    </row>
    <row r="8682" spans="1:7" x14ac:dyDescent="0.25">
      <c r="A8682" s="1">
        <f t="shared" si="1551"/>
        <v>45488</v>
      </c>
      <c r="B8682" s="36"/>
      <c r="E8682" s="5" t="e">
        <f>Table4[[#This Row],[qty]]*(VLOOKUP(Table4[[#This Row],[item_sold]],Table1[],5,FALSE))</f>
        <v>#N/A</v>
      </c>
      <c r="F8682" s="5" t="e">
        <f>(VLOOKUP(Table4[[#This Row],[item_sold]],Table1[],4,FALSE))*Table4[[#This Row],[qty]]</f>
        <v>#N/A</v>
      </c>
      <c r="G8682" t="e">
        <f t="shared" si="1552"/>
        <v>#N/A</v>
      </c>
    </row>
    <row r="8683" spans="1:7" x14ac:dyDescent="0.25">
      <c r="A8683" s="1">
        <f t="shared" si="1551"/>
        <v>45488</v>
      </c>
      <c r="B8683" s="36"/>
      <c r="E8683" s="5" t="e">
        <f>Table4[[#This Row],[qty]]*(VLOOKUP(Table4[[#This Row],[item_sold]],Table1[],5,FALSE))</f>
        <v>#N/A</v>
      </c>
      <c r="F8683" s="5" t="e">
        <f>(VLOOKUP(Table4[[#This Row],[item_sold]],Table1[],4,FALSE))*Table4[[#This Row],[qty]]</f>
        <v>#N/A</v>
      </c>
      <c r="G8683" t="e">
        <f t="shared" si="1552"/>
        <v>#N/A</v>
      </c>
    </row>
    <row r="8684" spans="1:7" x14ac:dyDescent="0.25">
      <c r="A8684" s="1">
        <f t="shared" si="1551"/>
        <v>45488</v>
      </c>
      <c r="B8684" s="36"/>
      <c r="E8684" s="5" t="e">
        <f>Table4[[#This Row],[qty]]*(VLOOKUP(Table4[[#This Row],[item_sold]],Table1[],5,FALSE))</f>
        <v>#N/A</v>
      </c>
      <c r="F8684" s="5" t="e">
        <f>(VLOOKUP(Table4[[#This Row],[item_sold]],Table1[],4,FALSE))*Table4[[#This Row],[qty]]</f>
        <v>#N/A</v>
      </c>
      <c r="G8684" t="e">
        <f t="shared" si="1552"/>
        <v>#N/A</v>
      </c>
    </row>
    <row r="8685" spans="1:7" x14ac:dyDescent="0.25">
      <c r="A8685" s="1">
        <f t="shared" si="1551"/>
        <v>45488</v>
      </c>
      <c r="B8685" s="36"/>
      <c r="E8685" s="5" t="e">
        <f>Table4[[#This Row],[qty]]*(VLOOKUP(Table4[[#This Row],[item_sold]],Table1[],5,FALSE))</f>
        <v>#N/A</v>
      </c>
      <c r="F8685" s="5" t="e">
        <f>(VLOOKUP(Table4[[#This Row],[item_sold]],Table1[],4,FALSE))*Table4[[#This Row],[qty]]</f>
        <v>#N/A</v>
      </c>
      <c r="G8685" t="e">
        <f t="shared" si="1552"/>
        <v>#N/A</v>
      </c>
    </row>
    <row r="8686" spans="1:7" x14ac:dyDescent="0.25">
      <c r="A8686" s="1">
        <f t="shared" si="1551"/>
        <v>45488</v>
      </c>
      <c r="B8686" s="36"/>
      <c r="E8686" s="5" t="e">
        <f>Table4[[#This Row],[qty]]*(VLOOKUP(Table4[[#This Row],[item_sold]],Table1[],5,FALSE))</f>
        <v>#N/A</v>
      </c>
      <c r="F8686" s="5" t="e">
        <f>(VLOOKUP(Table4[[#This Row],[item_sold]],Table1[],4,FALSE))*Table4[[#This Row],[qty]]</f>
        <v>#N/A</v>
      </c>
      <c r="G8686" t="e">
        <f t="shared" si="1552"/>
        <v>#N/A</v>
      </c>
    </row>
    <row r="8687" spans="1:7" x14ac:dyDescent="0.25">
      <c r="A8687" s="1">
        <f t="shared" si="1551"/>
        <v>45488</v>
      </c>
      <c r="B8687" s="36"/>
      <c r="E8687" s="5" t="e">
        <f>Table4[[#This Row],[qty]]*(VLOOKUP(Table4[[#This Row],[item_sold]],Table1[],5,FALSE))</f>
        <v>#N/A</v>
      </c>
      <c r="F8687" s="5" t="e">
        <f>(VLOOKUP(Table4[[#This Row],[item_sold]],Table1[],4,FALSE))*Table4[[#This Row],[qty]]</f>
        <v>#N/A</v>
      </c>
      <c r="G8687" t="e">
        <f t="shared" si="1552"/>
        <v>#N/A</v>
      </c>
    </row>
    <row r="8688" spans="1:7" x14ac:dyDescent="0.25">
      <c r="A8688" s="1">
        <f t="shared" si="1551"/>
        <v>45488</v>
      </c>
      <c r="B8688" s="36"/>
      <c r="E8688" s="5" t="e">
        <f>Table4[[#This Row],[qty]]*(VLOOKUP(Table4[[#This Row],[item_sold]],Table1[],5,FALSE))</f>
        <v>#N/A</v>
      </c>
      <c r="F8688" s="5" t="e">
        <f>(VLOOKUP(Table4[[#This Row],[item_sold]],Table1[],4,FALSE))*Table4[[#This Row],[qty]]</f>
        <v>#N/A</v>
      </c>
      <c r="G8688" t="e">
        <f t="shared" si="1552"/>
        <v>#N/A</v>
      </c>
    </row>
    <row r="8689" spans="1:7" x14ac:dyDescent="0.25">
      <c r="A8689" s="1">
        <f t="shared" si="1551"/>
        <v>45488</v>
      </c>
      <c r="B8689" s="36"/>
      <c r="E8689" s="5" t="e">
        <f>Table4[[#This Row],[qty]]*(VLOOKUP(Table4[[#This Row],[item_sold]],Table1[],5,FALSE))</f>
        <v>#N/A</v>
      </c>
      <c r="F8689" s="5" t="e">
        <f>(VLOOKUP(Table4[[#This Row],[item_sold]],Table1[],4,FALSE))*Table4[[#This Row],[qty]]</f>
        <v>#N/A</v>
      </c>
      <c r="G8689" t="e">
        <f t="shared" si="1552"/>
        <v>#N/A</v>
      </c>
    </row>
    <row r="8690" spans="1:7" x14ac:dyDescent="0.25">
      <c r="A8690" s="1">
        <f t="shared" si="1551"/>
        <v>45488</v>
      </c>
      <c r="B8690" s="36"/>
      <c r="E8690" s="5" t="e">
        <f>Table4[[#This Row],[qty]]*(VLOOKUP(Table4[[#This Row],[item_sold]],Table1[],5,FALSE))</f>
        <v>#N/A</v>
      </c>
      <c r="F8690" s="5" t="e">
        <f>(VLOOKUP(Table4[[#This Row],[item_sold]],Table1[],4,FALSE))*Table4[[#This Row],[qty]]</f>
        <v>#N/A</v>
      </c>
      <c r="G8690" t="e">
        <f t="shared" si="1552"/>
        <v>#N/A</v>
      </c>
    </row>
    <row r="8691" spans="1:7" x14ac:dyDescent="0.25">
      <c r="A8691" s="1">
        <f t="shared" si="1551"/>
        <v>45488</v>
      </c>
      <c r="B8691" s="36"/>
      <c r="E8691" s="5" t="e">
        <f>Table4[[#This Row],[qty]]*(VLOOKUP(Table4[[#This Row],[item_sold]],Table1[],5,FALSE))</f>
        <v>#N/A</v>
      </c>
      <c r="F8691" s="5" t="e">
        <f>(VLOOKUP(Table4[[#This Row],[item_sold]],Table1[],4,FALSE))*Table4[[#This Row],[qty]]</f>
        <v>#N/A</v>
      </c>
      <c r="G8691" t="e">
        <f t="shared" si="1552"/>
        <v>#N/A</v>
      </c>
    </row>
    <row r="8692" spans="1:7" x14ac:dyDescent="0.25">
      <c r="A8692" s="1">
        <f t="shared" si="1551"/>
        <v>45488</v>
      </c>
      <c r="B8692" s="36"/>
      <c r="E8692" s="5" t="e">
        <f>Table4[[#This Row],[qty]]*(VLOOKUP(Table4[[#This Row],[item_sold]],Table1[],5,FALSE))</f>
        <v>#N/A</v>
      </c>
      <c r="F8692" s="5" t="e">
        <f>(VLOOKUP(Table4[[#This Row],[item_sold]],Table1[],4,FALSE))*Table4[[#This Row],[qty]]</f>
        <v>#N/A</v>
      </c>
      <c r="G8692" t="e">
        <f t="shared" si="1552"/>
        <v>#N/A</v>
      </c>
    </row>
    <row r="8693" spans="1:7" x14ac:dyDescent="0.25">
      <c r="A8693" s="1">
        <f t="shared" si="1551"/>
        <v>45488</v>
      </c>
      <c r="B8693" s="36"/>
      <c r="E8693" s="5" t="e">
        <f>Table4[[#This Row],[qty]]*(VLOOKUP(Table4[[#This Row],[item_sold]],Table1[],5,FALSE))</f>
        <v>#N/A</v>
      </c>
      <c r="F8693" s="5" t="e">
        <f>(VLOOKUP(Table4[[#This Row],[item_sold]],Table1[],4,FALSE))*Table4[[#This Row],[qty]]</f>
        <v>#N/A</v>
      </c>
      <c r="G8693" t="e">
        <f t="shared" si="1552"/>
        <v>#N/A</v>
      </c>
    </row>
    <row r="8694" spans="1:7" x14ac:dyDescent="0.25">
      <c r="A8694" s="1">
        <f t="shared" si="1551"/>
        <v>45488</v>
      </c>
      <c r="B8694" s="36"/>
      <c r="E8694" s="5" t="e">
        <f>Table4[[#This Row],[qty]]*(VLOOKUP(Table4[[#This Row],[item_sold]],Table1[],5,FALSE))</f>
        <v>#N/A</v>
      </c>
      <c r="F8694" s="5" t="e">
        <f>(VLOOKUP(Table4[[#This Row],[item_sold]],Table1[],4,FALSE))*Table4[[#This Row],[qty]]</f>
        <v>#N/A</v>
      </c>
      <c r="G8694" t="e">
        <f t="shared" si="1552"/>
        <v>#N/A</v>
      </c>
    </row>
    <row r="8695" spans="1:7" x14ac:dyDescent="0.25">
      <c r="A8695" s="1">
        <f t="shared" si="1551"/>
        <v>45488</v>
      </c>
      <c r="B8695" s="36"/>
      <c r="E8695" s="5" t="e">
        <f>Table4[[#This Row],[qty]]*(VLOOKUP(Table4[[#This Row],[item_sold]],Table1[],5,FALSE))</f>
        <v>#N/A</v>
      </c>
      <c r="F8695" s="5" t="e">
        <f>(VLOOKUP(Table4[[#This Row],[item_sold]],Table1[],4,FALSE))*Table4[[#This Row],[qty]]</f>
        <v>#N/A</v>
      </c>
      <c r="G8695" t="e">
        <f t="shared" si="1552"/>
        <v>#N/A</v>
      </c>
    </row>
    <row r="8696" spans="1:7" x14ac:dyDescent="0.25">
      <c r="A8696" s="1">
        <f t="shared" si="1551"/>
        <v>45488</v>
      </c>
      <c r="B8696" s="36"/>
      <c r="E8696" s="5" t="e">
        <f>Table4[[#This Row],[qty]]*(VLOOKUP(Table4[[#This Row],[item_sold]],Table1[],5,FALSE))</f>
        <v>#N/A</v>
      </c>
      <c r="F8696" s="5" t="e">
        <f>(VLOOKUP(Table4[[#This Row],[item_sold]],Table1[],4,FALSE))*Table4[[#This Row],[qty]]</f>
        <v>#N/A</v>
      </c>
      <c r="G8696" t="e">
        <f t="shared" si="1552"/>
        <v>#N/A</v>
      </c>
    </row>
    <row r="8697" spans="1:7" x14ac:dyDescent="0.25">
      <c r="A8697" s="1">
        <f t="shared" si="1551"/>
        <v>45488</v>
      </c>
      <c r="B8697" s="36"/>
      <c r="E8697" s="5" t="e">
        <f>Table4[[#This Row],[qty]]*(VLOOKUP(Table4[[#This Row],[item_sold]],Table1[],5,FALSE))</f>
        <v>#N/A</v>
      </c>
      <c r="F8697" s="5" t="e">
        <f>(VLOOKUP(Table4[[#This Row],[item_sold]],Table1[],4,FALSE))*Table4[[#This Row],[qty]]</f>
        <v>#N/A</v>
      </c>
      <c r="G8697" t="e">
        <f t="shared" si="1552"/>
        <v>#N/A</v>
      </c>
    </row>
    <row r="8698" spans="1:7" x14ac:dyDescent="0.25">
      <c r="A8698" s="1">
        <f t="shared" si="1551"/>
        <v>45488</v>
      </c>
      <c r="B8698" s="36"/>
      <c r="E8698" s="5" t="e">
        <f>Table4[[#This Row],[qty]]*(VLOOKUP(Table4[[#This Row],[item_sold]],Table1[],5,FALSE))</f>
        <v>#N/A</v>
      </c>
      <c r="F8698" s="5" t="e">
        <f>(VLOOKUP(Table4[[#This Row],[item_sold]],Table1[],4,FALSE))*Table4[[#This Row],[qty]]</f>
        <v>#N/A</v>
      </c>
      <c r="G8698" t="e">
        <f t="shared" si="1552"/>
        <v>#N/A</v>
      </c>
    </row>
    <row r="8699" spans="1:7" x14ac:dyDescent="0.25">
      <c r="A8699" s="1">
        <f t="shared" si="1551"/>
        <v>45488</v>
      </c>
      <c r="B8699" s="36"/>
      <c r="E8699" s="5" t="e">
        <f>Table4[[#This Row],[qty]]*(VLOOKUP(Table4[[#This Row],[item_sold]],Table1[],5,FALSE))</f>
        <v>#N/A</v>
      </c>
      <c r="F8699" s="5" t="e">
        <f>(VLOOKUP(Table4[[#This Row],[item_sold]],Table1[],4,FALSE))*Table4[[#This Row],[qty]]</f>
        <v>#N/A</v>
      </c>
      <c r="G8699" t="e">
        <f t="shared" si="1552"/>
        <v>#N/A</v>
      </c>
    </row>
    <row r="8700" spans="1:7" x14ac:dyDescent="0.25">
      <c r="A8700" s="1">
        <f t="shared" si="1551"/>
        <v>45488</v>
      </c>
      <c r="B8700" s="36"/>
      <c r="E8700" s="5" t="e">
        <f>Table4[[#This Row],[qty]]*(VLOOKUP(Table4[[#This Row],[item_sold]],Table1[],5,FALSE))</f>
        <v>#N/A</v>
      </c>
      <c r="F8700" s="5" t="e">
        <f>(VLOOKUP(Table4[[#This Row],[item_sold]],Table1[],4,FALSE))*Table4[[#This Row],[qty]]</f>
        <v>#N/A</v>
      </c>
      <c r="G8700" t="e">
        <f t="shared" si="1552"/>
        <v>#N/A</v>
      </c>
    </row>
    <row r="8701" spans="1:7" x14ac:dyDescent="0.25">
      <c r="A8701" s="1">
        <f t="shared" si="1551"/>
        <v>45488</v>
      </c>
      <c r="B8701" s="36"/>
      <c r="E8701" s="5" t="e">
        <f>Table4[[#This Row],[qty]]*(VLOOKUP(Table4[[#This Row],[item_sold]],Table1[],5,FALSE))</f>
        <v>#N/A</v>
      </c>
      <c r="F8701" s="5" t="e">
        <f>(VLOOKUP(Table4[[#This Row],[item_sold]],Table1[],4,FALSE))*Table4[[#This Row],[qty]]</f>
        <v>#N/A</v>
      </c>
      <c r="G8701" t="e">
        <f t="shared" si="1552"/>
        <v>#N/A</v>
      </c>
    </row>
    <row r="8702" spans="1:7" x14ac:dyDescent="0.25">
      <c r="A8702" s="1">
        <f t="shared" si="1551"/>
        <v>45488</v>
      </c>
      <c r="B8702" s="36"/>
      <c r="E8702" s="5" t="e">
        <f>Table4[[#This Row],[qty]]*(VLOOKUP(Table4[[#This Row],[item_sold]],Table1[],5,FALSE))</f>
        <v>#N/A</v>
      </c>
      <c r="F8702" s="5" t="e">
        <f>(VLOOKUP(Table4[[#This Row],[item_sold]],Table1[],4,FALSE))*Table4[[#This Row],[qty]]</f>
        <v>#N/A</v>
      </c>
      <c r="G8702" t="e">
        <f t="shared" si="1552"/>
        <v>#N/A</v>
      </c>
    </row>
    <row r="8703" spans="1:7" x14ac:dyDescent="0.25">
      <c r="A8703" s="1">
        <f t="shared" si="1551"/>
        <v>45488</v>
      </c>
      <c r="B8703" s="36"/>
      <c r="E8703" s="5" t="e">
        <f>Table4[[#This Row],[qty]]*(VLOOKUP(Table4[[#This Row],[item_sold]],Table1[],5,FALSE))</f>
        <v>#N/A</v>
      </c>
      <c r="F8703" s="5" t="e">
        <f>(VLOOKUP(Table4[[#This Row],[item_sold]],Table1[],4,FALSE))*Table4[[#This Row],[qty]]</f>
        <v>#N/A</v>
      </c>
      <c r="G8703" t="e">
        <f t="shared" si="1552"/>
        <v>#N/A</v>
      </c>
    </row>
    <row r="8704" spans="1:7" x14ac:dyDescent="0.25">
      <c r="A8704" s="1">
        <f t="shared" si="1551"/>
        <v>45488</v>
      </c>
      <c r="B8704" s="36"/>
      <c r="E8704" s="5" t="e">
        <f>Table4[[#This Row],[qty]]*(VLOOKUP(Table4[[#This Row],[item_sold]],Table1[],5,FALSE))</f>
        <v>#N/A</v>
      </c>
      <c r="F8704" s="5" t="e">
        <f>(VLOOKUP(Table4[[#This Row],[item_sold]],Table1[],4,FALSE))*Table4[[#This Row],[qty]]</f>
        <v>#N/A</v>
      </c>
      <c r="G8704" t="e">
        <f t="shared" si="1552"/>
        <v>#N/A</v>
      </c>
    </row>
    <row r="8705" spans="1:7" x14ac:dyDescent="0.25">
      <c r="A8705" s="1">
        <f t="shared" si="1551"/>
        <v>45488</v>
      </c>
      <c r="B8705" s="36"/>
      <c r="E8705" s="5" t="e">
        <f>Table4[[#This Row],[qty]]*(VLOOKUP(Table4[[#This Row],[item_sold]],Table1[],5,FALSE))</f>
        <v>#N/A</v>
      </c>
      <c r="F8705" s="5" t="e">
        <f>(VLOOKUP(Table4[[#This Row],[item_sold]],Table1[],4,FALSE))*Table4[[#This Row],[qty]]</f>
        <v>#N/A</v>
      </c>
      <c r="G8705" t="e">
        <f t="shared" si="1552"/>
        <v>#N/A</v>
      </c>
    </row>
    <row r="8706" spans="1:7" x14ac:dyDescent="0.25">
      <c r="A8706" s="1">
        <f t="shared" si="1551"/>
        <v>45488</v>
      </c>
      <c r="B8706" s="36"/>
      <c r="E8706" s="5" t="e">
        <f>Table4[[#This Row],[qty]]*(VLOOKUP(Table4[[#This Row],[item_sold]],Table1[],5,FALSE))</f>
        <v>#N/A</v>
      </c>
      <c r="F8706" s="5" t="e">
        <f>(VLOOKUP(Table4[[#This Row],[item_sold]],Table1[],4,FALSE))*Table4[[#This Row],[qty]]</f>
        <v>#N/A</v>
      </c>
      <c r="G8706" t="e">
        <f t="shared" si="1552"/>
        <v>#N/A</v>
      </c>
    </row>
    <row r="8707" spans="1:7" x14ac:dyDescent="0.25">
      <c r="A8707" s="1">
        <f t="shared" si="1551"/>
        <v>45488</v>
      </c>
      <c r="B8707" s="36"/>
      <c r="E8707" s="5" t="e">
        <f>Table4[[#This Row],[qty]]*(VLOOKUP(Table4[[#This Row],[item_sold]],Table1[],5,FALSE))</f>
        <v>#N/A</v>
      </c>
      <c r="F8707" s="5" t="e">
        <f>(VLOOKUP(Table4[[#This Row],[item_sold]],Table1[],4,FALSE))*Table4[[#This Row],[qty]]</f>
        <v>#N/A</v>
      </c>
      <c r="G8707" t="e">
        <f t="shared" si="1552"/>
        <v>#N/A</v>
      </c>
    </row>
    <row r="8708" spans="1:7" x14ac:dyDescent="0.25">
      <c r="A8708" s="1">
        <f t="shared" si="1551"/>
        <v>45488</v>
      </c>
      <c r="B8708" s="36"/>
      <c r="E8708" s="5" t="e">
        <f>Table4[[#This Row],[qty]]*(VLOOKUP(Table4[[#This Row],[item_sold]],Table1[],5,FALSE))</f>
        <v>#N/A</v>
      </c>
      <c r="F8708" s="5" t="e">
        <f>(VLOOKUP(Table4[[#This Row],[item_sold]],Table1[],4,FALSE))*Table4[[#This Row],[qty]]</f>
        <v>#N/A</v>
      </c>
      <c r="G8708" t="e">
        <f t="shared" si="1552"/>
        <v>#N/A</v>
      </c>
    </row>
    <row r="8709" spans="1:7" x14ac:dyDescent="0.25">
      <c r="A8709" s="1">
        <f t="shared" si="1551"/>
        <v>45488</v>
      </c>
      <c r="B8709" s="36"/>
      <c r="E8709" s="5" t="e">
        <f>Table4[[#This Row],[qty]]*(VLOOKUP(Table4[[#This Row],[item_sold]],Table1[],5,FALSE))</f>
        <v>#N/A</v>
      </c>
      <c r="F8709" s="5" t="e">
        <f>(VLOOKUP(Table4[[#This Row],[item_sold]],Table1[],4,FALSE))*Table4[[#This Row],[qty]]</f>
        <v>#N/A</v>
      </c>
      <c r="G8709" t="e">
        <f t="shared" si="1552"/>
        <v>#N/A</v>
      </c>
    </row>
    <row r="8710" spans="1:7" x14ac:dyDescent="0.25">
      <c r="A8710" s="1">
        <f t="shared" si="1551"/>
        <v>45488</v>
      </c>
      <c r="B8710" s="36"/>
      <c r="E8710" s="5" t="e">
        <f>Table4[[#This Row],[qty]]*(VLOOKUP(Table4[[#This Row],[item_sold]],Table1[],5,FALSE))</f>
        <v>#N/A</v>
      </c>
      <c r="F8710" s="5" t="e">
        <f>(VLOOKUP(Table4[[#This Row],[item_sold]],Table1[],4,FALSE))*Table4[[#This Row],[qty]]</f>
        <v>#N/A</v>
      </c>
      <c r="G8710" t="e">
        <f t="shared" si="1552"/>
        <v>#N/A</v>
      </c>
    </row>
    <row r="8711" spans="1:7" x14ac:dyDescent="0.25">
      <c r="A8711" s="1">
        <f t="shared" si="1551"/>
        <v>45488</v>
      </c>
      <c r="B8711" s="36"/>
      <c r="E8711" s="5" t="e">
        <f>Table4[[#This Row],[qty]]*(VLOOKUP(Table4[[#This Row],[item_sold]],Table1[],5,FALSE))</f>
        <v>#N/A</v>
      </c>
      <c r="F8711" s="5" t="e">
        <f>(VLOOKUP(Table4[[#This Row],[item_sold]],Table1[],4,FALSE))*Table4[[#This Row],[qty]]</f>
        <v>#N/A</v>
      </c>
      <c r="G8711" t="e">
        <f t="shared" si="1552"/>
        <v>#N/A</v>
      </c>
    </row>
    <row r="8712" spans="1:7" x14ac:dyDescent="0.25">
      <c r="A8712" s="1">
        <f t="shared" si="1551"/>
        <v>45488</v>
      </c>
      <c r="B8712" s="36"/>
      <c r="E8712" s="5" t="e">
        <f>Table4[[#This Row],[qty]]*(VLOOKUP(Table4[[#This Row],[item_sold]],Table1[],5,FALSE))</f>
        <v>#N/A</v>
      </c>
      <c r="F8712" s="5" t="e">
        <f>(VLOOKUP(Table4[[#This Row],[item_sold]],Table1[],4,FALSE))*Table4[[#This Row],[qty]]</f>
        <v>#N/A</v>
      </c>
      <c r="G8712" t="e">
        <f t="shared" si="1552"/>
        <v>#N/A</v>
      </c>
    </row>
    <row r="8713" spans="1:7" x14ac:dyDescent="0.25">
      <c r="A8713" s="1">
        <f t="shared" si="1551"/>
        <v>45488</v>
      </c>
      <c r="B8713" s="36"/>
      <c r="E8713" s="5" t="e">
        <f>Table4[[#This Row],[qty]]*(VLOOKUP(Table4[[#This Row],[item_sold]],Table1[],5,FALSE))</f>
        <v>#N/A</v>
      </c>
      <c r="F8713" s="5" t="e">
        <f>(VLOOKUP(Table4[[#This Row],[item_sold]],Table1[],4,FALSE))*Table4[[#This Row],[qty]]</f>
        <v>#N/A</v>
      </c>
      <c r="G8713" t="e">
        <f t="shared" si="1552"/>
        <v>#N/A</v>
      </c>
    </row>
    <row r="8714" spans="1:7" x14ac:dyDescent="0.25">
      <c r="A8714" s="1">
        <f t="shared" si="1551"/>
        <v>45488</v>
      </c>
      <c r="B8714" s="36"/>
      <c r="E8714" s="5" t="e">
        <f>Table4[[#This Row],[qty]]*(VLOOKUP(Table4[[#This Row],[item_sold]],Table1[],5,FALSE))</f>
        <v>#N/A</v>
      </c>
      <c r="F8714" s="5" t="e">
        <f>(VLOOKUP(Table4[[#This Row],[item_sold]],Table1[],4,FALSE))*Table4[[#This Row],[qty]]</f>
        <v>#N/A</v>
      </c>
      <c r="G8714" t="e">
        <f t="shared" si="1552"/>
        <v>#N/A</v>
      </c>
    </row>
    <row r="8715" spans="1:7" x14ac:dyDescent="0.25">
      <c r="A8715" s="1">
        <f t="shared" si="1551"/>
        <v>45488</v>
      </c>
      <c r="B8715" s="36"/>
      <c r="E8715" s="5" t="e">
        <f>Table4[[#This Row],[qty]]*(VLOOKUP(Table4[[#This Row],[item_sold]],Table1[],5,FALSE))</f>
        <v>#N/A</v>
      </c>
      <c r="F8715" s="5" t="e">
        <f>(VLOOKUP(Table4[[#This Row],[item_sold]],Table1[],4,FALSE))*Table4[[#This Row],[qty]]</f>
        <v>#N/A</v>
      </c>
      <c r="G8715" t="e">
        <f t="shared" si="1552"/>
        <v>#N/A</v>
      </c>
    </row>
    <row r="8716" spans="1:7" x14ac:dyDescent="0.25">
      <c r="A8716" s="1">
        <f t="shared" si="1551"/>
        <v>45488</v>
      </c>
      <c r="B8716" s="36"/>
      <c r="E8716" s="5" t="e">
        <f>Table4[[#This Row],[qty]]*(VLOOKUP(Table4[[#This Row],[item_sold]],Table1[],5,FALSE))</f>
        <v>#N/A</v>
      </c>
      <c r="F8716" s="5" t="e">
        <f>(VLOOKUP(Table4[[#This Row],[item_sold]],Table1[],4,FALSE))*Table4[[#This Row],[qty]]</f>
        <v>#N/A</v>
      </c>
      <c r="G8716" t="e">
        <f t="shared" si="1552"/>
        <v>#N/A</v>
      </c>
    </row>
    <row r="8717" spans="1:7" x14ac:dyDescent="0.25">
      <c r="A8717" s="1">
        <f t="shared" si="1551"/>
        <v>45488</v>
      </c>
      <c r="B8717" s="36"/>
      <c r="E8717" s="5" t="e">
        <f>Table4[[#This Row],[qty]]*(VLOOKUP(Table4[[#This Row],[item_sold]],Table1[],5,FALSE))</f>
        <v>#N/A</v>
      </c>
      <c r="F8717" s="5" t="e">
        <f>(VLOOKUP(Table4[[#This Row],[item_sold]],Table1[],4,FALSE))*Table4[[#This Row],[qty]]</f>
        <v>#N/A</v>
      </c>
      <c r="G8717" t="e">
        <f t="shared" si="1552"/>
        <v>#N/A</v>
      </c>
    </row>
    <row r="8718" spans="1:7" x14ac:dyDescent="0.25">
      <c r="A8718" s="1">
        <f t="shared" si="1551"/>
        <v>45488</v>
      </c>
      <c r="B8718" s="36"/>
      <c r="E8718" s="5" t="e">
        <f>Table4[[#This Row],[qty]]*(VLOOKUP(Table4[[#This Row],[item_sold]],Table1[],5,FALSE))</f>
        <v>#N/A</v>
      </c>
      <c r="F8718" s="5" t="e">
        <f>(VLOOKUP(Table4[[#This Row],[item_sold]],Table1[],4,FALSE))*Table4[[#This Row],[qty]]</f>
        <v>#N/A</v>
      </c>
      <c r="G8718" t="e">
        <f t="shared" si="1552"/>
        <v>#N/A</v>
      </c>
    </row>
    <row r="8719" spans="1:7" x14ac:dyDescent="0.25">
      <c r="A8719" s="1">
        <f t="shared" si="1551"/>
        <v>45488</v>
      </c>
      <c r="B8719" s="36"/>
      <c r="E8719" s="5" t="e">
        <f>Table4[[#This Row],[qty]]*(VLOOKUP(Table4[[#This Row],[item_sold]],Table1[],5,FALSE))</f>
        <v>#N/A</v>
      </c>
      <c r="F8719" s="5" t="e">
        <f>(VLOOKUP(Table4[[#This Row],[item_sold]],Table1[],4,FALSE))*Table4[[#This Row],[qty]]</f>
        <v>#N/A</v>
      </c>
      <c r="G8719" t="e">
        <f t="shared" si="1552"/>
        <v>#N/A</v>
      </c>
    </row>
    <row r="8720" spans="1:7" x14ac:dyDescent="0.25">
      <c r="A8720" s="1">
        <f t="shared" si="1551"/>
        <v>45488</v>
      </c>
      <c r="B8720" s="36"/>
      <c r="E8720" s="5" t="e">
        <f>Table4[[#This Row],[qty]]*(VLOOKUP(Table4[[#This Row],[item_sold]],Table1[],5,FALSE))</f>
        <v>#N/A</v>
      </c>
      <c r="F8720" s="5" t="e">
        <f>(VLOOKUP(Table4[[#This Row],[item_sold]],Table1[],4,FALSE))*Table4[[#This Row],[qty]]</f>
        <v>#N/A</v>
      </c>
      <c r="G8720" t="e">
        <f t="shared" si="1552"/>
        <v>#N/A</v>
      </c>
    </row>
    <row r="8721" spans="1:7" x14ac:dyDescent="0.25">
      <c r="A8721" s="1">
        <f t="shared" si="1551"/>
        <v>45488</v>
      </c>
      <c r="B8721" s="36"/>
      <c r="E8721" s="5" t="e">
        <f>Table4[[#This Row],[qty]]*(VLOOKUP(Table4[[#This Row],[item_sold]],Table1[],5,FALSE))</f>
        <v>#N/A</v>
      </c>
      <c r="F8721" s="5" t="e">
        <f>(VLOOKUP(Table4[[#This Row],[item_sold]],Table1[],4,FALSE))*Table4[[#This Row],[qty]]</f>
        <v>#N/A</v>
      </c>
      <c r="G8721" t="e">
        <f t="shared" si="1552"/>
        <v>#N/A</v>
      </c>
    </row>
    <row r="8722" spans="1:7" x14ac:dyDescent="0.25">
      <c r="A8722" s="1">
        <f t="shared" si="1551"/>
        <v>45488</v>
      </c>
      <c r="B8722" s="36"/>
      <c r="E8722" s="5" t="e">
        <f>Table4[[#This Row],[qty]]*(VLOOKUP(Table4[[#This Row],[item_sold]],Table1[],5,FALSE))</f>
        <v>#N/A</v>
      </c>
      <c r="F8722" s="5" t="e">
        <f>(VLOOKUP(Table4[[#This Row],[item_sold]],Table1[],4,FALSE))*Table4[[#This Row],[qty]]</f>
        <v>#N/A</v>
      </c>
      <c r="G8722" t="e">
        <f t="shared" si="1552"/>
        <v>#N/A</v>
      </c>
    </row>
    <row r="8723" spans="1:7" x14ac:dyDescent="0.25">
      <c r="A8723" s="1">
        <f t="shared" si="1551"/>
        <v>45488</v>
      </c>
      <c r="B8723" s="36"/>
      <c r="E8723" s="5" t="e">
        <f>Table4[[#This Row],[qty]]*(VLOOKUP(Table4[[#This Row],[item_sold]],Table1[],5,FALSE))</f>
        <v>#N/A</v>
      </c>
      <c r="F8723" s="5" t="e">
        <f>(VLOOKUP(Table4[[#This Row],[item_sold]],Table1[],4,FALSE))*Table4[[#This Row],[qty]]</f>
        <v>#N/A</v>
      </c>
      <c r="G8723" t="e">
        <f t="shared" si="1552"/>
        <v>#N/A</v>
      </c>
    </row>
    <row r="8724" spans="1:7" x14ac:dyDescent="0.25">
      <c r="A8724" s="1">
        <f t="shared" ref="A8724:A8787" si="1553">DATE(2024,7,15)</f>
        <v>45488</v>
      </c>
      <c r="B8724" s="36"/>
      <c r="E8724" s="5" t="e">
        <f>Table4[[#This Row],[qty]]*(VLOOKUP(Table4[[#This Row],[item_sold]],Table1[],5,FALSE))</f>
        <v>#N/A</v>
      </c>
      <c r="F8724" s="5" t="e">
        <f>(VLOOKUP(Table4[[#This Row],[item_sold]],Table1[],4,FALSE))*Table4[[#This Row],[qty]]</f>
        <v>#N/A</v>
      </c>
      <c r="G8724" t="e">
        <f t="shared" ref="G8724:G8787" si="1554">E8724-F8724</f>
        <v>#N/A</v>
      </c>
    </row>
    <row r="8725" spans="1:7" x14ac:dyDescent="0.25">
      <c r="A8725" s="1">
        <f t="shared" si="1553"/>
        <v>45488</v>
      </c>
      <c r="B8725" s="36"/>
      <c r="E8725" s="5" t="e">
        <f>Table4[[#This Row],[qty]]*(VLOOKUP(Table4[[#This Row],[item_sold]],Table1[],5,FALSE))</f>
        <v>#N/A</v>
      </c>
      <c r="F8725" s="5" t="e">
        <f>(VLOOKUP(Table4[[#This Row],[item_sold]],Table1[],4,FALSE))*Table4[[#This Row],[qty]]</f>
        <v>#N/A</v>
      </c>
      <c r="G8725" t="e">
        <f t="shared" si="1554"/>
        <v>#N/A</v>
      </c>
    </row>
    <row r="8726" spans="1:7" x14ac:dyDescent="0.25">
      <c r="A8726" s="1">
        <f t="shared" si="1553"/>
        <v>45488</v>
      </c>
      <c r="B8726" s="36"/>
      <c r="E8726" s="5" t="e">
        <f>Table4[[#This Row],[qty]]*(VLOOKUP(Table4[[#This Row],[item_sold]],Table1[],5,FALSE))</f>
        <v>#N/A</v>
      </c>
      <c r="F8726" s="5" t="e">
        <f>(VLOOKUP(Table4[[#This Row],[item_sold]],Table1[],4,FALSE))*Table4[[#This Row],[qty]]</f>
        <v>#N/A</v>
      </c>
      <c r="G8726" t="e">
        <f t="shared" si="1554"/>
        <v>#N/A</v>
      </c>
    </row>
    <row r="8727" spans="1:7" x14ac:dyDescent="0.25">
      <c r="A8727" s="1">
        <f t="shared" si="1553"/>
        <v>45488</v>
      </c>
      <c r="B8727" s="36"/>
      <c r="E8727" s="5" t="e">
        <f>Table4[[#This Row],[qty]]*(VLOOKUP(Table4[[#This Row],[item_sold]],Table1[],5,FALSE))</f>
        <v>#N/A</v>
      </c>
      <c r="F8727" s="5" t="e">
        <f>(VLOOKUP(Table4[[#This Row],[item_sold]],Table1[],4,FALSE))*Table4[[#This Row],[qty]]</f>
        <v>#N/A</v>
      </c>
      <c r="G8727" t="e">
        <f t="shared" si="1554"/>
        <v>#N/A</v>
      </c>
    </row>
    <row r="8728" spans="1:7" x14ac:dyDescent="0.25">
      <c r="A8728" s="1">
        <f t="shared" si="1553"/>
        <v>45488</v>
      </c>
      <c r="B8728" s="36"/>
      <c r="E8728" s="5" t="e">
        <f>Table4[[#This Row],[qty]]*(VLOOKUP(Table4[[#This Row],[item_sold]],Table1[],5,FALSE))</f>
        <v>#N/A</v>
      </c>
      <c r="F8728" s="5" t="e">
        <f>(VLOOKUP(Table4[[#This Row],[item_sold]],Table1[],4,FALSE))*Table4[[#This Row],[qty]]</f>
        <v>#N/A</v>
      </c>
      <c r="G8728" t="e">
        <f t="shared" si="1554"/>
        <v>#N/A</v>
      </c>
    </row>
    <row r="8729" spans="1:7" x14ac:dyDescent="0.25">
      <c r="A8729" s="1">
        <f t="shared" si="1553"/>
        <v>45488</v>
      </c>
      <c r="B8729" s="36"/>
      <c r="E8729" s="5" t="e">
        <f>Table4[[#This Row],[qty]]*(VLOOKUP(Table4[[#This Row],[item_sold]],Table1[],5,FALSE))</f>
        <v>#N/A</v>
      </c>
      <c r="F8729" s="5" t="e">
        <f>(VLOOKUP(Table4[[#This Row],[item_sold]],Table1[],4,FALSE))*Table4[[#This Row],[qty]]</f>
        <v>#N/A</v>
      </c>
      <c r="G8729" t="e">
        <f t="shared" si="1554"/>
        <v>#N/A</v>
      </c>
    </row>
    <row r="8730" spans="1:7" x14ac:dyDescent="0.25">
      <c r="A8730" s="1">
        <f t="shared" si="1553"/>
        <v>45488</v>
      </c>
      <c r="B8730" s="36"/>
      <c r="E8730" s="5" t="e">
        <f>Table4[[#This Row],[qty]]*(VLOOKUP(Table4[[#This Row],[item_sold]],Table1[],5,FALSE))</f>
        <v>#N/A</v>
      </c>
      <c r="F8730" s="5" t="e">
        <f>(VLOOKUP(Table4[[#This Row],[item_sold]],Table1[],4,FALSE))*Table4[[#This Row],[qty]]</f>
        <v>#N/A</v>
      </c>
      <c r="G8730" t="e">
        <f t="shared" si="1554"/>
        <v>#N/A</v>
      </c>
    </row>
    <row r="8731" spans="1:7" x14ac:dyDescent="0.25">
      <c r="A8731" s="1">
        <f t="shared" si="1553"/>
        <v>45488</v>
      </c>
      <c r="B8731" s="36"/>
      <c r="E8731" s="5" t="e">
        <f>Table4[[#This Row],[qty]]*(VLOOKUP(Table4[[#This Row],[item_sold]],Table1[],5,FALSE))</f>
        <v>#N/A</v>
      </c>
      <c r="F8731" s="5" t="e">
        <f>(VLOOKUP(Table4[[#This Row],[item_sold]],Table1[],4,FALSE))*Table4[[#This Row],[qty]]</f>
        <v>#N/A</v>
      </c>
      <c r="G8731" t="e">
        <f t="shared" si="1554"/>
        <v>#N/A</v>
      </c>
    </row>
    <row r="8732" spans="1:7" x14ac:dyDescent="0.25">
      <c r="A8732" s="1">
        <f t="shared" si="1553"/>
        <v>45488</v>
      </c>
      <c r="B8732" s="36"/>
      <c r="E8732" s="5" t="e">
        <f>Table4[[#This Row],[qty]]*(VLOOKUP(Table4[[#This Row],[item_sold]],Table1[],5,FALSE))</f>
        <v>#N/A</v>
      </c>
      <c r="F8732" s="5" t="e">
        <f>(VLOOKUP(Table4[[#This Row],[item_sold]],Table1[],4,FALSE))*Table4[[#This Row],[qty]]</f>
        <v>#N/A</v>
      </c>
      <c r="G8732" t="e">
        <f t="shared" si="1554"/>
        <v>#N/A</v>
      </c>
    </row>
    <row r="8733" spans="1:7" x14ac:dyDescent="0.25">
      <c r="A8733" s="1">
        <f t="shared" si="1553"/>
        <v>45488</v>
      </c>
      <c r="B8733" s="36"/>
      <c r="E8733" s="5" t="e">
        <f>Table4[[#This Row],[qty]]*(VLOOKUP(Table4[[#This Row],[item_sold]],Table1[],5,FALSE))</f>
        <v>#N/A</v>
      </c>
      <c r="F8733" s="5" t="e">
        <f>(VLOOKUP(Table4[[#This Row],[item_sold]],Table1[],4,FALSE))*Table4[[#This Row],[qty]]</f>
        <v>#N/A</v>
      </c>
      <c r="G8733" t="e">
        <f t="shared" si="1554"/>
        <v>#N/A</v>
      </c>
    </row>
    <row r="8734" spans="1:7" x14ac:dyDescent="0.25">
      <c r="A8734" s="1">
        <f t="shared" si="1553"/>
        <v>45488</v>
      </c>
      <c r="B8734" s="36"/>
      <c r="E8734" s="5" t="e">
        <f>Table4[[#This Row],[qty]]*(VLOOKUP(Table4[[#This Row],[item_sold]],Table1[],5,FALSE))</f>
        <v>#N/A</v>
      </c>
      <c r="F8734" s="5" t="e">
        <f>(VLOOKUP(Table4[[#This Row],[item_sold]],Table1[],4,FALSE))*Table4[[#This Row],[qty]]</f>
        <v>#N/A</v>
      </c>
      <c r="G8734" t="e">
        <f t="shared" si="1554"/>
        <v>#N/A</v>
      </c>
    </row>
    <row r="8735" spans="1:7" x14ac:dyDescent="0.25">
      <c r="A8735" s="1">
        <f t="shared" si="1553"/>
        <v>45488</v>
      </c>
      <c r="B8735" s="36"/>
      <c r="E8735" s="5" t="e">
        <f>Table4[[#This Row],[qty]]*(VLOOKUP(Table4[[#This Row],[item_sold]],Table1[],5,FALSE))</f>
        <v>#N/A</v>
      </c>
      <c r="F8735" s="5" t="e">
        <f>(VLOOKUP(Table4[[#This Row],[item_sold]],Table1[],4,FALSE))*Table4[[#This Row],[qty]]</f>
        <v>#N/A</v>
      </c>
      <c r="G8735" t="e">
        <f t="shared" si="1554"/>
        <v>#N/A</v>
      </c>
    </row>
    <row r="8736" spans="1:7" x14ac:dyDescent="0.25">
      <c r="A8736" s="1">
        <f t="shared" si="1553"/>
        <v>45488</v>
      </c>
      <c r="B8736" s="36"/>
      <c r="E8736" s="5" t="e">
        <f>Table4[[#This Row],[qty]]*(VLOOKUP(Table4[[#This Row],[item_sold]],Table1[],5,FALSE))</f>
        <v>#N/A</v>
      </c>
      <c r="F8736" s="5" t="e">
        <f>(VLOOKUP(Table4[[#This Row],[item_sold]],Table1[],4,FALSE))*Table4[[#This Row],[qty]]</f>
        <v>#N/A</v>
      </c>
      <c r="G8736" t="e">
        <f t="shared" si="1554"/>
        <v>#N/A</v>
      </c>
    </row>
    <row r="8737" spans="1:7" x14ac:dyDescent="0.25">
      <c r="A8737" s="1">
        <f t="shared" si="1553"/>
        <v>45488</v>
      </c>
      <c r="B8737" s="36"/>
      <c r="E8737" s="5" t="e">
        <f>Table4[[#This Row],[qty]]*(VLOOKUP(Table4[[#This Row],[item_sold]],Table1[],5,FALSE))</f>
        <v>#N/A</v>
      </c>
      <c r="F8737" s="5" t="e">
        <f>(VLOOKUP(Table4[[#This Row],[item_sold]],Table1[],4,FALSE))*Table4[[#This Row],[qty]]</f>
        <v>#N/A</v>
      </c>
      <c r="G8737" t="e">
        <f t="shared" si="1554"/>
        <v>#N/A</v>
      </c>
    </row>
    <row r="8738" spans="1:7" x14ac:dyDescent="0.25">
      <c r="A8738" s="1">
        <f t="shared" si="1553"/>
        <v>45488</v>
      </c>
      <c r="B8738" s="36"/>
      <c r="E8738" s="5" t="e">
        <f>Table4[[#This Row],[qty]]*(VLOOKUP(Table4[[#This Row],[item_sold]],Table1[],5,FALSE))</f>
        <v>#N/A</v>
      </c>
      <c r="F8738" s="5" t="e">
        <f>(VLOOKUP(Table4[[#This Row],[item_sold]],Table1[],4,FALSE))*Table4[[#This Row],[qty]]</f>
        <v>#N/A</v>
      </c>
      <c r="G8738" t="e">
        <f t="shared" si="1554"/>
        <v>#N/A</v>
      </c>
    </row>
    <row r="8739" spans="1:7" x14ac:dyDescent="0.25">
      <c r="A8739" s="1">
        <f t="shared" si="1553"/>
        <v>45488</v>
      </c>
      <c r="B8739" s="36"/>
      <c r="E8739" s="5" t="e">
        <f>Table4[[#This Row],[qty]]*(VLOOKUP(Table4[[#This Row],[item_sold]],Table1[],5,FALSE))</f>
        <v>#N/A</v>
      </c>
      <c r="F8739" s="5" t="e">
        <f>(VLOOKUP(Table4[[#This Row],[item_sold]],Table1[],4,FALSE))*Table4[[#This Row],[qty]]</f>
        <v>#N/A</v>
      </c>
      <c r="G8739" t="e">
        <f t="shared" si="1554"/>
        <v>#N/A</v>
      </c>
    </row>
    <row r="8740" spans="1:7" x14ac:dyDescent="0.25">
      <c r="A8740" s="1">
        <f t="shared" si="1553"/>
        <v>45488</v>
      </c>
      <c r="B8740" s="36"/>
      <c r="E8740" s="5" t="e">
        <f>Table4[[#This Row],[qty]]*(VLOOKUP(Table4[[#This Row],[item_sold]],Table1[],5,FALSE))</f>
        <v>#N/A</v>
      </c>
      <c r="F8740" s="5" t="e">
        <f>(VLOOKUP(Table4[[#This Row],[item_sold]],Table1[],4,FALSE))*Table4[[#This Row],[qty]]</f>
        <v>#N/A</v>
      </c>
      <c r="G8740" t="e">
        <f t="shared" si="1554"/>
        <v>#N/A</v>
      </c>
    </row>
    <row r="8741" spans="1:7" x14ac:dyDescent="0.25">
      <c r="A8741" s="1">
        <f t="shared" si="1553"/>
        <v>45488</v>
      </c>
      <c r="B8741" s="36"/>
      <c r="E8741" s="5" t="e">
        <f>Table4[[#This Row],[qty]]*(VLOOKUP(Table4[[#This Row],[item_sold]],Table1[],5,FALSE))</f>
        <v>#N/A</v>
      </c>
      <c r="F8741" s="5" t="e">
        <f>(VLOOKUP(Table4[[#This Row],[item_sold]],Table1[],4,FALSE))*Table4[[#This Row],[qty]]</f>
        <v>#N/A</v>
      </c>
      <c r="G8741" t="e">
        <f t="shared" si="1554"/>
        <v>#N/A</v>
      </c>
    </row>
    <row r="8742" spans="1:7" x14ac:dyDescent="0.25">
      <c r="A8742" s="1">
        <f t="shared" si="1553"/>
        <v>45488</v>
      </c>
      <c r="B8742" s="36"/>
      <c r="E8742" s="5" t="e">
        <f>Table4[[#This Row],[qty]]*(VLOOKUP(Table4[[#This Row],[item_sold]],Table1[],5,FALSE))</f>
        <v>#N/A</v>
      </c>
      <c r="F8742" s="5" t="e">
        <f>(VLOOKUP(Table4[[#This Row],[item_sold]],Table1[],4,FALSE))*Table4[[#This Row],[qty]]</f>
        <v>#N/A</v>
      </c>
      <c r="G8742" t="e">
        <f t="shared" si="1554"/>
        <v>#N/A</v>
      </c>
    </row>
    <row r="8743" spans="1:7" x14ac:dyDescent="0.25">
      <c r="A8743" s="1">
        <f t="shared" si="1553"/>
        <v>45488</v>
      </c>
      <c r="B8743" s="36"/>
      <c r="E8743" s="5" t="e">
        <f>Table4[[#This Row],[qty]]*(VLOOKUP(Table4[[#This Row],[item_sold]],Table1[],5,FALSE))</f>
        <v>#N/A</v>
      </c>
      <c r="F8743" s="5" t="e">
        <f>(VLOOKUP(Table4[[#This Row],[item_sold]],Table1[],4,FALSE))*Table4[[#This Row],[qty]]</f>
        <v>#N/A</v>
      </c>
      <c r="G8743" t="e">
        <f t="shared" si="1554"/>
        <v>#N/A</v>
      </c>
    </row>
    <row r="8744" spans="1:7" x14ac:dyDescent="0.25">
      <c r="A8744" s="1">
        <f t="shared" si="1553"/>
        <v>45488</v>
      </c>
      <c r="B8744" s="36"/>
      <c r="E8744" s="5" t="e">
        <f>Table4[[#This Row],[qty]]*(VLOOKUP(Table4[[#This Row],[item_sold]],Table1[],5,FALSE))</f>
        <v>#N/A</v>
      </c>
      <c r="F8744" s="5" t="e">
        <f>(VLOOKUP(Table4[[#This Row],[item_sold]],Table1[],4,FALSE))*Table4[[#This Row],[qty]]</f>
        <v>#N/A</v>
      </c>
      <c r="G8744" t="e">
        <f t="shared" si="1554"/>
        <v>#N/A</v>
      </c>
    </row>
    <row r="8745" spans="1:7" x14ac:dyDescent="0.25">
      <c r="A8745" s="1">
        <f t="shared" si="1553"/>
        <v>45488</v>
      </c>
      <c r="B8745" s="36"/>
      <c r="E8745" s="5" t="e">
        <f>Table4[[#This Row],[qty]]*(VLOOKUP(Table4[[#This Row],[item_sold]],Table1[],5,FALSE))</f>
        <v>#N/A</v>
      </c>
      <c r="F8745" s="5" t="e">
        <f>(VLOOKUP(Table4[[#This Row],[item_sold]],Table1[],4,FALSE))*Table4[[#This Row],[qty]]</f>
        <v>#N/A</v>
      </c>
      <c r="G8745" t="e">
        <f t="shared" si="1554"/>
        <v>#N/A</v>
      </c>
    </row>
    <row r="8746" spans="1:7" x14ac:dyDescent="0.25">
      <c r="A8746" s="1">
        <f t="shared" si="1553"/>
        <v>45488</v>
      </c>
      <c r="B8746" s="36"/>
      <c r="E8746" s="5" t="e">
        <f>Table4[[#This Row],[qty]]*(VLOOKUP(Table4[[#This Row],[item_sold]],Table1[],5,FALSE))</f>
        <v>#N/A</v>
      </c>
      <c r="F8746" s="5" t="e">
        <f>(VLOOKUP(Table4[[#This Row],[item_sold]],Table1[],4,FALSE))*Table4[[#This Row],[qty]]</f>
        <v>#N/A</v>
      </c>
      <c r="G8746" t="e">
        <f t="shared" si="1554"/>
        <v>#N/A</v>
      </c>
    </row>
    <row r="8747" spans="1:7" x14ac:dyDescent="0.25">
      <c r="A8747" s="1">
        <f t="shared" si="1553"/>
        <v>45488</v>
      </c>
      <c r="B8747" s="36"/>
      <c r="E8747" s="5" t="e">
        <f>Table4[[#This Row],[qty]]*(VLOOKUP(Table4[[#This Row],[item_sold]],Table1[],5,FALSE))</f>
        <v>#N/A</v>
      </c>
      <c r="F8747" s="5" t="e">
        <f>(VLOOKUP(Table4[[#This Row],[item_sold]],Table1[],4,FALSE))*Table4[[#This Row],[qty]]</f>
        <v>#N/A</v>
      </c>
      <c r="G8747" t="e">
        <f t="shared" si="1554"/>
        <v>#N/A</v>
      </c>
    </row>
    <row r="8748" spans="1:7" x14ac:dyDescent="0.25">
      <c r="A8748" s="1">
        <f t="shared" si="1553"/>
        <v>45488</v>
      </c>
      <c r="B8748" s="36"/>
      <c r="E8748" s="5" t="e">
        <f>Table4[[#This Row],[qty]]*(VLOOKUP(Table4[[#This Row],[item_sold]],Table1[],5,FALSE))</f>
        <v>#N/A</v>
      </c>
      <c r="F8748" s="5" t="e">
        <f>(VLOOKUP(Table4[[#This Row],[item_sold]],Table1[],4,FALSE))*Table4[[#This Row],[qty]]</f>
        <v>#N/A</v>
      </c>
      <c r="G8748" t="e">
        <f t="shared" si="1554"/>
        <v>#N/A</v>
      </c>
    </row>
    <row r="8749" spans="1:7" x14ac:dyDescent="0.25">
      <c r="A8749" s="1">
        <f t="shared" si="1553"/>
        <v>45488</v>
      </c>
      <c r="B8749" s="36"/>
      <c r="E8749" s="5" t="e">
        <f>Table4[[#This Row],[qty]]*(VLOOKUP(Table4[[#This Row],[item_sold]],Table1[],5,FALSE))</f>
        <v>#N/A</v>
      </c>
      <c r="F8749" s="5" t="e">
        <f>(VLOOKUP(Table4[[#This Row],[item_sold]],Table1[],4,FALSE))*Table4[[#This Row],[qty]]</f>
        <v>#N/A</v>
      </c>
      <c r="G8749" t="e">
        <f t="shared" si="1554"/>
        <v>#N/A</v>
      </c>
    </row>
    <row r="8750" spans="1:7" x14ac:dyDescent="0.25">
      <c r="A8750" s="1">
        <f t="shared" si="1553"/>
        <v>45488</v>
      </c>
      <c r="B8750" s="36"/>
      <c r="E8750" s="5" t="e">
        <f>Table4[[#This Row],[qty]]*(VLOOKUP(Table4[[#This Row],[item_sold]],Table1[],5,FALSE))</f>
        <v>#N/A</v>
      </c>
      <c r="F8750" s="5" t="e">
        <f>(VLOOKUP(Table4[[#This Row],[item_sold]],Table1[],4,FALSE))*Table4[[#This Row],[qty]]</f>
        <v>#N/A</v>
      </c>
      <c r="G8750" t="e">
        <f t="shared" si="1554"/>
        <v>#N/A</v>
      </c>
    </row>
    <row r="8751" spans="1:7" x14ac:dyDescent="0.25">
      <c r="A8751" s="1">
        <f t="shared" si="1553"/>
        <v>45488</v>
      </c>
      <c r="B8751" s="36"/>
      <c r="E8751" s="5" t="e">
        <f>Table4[[#This Row],[qty]]*(VLOOKUP(Table4[[#This Row],[item_sold]],Table1[],5,FALSE))</f>
        <v>#N/A</v>
      </c>
      <c r="F8751" s="5" t="e">
        <f>(VLOOKUP(Table4[[#This Row],[item_sold]],Table1[],4,FALSE))*Table4[[#This Row],[qty]]</f>
        <v>#N/A</v>
      </c>
      <c r="G8751" t="e">
        <f t="shared" si="1554"/>
        <v>#N/A</v>
      </c>
    </row>
    <row r="8752" spans="1:7" x14ac:dyDescent="0.25">
      <c r="A8752" s="1">
        <f t="shared" si="1553"/>
        <v>45488</v>
      </c>
      <c r="B8752" s="36"/>
      <c r="E8752" s="5" t="e">
        <f>Table4[[#This Row],[qty]]*(VLOOKUP(Table4[[#This Row],[item_sold]],Table1[],5,FALSE))</f>
        <v>#N/A</v>
      </c>
      <c r="F8752" s="5" t="e">
        <f>(VLOOKUP(Table4[[#This Row],[item_sold]],Table1[],4,FALSE))*Table4[[#This Row],[qty]]</f>
        <v>#N/A</v>
      </c>
      <c r="G8752" t="e">
        <f t="shared" si="1554"/>
        <v>#N/A</v>
      </c>
    </row>
    <row r="8753" spans="1:7" x14ac:dyDescent="0.25">
      <c r="A8753" s="1">
        <f t="shared" si="1553"/>
        <v>45488</v>
      </c>
      <c r="B8753" s="36"/>
      <c r="E8753" s="5" t="e">
        <f>Table4[[#This Row],[qty]]*(VLOOKUP(Table4[[#This Row],[item_sold]],Table1[],5,FALSE))</f>
        <v>#N/A</v>
      </c>
      <c r="F8753" s="5" t="e">
        <f>(VLOOKUP(Table4[[#This Row],[item_sold]],Table1[],4,FALSE))*Table4[[#This Row],[qty]]</f>
        <v>#N/A</v>
      </c>
      <c r="G8753" t="e">
        <f t="shared" si="1554"/>
        <v>#N/A</v>
      </c>
    </row>
    <row r="8754" spans="1:7" x14ac:dyDescent="0.25">
      <c r="A8754" s="1">
        <f t="shared" si="1553"/>
        <v>45488</v>
      </c>
      <c r="B8754" s="36"/>
      <c r="E8754" s="5" t="e">
        <f>Table4[[#This Row],[qty]]*(VLOOKUP(Table4[[#This Row],[item_sold]],Table1[],5,FALSE))</f>
        <v>#N/A</v>
      </c>
      <c r="F8754" s="5" t="e">
        <f>(VLOOKUP(Table4[[#This Row],[item_sold]],Table1[],4,FALSE))*Table4[[#This Row],[qty]]</f>
        <v>#N/A</v>
      </c>
      <c r="G8754" t="e">
        <f t="shared" si="1554"/>
        <v>#N/A</v>
      </c>
    </row>
    <row r="8755" spans="1:7" x14ac:dyDescent="0.25">
      <c r="A8755" s="1">
        <f t="shared" si="1553"/>
        <v>45488</v>
      </c>
      <c r="B8755" s="36"/>
      <c r="E8755" s="5" t="e">
        <f>Table4[[#This Row],[qty]]*(VLOOKUP(Table4[[#This Row],[item_sold]],Table1[],5,FALSE))</f>
        <v>#N/A</v>
      </c>
      <c r="F8755" s="5" t="e">
        <f>(VLOOKUP(Table4[[#This Row],[item_sold]],Table1[],4,FALSE))*Table4[[#This Row],[qty]]</f>
        <v>#N/A</v>
      </c>
      <c r="G8755" t="e">
        <f t="shared" si="1554"/>
        <v>#N/A</v>
      </c>
    </row>
    <row r="8756" spans="1:7" x14ac:dyDescent="0.25">
      <c r="A8756" s="1">
        <f t="shared" si="1553"/>
        <v>45488</v>
      </c>
      <c r="B8756" s="36"/>
      <c r="E8756" s="5" t="e">
        <f>Table4[[#This Row],[qty]]*(VLOOKUP(Table4[[#This Row],[item_sold]],Table1[],5,FALSE))</f>
        <v>#N/A</v>
      </c>
      <c r="F8756" s="5" t="e">
        <f>(VLOOKUP(Table4[[#This Row],[item_sold]],Table1[],4,FALSE))*Table4[[#This Row],[qty]]</f>
        <v>#N/A</v>
      </c>
      <c r="G8756" t="e">
        <f t="shared" si="1554"/>
        <v>#N/A</v>
      </c>
    </row>
    <row r="8757" spans="1:7" x14ac:dyDescent="0.25">
      <c r="A8757" s="1">
        <f t="shared" si="1553"/>
        <v>45488</v>
      </c>
      <c r="B8757" s="36"/>
      <c r="E8757" s="5" t="e">
        <f>Table4[[#This Row],[qty]]*(VLOOKUP(Table4[[#This Row],[item_sold]],Table1[],5,FALSE))</f>
        <v>#N/A</v>
      </c>
      <c r="F8757" s="5" t="e">
        <f>(VLOOKUP(Table4[[#This Row],[item_sold]],Table1[],4,FALSE))*Table4[[#This Row],[qty]]</f>
        <v>#N/A</v>
      </c>
      <c r="G8757" t="e">
        <f t="shared" si="1554"/>
        <v>#N/A</v>
      </c>
    </row>
    <row r="8758" spans="1:7" x14ac:dyDescent="0.25">
      <c r="A8758" s="1">
        <f t="shared" si="1553"/>
        <v>45488</v>
      </c>
      <c r="B8758" s="36"/>
      <c r="E8758" s="5" t="e">
        <f>Table4[[#This Row],[qty]]*(VLOOKUP(Table4[[#This Row],[item_sold]],Table1[],5,FALSE))</f>
        <v>#N/A</v>
      </c>
      <c r="F8758" s="5" t="e">
        <f>(VLOOKUP(Table4[[#This Row],[item_sold]],Table1[],4,FALSE))*Table4[[#This Row],[qty]]</f>
        <v>#N/A</v>
      </c>
      <c r="G8758" t="e">
        <f t="shared" si="1554"/>
        <v>#N/A</v>
      </c>
    </row>
    <row r="8759" spans="1:7" x14ac:dyDescent="0.25">
      <c r="A8759" s="1">
        <f t="shared" si="1553"/>
        <v>45488</v>
      </c>
      <c r="B8759" s="36"/>
      <c r="E8759" s="5" t="e">
        <f>Table4[[#This Row],[qty]]*(VLOOKUP(Table4[[#This Row],[item_sold]],Table1[],5,FALSE))</f>
        <v>#N/A</v>
      </c>
      <c r="F8759" s="5" t="e">
        <f>(VLOOKUP(Table4[[#This Row],[item_sold]],Table1[],4,FALSE))*Table4[[#This Row],[qty]]</f>
        <v>#N/A</v>
      </c>
      <c r="G8759" t="e">
        <f t="shared" si="1554"/>
        <v>#N/A</v>
      </c>
    </row>
    <row r="8760" spans="1:7" x14ac:dyDescent="0.25">
      <c r="A8760" s="1">
        <f t="shared" si="1553"/>
        <v>45488</v>
      </c>
      <c r="B8760" s="36"/>
      <c r="E8760" s="5" t="e">
        <f>Table4[[#This Row],[qty]]*(VLOOKUP(Table4[[#This Row],[item_sold]],Table1[],5,FALSE))</f>
        <v>#N/A</v>
      </c>
      <c r="F8760" s="5" t="e">
        <f>(VLOOKUP(Table4[[#This Row],[item_sold]],Table1[],4,FALSE))*Table4[[#This Row],[qty]]</f>
        <v>#N/A</v>
      </c>
      <c r="G8760" t="e">
        <f t="shared" si="1554"/>
        <v>#N/A</v>
      </c>
    </row>
    <row r="8761" spans="1:7" x14ac:dyDescent="0.25">
      <c r="A8761" s="1">
        <f t="shared" si="1553"/>
        <v>45488</v>
      </c>
      <c r="B8761" s="36"/>
      <c r="E8761" s="5" t="e">
        <f>Table4[[#This Row],[qty]]*(VLOOKUP(Table4[[#This Row],[item_sold]],Table1[],5,FALSE))</f>
        <v>#N/A</v>
      </c>
      <c r="F8761" s="5" t="e">
        <f>(VLOOKUP(Table4[[#This Row],[item_sold]],Table1[],4,FALSE))*Table4[[#This Row],[qty]]</f>
        <v>#N/A</v>
      </c>
      <c r="G8761" t="e">
        <f t="shared" si="1554"/>
        <v>#N/A</v>
      </c>
    </row>
    <row r="8762" spans="1:7" x14ac:dyDescent="0.25">
      <c r="A8762" s="1">
        <f t="shared" si="1553"/>
        <v>45488</v>
      </c>
      <c r="B8762" s="36"/>
      <c r="E8762" s="5" t="e">
        <f>Table4[[#This Row],[qty]]*(VLOOKUP(Table4[[#This Row],[item_sold]],Table1[],5,FALSE))</f>
        <v>#N/A</v>
      </c>
      <c r="F8762" s="5" t="e">
        <f>(VLOOKUP(Table4[[#This Row],[item_sold]],Table1[],4,FALSE))*Table4[[#This Row],[qty]]</f>
        <v>#N/A</v>
      </c>
      <c r="G8762" t="e">
        <f t="shared" si="1554"/>
        <v>#N/A</v>
      </c>
    </row>
    <row r="8763" spans="1:7" x14ac:dyDescent="0.25">
      <c r="A8763" s="1">
        <f t="shared" si="1553"/>
        <v>45488</v>
      </c>
      <c r="B8763" s="36"/>
      <c r="E8763" s="5" t="e">
        <f>Table4[[#This Row],[qty]]*(VLOOKUP(Table4[[#This Row],[item_sold]],Table1[],5,FALSE))</f>
        <v>#N/A</v>
      </c>
      <c r="F8763" s="5" t="e">
        <f>(VLOOKUP(Table4[[#This Row],[item_sold]],Table1[],4,FALSE))*Table4[[#This Row],[qty]]</f>
        <v>#N/A</v>
      </c>
      <c r="G8763" t="e">
        <f t="shared" si="1554"/>
        <v>#N/A</v>
      </c>
    </row>
    <row r="8764" spans="1:7" x14ac:dyDescent="0.25">
      <c r="A8764" s="1">
        <f t="shared" si="1553"/>
        <v>45488</v>
      </c>
      <c r="B8764" s="36"/>
      <c r="E8764" s="5" t="e">
        <f>Table4[[#This Row],[qty]]*(VLOOKUP(Table4[[#This Row],[item_sold]],Table1[],5,FALSE))</f>
        <v>#N/A</v>
      </c>
      <c r="F8764" s="5" t="e">
        <f>(VLOOKUP(Table4[[#This Row],[item_sold]],Table1[],4,FALSE))*Table4[[#This Row],[qty]]</f>
        <v>#N/A</v>
      </c>
      <c r="G8764" t="e">
        <f t="shared" si="1554"/>
        <v>#N/A</v>
      </c>
    </row>
    <row r="8765" spans="1:7" x14ac:dyDescent="0.25">
      <c r="A8765" s="1">
        <f t="shared" si="1553"/>
        <v>45488</v>
      </c>
      <c r="B8765" s="36"/>
      <c r="E8765" s="5" t="e">
        <f>Table4[[#This Row],[qty]]*(VLOOKUP(Table4[[#This Row],[item_sold]],Table1[],5,FALSE))</f>
        <v>#N/A</v>
      </c>
      <c r="F8765" s="5" t="e">
        <f>(VLOOKUP(Table4[[#This Row],[item_sold]],Table1[],4,FALSE))*Table4[[#This Row],[qty]]</f>
        <v>#N/A</v>
      </c>
      <c r="G8765" t="e">
        <f t="shared" si="1554"/>
        <v>#N/A</v>
      </c>
    </row>
    <row r="8766" spans="1:7" x14ac:dyDescent="0.25">
      <c r="A8766" s="1">
        <f t="shared" si="1553"/>
        <v>45488</v>
      </c>
      <c r="B8766" s="36"/>
      <c r="E8766" s="5" t="e">
        <f>Table4[[#This Row],[qty]]*(VLOOKUP(Table4[[#This Row],[item_sold]],Table1[],5,FALSE))</f>
        <v>#N/A</v>
      </c>
      <c r="F8766" s="5" t="e">
        <f>(VLOOKUP(Table4[[#This Row],[item_sold]],Table1[],4,FALSE))*Table4[[#This Row],[qty]]</f>
        <v>#N/A</v>
      </c>
      <c r="G8766" t="e">
        <f t="shared" si="1554"/>
        <v>#N/A</v>
      </c>
    </row>
    <row r="8767" spans="1:7" x14ac:dyDescent="0.25">
      <c r="A8767" s="1">
        <f t="shared" si="1553"/>
        <v>45488</v>
      </c>
      <c r="B8767" s="36"/>
      <c r="E8767" s="5" t="e">
        <f>Table4[[#This Row],[qty]]*(VLOOKUP(Table4[[#This Row],[item_sold]],Table1[],5,FALSE))</f>
        <v>#N/A</v>
      </c>
      <c r="F8767" s="5" t="e">
        <f>(VLOOKUP(Table4[[#This Row],[item_sold]],Table1[],4,FALSE))*Table4[[#This Row],[qty]]</f>
        <v>#N/A</v>
      </c>
      <c r="G8767" t="e">
        <f t="shared" si="1554"/>
        <v>#N/A</v>
      </c>
    </row>
    <row r="8768" spans="1:7" x14ac:dyDescent="0.25">
      <c r="A8768" s="1">
        <f t="shared" si="1553"/>
        <v>45488</v>
      </c>
      <c r="B8768" s="36"/>
      <c r="E8768" s="5" t="e">
        <f>Table4[[#This Row],[qty]]*(VLOOKUP(Table4[[#This Row],[item_sold]],Table1[],5,FALSE))</f>
        <v>#N/A</v>
      </c>
      <c r="F8768" s="5" t="e">
        <f>(VLOOKUP(Table4[[#This Row],[item_sold]],Table1[],4,FALSE))*Table4[[#This Row],[qty]]</f>
        <v>#N/A</v>
      </c>
      <c r="G8768" t="e">
        <f t="shared" si="1554"/>
        <v>#N/A</v>
      </c>
    </row>
    <row r="8769" spans="1:7" x14ac:dyDescent="0.25">
      <c r="A8769" s="1">
        <f t="shared" si="1553"/>
        <v>45488</v>
      </c>
      <c r="B8769" s="36"/>
      <c r="E8769" s="5" t="e">
        <f>Table4[[#This Row],[qty]]*(VLOOKUP(Table4[[#This Row],[item_sold]],Table1[],5,FALSE))</f>
        <v>#N/A</v>
      </c>
      <c r="F8769" s="5" t="e">
        <f>(VLOOKUP(Table4[[#This Row],[item_sold]],Table1[],4,FALSE))*Table4[[#This Row],[qty]]</f>
        <v>#N/A</v>
      </c>
      <c r="G8769" t="e">
        <f t="shared" si="1554"/>
        <v>#N/A</v>
      </c>
    </row>
    <row r="8770" spans="1:7" x14ac:dyDescent="0.25">
      <c r="A8770" s="1">
        <f t="shared" si="1553"/>
        <v>45488</v>
      </c>
      <c r="B8770" s="36"/>
      <c r="E8770" s="5" t="e">
        <f>Table4[[#This Row],[qty]]*(VLOOKUP(Table4[[#This Row],[item_sold]],Table1[],5,FALSE))</f>
        <v>#N/A</v>
      </c>
      <c r="F8770" s="5" t="e">
        <f>(VLOOKUP(Table4[[#This Row],[item_sold]],Table1[],4,FALSE))*Table4[[#This Row],[qty]]</f>
        <v>#N/A</v>
      </c>
      <c r="G8770" t="e">
        <f t="shared" si="1554"/>
        <v>#N/A</v>
      </c>
    </row>
    <row r="8771" spans="1:7" x14ac:dyDescent="0.25">
      <c r="A8771" s="1">
        <f t="shared" si="1553"/>
        <v>45488</v>
      </c>
      <c r="B8771" s="36"/>
      <c r="E8771" s="5" t="e">
        <f>Table4[[#This Row],[qty]]*(VLOOKUP(Table4[[#This Row],[item_sold]],Table1[],5,FALSE))</f>
        <v>#N/A</v>
      </c>
      <c r="F8771" s="5" t="e">
        <f>(VLOOKUP(Table4[[#This Row],[item_sold]],Table1[],4,FALSE))*Table4[[#This Row],[qty]]</f>
        <v>#N/A</v>
      </c>
      <c r="G8771" t="e">
        <f t="shared" si="1554"/>
        <v>#N/A</v>
      </c>
    </row>
    <row r="8772" spans="1:7" x14ac:dyDescent="0.25">
      <c r="A8772" s="1">
        <f t="shared" si="1553"/>
        <v>45488</v>
      </c>
      <c r="B8772" s="36"/>
      <c r="E8772" s="5" t="e">
        <f>Table4[[#This Row],[qty]]*(VLOOKUP(Table4[[#This Row],[item_sold]],Table1[],5,FALSE))</f>
        <v>#N/A</v>
      </c>
      <c r="F8772" s="5" t="e">
        <f>(VLOOKUP(Table4[[#This Row],[item_sold]],Table1[],4,FALSE))*Table4[[#This Row],[qty]]</f>
        <v>#N/A</v>
      </c>
      <c r="G8772" t="e">
        <f t="shared" si="1554"/>
        <v>#N/A</v>
      </c>
    </row>
    <row r="8773" spans="1:7" x14ac:dyDescent="0.25">
      <c r="A8773" s="1">
        <f t="shared" si="1553"/>
        <v>45488</v>
      </c>
      <c r="B8773" s="36"/>
      <c r="E8773" s="5" t="e">
        <f>Table4[[#This Row],[qty]]*(VLOOKUP(Table4[[#This Row],[item_sold]],Table1[],5,FALSE))</f>
        <v>#N/A</v>
      </c>
      <c r="F8773" s="5" t="e">
        <f>(VLOOKUP(Table4[[#This Row],[item_sold]],Table1[],4,FALSE))*Table4[[#This Row],[qty]]</f>
        <v>#N/A</v>
      </c>
      <c r="G8773" t="e">
        <f t="shared" si="1554"/>
        <v>#N/A</v>
      </c>
    </row>
    <row r="8774" spans="1:7" x14ac:dyDescent="0.25">
      <c r="A8774" s="1">
        <f t="shared" si="1553"/>
        <v>45488</v>
      </c>
      <c r="B8774" s="36"/>
      <c r="E8774" s="5" t="e">
        <f>Table4[[#This Row],[qty]]*(VLOOKUP(Table4[[#This Row],[item_sold]],Table1[],5,FALSE))</f>
        <v>#N/A</v>
      </c>
      <c r="F8774" s="5" t="e">
        <f>(VLOOKUP(Table4[[#This Row],[item_sold]],Table1[],4,FALSE))*Table4[[#This Row],[qty]]</f>
        <v>#N/A</v>
      </c>
      <c r="G8774" t="e">
        <f t="shared" si="1554"/>
        <v>#N/A</v>
      </c>
    </row>
    <row r="8775" spans="1:7" x14ac:dyDescent="0.25">
      <c r="A8775" s="1">
        <f t="shared" si="1553"/>
        <v>45488</v>
      </c>
      <c r="B8775" s="36"/>
      <c r="E8775" s="5" t="e">
        <f>Table4[[#This Row],[qty]]*(VLOOKUP(Table4[[#This Row],[item_sold]],Table1[],5,FALSE))</f>
        <v>#N/A</v>
      </c>
      <c r="F8775" s="5" t="e">
        <f>(VLOOKUP(Table4[[#This Row],[item_sold]],Table1[],4,FALSE))*Table4[[#This Row],[qty]]</f>
        <v>#N/A</v>
      </c>
      <c r="G8775" t="e">
        <f t="shared" si="1554"/>
        <v>#N/A</v>
      </c>
    </row>
    <row r="8776" spans="1:7" x14ac:dyDescent="0.25">
      <c r="A8776" s="1">
        <f t="shared" si="1553"/>
        <v>45488</v>
      </c>
      <c r="B8776" s="36"/>
      <c r="E8776" s="5" t="e">
        <f>Table4[[#This Row],[qty]]*(VLOOKUP(Table4[[#This Row],[item_sold]],Table1[],5,FALSE))</f>
        <v>#N/A</v>
      </c>
      <c r="F8776" s="5" t="e">
        <f>(VLOOKUP(Table4[[#This Row],[item_sold]],Table1[],4,FALSE))*Table4[[#This Row],[qty]]</f>
        <v>#N/A</v>
      </c>
      <c r="G8776" t="e">
        <f t="shared" si="1554"/>
        <v>#N/A</v>
      </c>
    </row>
    <row r="8777" spans="1:7" x14ac:dyDescent="0.25">
      <c r="A8777" s="1">
        <f t="shared" si="1553"/>
        <v>45488</v>
      </c>
      <c r="B8777" s="36"/>
      <c r="E8777" s="5" t="e">
        <f>Table4[[#This Row],[qty]]*(VLOOKUP(Table4[[#This Row],[item_sold]],Table1[],5,FALSE))</f>
        <v>#N/A</v>
      </c>
      <c r="F8777" s="5" t="e">
        <f>(VLOOKUP(Table4[[#This Row],[item_sold]],Table1[],4,FALSE))*Table4[[#This Row],[qty]]</f>
        <v>#N/A</v>
      </c>
      <c r="G8777" t="e">
        <f t="shared" si="1554"/>
        <v>#N/A</v>
      </c>
    </row>
    <row r="8778" spans="1:7" x14ac:dyDescent="0.25">
      <c r="A8778" s="1">
        <f t="shared" si="1553"/>
        <v>45488</v>
      </c>
      <c r="B8778" s="36"/>
      <c r="E8778" s="5" t="e">
        <f>Table4[[#This Row],[qty]]*(VLOOKUP(Table4[[#This Row],[item_sold]],Table1[],5,FALSE))</f>
        <v>#N/A</v>
      </c>
      <c r="F8778" s="5" t="e">
        <f>(VLOOKUP(Table4[[#This Row],[item_sold]],Table1[],4,FALSE))*Table4[[#This Row],[qty]]</f>
        <v>#N/A</v>
      </c>
      <c r="G8778" t="e">
        <f t="shared" si="1554"/>
        <v>#N/A</v>
      </c>
    </row>
    <row r="8779" spans="1:7" x14ac:dyDescent="0.25">
      <c r="A8779" s="1">
        <f t="shared" si="1553"/>
        <v>45488</v>
      </c>
      <c r="B8779" s="36"/>
      <c r="E8779" s="5" t="e">
        <f>Table4[[#This Row],[qty]]*(VLOOKUP(Table4[[#This Row],[item_sold]],Table1[],5,FALSE))</f>
        <v>#N/A</v>
      </c>
      <c r="F8779" s="5" t="e">
        <f>(VLOOKUP(Table4[[#This Row],[item_sold]],Table1[],4,FALSE))*Table4[[#This Row],[qty]]</f>
        <v>#N/A</v>
      </c>
      <c r="G8779" t="e">
        <f t="shared" si="1554"/>
        <v>#N/A</v>
      </c>
    </row>
    <row r="8780" spans="1:7" x14ac:dyDescent="0.25">
      <c r="A8780" s="1">
        <f t="shared" si="1553"/>
        <v>45488</v>
      </c>
      <c r="B8780" s="36"/>
      <c r="E8780" s="5" t="e">
        <f>Table4[[#This Row],[qty]]*(VLOOKUP(Table4[[#This Row],[item_sold]],Table1[],5,FALSE))</f>
        <v>#N/A</v>
      </c>
      <c r="F8780" s="5" t="e">
        <f>(VLOOKUP(Table4[[#This Row],[item_sold]],Table1[],4,FALSE))*Table4[[#This Row],[qty]]</f>
        <v>#N/A</v>
      </c>
      <c r="G8780" t="e">
        <f t="shared" si="1554"/>
        <v>#N/A</v>
      </c>
    </row>
    <row r="8781" spans="1:7" x14ac:dyDescent="0.25">
      <c r="A8781" s="1">
        <f t="shared" si="1553"/>
        <v>45488</v>
      </c>
      <c r="B8781" s="36"/>
      <c r="E8781" s="5" t="e">
        <f>Table4[[#This Row],[qty]]*(VLOOKUP(Table4[[#This Row],[item_sold]],Table1[],5,FALSE))</f>
        <v>#N/A</v>
      </c>
      <c r="F8781" s="5" t="e">
        <f>(VLOOKUP(Table4[[#This Row],[item_sold]],Table1[],4,FALSE))*Table4[[#This Row],[qty]]</f>
        <v>#N/A</v>
      </c>
      <c r="G8781" t="e">
        <f t="shared" si="1554"/>
        <v>#N/A</v>
      </c>
    </row>
    <row r="8782" spans="1:7" x14ac:dyDescent="0.25">
      <c r="A8782" s="1">
        <f t="shared" si="1553"/>
        <v>45488</v>
      </c>
      <c r="B8782" s="36"/>
      <c r="E8782" s="5" t="e">
        <f>Table4[[#This Row],[qty]]*(VLOOKUP(Table4[[#This Row],[item_sold]],Table1[],5,FALSE))</f>
        <v>#N/A</v>
      </c>
      <c r="F8782" s="5" t="e">
        <f>(VLOOKUP(Table4[[#This Row],[item_sold]],Table1[],4,FALSE))*Table4[[#This Row],[qty]]</f>
        <v>#N/A</v>
      </c>
      <c r="G8782" t="e">
        <f t="shared" si="1554"/>
        <v>#N/A</v>
      </c>
    </row>
    <row r="8783" spans="1:7" x14ac:dyDescent="0.25">
      <c r="A8783" s="1">
        <f t="shared" si="1553"/>
        <v>45488</v>
      </c>
      <c r="B8783" s="36"/>
      <c r="E8783" s="5" t="e">
        <f>Table4[[#This Row],[qty]]*(VLOOKUP(Table4[[#This Row],[item_sold]],Table1[],5,FALSE))</f>
        <v>#N/A</v>
      </c>
      <c r="F8783" s="5" t="e">
        <f>(VLOOKUP(Table4[[#This Row],[item_sold]],Table1[],4,FALSE))*Table4[[#This Row],[qty]]</f>
        <v>#N/A</v>
      </c>
      <c r="G8783" t="e">
        <f t="shared" si="1554"/>
        <v>#N/A</v>
      </c>
    </row>
    <row r="8784" spans="1:7" x14ac:dyDescent="0.25">
      <c r="A8784" s="1">
        <f t="shared" si="1553"/>
        <v>45488</v>
      </c>
      <c r="B8784" s="36"/>
      <c r="E8784" s="5" t="e">
        <f>Table4[[#This Row],[qty]]*(VLOOKUP(Table4[[#This Row],[item_sold]],Table1[],5,FALSE))</f>
        <v>#N/A</v>
      </c>
      <c r="F8784" s="5" t="e">
        <f>(VLOOKUP(Table4[[#This Row],[item_sold]],Table1[],4,FALSE))*Table4[[#This Row],[qty]]</f>
        <v>#N/A</v>
      </c>
      <c r="G8784" t="e">
        <f t="shared" si="1554"/>
        <v>#N/A</v>
      </c>
    </row>
    <row r="8785" spans="1:7" x14ac:dyDescent="0.25">
      <c r="A8785" s="1">
        <f t="shared" si="1553"/>
        <v>45488</v>
      </c>
      <c r="B8785" s="36"/>
      <c r="E8785" s="5" t="e">
        <f>Table4[[#This Row],[qty]]*(VLOOKUP(Table4[[#This Row],[item_sold]],Table1[],5,FALSE))</f>
        <v>#N/A</v>
      </c>
      <c r="F8785" s="5" t="e">
        <f>(VLOOKUP(Table4[[#This Row],[item_sold]],Table1[],4,FALSE))*Table4[[#This Row],[qty]]</f>
        <v>#N/A</v>
      </c>
      <c r="G8785" t="e">
        <f t="shared" si="1554"/>
        <v>#N/A</v>
      </c>
    </row>
    <row r="8786" spans="1:7" x14ac:dyDescent="0.25">
      <c r="A8786" s="1">
        <f t="shared" si="1553"/>
        <v>45488</v>
      </c>
      <c r="B8786" s="36"/>
      <c r="E8786" s="5" t="e">
        <f>Table4[[#This Row],[qty]]*(VLOOKUP(Table4[[#This Row],[item_sold]],Table1[],5,FALSE))</f>
        <v>#N/A</v>
      </c>
      <c r="F8786" s="5" t="e">
        <f>(VLOOKUP(Table4[[#This Row],[item_sold]],Table1[],4,FALSE))*Table4[[#This Row],[qty]]</f>
        <v>#N/A</v>
      </c>
      <c r="G8786" t="e">
        <f t="shared" si="1554"/>
        <v>#N/A</v>
      </c>
    </row>
    <row r="8787" spans="1:7" x14ac:dyDescent="0.25">
      <c r="A8787" s="1">
        <f t="shared" si="1553"/>
        <v>45488</v>
      </c>
      <c r="B8787" s="36"/>
      <c r="E8787" s="5" t="e">
        <f>Table4[[#This Row],[qty]]*(VLOOKUP(Table4[[#This Row],[item_sold]],Table1[],5,FALSE))</f>
        <v>#N/A</v>
      </c>
      <c r="F8787" s="5" t="e">
        <f>(VLOOKUP(Table4[[#This Row],[item_sold]],Table1[],4,FALSE))*Table4[[#This Row],[qty]]</f>
        <v>#N/A</v>
      </c>
      <c r="G8787" t="e">
        <f t="shared" si="1554"/>
        <v>#N/A</v>
      </c>
    </row>
    <row r="8788" spans="1:7" x14ac:dyDescent="0.25">
      <c r="A8788" s="1">
        <f t="shared" ref="A8788:A8851" si="1555">DATE(2024,7,15)</f>
        <v>45488</v>
      </c>
      <c r="B8788" s="36"/>
      <c r="E8788" s="5" t="e">
        <f>Table4[[#This Row],[qty]]*(VLOOKUP(Table4[[#This Row],[item_sold]],Table1[],5,FALSE))</f>
        <v>#N/A</v>
      </c>
      <c r="F8788" s="5" t="e">
        <f>(VLOOKUP(Table4[[#This Row],[item_sold]],Table1[],4,FALSE))*Table4[[#This Row],[qty]]</f>
        <v>#N/A</v>
      </c>
      <c r="G8788" t="e">
        <f t="shared" ref="G8788:G8851" si="1556">E8788-F8788</f>
        <v>#N/A</v>
      </c>
    </row>
    <row r="8789" spans="1:7" x14ac:dyDescent="0.25">
      <c r="A8789" s="1">
        <f t="shared" si="1555"/>
        <v>45488</v>
      </c>
      <c r="B8789" s="36"/>
      <c r="E8789" s="5" t="e">
        <f>Table4[[#This Row],[qty]]*(VLOOKUP(Table4[[#This Row],[item_sold]],Table1[],5,FALSE))</f>
        <v>#N/A</v>
      </c>
      <c r="F8789" s="5" t="e">
        <f>(VLOOKUP(Table4[[#This Row],[item_sold]],Table1[],4,FALSE))*Table4[[#This Row],[qty]]</f>
        <v>#N/A</v>
      </c>
      <c r="G8789" t="e">
        <f t="shared" si="1556"/>
        <v>#N/A</v>
      </c>
    </row>
    <row r="8790" spans="1:7" x14ac:dyDescent="0.25">
      <c r="A8790" s="1">
        <f t="shared" si="1555"/>
        <v>45488</v>
      </c>
      <c r="B8790" s="36"/>
      <c r="E8790" s="5" t="e">
        <f>Table4[[#This Row],[qty]]*(VLOOKUP(Table4[[#This Row],[item_sold]],Table1[],5,FALSE))</f>
        <v>#N/A</v>
      </c>
      <c r="F8790" s="5" t="e">
        <f>(VLOOKUP(Table4[[#This Row],[item_sold]],Table1[],4,FALSE))*Table4[[#This Row],[qty]]</f>
        <v>#N/A</v>
      </c>
      <c r="G8790" t="e">
        <f t="shared" si="1556"/>
        <v>#N/A</v>
      </c>
    </row>
    <row r="8791" spans="1:7" x14ac:dyDescent="0.25">
      <c r="A8791" s="1">
        <f t="shared" si="1555"/>
        <v>45488</v>
      </c>
      <c r="B8791" s="36"/>
      <c r="E8791" s="5" t="e">
        <f>Table4[[#This Row],[qty]]*(VLOOKUP(Table4[[#This Row],[item_sold]],Table1[],5,FALSE))</f>
        <v>#N/A</v>
      </c>
      <c r="F8791" s="5" t="e">
        <f>(VLOOKUP(Table4[[#This Row],[item_sold]],Table1[],4,FALSE))*Table4[[#This Row],[qty]]</f>
        <v>#N/A</v>
      </c>
      <c r="G8791" t="e">
        <f t="shared" si="1556"/>
        <v>#N/A</v>
      </c>
    </row>
    <row r="8792" spans="1:7" x14ac:dyDescent="0.25">
      <c r="A8792" s="1">
        <f t="shared" si="1555"/>
        <v>45488</v>
      </c>
      <c r="B8792" s="36"/>
      <c r="E8792" s="5" t="e">
        <f>Table4[[#This Row],[qty]]*(VLOOKUP(Table4[[#This Row],[item_sold]],Table1[],5,FALSE))</f>
        <v>#N/A</v>
      </c>
      <c r="F8792" s="5" t="e">
        <f>(VLOOKUP(Table4[[#This Row],[item_sold]],Table1[],4,FALSE))*Table4[[#This Row],[qty]]</f>
        <v>#N/A</v>
      </c>
      <c r="G8792" t="e">
        <f t="shared" si="1556"/>
        <v>#N/A</v>
      </c>
    </row>
    <row r="8793" spans="1:7" x14ac:dyDescent="0.25">
      <c r="A8793" s="1">
        <f t="shared" si="1555"/>
        <v>45488</v>
      </c>
      <c r="B8793" s="36"/>
      <c r="E8793" s="5" t="e">
        <f>Table4[[#This Row],[qty]]*(VLOOKUP(Table4[[#This Row],[item_sold]],Table1[],5,FALSE))</f>
        <v>#N/A</v>
      </c>
      <c r="F8793" s="5" t="e">
        <f>(VLOOKUP(Table4[[#This Row],[item_sold]],Table1[],4,FALSE))*Table4[[#This Row],[qty]]</f>
        <v>#N/A</v>
      </c>
      <c r="G8793" t="e">
        <f t="shared" si="1556"/>
        <v>#N/A</v>
      </c>
    </row>
    <row r="8794" spans="1:7" x14ac:dyDescent="0.25">
      <c r="A8794" s="1">
        <f t="shared" si="1555"/>
        <v>45488</v>
      </c>
      <c r="B8794" s="36"/>
      <c r="E8794" s="5" t="e">
        <f>Table4[[#This Row],[qty]]*(VLOOKUP(Table4[[#This Row],[item_sold]],Table1[],5,FALSE))</f>
        <v>#N/A</v>
      </c>
      <c r="F8794" s="5" t="e">
        <f>(VLOOKUP(Table4[[#This Row],[item_sold]],Table1[],4,FALSE))*Table4[[#This Row],[qty]]</f>
        <v>#N/A</v>
      </c>
      <c r="G8794" t="e">
        <f t="shared" si="1556"/>
        <v>#N/A</v>
      </c>
    </row>
    <row r="8795" spans="1:7" x14ac:dyDescent="0.25">
      <c r="A8795" s="1">
        <f t="shared" si="1555"/>
        <v>45488</v>
      </c>
      <c r="B8795" s="36"/>
      <c r="E8795" s="5" t="e">
        <f>Table4[[#This Row],[qty]]*(VLOOKUP(Table4[[#This Row],[item_sold]],Table1[],5,FALSE))</f>
        <v>#N/A</v>
      </c>
      <c r="F8795" s="5" t="e">
        <f>(VLOOKUP(Table4[[#This Row],[item_sold]],Table1[],4,FALSE))*Table4[[#This Row],[qty]]</f>
        <v>#N/A</v>
      </c>
      <c r="G8795" t="e">
        <f t="shared" si="1556"/>
        <v>#N/A</v>
      </c>
    </row>
    <row r="8796" spans="1:7" x14ac:dyDescent="0.25">
      <c r="A8796" s="1">
        <f t="shared" si="1555"/>
        <v>45488</v>
      </c>
      <c r="B8796" s="36"/>
      <c r="E8796" s="5" t="e">
        <f>Table4[[#This Row],[qty]]*(VLOOKUP(Table4[[#This Row],[item_sold]],Table1[],5,FALSE))</f>
        <v>#N/A</v>
      </c>
      <c r="F8796" s="5" t="e">
        <f>(VLOOKUP(Table4[[#This Row],[item_sold]],Table1[],4,FALSE))*Table4[[#This Row],[qty]]</f>
        <v>#N/A</v>
      </c>
      <c r="G8796" t="e">
        <f t="shared" si="1556"/>
        <v>#N/A</v>
      </c>
    </row>
    <row r="8797" spans="1:7" x14ac:dyDescent="0.25">
      <c r="A8797" s="1">
        <f t="shared" si="1555"/>
        <v>45488</v>
      </c>
      <c r="B8797" s="36"/>
      <c r="E8797" s="5" t="e">
        <f>Table4[[#This Row],[qty]]*(VLOOKUP(Table4[[#This Row],[item_sold]],Table1[],5,FALSE))</f>
        <v>#N/A</v>
      </c>
      <c r="F8797" s="5" t="e">
        <f>(VLOOKUP(Table4[[#This Row],[item_sold]],Table1[],4,FALSE))*Table4[[#This Row],[qty]]</f>
        <v>#N/A</v>
      </c>
      <c r="G8797" t="e">
        <f t="shared" si="1556"/>
        <v>#N/A</v>
      </c>
    </row>
    <row r="8798" spans="1:7" x14ac:dyDescent="0.25">
      <c r="A8798" s="1">
        <f t="shared" si="1555"/>
        <v>45488</v>
      </c>
      <c r="B8798" s="36"/>
      <c r="E8798" s="5" t="e">
        <f>Table4[[#This Row],[qty]]*(VLOOKUP(Table4[[#This Row],[item_sold]],Table1[],5,FALSE))</f>
        <v>#N/A</v>
      </c>
      <c r="F8798" s="5" t="e">
        <f>(VLOOKUP(Table4[[#This Row],[item_sold]],Table1[],4,FALSE))*Table4[[#This Row],[qty]]</f>
        <v>#N/A</v>
      </c>
      <c r="G8798" t="e">
        <f t="shared" si="1556"/>
        <v>#N/A</v>
      </c>
    </row>
    <row r="8799" spans="1:7" x14ac:dyDescent="0.25">
      <c r="A8799" s="1">
        <f t="shared" si="1555"/>
        <v>45488</v>
      </c>
      <c r="B8799" s="36"/>
      <c r="E8799" s="5" t="e">
        <f>Table4[[#This Row],[qty]]*(VLOOKUP(Table4[[#This Row],[item_sold]],Table1[],5,FALSE))</f>
        <v>#N/A</v>
      </c>
      <c r="F8799" s="5" t="e">
        <f>(VLOOKUP(Table4[[#This Row],[item_sold]],Table1[],4,FALSE))*Table4[[#This Row],[qty]]</f>
        <v>#N/A</v>
      </c>
      <c r="G8799" t="e">
        <f t="shared" si="1556"/>
        <v>#N/A</v>
      </c>
    </row>
    <row r="8800" spans="1:7" x14ac:dyDescent="0.25">
      <c r="A8800" s="1">
        <f t="shared" si="1555"/>
        <v>45488</v>
      </c>
      <c r="B8800" s="36"/>
      <c r="E8800" s="5" t="e">
        <f>Table4[[#This Row],[qty]]*(VLOOKUP(Table4[[#This Row],[item_sold]],Table1[],5,FALSE))</f>
        <v>#N/A</v>
      </c>
      <c r="F8800" s="5" t="e">
        <f>(VLOOKUP(Table4[[#This Row],[item_sold]],Table1[],4,FALSE))*Table4[[#This Row],[qty]]</f>
        <v>#N/A</v>
      </c>
      <c r="G8800" t="e">
        <f t="shared" si="1556"/>
        <v>#N/A</v>
      </c>
    </row>
    <row r="8801" spans="1:7" x14ac:dyDescent="0.25">
      <c r="A8801" s="1">
        <f t="shared" si="1555"/>
        <v>45488</v>
      </c>
      <c r="B8801" s="36"/>
      <c r="E8801" s="5" t="e">
        <f>Table4[[#This Row],[qty]]*(VLOOKUP(Table4[[#This Row],[item_sold]],Table1[],5,FALSE))</f>
        <v>#N/A</v>
      </c>
      <c r="F8801" s="5" t="e">
        <f>(VLOOKUP(Table4[[#This Row],[item_sold]],Table1[],4,FALSE))*Table4[[#This Row],[qty]]</f>
        <v>#N/A</v>
      </c>
      <c r="G8801" t="e">
        <f t="shared" si="1556"/>
        <v>#N/A</v>
      </c>
    </row>
    <row r="8802" spans="1:7" x14ac:dyDescent="0.25">
      <c r="A8802" s="1">
        <f t="shared" si="1555"/>
        <v>45488</v>
      </c>
      <c r="B8802" s="36"/>
      <c r="E8802" s="5" t="e">
        <f>Table4[[#This Row],[qty]]*(VLOOKUP(Table4[[#This Row],[item_sold]],Table1[],5,FALSE))</f>
        <v>#N/A</v>
      </c>
      <c r="F8802" s="5" t="e">
        <f>(VLOOKUP(Table4[[#This Row],[item_sold]],Table1[],4,FALSE))*Table4[[#This Row],[qty]]</f>
        <v>#N/A</v>
      </c>
      <c r="G8802" t="e">
        <f t="shared" si="1556"/>
        <v>#N/A</v>
      </c>
    </row>
    <row r="8803" spans="1:7" x14ac:dyDescent="0.25">
      <c r="A8803" s="1">
        <f t="shared" si="1555"/>
        <v>45488</v>
      </c>
      <c r="B8803" s="36"/>
      <c r="E8803" s="5" t="e">
        <f>Table4[[#This Row],[qty]]*(VLOOKUP(Table4[[#This Row],[item_sold]],Table1[],5,FALSE))</f>
        <v>#N/A</v>
      </c>
      <c r="F8803" s="5" t="e">
        <f>(VLOOKUP(Table4[[#This Row],[item_sold]],Table1[],4,FALSE))*Table4[[#This Row],[qty]]</f>
        <v>#N/A</v>
      </c>
      <c r="G8803" t="e">
        <f t="shared" si="1556"/>
        <v>#N/A</v>
      </c>
    </row>
    <row r="8804" spans="1:7" x14ac:dyDescent="0.25">
      <c r="A8804" s="1">
        <f t="shared" si="1555"/>
        <v>45488</v>
      </c>
      <c r="B8804" s="36"/>
      <c r="E8804" s="5" t="e">
        <f>Table4[[#This Row],[qty]]*(VLOOKUP(Table4[[#This Row],[item_sold]],Table1[],5,FALSE))</f>
        <v>#N/A</v>
      </c>
      <c r="F8804" s="5" t="e">
        <f>(VLOOKUP(Table4[[#This Row],[item_sold]],Table1[],4,FALSE))*Table4[[#This Row],[qty]]</f>
        <v>#N/A</v>
      </c>
      <c r="G8804" t="e">
        <f t="shared" si="1556"/>
        <v>#N/A</v>
      </c>
    </row>
    <row r="8805" spans="1:7" x14ac:dyDescent="0.25">
      <c r="A8805" s="1">
        <f t="shared" si="1555"/>
        <v>45488</v>
      </c>
      <c r="B8805" s="36"/>
      <c r="E8805" s="5" t="e">
        <f>Table4[[#This Row],[qty]]*(VLOOKUP(Table4[[#This Row],[item_sold]],Table1[],5,FALSE))</f>
        <v>#N/A</v>
      </c>
      <c r="F8805" s="5" t="e">
        <f>(VLOOKUP(Table4[[#This Row],[item_sold]],Table1[],4,FALSE))*Table4[[#This Row],[qty]]</f>
        <v>#N/A</v>
      </c>
      <c r="G8805" t="e">
        <f t="shared" si="1556"/>
        <v>#N/A</v>
      </c>
    </row>
    <row r="8806" spans="1:7" x14ac:dyDescent="0.25">
      <c r="A8806" s="1">
        <f t="shared" si="1555"/>
        <v>45488</v>
      </c>
      <c r="B8806" s="36"/>
      <c r="E8806" s="5" t="e">
        <f>Table4[[#This Row],[qty]]*(VLOOKUP(Table4[[#This Row],[item_sold]],Table1[],5,FALSE))</f>
        <v>#N/A</v>
      </c>
      <c r="F8806" s="5" t="e">
        <f>(VLOOKUP(Table4[[#This Row],[item_sold]],Table1[],4,FALSE))*Table4[[#This Row],[qty]]</f>
        <v>#N/A</v>
      </c>
      <c r="G8806" t="e">
        <f t="shared" si="1556"/>
        <v>#N/A</v>
      </c>
    </row>
    <row r="8807" spans="1:7" x14ac:dyDescent="0.25">
      <c r="A8807" s="1">
        <f t="shared" si="1555"/>
        <v>45488</v>
      </c>
      <c r="B8807" s="36"/>
      <c r="E8807" s="5" t="e">
        <f>Table4[[#This Row],[qty]]*(VLOOKUP(Table4[[#This Row],[item_sold]],Table1[],5,FALSE))</f>
        <v>#N/A</v>
      </c>
      <c r="F8807" s="5" t="e">
        <f>(VLOOKUP(Table4[[#This Row],[item_sold]],Table1[],4,FALSE))*Table4[[#This Row],[qty]]</f>
        <v>#N/A</v>
      </c>
      <c r="G8807" t="e">
        <f t="shared" si="1556"/>
        <v>#N/A</v>
      </c>
    </row>
    <row r="8808" spans="1:7" x14ac:dyDescent="0.25">
      <c r="A8808" s="1">
        <f t="shared" si="1555"/>
        <v>45488</v>
      </c>
      <c r="B8808" s="36"/>
      <c r="E8808" s="5" t="e">
        <f>Table4[[#This Row],[qty]]*(VLOOKUP(Table4[[#This Row],[item_sold]],Table1[],5,FALSE))</f>
        <v>#N/A</v>
      </c>
      <c r="F8808" s="5" t="e">
        <f>(VLOOKUP(Table4[[#This Row],[item_sold]],Table1[],4,FALSE))*Table4[[#This Row],[qty]]</f>
        <v>#N/A</v>
      </c>
      <c r="G8808" t="e">
        <f t="shared" si="1556"/>
        <v>#N/A</v>
      </c>
    </row>
    <row r="8809" spans="1:7" x14ac:dyDescent="0.25">
      <c r="A8809" s="1">
        <f t="shared" si="1555"/>
        <v>45488</v>
      </c>
      <c r="B8809" s="36"/>
      <c r="E8809" s="5" t="e">
        <f>Table4[[#This Row],[qty]]*(VLOOKUP(Table4[[#This Row],[item_sold]],Table1[],5,FALSE))</f>
        <v>#N/A</v>
      </c>
      <c r="F8809" s="5" t="e">
        <f>(VLOOKUP(Table4[[#This Row],[item_sold]],Table1[],4,FALSE))*Table4[[#This Row],[qty]]</f>
        <v>#N/A</v>
      </c>
      <c r="G8809" t="e">
        <f t="shared" si="1556"/>
        <v>#N/A</v>
      </c>
    </row>
    <row r="8810" spans="1:7" x14ac:dyDescent="0.25">
      <c r="A8810" s="1">
        <f t="shared" si="1555"/>
        <v>45488</v>
      </c>
      <c r="B8810" s="36"/>
      <c r="E8810" s="5" t="e">
        <f>Table4[[#This Row],[qty]]*(VLOOKUP(Table4[[#This Row],[item_sold]],Table1[],5,FALSE))</f>
        <v>#N/A</v>
      </c>
      <c r="F8810" s="5" t="e">
        <f>(VLOOKUP(Table4[[#This Row],[item_sold]],Table1[],4,FALSE))*Table4[[#This Row],[qty]]</f>
        <v>#N/A</v>
      </c>
      <c r="G8810" t="e">
        <f t="shared" si="1556"/>
        <v>#N/A</v>
      </c>
    </row>
    <row r="8811" spans="1:7" x14ac:dyDescent="0.25">
      <c r="A8811" s="1">
        <f t="shared" si="1555"/>
        <v>45488</v>
      </c>
      <c r="B8811" s="36"/>
      <c r="E8811" s="5" t="e">
        <f>Table4[[#This Row],[qty]]*(VLOOKUP(Table4[[#This Row],[item_sold]],Table1[],5,FALSE))</f>
        <v>#N/A</v>
      </c>
      <c r="F8811" s="5" t="e">
        <f>(VLOOKUP(Table4[[#This Row],[item_sold]],Table1[],4,FALSE))*Table4[[#This Row],[qty]]</f>
        <v>#N/A</v>
      </c>
      <c r="G8811" t="e">
        <f t="shared" si="1556"/>
        <v>#N/A</v>
      </c>
    </row>
    <row r="8812" spans="1:7" x14ac:dyDescent="0.25">
      <c r="A8812" s="1">
        <f t="shared" si="1555"/>
        <v>45488</v>
      </c>
      <c r="B8812" s="36"/>
      <c r="E8812" s="5" t="e">
        <f>Table4[[#This Row],[qty]]*(VLOOKUP(Table4[[#This Row],[item_sold]],Table1[],5,FALSE))</f>
        <v>#N/A</v>
      </c>
      <c r="F8812" s="5" t="e">
        <f>(VLOOKUP(Table4[[#This Row],[item_sold]],Table1[],4,FALSE))*Table4[[#This Row],[qty]]</f>
        <v>#N/A</v>
      </c>
      <c r="G8812" t="e">
        <f t="shared" si="1556"/>
        <v>#N/A</v>
      </c>
    </row>
    <row r="8813" spans="1:7" x14ac:dyDescent="0.25">
      <c r="A8813" s="1">
        <f t="shared" si="1555"/>
        <v>45488</v>
      </c>
      <c r="B8813" s="36"/>
      <c r="E8813" s="5" t="e">
        <f>Table4[[#This Row],[qty]]*(VLOOKUP(Table4[[#This Row],[item_sold]],Table1[],5,FALSE))</f>
        <v>#N/A</v>
      </c>
      <c r="F8813" s="5" t="e">
        <f>(VLOOKUP(Table4[[#This Row],[item_sold]],Table1[],4,FALSE))*Table4[[#This Row],[qty]]</f>
        <v>#N/A</v>
      </c>
      <c r="G8813" t="e">
        <f t="shared" si="1556"/>
        <v>#N/A</v>
      </c>
    </row>
    <row r="8814" spans="1:7" x14ac:dyDescent="0.25">
      <c r="A8814" s="1">
        <f t="shared" si="1555"/>
        <v>45488</v>
      </c>
      <c r="B8814" s="36"/>
      <c r="E8814" s="5" t="e">
        <f>Table4[[#This Row],[qty]]*(VLOOKUP(Table4[[#This Row],[item_sold]],Table1[],5,FALSE))</f>
        <v>#N/A</v>
      </c>
      <c r="F8814" s="5" t="e">
        <f>(VLOOKUP(Table4[[#This Row],[item_sold]],Table1[],4,FALSE))*Table4[[#This Row],[qty]]</f>
        <v>#N/A</v>
      </c>
      <c r="G8814" t="e">
        <f t="shared" si="1556"/>
        <v>#N/A</v>
      </c>
    </row>
    <row r="8815" spans="1:7" x14ac:dyDescent="0.25">
      <c r="A8815" s="1">
        <f t="shared" si="1555"/>
        <v>45488</v>
      </c>
      <c r="B8815" s="36"/>
      <c r="E8815" s="5" t="e">
        <f>Table4[[#This Row],[qty]]*(VLOOKUP(Table4[[#This Row],[item_sold]],Table1[],5,FALSE))</f>
        <v>#N/A</v>
      </c>
      <c r="F8815" s="5" t="e">
        <f>(VLOOKUP(Table4[[#This Row],[item_sold]],Table1[],4,FALSE))*Table4[[#This Row],[qty]]</f>
        <v>#N/A</v>
      </c>
      <c r="G8815" t="e">
        <f t="shared" si="1556"/>
        <v>#N/A</v>
      </c>
    </row>
    <row r="8816" spans="1:7" x14ac:dyDescent="0.25">
      <c r="A8816" s="1">
        <f t="shared" si="1555"/>
        <v>45488</v>
      </c>
      <c r="B8816" s="36"/>
      <c r="E8816" s="5" t="e">
        <f>Table4[[#This Row],[qty]]*(VLOOKUP(Table4[[#This Row],[item_sold]],Table1[],5,FALSE))</f>
        <v>#N/A</v>
      </c>
      <c r="F8816" s="5" t="e">
        <f>(VLOOKUP(Table4[[#This Row],[item_sold]],Table1[],4,FALSE))*Table4[[#This Row],[qty]]</f>
        <v>#N/A</v>
      </c>
      <c r="G8816" t="e">
        <f t="shared" si="1556"/>
        <v>#N/A</v>
      </c>
    </row>
    <row r="8817" spans="1:7" x14ac:dyDescent="0.25">
      <c r="A8817" s="1">
        <f t="shared" si="1555"/>
        <v>45488</v>
      </c>
      <c r="B8817" s="36"/>
      <c r="E8817" s="5" t="e">
        <f>Table4[[#This Row],[qty]]*(VLOOKUP(Table4[[#This Row],[item_sold]],Table1[],5,FALSE))</f>
        <v>#N/A</v>
      </c>
      <c r="F8817" s="5" t="e">
        <f>(VLOOKUP(Table4[[#This Row],[item_sold]],Table1[],4,FALSE))*Table4[[#This Row],[qty]]</f>
        <v>#N/A</v>
      </c>
      <c r="G8817" t="e">
        <f t="shared" si="1556"/>
        <v>#N/A</v>
      </c>
    </row>
    <row r="8818" spans="1:7" x14ac:dyDescent="0.25">
      <c r="A8818" s="1">
        <f t="shared" si="1555"/>
        <v>45488</v>
      </c>
      <c r="B8818" s="36"/>
      <c r="E8818" s="5" t="e">
        <f>Table4[[#This Row],[qty]]*(VLOOKUP(Table4[[#This Row],[item_sold]],Table1[],5,FALSE))</f>
        <v>#N/A</v>
      </c>
      <c r="F8818" s="5" t="e">
        <f>(VLOOKUP(Table4[[#This Row],[item_sold]],Table1[],4,FALSE))*Table4[[#This Row],[qty]]</f>
        <v>#N/A</v>
      </c>
      <c r="G8818" t="e">
        <f t="shared" si="1556"/>
        <v>#N/A</v>
      </c>
    </row>
    <row r="8819" spans="1:7" x14ac:dyDescent="0.25">
      <c r="A8819" s="1">
        <f t="shared" si="1555"/>
        <v>45488</v>
      </c>
      <c r="B8819" s="36"/>
      <c r="E8819" s="5" t="e">
        <f>Table4[[#This Row],[qty]]*(VLOOKUP(Table4[[#This Row],[item_sold]],Table1[],5,FALSE))</f>
        <v>#N/A</v>
      </c>
      <c r="F8819" s="5" t="e">
        <f>(VLOOKUP(Table4[[#This Row],[item_sold]],Table1[],4,FALSE))*Table4[[#This Row],[qty]]</f>
        <v>#N/A</v>
      </c>
      <c r="G8819" t="e">
        <f t="shared" si="1556"/>
        <v>#N/A</v>
      </c>
    </row>
    <row r="8820" spans="1:7" x14ac:dyDescent="0.25">
      <c r="A8820" s="1">
        <f t="shared" si="1555"/>
        <v>45488</v>
      </c>
      <c r="B8820" s="36"/>
      <c r="E8820" s="5" t="e">
        <f>Table4[[#This Row],[qty]]*(VLOOKUP(Table4[[#This Row],[item_sold]],Table1[],5,FALSE))</f>
        <v>#N/A</v>
      </c>
      <c r="F8820" s="5" t="e">
        <f>(VLOOKUP(Table4[[#This Row],[item_sold]],Table1[],4,FALSE))*Table4[[#This Row],[qty]]</f>
        <v>#N/A</v>
      </c>
      <c r="G8820" t="e">
        <f t="shared" si="1556"/>
        <v>#N/A</v>
      </c>
    </row>
    <row r="8821" spans="1:7" x14ac:dyDescent="0.25">
      <c r="A8821" s="1">
        <f t="shared" si="1555"/>
        <v>45488</v>
      </c>
      <c r="B8821" s="36"/>
      <c r="E8821" s="5" t="e">
        <f>Table4[[#This Row],[qty]]*(VLOOKUP(Table4[[#This Row],[item_sold]],Table1[],5,FALSE))</f>
        <v>#N/A</v>
      </c>
      <c r="F8821" s="5" t="e">
        <f>(VLOOKUP(Table4[[#This Row],[item_sold]],Table1[],4,FALSE))*Table4[[#This Row],[qty]]</f>
        <v>#N/A</v>
      </c>
      <c r="G8821" t="e">
        <f t="shared" si="1556"/>
        <v>#N/A</v>
      </c>
    </row>
    <row r="8822" spans="1:7" x14ac:dyDescent="0.25">
      <c r="A8822" s="1">
        <f t="shared" si="1555"/>
        <v>45488</v>
      </c>
      <c r="B8822" s="36"/>
      <c r="E8822" s="5" t="e">
        <f>Table4[[#This Row],[qty]]*(VLOOKUP(Table4[[#This Row],[item_sold]],Table1[],5,FALSE))</f>
        <v>#N/A</v>
      </c>
      <c r="F8822" s="5" t="e">
        <f>(VLOOKUP(Table4[[#This Row],[item_sold]],Table1[],4,FALSE))*Table4[[#This Row],[qty]]</f>
        <v>#N/A</v>
      </c>
      <c r="G8822" t="e">
        <f t="shared" si="1556"/>
        <v>#N/A</v>
      </c>
    </row>
    <row r="8823" spans="1:7" x14ac:dyDescent="0.25">
      <c r="A8823" s="1">
        <f t="shared" si="1555"/>
        <v>45488</v>
      </c>
      <c r="B8823" s="36"/>
      <c r="E8823" s="5" t="e">
        <f>Table4[[#This Row],[qty]]*(VLOOKUP(Table4[[#This Row],[item_sold]],Table1[],5,FALSE))</f>
        <v>#N/A</v>
      </c>
      <c r="F8823" s="5" t="e">
        <f>(VLOOKUP(Table4[[#This Row],[item_sold]],Table1[],4,FALSE))*Table4[[#This Row],[qty]]</f>
        <v>#N/A</v>
      </c>
      <c r="G8823" t="e">
        <f t="shared" si="1556"/>
        <v>#N/A</v>
      </c>
    </row>
    <row r="8824" spans="1:7" x14ac:dyDescent="0.25">
      <c r="A8824" s="1">
        <f t="shared" si="1555"/>
        <v>45488</v>
      </c>
      <c r="B8824" s="36"/>
      <c r="E8824" s="5" t="e">
        <f>Table4[[#This Row],[qty]]*(VLOOKUP(Table4[[#This Row],[item_sold]],Table1[],5,FALSE))</f>
        <v>#N/A</v>
      </c>
      <c r="F8824" s="5" t="e">
        <f>(VLOOKUP(Table4[[#This Row],[item_sold]],Table1[],4,FALSE))*Table4[[#This Row],[qty]]</f>
        <v>#N/A</v>
      </c>
      <c r="G8824" t="e">
        <f t="shared" si="1556"/>
        <v>#N/A</v>
      </c>
    </row>
    <row r="8825" spans="1:7" x14ac:dyDescent="0.25">
      <c r="A8825" s="1">
        <f t="shared" si="1555"/>
        <v>45488</v>
      </c>
      <c r="B8825" s="36"/>
      <c r="E8825" s="5" t="e">
        <f>Table4[[#This Row],[qty]]*(VLOOKUP(Table4[[#This Row],[item_sold]],Table1[],5,FALSE))</f>
        <v>#N/A</v>
      </c>
      <c r="F8825" s="5" t="e">
        <f>(VLOOKUP(Table4[[#This Row],[item_sold]],Table1[],4,FALSE))*Table4[[#This Row],[qty]]</f>
        <v>#N/A</v>
      </c>
      <c r="G8825" t="e">
        <f t="shared" si="1556"/>
        <v>#N/A</v>
      </c>
    </row>
    <row r="8826" spans="1:7" x14ac:dyDescent="0.25">
      <c r="A8826" s="1">
        <f t="shared" si="1555"/>
        <v>45488</v>
      </c>
      <c r="B8826" s="36"/>
      <c r="E8826" s="5" t="e">
        <f>Table4[[#This Row],[qty]]*(VLOOKUP(Table4[[#This Row],[item_sold]],Table1[],5,FALSE))</f>
        <v>#N/A</v>
      </c>
      <c r="F8826" s="5" t="e">
        <f>(VLOOKUP(Table4[[#This Row],[item_sold]],Table1[],4,FALSE))*Table4[[#This Row],[qty]]</f>
        <v>#N/A</v>
      </c>
      <c r="G8826" t="e">
        <f t="shared" si="1556"/>
        <v>#N/A</v>
      </c>
    </row>
    <row r="8827" spans="1:7" x14ac:dyDescent="0.25">
      <c r="A8827" s="1">
        <f t="shared" si="1555"/>
        <v>45488</v>
      </c>
      <c r="B8827" s="36"/>
      <c r="E8827" s="5" t="e">
        <f>Table4[[#This Row],[qty]]*(VLOOKUP(Table4[[#This Row],[item_sold]],Table1[],5,FALSE))</f>
        <v>#N/A</v>
      </c>
      <c r="F8827" s="5" t="e">
        <f>(VLOOKUP(Table4[[#This Row],[item_sold]],Table1[],4,FALSE))*Table4[[#This Row],[qty]]</f>
        <v>#N/A</v>
      </c>
      <c r="G8827" t="e">
        <f t="shared" si="1556"/>
        <v>#N/A</v>
      </c>
    </row>
    <row r="8828" spans="1:7" x14ac:dyDescent="0.25">
      <c r="A8828" s="1">
        <f t="shared" si="1555"/>
        <v>45488</v>
      </c>
      <c r="B8828" s="36"/>
      <c r="E8828" s="5" t="e">
        <f>Table4[[#This Row],[qty]]*(VLOOKUP(Table4[[#This Row],[item_sold]],Table1[],5,FALSE))</f>
        <v>#N/A</v>
      </c>
      <c r="F8828" s="5" t="e">
        <f>(VLOOKUP(Table4[[#This Row],[item_sold]],Table1[],4,FALSE))*Table4[[#This Row],[qty]]</f>
        <v>#N/A</v>
      </c>
      <c r="G8828" t="e">
        <f t="shared" si="1556"/>
        <v>#N/A</v>
      </c>
    </row>
    <row r="8829" spans="1:7" x14ac:dyDescent="0.25">
      <c r="A8829" s="1">
        <f t="shared" si="1555"/>
        <v>45488</v>
      </c>
      <c r="B8829" s="36"/>
      <c r="E8829" s="5" t="e">
        <f>Table4[[#This Row],[qty]]*(VLOOKUP(Table4[[#This Row],[item_sold]],Table1[],5,FALSE))</f>
        <v>#N/A</v>
      </c>
      <c r="F8829" s="5" t="e">
        <f>(VLOOKUP(Table4[[#This Row],[item_sold]],Table1[],4,FALSE))*Table4[[#This Row],[qty]]</f>
        <v>#N/A</v>
      </c>
      <c r="G8829" t="e">
        <f t="shared" si="1556"/>
        <v>#N/A</v>
      </c>
    </row>
    <row r="8830" spans="1:7" x14ac:dyDescent="0.25">
      <c r="A8830" s="1">
        <f t="shared" si="1555"/>
        <v>45488</v>
      </c>
      <c r="B8830" s="36"/>
      <c r="E8830" s="5" t="e">
        <f>Table4[[#This Row],[qty]]*(VLOOKUP(Table4[[#This Row],[item_sold]],Table1[],5,FALSE))</f>
        <v>#N/A</v>
      </c>
      <c r="F8830" s="5" t="e">
        <f>(VLOOKUP(Table4[[#This Row],[item_sold]],Table1[],4,FALSE))*Table4[[#This Row],[qty]]</f>
        <v>#N/A</v>
      </c>
      <c r="G8830" t="e">
        <f t="shared" si="1556"/>
        <v>#N/A</v>
      </c>
    </row>
    <row r="8831" spans="1:7" x14ac:dyDescent="0.25">
      <c r="A8831" s="1">
        <f t="shared" si="1555"/>
        <v>45488</v>
      </c>
      <c r="B8831" s="36"/>
      <c r="E8831" s="5" t="e">
        <f>Table4[[#This Row],[qty]]*(VLOOKUP(Table4[[#This Row],[item_sold]],Table1[],5,FALSE))</f>
        <v>#N/A</v>
      </c>
      <c r="F8831" s="5" t="e">
        <f>(VLOOKUP(Table4[[#This Row],[item_sold]],Table1[],4,FALSE))*Table4[[#This Row],[qty]]</f>
        <v>#N/A</v>
      </c>
      <c r="G8831" t="e">
        <f t="shared" si="1556"/>
        <v>#N/A</v>
      </c>
    </row>
    <row r="8832" spans="1:7" x14ac:dyDescent="0.25">
      <c r="A8832" s="1">
        <f t="shared" si="1555"/>
        <v>45488</v>
      </c>
      <c r="B8832" s="36"/>
      <c r="E8832" s="5" t="e">
        <f>Table4[[#This Row],[qty]]*(VLOOKUP(Table4[[#This Row],[item_sold]],Table1[],5,FALSE))</f>
        <v>#N/A</v>
      </c>
      <c r="F8832" s="5" t="e">
        <f>(VLOOKUP(Table4[[#This Row],[item_sold]],Table1[],4,FALSE))*Table4[[#This Row],[qty]]</f>
        <v>#N/A</v>
      </c>
      <c r="G8832" t="e">
        <f t="shared" si="1556"/>
        <v>#N/A</v>
      </c>
    </row>
    <row r="8833" spans="1:7" x14ac:dyDescent="0.25">
      <c r="A8833" s="1">
        <f t="shared" si="1555"/>
        <v>45488</v>
      </c>
      <c r="B8833" s="36"/>
      <c r="E8833" s="5" t="e">
        <f>Table4[[#This Row],[qty]]*(VLOOKUP(Table4[[#This Row],[item_sold]],Table1[],5,FALSE))</f>
        <v>#N/A</v>
      </c>
      <c r="F8833" s="5" t="e">
        <f>(VLOOKUP(Table4[[#This Row],[item_sold]],Table1[],4,FALSE))*Table4[[#This Row],[qty]]</f>
        <v>#N/A</v>
      </c>
      <c r="G8833" t="e">
        <f t="shared" si="1556"/>
        <v>#N/A</v>
      </c>
    </row>
    <row r="8834" spans="1:7" x14ac:dyDescent="0.25">
      <c r="A8834" s="1">
        <f t="shared" si="1555"/>
        <v>45488</v>
      </c>
      <c r="B8834" s="36"/>
      <c r="E8834" s="5" t="e">
        <f>Table4[[#This Row],[qty]]*(VLOOKUP(Table4[[#This Row],[item_sold]],Table1[],5,FALSE))</f>
        <v>#N/A</v>
      </c>
      <c r="F8834" s="5" t="e">
        <f>(VLOOKUP(Table4[[#This Row],[item_sold]],Table1[],4,FALSE))*Table4[[#This Row],[qty]]</f>
        <v>#N/A</v>
      </c>
      <c r="G8834" t="e">
        <f t="shared" si="1556"/>
        <v>#N/A</v>
      </c>
    </row>
    <row r="8835" spans="1:7" x14ac:dyDescent="0.25">
      <c r="A8835" s="1">
        <f t="shared" si="1555"/>
        <v>45488</v>
      </c>
      <c r="B8835" s="36"/>
      <c r="E8835" s="5" t="e">
        <f>Table4[[#This Row],[qty]]*(VLOOKUP(Table4[[#This Row],[item_sold]],Table1[],5,FALSE))</f>
        <v>#N/A</v>
      </c>
      <c r="F8835" s="5" t="e">
        <f>(VLOOKUP(Table4[[#This Row],[item_sold]],Table1[],4,FALSE))*Table4[[#This Row],[qty]]</f>
        <v>#N/A</v>
      </c>
      <c r="G8835" t="e">
        <f t="shared" si="1556"/>
        <v>#N/A</v>
      </c>
    </row>
    <row r="8836" spans="1:7" x14ac:dyDescent="0.25">
      <c r="A8836" s="1">
        <f t="shared" si="1555"/>
        <v>45488</v>
      </c>
      <c r="B8836" s="36"/>
      <c r="E8836" s="5" t="e">
        <f>Table4[[#This Row],[qty]]*(VLOOKUP(Table4[[#This Row],[item_sold]],Table1[],5,FALSE))</f>
        <v>#N/A</v>
      </c>
      <c r="F8836" s="5" t="e">
        <f>(VLOOKUP(Table4[[#This Row],[item_sold]],Table1[],4,FALSE))*Table4[[#This Row],[qty]]</f>
        <v>#N/A</v>
      </c>
      <c r="G8836" t="e">
        <f t="shared" si="1556"/>
        <v>#N/A</v>
      </c>
    </row>
    <row r="8837" spans="1:7" x14ac:dyDescent="0.25">
      <c r="A8837" s="1">
        <f t="shared" si="1555"/>
        <v>45488</v>
      </c>
      <c r="B8837" s="36"/>
      <c r="E8837" s="5" t="e">
        <f>Table4[[#This Row],[qty]]*(VLOOKUP(Table4[[#This Row],[item_sold]],Table1[],5,FALSE))</f>
        <v>#N/A</v>
      </c>
      <c r="F8837" s="5" t="e">
        <f>(VLOOKUP(Table4[[#This Row],[item_sold]],Table1[],4,FALSE))*Table4[[#This Row],[qty]]</f>
        <v>#N/A</v>
      </c>
      <c r="G8837" t="e">
        <f t="shared" si="1556"/>
        <v>#N/A</v>
      </c>
    </row>
    <row r="8838" spans="1:7" x14ac:dyDescent="0.25">
      <c r="A8838" s="1">
        <f t="shared" si="1555"/>
        <v>45488</v>
      </c>
      <c r="B8838" s="36"/>
      <c r="E8838" s="5" t="e">
        <f>Table4[[#This Row],[qty]]*(VLOOKUP(Table4[[#This Row],[item_sold]],Table1[],5,FALSE))</f>
        <v>#N/A</v>
      </c>
      <c r="F8838" s="5" t="e">
        <f>(VLOOKUP(Table4[[#This Row],[item_sold]],Table1[],4,FALSE))*Table4[[#This Row],[qty]]</f>
        <v>#N/A</v>
      </c>
      <c r="G8838" t="e">
        <f t="shared" si="1556"/>
        <v>#N/A</v>
      </c>
    </row>
    <row r="8839" spans="1:7" x14ac:dyDescent="0.25">
      <c r="A8839" s="1">
        <f t="shared" si="1555"/>
        <v>45488</v>
      </c>
      <c r="B8839" s="36"/>
      <c r="E8839" s="5" t="e">
        <f>Table4[[#This Row],[qty]]*(VLOOKUP(Table4[[#This Row],[item_sold]],Table1[],5,FALSE))</f>
        <v>#N/A</v>
      </c>
      <c r="F8839" s="5" t="e">
        <f>(VLOOKUP(Table4[[#This Row],[item_sold]],Table1[],4,FALSE))*Table4[[#This Row],[qty]]</f>
        <v>#N/A</v>
      </c>
      <c r="G8839" t="e">
        <f t="shared" si="1556"/>
        <v>#N/A</v>
      </c>
    </row>
    <row r="8840" spans="1:7" x14ac:dyDescent="0.25">
      <c r="A8840" s="1">
        <f t="shared" si="1555"/>
        <v>45488</v>
      </c>
      <c r="B8840" s="36"/>
      <c r="E8840" s="5" t="e">
        <f>Table4[[#This Row],[qty]]*(VLOOKUP(Table4[[#This Row],[item_sold]],Table1[],5,FALSE))</f>
        <v>#N/A</v>
      </c>
      <c r="F8840" s="5" t="e">
        <f>(VLOOKUP(Table4[[#This Row],[item_sold]],Table1[],4,FALSE))*Table4[[#This Row],[qty]]</f>
        <v>#N/A</v>
      </c>
      <c r="G8840" t="e">
        <f t="shared" si="1556"/>
        <v>#N/A</v>
      </c>
    </row>
    <row r="8841" spans="1:7" x14ac:dyDescent="0.25">
      <c r="A8841" s="1">
        <f t="shared" si="1555"/>
        <v>45488</v>
      </c>
      <c r="B8841" s="36"/>
      <c r="E8841" s="5" t="e">
        <f>Table4[[#This Row],[qty]]*(VLOOKUP(Table4[[#This Row],[item_sold]],Table1[],5,FALSE))</f>
        <v>#N/A</v>
      </c>
      <c r="F8841" s="5" t="e">
        <f>(VLOOKUP(Table4[[#This Row],[item_sold]],Table1[],4,FALSE))*Table4[[#This Row],[qty]]</f>
        <v>#N/A</v>
      </c>
      <c r="G8841" t="e">
        <f t="shared" si="1556"/>
        <v>#N/A</v>
      </c>
    </row>
    <row r="8842" spans="1:7" x14ac:dyDescent="0.25">
      <c r="A8842" s="1">
        <f t="shared" si="1555"/>
        <v>45488</v>
      </c>
      <c r="B8842" s="36"/>
      <c r="E8842" s="5" t="e">
        <f>Table4[[#This Row],[qty]]*(VLOOKUP(Table4[[#This Row],[item_sold]],Table1[],5,FALSE))</f>
        <v>#N/A</v>
      </c>
      <c r="F8842" s="5" t="e">
        <f>(VLOOKUP(Table4[[#This Row],[item_sold]],Table1[],4,FALSE))*Table4[[#This Row],[qty]]</f>
        <v>#N/A</v>
      </c>
      <c r="G8842" t="e">
        <f t="shared" si="1556"/>
        <v>#N/A</v>
      </c>
    </row>
    <row r="8843" spans="1:7" x14ac:dyDescent="0.25">
      <c r="A8843" s="1">
        <f t="shared" si="1555"/>
        <v>45488</v>
      </c>
      <c r="B8843" s="36"/>
      <c r="E8843" s="5" t="e">
        <f>Table4[[#This Row],[qty]]*(VLOOKUP(Table4[[#This Row],[item_sold]],Table1[],5,FALSE))</f>
        <v>#N/A</v>
      </c>
      <c r="F8843" s="5" t="e">
        <f>(VLOOKUP(Table4[[#This Row],[item_sold]],Table1[],4,FALSE))*Table4[[#This Row],[qty]]</f>
        <v>#N/A</v>
      </c>
      <c r="G8843" t="e">
        <f t="shared" si="1556"/>
        <v>#N/A</v>
      </c>
    </row>
    <row r="8844" spans="1:7" x14ac:dyDescent="0.25">
      <c r="A8844" s="1">
        <f t="shared" si="1555"/>
        <v>45488</v>
      </c>
      <c r="B8844" s="36"/>
      <c r="E8844" s="5" t="e">
        <f>Table4[[#This Row],[qty]]*(VLOOKUP(Table4[[#This Row],[item_sold]],Table1[],5,FALSE))</f>
        <v>#N/A</v>
      </c>
      <c r="F8844" s="5" t="e">
        <f>(VLOOKUP(Table4[[#This Row],[item_sold]],Table1[],4,FALSE))*Table4[[#This Row],[qty]]</f>
        <v>#N/A</v>
      </c>
      <c r="G8844" t="e">
        <f t="shared" si="1556"/>
        <v>#N/A</v>
      </c>
    </row>
    <row r="8845" spans="1:7" x14ac:dyDescent="0.25">
      <c r="A8845" s="1">
        <f t="shared" si="1555"/>
        <v>45488</v>
      </c>
      <c r="B8845" s="36"/>
      <c r="E8845" s="5" t="e">
        <f>Table4[[#This Row],[qty]]*(VLOOKUP(Table4[[#This Row],[item_sold]],Table1[],5,FALSE))</f>
        <v>#N/A</v>
      </c>
      <c r="F8845" s="5" t="e">
        <f>(VLOOKUP(Table4[[#This Row],[item_sold]],Table1[],4,FALSE))*Table4[[#This Row],[qty]]</f>
        <v>#N/A</v>
      </c>
      <c r="G8845" t="e">
        <f t="shared" si="1556"/>
        <v>#N/A</v>
      </c>
    </row>
    <row r="8846" spans="1:7" x14ac:dyDescent="0.25">
      <c r="A8846" s="1">
        <f t="shared" si="1555"/>
        <v>45488</v>
      </c>
      <c r="B8846" s="36"/>
      <c r="E8846" s="5" t="e">
        <f>Table4[[#This Row],[qty]]*(VLOOKUP(Table4[[#This Row],[item_sold]],Table1[],5,FALSE))</f>
        <v>#N/A</v>
      </c>
      <c r="F8846" s="5" t="e">
        <f>(VLOOKUP(Table4[[#This Row],[item_sold]],Table1[],4,FALSE))*Table4[[#This Row],[qty]]</f>
        <v>#N/A</v>
      </c>
      <c r="G8846" t="e">
        <f t="shared" si="1556"/>
        <v>#N/A</v>
      </c>
    </row>
    <row r="8847" spans="1:7" x14ac:dyDescent="0.25">
      <c r="A8847" s="1">
        <f t="shared" si="1555"/>
        <v>45488</v>
      </c>
      <c r="B8847" s="36"/>
      <c r="E8847" s="5" t="e">
        <f>Table4[[#This Row],[qty]]*(VLOOKUP(Table4[[#This Row],[item_sold]],Table1[],5,FALSE))</f>
        <v>#N/A</v>
      </c>
      <c r="F8847" s="5" t="e">
        <f>(VLOOKUP(Table4[[#This Row],[item_sold]],Table1[],4,FALSE))*Table4[[#This Row],[qty]]</f>
        <v>#N/A</v>
      </c>
      <c r="G8847" t="e">
        <f t="shared" si="1556"/>
        <v>#N/A</v>
      </c>
    </row>
    <row r="8848" spans="1:7" x14ac:dyDescent="0.25">
      <c r="A8848" s="1">
        <f t="shared" si="1555"/>
        <v>45488</v>
      </c>
      <c r="B8848" s="36"/>
      <c r="E8848" s="5" t="e">
        <f>Table4[[#This Row],[qty]]*(VLOOKUP(Table4[[#This Row],[item_sold]],Table1[],5,FALSE))</f>
        <v>#N/A</v>
      </c>
      <c r="F8848" s="5" t="e">
        <f>(VLOOKUP(Table4[[#This Row],[item_sold]],Table1[],4,FALSE))*Table4[[#This Row],[qty]]</f>
        <v>#N/A</v>
      </c>
      <c r="G8848" t="e">
        <f t="shared" si="1556"/>
        <v>#N/A</v>
      </c>
    </row>
    <row r="8849" spans="1:7" x14ac:dyDescent="0.25">
      <c r="A8849" s="1">
        <f t="shared" si="1555"/>
        <v>45488</v>
      </c>
      <c r="B8849" s="36"/>
      <c r="E8849" s="5" t="e">
        <f>Table4[[#This Row],[qty]]*(VLOOKUP(Table4[[#This Row],[item_sold]],Table1[],5,FALSE))</f>
        <v>#N/A</v>
      </c>
      <c r="F8849" s="5" t="e">
        <f>(VLOOKUP(Table4[[#This Row],[item_sold]],Table1[],4,FALSE))*Table4[[#This Row],[qty]]</f>
        <v>#N/A</v>
      </c>
      <c r="G8849" t="e">
        <f t="shared" si="1556"/>
        <v>#N/A</v>
      </c>
    </row>
    <row r="8850" spans="1:7" x14ac:dyDescent="0.25">
      <c r="A8850" s="1">
        <f t="shared" si="1555"/>
        <v>45488</v>
      </c>
      <c r="B8850" s="36"/>
      <c r="E8850" s="5" t="e">
        <f>Table4[[#This Row],[qty]]*(VLOOKUP(Table4[[#This Row],[item_sold]],Table1[],5,FALSE))</f>
        <v>#N/A</v>
      </c>
      <c r="F8850" s="5" t="e">
        <f>(VLOOKUP(Table4[[#This Row],[item_sold]],Table1[],4,FALSE))*Table4[[#This Row],[qty]]</f>
        <v>#N/A</v>
      </c>
      <c r="G8850" t="e">
        <f t="shared" si="1556"/>
        <v>#N/A</v>
      </c>
    </row>
    <row r="8851" spans="1:7" x14ac:dyDescent="0.25">
      <c r="A8851" s="1">
        <f t="shared" si="1555"/>
        <v>45488</v>
      </c>
      <c r="B8851" s="36"/>
      <c r="E8851" s="5" t="e">
        <f>Table4[[#This Row],[qty]]*(VLOOKUP(Table4[[#This Row],[item_sold]],Table1[],5,FALSE))</f>
        <v>#N/A</v>
      </c>
      <c r="F8851" s="5" t="e">
        <f>(VLOOKUP(Table4[[#This Row],[item_sold]],Table1[],4,FALSE))*Table4[[#This Row],[qty]]</f>
        <v>#N/A</v>
      </c>
      <c r="G8851" t="e">
        <f t="shared" si="1556"/>
        <v>#N/A</v>
      </c>
    </row>
    <row r="8852" spans="1:7" x14ac:dyDescent="0.25">
      <c r="A8852" s="1">
        <f t="shared" ref="A8852:A8915" si="1557">DATE(2024,7,15)</f>
        <v>45488</v>
      </c>
      <c r="B8852" s="36"/>
      <c r="E8852" s="5" t="e">
        <f>Table4[[#This Row],[qty]]*(VLOOKUP(Table4[[#This Row],[item_sold]],Table1[],5,FALSE))</f>
        <v>#N/A</v>
      </c>
      <c r="F8852" s="5" t="e">
        <f>(VLOOKUP(Table4[[#This Row],[item_sold]],Table1[],4,FALSE))*Table4[[#This Row],[qty]]</f>
        <v>#N/A</v>
      </c>
      <c r="G8852" t="e">
        <f t="shared" ref="G8852:G8915" si="1558">E8852-F8852</f>
        <v>#N/A</v>
      </c>
    </row>
    <row r="8853" spans="1:7" x14ac:dyDescent="0.25">
      <c r="A8853" s="1">
        <f t="shared" si="1557"/>
        <v>45488</v>
      </c>
      <c r="B8853" s="36"/>
      <c r="E8853" s="5" t="e">
        <f>Table4[[#This Row],[qty]]*(VLOOKUP(Table4[[#This Row],[item_sold]],Table1[],5,FALSE))</f>
        <v>#N/A</v>
      </c>
      <c r="F8853" s="5" t="e">
        <f>(VLOOKUP(Table4[[#This Row],[item_sold]],Table1[],4,FALSE))*Table4[[#This Row],[qty]]</f>
        <v>#N/A</v>
      </c>
      <c r="G8853" t="e">
        <f t="shared" si="1558"/>
        <v>#N/A</v>
      </c>
    </row>
    <row r="8854" spans="1:7" x14ac:dyDescent="0.25">
      <c r="A8854" s="1">
        <f t="shared" si="1557"/>
        <v>45488</v>
      </c>
      <c r="B8854" s="36"/>
      <c r="E8854" s="5" t="e">
        <f>Table4[[#This Row],[qty]]*(VLOOKUP(Table4[[#This Row],[item_sold]],Table1[],5,FALSE))</f>
        <v>#N/A</v>
      </c>
      <c r="F8854" s="5" t="e">
        <f>(VLOOKUP(Table4[[#This Row],[item_sold]],Table1[],4,FALSE))*Table4[[#This Row],[qty]]</f>
        <v>#N/A</v>
      </c>
      <c r="G8854" t="e">
        <f t="shared" si="1558"/>
        <v>#N/A</v>
      </c>
    </row>
    <row r="8855" spans="1:7" x14ac:dyDescent="0.25">
      <c r="A8855" s="1">
        <f t="shared" si="1557"/>
        <v>45488</v>
      </c>
      <c r="B8855" s="36"/>
      <c r="E8855" s="5" t="e">
        <f>Table4[[#This Row],[qty]]*(VLOOKUP(Table4[[#This Row],[item_sold]],Table1[],5,FALSE))</f>
        <v>#N/A</v>
      </c>
      <c r="F8855" s="5" t="e">
        <f>(VLOOKUP(Table4[[#This Row],[item_sold]],Table1[],4,FALSE))*Table4[[#This Row],[qty]]</f>
        <v>#N/A</v>
      </c>
      <c r="G8855" t="e">
        <f t="shared" si="1558"/>
        <v>#N/A</v>
      </c>
    </row>
    <row r="8856" spans="1:7" x14ac:dyDescent="0.25">
      <c r="A8856" s="1">
        <f t="shared" si="1557"/>
        <v>45488</v>
      </c>
      <c r="B8856" s="36"/>
      <c r="E8856" s="5" t="e">
        <f>Table4[[#This Row],[qty]]*(VLOOKUP(Table4[[#This Row],[item_sold]],Table1[],5,FALSE))</f>
        <v>#N/A</v>
      </c>
      <c r="F8856" s="5" t="e">
        <f>(VLOOKUP(Table4[[#This Row],[item_sold]],Table1[],4,FALSE))*Table4[[#This Row],[qty]]</f>
        <v>#N/A</v>
      </c>
      <c r="G8856" t="e">
        <f t="shared" si="1558"/>
        <v>#N/A</v>
      </c>
    </row>
    <row r="8857" spans="1:7" x14ac:dyDescent="0.25">
      <c r="A8857" s="1">
        <f t="shared" si="1557"/>
        <v>45488</v>
      </c>
      <c r="B8857" s="36"/>
      <c r="E8857" s="5" t="e">
        <f>Table4[[#This Row],[qty]]*(VLOOKUP(Table4[[#This Row],[item_sold]],Table1[],5,FALSE))</f>
        <v>#N/A</v>
      </c>
      <c r="F8857" s="5" t="e">
        <f>(VLOOKUP(Table4[[#This Row],[item_sold]],Table1[],4,FALSE))*Table4[[#This Row],[qty]]</f>
        <v>#N/A</v>
      </c>
      <c r="G8857" t="e">
        <f t="shared" si="1558"/>
        <v>#N/A</v>
      </c>
    </row>
    <row r="8858" spans="1:7" x14ac:dyDescent="0.25">
      <c r="A8858" s="1">
        <f t="shared" si="1557"/>
        <v>45488</v>
      </c>
      <c r="B8858" s="36"/>
      <c r="E8858" s="5" t="e">
        <f>Table4[[#This Row],[qty]]*(VLOOKUP(Table4[[#This Row],[item_sold]],Table1[],5,FALSE))</f>
        <v>#N/A</v>
      </c>
      <c r="F8858" s="5" t="e">
        <f>(VLOOKUP(Table4[[#This Row],[item_sold]],Table1[],4,FALSE))*Table4[[#This Row],[qty]]</f>
        <v>#N/A</v>
      </c>
      <c r="G8858" t="e">
        <f t="shared" si="1558"/>
        <v>#N/A</v>
      </c>
    </row>
    <row r="8859" spans="1:7" x14ac:dyDescent="0.25">
      <c r="A8859" s="1">
        <f t="shared" si="1557"/>
        <v>45488</v>
      </c>
      <c r="B8859" s="36"/>
      <c r="E8859" s="5" t="e">
        <f>Table4[[#This Row],[qty]]*(VLOOKUP(Table4[[#This Row],[item_sold]],Table1[],5,FALSE))</f>
        <v>#N/A</v>
      </c>
      <c r="F8859" s="5" t="e">
        <f>(VLOOKUP(Table4[[#This Row],[item_sold]],Table1[],4,FALSE))*Table4[[#This Row],[qty]]</f>
        <v>#N/A</v>
      </c>
      <c r="G8859" t="e">
        <f t="shared" si="1558"/>
        <v>#N/A</v>
      </c>
    </row>
    <row r="8860" spans="1:7" x14ac:dyDescent="0.25">
      <c r="A8860" s="1">
        <f t="shared" si="1557"/>
        <v>45488</v>
      </c>
      <c r="B8860" s="36"/>
      <c r="E8860" s="5" t="e">
        <f>Table4[[#This Row],[qty]]*(VLOOKUP(Table4[[#This Row],[item_sold]],Table1[],5,FALSE))</f>
        <v>#N/A</v>
      </c>
      <c r="F8860" s="5" t="e">
        <f>(VLOOKUP(Table4[[#This Row],[item_sold]],Table1[],4,FALSE))*Table4[[#This Row],[qty]]</f>
        <v>#N/A</v>
      </c>
      <c r="G8860" t="e">
        <f t="shared" si="1558"/>
        <v>#N/A</v>
      </c>
    </row>
    <row r="8861" spans="1:7" x14ac:dyDescent="0.25">
      <c r="A8861" s="1">
        <f t="shared" si="1557"/>
        <v>45488</v>
      </c>
      <c r="B8861" s="36"/>
      <c r="E8861" s="5" t="e">
        <f>Table4[[#This Row],[qty]]*(VLOOKUP(Table4[[#This Row],[item_sold]],Table1[],5,FALSE))</f>
        <v>#N/A</v>
      </c>
      <c r="F8861" s="5" t="e">
        <f>(VLOOKUP(Table4[[#This Row],[item_sold]],Table1[],4,FALSE))*Table4[[#This Row],[qty]]</f>
        <v>#N/A</v>
      </c>
      <c r="G8861" t="e">
        <f t="shared" si="1558"/>
        <v>#N/A</v>
      </c>
    </row>
    <row r="8862" spans="1:7" x14ac:dyDescent="0.25">
      <c r="A8862" s="1">
        <f t="shared" si="1557"/>
        <v>45488</v>
      </c>
      <c r="B8862" s="36"/>
      <c r="E8862" s="5" t="e">
        <f>Table4[[#This Row],[qty]]*(VLOOKUP(Table4[[#This Row],[item_sold]],Table1[],5,FALSE))</f>
        <v>#N/A</v>
      </c>
      <c r="F8862" s="5" t="e">
        <f>(VLOOKUP(Table4[[#This Row],[item_sold]],Table1[],4,FALSE))*Table4[[#This Row],[qty]]</f>
        <v>#N/A</v>
      </c>
      <c r="G8862" t="e">
        <f t="shared" si="1558"/>
        <v>#N/A</v>
      </c>
    </row>
    <row r="8863" spans="1:7" x14ac:dyDescent="0.25">
      <c r="A8863" s="1">
        <f t="shared" si="1557"/>
        <v>45488</v>
      </c>
      <c r="B8863" s="36"/>
      <c r="E8863" s="5" t="e">
        <f>Table4[[#This Row],[qty]]*(VLOOKUP(Table4[[#This Row],[item_sold]],Table1[],5,FALSE))</f>
        <v>#N/A</v>
      </c>
      <c r="F8863" s="5" t="e">
        <f>(VLOOKUP(Table4[[#This Row],[item_sold]],Table1[],4,FALSE))*Table4[[#This Row],[qty]]</f>
        <v>#N/A</v>
      </c>
      <c r="G8863" t="e">
        <f t="shared" si="1558"/>
        <v>#N/A</v>
      </c>
    </row>
    <row r="8864" spans="1:7" x14ac:dyDescent="0.25">
      <c r="A8864" s="1">
        <f t="shared" si="1557"/>
        <v>45488</v>
      </c>
      <c r="B8864" s="36"/>
      <c r="E8864" s="5" t="e">
        <f>Table4[[#This Row],[qty]]*(VLOOKUP(Table4[[#This Row],[item_sold]],Table1[],5,FALSE))</f>
        <v>#N/A</v>
      </c>
      <c r="F8864" s="5" t="e">
        <f>(VLOOKUP(Table4[[#This Row],[item_sold]],Table1[],4,FALSE))*Table4[[#This Row],[qty]]</f>
        <v>#N/A</v>
      </c>
      <c r="G8864" t="e">
        <f t="shared" si="1558"/>
        <v>#N/A</v>
      </c>
    </row>
    <row r="8865" spans="1:7" x14ac:dyDescent="0.25">
      <c r="A8865" s="1">
        <f t="shared" si="1557"/>
        <v>45488</v>
      </c>
      <c r="B8865" s="36"/>
      <c r="E8865" s="5" t="e">
        <f>Table4[[#This Row],[qty]]*(VLOOKUP(Table4[[#This Row],[item_sold]],Table1[],5,FALSE))</f>
        <v>#N/A</v>
      </c>
      <c r="F8865" s="5" t="e">
        <f>(VLOOKUP(Table4[[#This Row],[item_sold]],Table1[],4,FALSE))*Table4[[#This Row],[qty]]</f>
        <v>#N/A</v>
      </c>
      <c r="G8865" t="e">
        <f t="shared" si="1558"/>
        <v>#N/A</v>
      </c>
    </row>
    <row r="8866" spans="1:7" x14ac:dyDescent="0.25">
      <c r="A8866" s="1">
        <f t="shared" si="1557"/>
        <v>45488</v>
      </c>
      <c r="B8866" s="36"/>
      <c r="E8866" s="5" t="e">
        <f>Table4[[#This Row],[qty]]*(VLOOKUP(Table4[[#This Row],[item_sold]],Table1[],5,FALSE))</f>
        <v>#N/A</v>
      </c>
      <c r="F8866" s="5" t="e">
        <f>(VLOOKUP(Table4[[#This Row],[item_sold]],Table1[],4,FALSE))*Table4[[#This Row],[qty]]</f>
        <v>#N/A</v>
      </c>
      <c r="G8866" t="e">
        <f t="shared" si="1558"/>
        <v>#N/A</v>
      </c>
    </row>
    <row r="8867" spans="1:7" x14ac:dyDescent="0.25">
      <c r="A8867" s="1">
        <f t="shared" si="1557"/>
        <v>45488</v>
      </c>
      <c r="B8867" s="36"/>
      <c r="E8867" s="5" t="e">
        <f>Table4[[#This Row],[qty]]*(VLOOKUP(Table4[[#This Row],[item_sold]],Table1[],5,FALSE))</f>
        <v>#N/A</v>
      </c>
      <c r="F8867" s="5" t="e">
        <f>(VLOOKUP(Table4[[#This Row],[item_sold]],Table1[],4,FALSE))*Table4[[#This Row],[qty]]</f>
        <v>#N/A</v>
      </c>
      <c r="G8867" t="e">
        <f t="shared" si="1558"/>
        <v>#N/A</v>
      </c>
    </row>
    <row r="8868" spans="1:7" x14ac:dyDescent="0.25">
      <c r="A8868" s="1">
        <f t="shared" si="1557"/>
        <v>45488</v>
      </c>
      <c r="B8868" s="36"/>
      <c r="E8868" s="5" t="e">
        <f>Table4[[#This Row],[qty]]*(VLOOKUP(Table4[[#This Row],[item_sold]],Table1[],5,FALSE))</f>
        <v>#N/A</v>
      </c>
      <c r="F8868" s="5" t="e">
        <f>(VLOOKUP(Table4[[#This Row],[item_sold]],Table1[],4,FALSE))*Table4[[#This Row],[qty]]</f>
        <v>#N/A</v>
      </c>
      <c r="G8868" t="e">
        <f t="shared" si="1558"/>
        <v>#N/A</v>
      </c>
    </row>
    <row r="8869" spans="1:7" x14ac:dyDescent="0.25">
      <c r="A8869" s="1">
        <f t="shared" si="1557"/>
        <v>45488</v>
      </c>
      <c r="B8869" s="36"/>
      <c r="E8869" s="5" t="e">
        <f>Table4[[#This Row],[qty]]*(VLOOKUP(Table4[[#This Row],[item_sold]],Table1[],5,FALSE))</f>
        <v>#N/A</v>
      </c>
      <c r="F8869" s="5" t="e">
        <f>(VLOOKUP(Table4[[#This Row],[item_sold]],Table1[],4,FALSE))*Table4[[#This Row],[qty]]</f>
        <v>#N/A</v>
      </c>
      <c r="G8869" t="e">
        <f t="shared" si="1558"/>
        <v>#N/A</v>
      </c>
    </row>
    <row r="8870" spans="1:7" x14ac:dyDescent="0.25">
      <c r="A8870" s="1">
        <f t="shared" si="1557"/>
        <v>45488</v>
      </c>
      <c r="B8870" s="36"/>
      <c r="E8870" s="5" t="e">
        <f>Table4[[#This Row],[qty]]*(VLOOKUP(Table4[[#This Row],[item_sold]],Table1[],5,FALSE))</f>
        <v>#N/A</v>
      </c>
      <c r="F8870" s="5" t="e">
        <f>(VLOOKUP(Table4[[#This Row],[item_sold]],Table1[],4,FALSE))*Table4[[#This Row],[qty]]</f>
        <v>#N/A</v>
      </c>
      <c r="G8870" t="e">
        <f t="shared" si="1558"/>
        <v>#N/A</v>
      </c>
    </row>
    <row r="8871" spans="1:7" x14ac:dyDescent="0.25">
      <c r="A8871" s="1">
        <f t="shared" si="1557"/>
        <v>45488</v>
      </c>
      <c r="B8871" s="36"/>
      <c r="E8871" s="5" t="e">
        <f>Table4[[#This Row],[qty]]*(VLOOKUP(Table4[[#This Row],[item_sold]],Table1[],5,FALSE))</f>
        <v>#N/A</v>
      </c>
      <c r="F8871" s="5" t="e">
        <f>(VLOOKUP(Table4[[#This Row],[item_sold]],Table1[],4,FALSE))*Table4[[#This Row],[qty]]</f>
        <v>#N/A</v>
      </c>
      <c r="G8871" t="e">
        <f t="shared" si="1558"/>
        <v>#N/A</v>
      </c>
    </row>
    <row r="8872" spans="1:7" x14ac:dyDescent="0.25">
      <c r="A8872" s="1">
        <f t="shared" si="1557"/>
        <v>45488</v>
      </c>
      <c r="B8872" s="36"/>
      <c r="E8872" s="5" t="e">
        <f>Table4[[#This Row],[qty]]*(VLOOKUP(Table4[[#This Row],[item_sold]],Table1[],5,FALSE))</f>
        <v>#N/A</v>
      </c>
      <c r="F8872" s="5" t="e">
        <f>(VLOOKUP(Table4[[#This Row],[item_sold]],Table1[],4,FALSE))*Table4[[#This Row],[qty]]</f>
        <v>#N/A</v>
      </c>
      <c r="G8872" t="e">
        <f t="shared" si="1558"/>
        <v>#N/A</v>
      </c>
    </row>
    <row r="8873" spans="1:7" x14ac:dyDescent="0.25">
      <c r="A8873" s="1">
        <f t="shared" si="1557"/>
        <v>45488</v>
      </c>
      <c r="B8873" s="36"/>
      <c r="E8873" s="5" t="e">
        <f>Table4[[#This Row],[qty]]*(VLOOKUP(Table4[[#This Row],[item_sold]],Table1[],5,FALSE))</f>
        <v>#N/A</v>
      </c>
      <c r="F8873" s="5" t="e">
        <f>(VLOOKUP(Table4[[#This Row],[item_sold]],Table1[],4,FALSE))*Table4[[#This Row],[qty]]</f>
        <v>#N/A</v>
      </c>
      <c r="G8873" t="e">
        <f t="shared" si="1558"/>
        <v>#N/A</v>
      </c>
    </row>
    <row r="8874" spans="1:7" x14ac:dyDescent="0.25">
      <c r="A8874" s="1">
        <f t="shared" si="1557"/>
        <v>45488</v>
      </c>
      <c r="B8874" s="36"/>
      <c r="E8874" s="5" t="e">
        <f>Table4[[#This Row],[qty]]*(VLOOKUP(Table4[[#This Row],[item_sold]],Table1[],5,FALSE))</f>
        <v>#N/A</v>
      </c>
      <c r="F8874" s="5" t="e">
        <f>(VLOOKUP(Table4[[#This Row],[item_sold]],Table1[],4,FALSE))*Table4[[#This Row],[qty]]</f>
        <v>#N/A</v>
      </c>
      <c r="G8874" t="e">
        <f t="shared" si="1558"/>
        <v>#N/A</v>
      </c>
    </row>
    <row r="8875" spans="1:7" x14ac:dyDescent="0.25">
      <c r="A8875" s="1">
        <f t="shared" si="1557"/>
        <v>45488</v>
      </c>
      <c r="B8875" s="36"/>
      <c r="E8875" s="5" t="e">
        <f>Table4[[#This Row],[qty]]*(VLOOKUP(Table4[[#This Row],[item_sold]],Table1[],5,FALSE))</f>
        <v>#N/A</v>
      </c>
      <c r="F8875" s="5" t="e">
        <f>(VLOOKUP(Table4[[#This Row],[item_sold]],Table1[],4,FALSE))*Table4[[#This Row],[qty]]</f>
        <v>#N/A</v>
      </c>
      <c r="G8875" t="e">
        <f t="shared" si="1558"/>
        <v>#N/A</v>
      </c>
    </row>
    <row r="8876" spans="1:7" x14ac:dyDescent="0.25">
      <c r="A8876" s="1">
        <f t="shared" si="1557"/>
        <v>45488</v>
      </c>
      <c r="B8876" s="36"/>
      <c r="E8876" s="5" t="e">
        <f>Table4[[#This Row],[qty]]*(VLOOKUP(Table4[[#This Row],[item_sold]],Table1[],5,FALSE))</f>
        <v>#N/A</v>
      </c>
      <c r="F8876" s="5" t="e">
        <f>(VLOOKUP(Table4[[#This Row],[item_sold]],Table1[],4,FALSE))*Table4[[#This Row],[qty]]</f>
        <v>#N/A</v>
      </c>
      <c r="G8876" t="e">
        <f t="shared" si="1558"/>
        <v>#N/A</v>
      </c>
    </row>
    <row r="8877" spans="1:7" x14ac:dyDescent="0.25">
      <c r="A8877" s="1">
        <f t="shared" si="1557"/>
        <v>45488</v>
      </c>
      <c r="B8877" s="36"/>
      <c r="E8877" s="5" t="e">
        <f>Table4[[#This Row],[qty]]*(VLOOKUP(Table4[[#This Row],[item_sold]],Table1[],5,FALSE))</f>
        <v>#N/A</v>
      </c>
      <c r="F8877" s="5" t="e">
        <f>(VLOOKUP(Table4[[#This Row],[item_sold]],Table1[],4,FALSE))*Table4[[#This Row],[qty]]</f>
        <v>#N/A</v>
      </c>
      <c r="G8877" t="e">
        <f t="shared" si="1558"/>
        <v>#N/A</v>
      </c>
    </row>
    <row r="8878" spans="1:7" x14ac:dyDescent="0.25">
      <c r="A8878" s="1">
        <f t="shared" si="1557"/>
        <v>45488</v>
      </c>
      <c r="B8878" s="36"/>
      <c r="E8878" s="5" t="e">
        <f>Table4[[#This Row],[qty]]*(VLOOKUP(Table4[[#This Row],[item_sold]],Table1[],5,FALSE))</f>
        <v>#N/A</v>
      </c>
      <c r="F8878" s="5" t="e">
        <f>(VLOOKUP(Table4[[#This Row],[item_sold]],Table1[],4,FALSE))*Table4[[#This Row],[qty]]</f>
        <v>#N/A</v>
      </c>
      <c r="G8878" t="e">
        <f t="shared" si="1558"/>
        <v>#N/A</v>
      </c>
    </row>
    <row r="8879" spans="1:7" x14ac:dyDescent="0.25">
      <c r="A8879" s="1">
        <f t="shared" si="1557"/>
        <v>45488</v>
      </c>
      <c r="B8879" s="36"/>
      <c r="E8879" s="5" t="e">
        <f>Table4[[#This Row],[qty]]*(VLOOKUP(Table4[[#This Row],[item_sold]],Table1[],5,FALSE))</f>
        <v>#N/A</v>
      </c>
      <c r="F8879" s="5" t="e">
        <f>(VLOOKUP(Table4[[#This Row],[item_sold]],Table1[],4,FALSE))*Table4[[#This Row],[qty]]</f>
        <v>#N/A</v>
      </c>
      <c r="G8879" t="e">
        <f t="shared" si="1558"/>
        <v>#N/A</v>
      </c>
    </row>
    <row r="8880" spans="1:7" x14ac:dyDescent="0.25">
      <c r="A8880" s="1">
        <f t="shared" si="1557"/>
        <v>45488</v>
      </c>
      <c r="B8880" s="36"/>
      <c r="E8880" s="5" t="e">
        <f>Table4[[#This Row],[qty]]*(VLOOKUP(Table4[[#This Row],[item_sold]],Table1[],5,FALSE))</f>
        <v>#N/A</v>
      </c>
      <c r="F8880" s="5" t="e">
        <f>(VLOOKUP(Table4[[#This Row],[item_sold]],Table1[],4,FALSE))*Table4[[#This Row],[qty]]</f>
        <v>#N/A</v>
      </c>
      <c r="G8880" t="e">
        <f t="shared" si="1558"/>
        <v>#N/A</v>
      </c>
    </row>
    <row r="8881" spans="1:7" x14ac:dyDescent="0.25">
      <c r="A8881" s="1">
        <f t="shared" si="1557"/>
        <v>45488</v>
      </c>
      <c r="B8881" s="36"/>
      <c r="E8881" s="5" t="e">
        <f>Table4[[#This Row],[qty]]*(VLOOKUP(Table4[[#This Row],[item_sold]],Table1[],5,FALSE))</f>
        <v>#N/A</v>
      </c>
      <c r="F8881" s="5" t="e">
        <f>(VLOOKUP(Table4[[#This Row],[item_sold]],Table1[],4,FALSE))*Table4[[#This Row],[qty]]</f>
        <v>#N/A</v>
      </c>
      <c r="G8881" t="e">
        <f t="shared" si="1558"/>
        <v>#N/A</v>
      </c>
    </row>
    <row r="8882" spans="1:7" x14ac:dyDescent="0.25">
      <c r="A8882" s="1">
        <f t="shared" si="1557"/>
        <v>45488</v>
      </c>
      <c r="B8882" s="36"/>
      <c r="E8882" s="5" t="e">
        <f>Table4[[#This Row],[qty]]*(VLOOKUP(Table4[[#This Row],[item_sold]],Table1[],5,FALSE))</f>
        <v>#N/A</v>
      </c>
      <c r="F8882" s="5" t="e">
        <f>(VLOOKUP(Table4[[#This Row],[item_sold]],Table1[],4,FALSE))*Table4[[#This Row],[qty]]</f>
        <v>#N/A</v>
      </c>
      <c r="G8882" t="e">
        <f t="shared" si="1558"/>
        <v>#N/A</v>
      </c>
    </row>
    <row r="8883" spans="1:7" x14ac:dyDescent="0.25">
      <c r="A8883" s="1">
        <f t="shared" si="1557"/>
        <v>45488</v>
      </c>
      <c r="B8883" s="36"/>
      <c r="E8883" s="5" t="e">
        <f>Table4[[#This Row],[qty]]*(VLOOKUP(Table4[[#This Row],[item_sold]],Table1[],5,FALSE))</f>
        <v>#N/A</v>
      </c>
      <c r="F8883" s="5" t="e">
        <f>(VLOOKUP(Table4[[#This Row],[item_sold]],Table1[],4,FALSE))*Table4[[#This Row],[qty]]</f>
        <v>#N/A</v>
      </c>
      <c r="G8883" t="e">
        <f t="shared" si="1558"/>
        <v>#N/A</v>
      </c>
    </row>
    <row r="8884" spans="1:7" x14ac:dyDescent="0.25">
      <c r="A8884" s="1">
        <f t="shared" si="1557"/>
        <v>45488</v>
      </c>
      <c r="B8884" s="36"/>
      <c r="E8884" s="5" t="e">
        <f>Table4[[#This Row],[qty]]*(VLOOKUP(Table4[[#This Row],[item_sold]],Table1[],5,FALSE))</f>
        <v>#N/A</v>
      </c>
      <c r="F8884" s="5" t="e">
        <f>(VLOOKUP(Table4[[#This Row],[item_sold]],Table1[],4,FALSE))*Table4[[#This Row],[qty]]</f>
        <v>#N/A</v>
      </c>
      <c r="G8884" t="e">
        <f t="shared" si="1558"/>
        <v>#N/A</v>
      </c>
    </row>
    <row r="8885" spans="1:7" x14ac:dyDescent="0.25">
      <c r="A8885" s="1">
        <f t="shared" si="1557"/>
        <v>45488</v>
      </c>
      <c r="B8885" s="36"/>
      <c r="E8885" s="5" t="e">
        <f>Table4[[#This Row],[qty]]*(VLOOKUP(Table4[[#This Row],[item_sold]],Table1[],5,FALSE))</f>
        <v>#N/A</v>
      </c>
      <c r="F8885" s="5" t="e">
        <f>(VLOOKUP(Table4[[#This Row],[item_sold]],Table1[],4,FALSE))*Table4[[#This Row],[qty]]</f>
        <v>#N/A</v>
      </c>
      <c r="G8885" t="e">
        <f t="shared" si="1558"/>
        <v>#N/A</v>
      </c>
    </row>
    <row r="8886" spans="1:7" x14ac:dyDescent="0.25">
      <c r="A8886" s="1">
        <f t="shared" si="1557"/>
        <v>45488</v>
      </c>
      <c r="B8886" s="36"/>
      <c r="E8886" s="5" t="e">
        <f>Table4[[#This Row],[qty]]*(VLOOKUP(Table4[[#This Row],[item_sold]],Table1[],5,FALSE))</f>
        <v>#N/A</v>
      </c>
      <c r="F8886" s="5" t="e">
        <f>(VLOOKUP(Table4[[#This Row],[item_sold]],Table1[],4,FALSE))*Table4[[#This Row],[qty]]</f>
        <v>#N/A</v>
      </c>
      <c r="G8886" t="e">
        <f t="shared" si="1558"/>
        <v>#N/A</v>
      </c>
    </row>
    <row r="8887" spans="1:7" x14ac:dyDescent="0.25">
      <c r="A8887" s="1">
        <f t="shared" si="1557"/>
        <v>45488</v>
      </c>
      <c r="B8887" s="36"/>
      <c r="E8887" s="5" t="e">
        <f>Table4[[#This Row],[qty]]*(VLOOKUP(Table4[[#This Row],[item_sold]],Table1[],5,FALSE))</f>
        <v>#N/A</v>
      </c>
      <c r="F8887" s="5" t="e">
        <f>(VLOOKUP(Table4[[#This Row],[item_sold]],Table1[],4,FALSE))*Table4[[#This Row],[qty]]</f>
        <v>#N/A</v>
      </c>
      <c r="G8887" t="e">
        <f t="shared" si="1558"/>
        <v>#N/A</v>
      </c>
    </row>
    <row r="8888" spans="1:7" x14ac:dyDescent="0.25">
      <c r="A8888" s="1">
        <f t="shared" si="1557"/>
        <v>45488</v>
      </c>
      <c r="B8888" s="36"/>
      <c r="E8888" s="5" t="e">
        <f>Table4[[#This Row],[qty]]*(VLOOKUP(Table4[[#This Row],[item_sold]],Table1[],5,FALSE))</f>
        <v>#N/A</v>
      </c>
      <c r="F8888" s="5" t="e">
        <f>(VLOOKUP(Table4[[#This Row],[item_sold]],Table1[],4,FALSE))*Table4[[#This Row],[qty]]</f>
        <v>#N/A</v>
      </c>
      <c r="G8888" t="e">
        <f t="shared" si="1558"/>
        <v>#N/A</v>
      </c>
    </row>
    <row r="8889" spans="1:7" x14ac:dyDescent="0.25">
      <c r="A8889" s="1">
        <f t="shared" si="1557"/>
        <v>45488</v>
      </c>
      <c r="B8889" s="36"/>
      <c r="E8889" s="5" t="e">
        <f>Table4[[#This Row],[qty]]*(VLOOKUP(Table4[[#This Row],[item_sold]],Table1[],5,FALSE))</f>
        <v>#N/A</v>
      </c>
      <c r="F8889" s="5" t="e">
        <f>(VLOOKUP(Table4[[#This Row],[item_sold]],Table1[],4,FALSE))*Table4[[#This Row],[qty]]</f>
        <v>#N/A</v>
      </c>
      <c r="G8889" t="e">
        <f t="shared" si="1558"/>
        <v>#N/A</v>
      </c>
    </row>
    <row r="8890" spans="1:7" x14ac:dyDescent="0.25">
      <c r="A8890" s="1">
        <f t="shared" si="1557"/>
        <v>45488</v>
      </c>
      <c r="B8890" s="36"/>
      <c r="E8890" s="5" t="e">
        <f>Table4[[#This Row],[qty]]*(VLOOKUP(Table4[[#This Row],[item_sold]],Table1[],5,FALSE))</f>
        <v>#N/A</v>
      </c>
      <c r="F8890" s="5" t="e">
        <f>(VLOOKUP(Table4[[#This Row],[item_sold]],Table1[],4,FALSE))*Table4[[#This Row],[qty]]</f>
        <v>#N/A</v>
      </c>
      <c r="G8890" t="e">
        <f t="shared" si="1558"/>
        <v>#N/A</v>
      </c>
    </row>
    <row r="8891" spans="1:7" x14ac:dyDescent="0.25">
      <c r="A8891" s="1">
        <f t="shared" si="1557"/>
        <v>45488</v>
      </c>
      <c r="B8891" s="36"/>
      <c r="E8891" s="5" t="e">
        <f>Table4[[#This Row],[qty]]*(VLOOKUP(Table4[[#This Row],[item_sold]],Table1[],5,FALSE))</f>
        <v>#N/A</v>
      </c>
      <c r="F8891" s="5" t="e">
        <f>(VLOOKUP(Table4[[#This Row],[item_sold]],Table1[],4,FALSE))*Table4[[#This Row],[qty]]</f>
        <v>#N/A</v>
      </c>
      <c r="G8891" t="e">
        <f t="shared" si="1558"/>
        <v>#N/A</v>
      </c>
    </row>
    <row r="8892" spans="1:7" x14ac:dyDescent="0.25">
      <c r="A8892" s="1">
        <f t="shared" si="1557"/>
        <v>45488</v>
      </c>
      <c r="B8892" s="36"/>
      <c r="E8892" s="5" t="e">
        <f>Table4[[#This Row],[qty]]*(VLOOKUP(Table4[[#This Row],[item_sold]],Table1[],5,FALSE))</f>
        <v>#N/A</v>
      </c>
      <c r="F8892" s="5" t="e">
        <f>(VLOOKUP(Table4[[#This Row],[item_sold]],Table1[],4,FALSE))*Table4[[#This Row],[qty]]</f>
        <v>#N/A</v>
      </c>
      <c r="G8892" t="e">
        <f t="shared" si="1558"/>
        <v>#N/A</v>
      </c>
    </row>
    <row r="8893" spans="1:7" x14ac:dyDescent="0.25">
      <c r="A8893" s="1">
        <f t="shared" si="1557"/>
        <v>45488</v>
      </c>
      <c r="B8893" s="36"/>
      <c r="E8893" s="5" t="e">
        <f>Table4[[#This Row],[qty]]*(VLOOKUP(Table4[[#This Row],[item_sold]],Table1[],5,FALSE))</f>
        <v>#N/A</v>
      </c>
      <c r="F8893" s="5" t="e">
        <f>(VLOOKUP(Table4[[#This Row],[item_sold]],Table1[],4,FALSE))*Table4[[#This Row],[qty]]</f>
        <v>#N/A</v>
      </c>
      <c r="G8893" t="e">
        <f t="shared" si="1558"/>
        <v>#N/A</v>
      </c>
    </row>
    <row r="8894" spans="1:7" x14ac:dyDescent="0.25">
      <c r="A8894" s="1">
        <f t="shared" si="1557"/>
        <v>45488</v>
      </c>
      <c r="B8894" s="36"/>
      <c r="E8894" s="5" t="e">
        <f>Table4[[#This Row],[qty]]*(VLOOKUP(Table4[[#This Row],[item_sold]],Table1[],5,FALSE))</f>
        <v>#N/A</v>
      </c>
      <c r="F8894" s="5" t="e">
        <f>(VLOOKUP(Table4[[#This Row],[item_sold]],Table1[],4,FALSE))*Table4[[#This Row],[qty]]</f>
        <v>#N/A</v>
      </c>
      <c r="G8894" t="e">
        <f t="shared" si="1558"/>
        <v>#N/A</v>
      </c>
    </row>
    <row r="8895" spans="1:7" x14ac:dyDescent="0.25">
      <c r="A8895" s="1">
        <f t="shared" si="1557"/>
        <v>45488</v>
      </c>
      <c r="B8895" s="36"/>
      <c r="E8895" s="5" t="e">
        <f>Table4[[#This Row],[qty]]*(VLOOKUP(Table4[[#This Row],[item_sold]],Table1[],5,FALSE))</f>
        <v>#N/A</v>
      </c>
      <c r="F8895" s="5" t="e">
        <f>(VLOOKUP(Table4[[#This Row],[item_sold]],Table1[],4,FALSE))*Table4[[#This Row],[qty]]</f>
        <v>#N/A</v>
      </c>
      <c r="G8895" t="e">
        <f t="shared" si="1558"/>
        <v>#N/A</v>
      </c>
    </row>
    <row r="8896" spans="1:7" x14ac:dyDescent="0.25">
      <c r="A8896" s="1">
        <f t="shared" si="1557"/>
        <v>45488</v>
      </c>
      <c r="B8896" s="36"/>
      <c r="E8896" s="5" t="e">
        <f>Table4[[#This Row],[qty]]*(VLOOKUP(Table4[[#This Row],[item_sold]],Table1[],5,FALSE))</f>
        <v>#N/A</v>
      </c>
      <c r="F8896" s="5" t="e">
        <f>(VLOOKUP(Table4[[#This Row],[item_sold]],Table1[],4,FALSE))*Table4[[#This Row],[qty]]</f>
        <v>#N/A</v>
      </c>
      <c r="G8896" t="e">
        <f t="shared" si="1558"/>
        <v>#N/A</v>
      </c>
    </row>
    <row r="8897" spans="1:7" x14ac:dyDescent="0.25">
      <c r="A8897" s="1">
        <f t="shared" si="1557"/>
        <v>45488</v>
      </c>
      <c r="B8897" s="36"/>
      <c r="E8897" s="5" t="e">
        <f>Table4[[#This Row],[qty]]*(VLOOKUP(Table4[[#This Row],[item_sold]],Table1[],5,FALSE))</f>
        <v>#N/A</v>
      </c>
      <c r="F8897" s="5" t="e">
        <f>(VLOOKUP(Table4[[#This Row],[item_sold]],Table1[],4,FALSE))*Table4[[#This Row],[qty]]</f>
        <v>#N/A</v>
      </c>
      <c r="G8897" t="e">
        <f t="shared" si="1558"/>
        <v>#N/A</v>
      </c>
    </row>
    <row r="8898" spans="1:7" x14ac:dyDescent="0.25">
      <c r="A8898" s="1">
        <f t="shared" si="1557"/>
        <v>45488</v>
      </c>
      <c r="B8898" s="36"/>
      <c r="E8898" s="5" t="e">
        <f>Table4[[#This Row],[qty]]*(VLOOKUP(Table4[[#This Row],[item_sold]],Table1[],5,FALSE))</f>
        <v>#N/A</v>
      </c>
      <c r="F8898" s="5" t="e">
        <f>(VLOOKUP(Table4[[#This Row],[item_sold]],Table1[],4,FALSE))*Table4[[#This Row],[qty]]</f>
        <v>#N/A</v>
      </c>
      <c r="G8898" t="e">
        <f t="shared" si="1558"/>
        <v>#N/A</v>
      </c>
    </row>
    <row r="8899" spans="1:7" x14ac:dyDescent="0.25">
      <c r="A8899" s="1">
        <f t="shared" si="1557"/>
        <v>45488</v>
      </c>
      <c r="B8899" s="36"/>
      <c r="E8899" s="5" t="e">
        <f>Table4[[#This Row],[qty]]*(VLOOKUP(Table4[[#This Row],[item_sold]],Table1[],5,FALSE))</f>
        <v>#N/A</v>
      </c>
      <c r="F8899" s="5" t="e">
        <f>(VLOOKUP(Table4[[#This Row],[item_sold]],Table1[],4,FALSE))*Table4[[#This Row],[qty]]</f>
        <v>#N/A</v>
      </c>
      <c r="G8899" t="e">
        <f t="shared" si="1558"/>
        <v>#N/A</v>
      </c>
    </row>
    <row r="8900" spans="1:7" x14ac:dyDescent="0.25">
      <c r="A8900" s="1">
        <f t="shared" si="1557"/>
        <v>45488</v>
      </c>
      <c r="B8900" s="36"/>
      <c r="E8900" s="5" t="e">
        <f>Table4[[#This Row],[qty]]*(VLOOKUP(Table4[[#This Row],[item_sold]],Table1[],5,FALSE))</f>
        <v>#N/A</v>
      </c>
      <c r="F8900" s="5" t="e">
        <f>(VLOOKUP(Table4[[#This Row],[item_sold]],Table1[],4,FALSE))*Table4[[#This Row],[qty]]</f>
        <v>#N/A</v>
      </c>
      <c r="G8900" t="e">
        <f t="shared" si="1558"/>
        <v>#N/A</v>
      </c>
    </row>
    <row r="8901" spans="1:7" x14ac:dyDescent="0.25">
      <c r="A8901" s="1">
        <f t="shared" si="1557"/>
        <v>45488</v>
      </c>
      <c r="B8901" s="36"/>
      <c r="E8901" s="5" t="e">
        <f>Table4[[#This Row],[qty]]*(VLOOKUP(Table4[[#This Row],[item_sold]],Table1[],5,FALSE))</f>
        <v>#N/A</v>
      </c>
      <c r="F8901" s="5" t="e">
        <f>(VLOOKUP(Table4[[#This Row],[item_sold]],Table1[],4,FALSE))*Table4[[#This Row],[qty]]</f>
        <v>#N/A</v>
      </c>
      <c r="G8901" t="e">
        <f t="shared" si="1558"/>
        <v>#N/A</v>
      </c>
    </row>
    <row r="8902" spans="1:7" x14ac:dyDescent="0.25">
      <c r="A8902" s="1">
        <f t="shared" si="1557"/>
        <v>45488</v>
      </c>
      <c r="B8902" s="36"/>
      <c r="E8902" s="5" t="e">
        <f>Table4[[#This Row],[qty]]*(VLOOKUP(Table4[[#This Row],[item_sold]],Table1[],5,FALSE))</f>
        <v>#N/A</v>
      </c>
      <c r="F8902" s="5" t="e">
        <f>(VLOOKUP(Table4[[#This Row],[item_sold]],Table1[],4,FALSE))*Table4[[#This Row],[qty]]</f>
        <v>#N/A</v>
      </c>
      <c r="G8902" t="e">
        <f t="shared" si="1558"/>
        <v>#N/A</v>
      </c>
    </row>
    <row r="8903" spans="1:7" x14ac:dyDescent="0.25">
      <c r="A8903" s="1">
        <f t="shared" si="1557"/>
        <v>45488</v>
      </c>
      <c r="B8903" s="36"/>
      <c r="E8903" s="5" t="e">
        <f>Table4[[#This Row],[qty]]*(VLOOKUP(Table4[[#This Row],[item_sold]],Table1[],5,FALSE))</f>
        <v>#N/A</v>
      </c>
      <c r="F8903" s="5" t="e">
        <f>(VLOOKUP(Table4[[#This Row],[item_sold]],Table1[],4,FALSE))*Table4[[#This Row],[qty]]</f>
        <v>#N/A</v>
      </c>
      <c r="G8903" t="e">
        <f t="shared" si="1558"/>
        <v>#N/A</v>
      </c>
    </row>
    <row r="8904" spans="1:7" x14ac:dyDescent="0.25">
      <c r="A8904" s="1">
        <f t="shared" si="1557"/>
        <v>45488</v>
      </c>
      <c r="B8904" s="36"/>
      <c r="E8904" s="5" t="e">
        <f>Table4[[#This Row],[qty]]*(VLOOKUP(Table4[[#This Row],[item_sold]],Table1[],5,FALSE))</f>
        <v>#N/A</v>
      </c>
      <c r="F8904" s="5" t="e">
        <f>(VLOOKUP(Table4[[#This Row],[item_sold]],Table1[],4,FALSE))*Table4[[#This Row],[qty]]</f>
        <v>#N/A</v>
      </c>
      <c r="G8904" t="e">
        <f t="shared" si="1558"/>
        <v>#N/A</v>
      </c>
    </row>
    <row r="8905" spans="1:7" x14ac:dyDescent="0.25">
      <c r="A8905" s="1">
        <f t="shared" si="1557"/>
        <v>45488</v>
      </c>
      <c r="B8905" s="36"/>
      <c r="E8905" s="5" t="e">
        <f>Table4[[#This Row],[qty]]*(VLOOKUP(Table4[[#This Row],[item_sold]],Table1[],5,FALSE))</f>
        <v>#N/A</v>
      </c>
      <c r="F8905" s="5" t="e">
        <f>(VLOOKUP(Table4[[#This Row],[item_sold]],Table1[],4,FALSE))*Table4[[#This Row],[qty]]</f>
        <v>#N/A</v>
      </c>
      <c r="G8905" t="e">
        <f t="shared" si="1558"/>
        <v>#N/A</v>
      </c>
    </row>
    <row r="8906" spans="1:7" x14ac:dyDescent="0.25">
      <c r="A8906" s="1">
        <f t="shared" si="1557"/>
        <v>45488</v>
      </c>
      <c r="B8906" s="36"/>
      <c r="E8906" s="5" t="e">
        <f>Table4[[#This Row],[qty]]*(VLOOKUP(Table4[[#This Row],[item_sold]],Table1[],5,FALSE))</f>
        <v>#N/A</v>
      </c>
      <c r="F8906" s="5" t="e">
        <f>(VLOOKUP(Table4[[#This Row],[item_sold]],Table1[],4,FALSE))*Table4[[#This Row],[qty]]</f>
        <v>#N/A</v>
      </c>
      <c r="G8906" t="e">
        <f t="shared" si="1558"/>
        <v>#N/A</v>
      </c>
    </row>
    <row r="8907" spans="1:7" x14ac:dyDescent="0.25">
      <c r="A8907" s="1">
        <f t="shared" si="1557"/>
        <v>45488</v>
      </c>
      <c r="B8907" s="36"/>
      <c r="E8907" s="5" t="e">
        <f>Table4[[#This Row],[qty]]*(VLOOKUP(Table4[[#This Row],[item_sold]],Table1[],5,FALSE))</f>
        <v>#N/A</v>
      </c>
      <c r="F8907" s="5" t="e">
        <f>(VLOOKUP(Table4[[#This Row],[item_sold]],Table1[],4,FALSE))*Table4[[#This Row],[qty]]</f>
        <v>#N/A</v>
      </c>
      <c r="G8907" t="e">
        <f t="shared" si="1558"/>
        <v>#N/A</v>
      </c>
    </row>
    <row r="8908" spans="1:7" x14ac:dyDescent="0.25">
      <c r="A8908" s="1">
        <f t="shared" si="1557"/>
        <v>45488</v>
      </c>
      <c r="B8908" s="36"/>
      <c r="E8908" s="5" t="e">
        <f>Table4[[#This Row],[qty]]*(VLOOKUP(Table4[[#This Row],[item_sold]],Table1[],5,FALSE))</f>
        <v>#N/A</v>
      </c>
      <c r="F8908" s="5" t="e">
        <f>(VLOOKUP(Table4[[#This Row],[item_sold]],Table1[],4,FALSE))*Table4[[#This Row],[qty]]</f>
        <v>#N/A</v>
      </c>
      <c r="G8908" t="e">
        <f t="shared" si="1558"/>
        <v>#N/A</v>
      </c>
    </row>
    <row r="8909" spans="1:7" x14ac:dyDescent="0.25">
      <c r="A8909" s="1">
        <f t="shared" si="1557"/>
        <v>45488</v>
      </c>
      <c r="B8909" s="36"/>
      <c r="E8909" s="5" t="e">
        <f>Table4[[#This Row],[qty]]*(VLOOKUP(Table4[[#This Row],[item_sold]],Table1[],5,FALSE))</f>
        <v>#N/A</v>
      </c>
      <c r="F8909" s="5" t="e">
        <f>(VLOOKUP(Table4[[#This Row],[item_sold]],Table1[],4,FALSE))*Table4[[#This Row],[qty]]</f>
        <v>#N/A</v>
      </c>
      <c r="G8909" t="e">
        <f t="shared" si="1558"/>
        <v>#N/A</v>
      </c>
    </row>
    <row r="8910" spans="1:7" x14ac:dyDescent="0.25">
      <c r="A8910" s="1">
        <f t="shared" si="1557"/>
        <v>45488</v>
      </c>
      <c r="B8910" s="36"/>
      <c r="E8910" s="5" t="e">
        <f>Table4[[#This Row],[qty]]*(VLOOKUP(Table4[[#This Row],[item_sold]],Table1[],5,FALSE))</f>
        <v>#N/A</v>
      </c>
      <c r="F8910" s="5" t="e">
        <f>(VLOOKUP(Table4[[#This Row],[item_sold]],Table1[],4,FALSE))*Table4[[#This Row],[qty]]</f>
        <v>#N/A</v>
      </c>
      <c r="G8910" t="e">
        <f t="shared" si="1558"/>
        <v>#N/A</v>
      </c>
    </row>
    <row r="8911" spans="1:7" x14ac:dyDescent="0.25">
      <c r="A8911" s="1">
        <f t="shared" si="1557"/>
        <v>45488</v>
      </c>
      <c r="B8911" s="36"/>
      <c r="E8911" s="5" t="e">
        <f>Table4[[#This Row],[qty]]*(VLOOKUP(Table4[[#This Row],[item_sold]],Table1[],5,FALSE))</f>
        <v>#N/A</v>
      </c>
      <c r="F8911" s="5" t="e">
        <f>(VLOOKUP(Table4[[#This Row],[item_sold]],Table1[],4,FALSE))*Table4[[#This Row],[qty]]</f>
        <v>#N/A</v>
      </c>
      <c r="G8911" t="e">
        <f t="shared" si="1558"/>
        <v>#N/A</v>
      </c>
    </row>
    <row r="8912" spans="1:7" x14ac:dyDescent="0.25">
      <c r="A8912" s="1">
        <f t="shared" si="1557"/>
        <v>45488</v>
      </c>
      <c r="B8912" s="36"/>
      <c r="E8912" s="5" t="e">
        <f>Table4[[#This Row],[qty]]*(VLOOKUP(Table4[[#This Row],[item_sold]],Table1[],5,FALSE))</f>
        <v>#N/A</v>
      </c>
      <c r="F8912" s="5" t="e">
        <f>(VLOOKUP(Table4[[#This Row],[item_sold]],Table1[],4,FALSE))*Table4[[#This Row],[qty]]</f>
        <v>#N/A</v>
      </c>
      <c r="G8912" t="e">
        <f t="shared" si="1558"/>
        <v>#N/A</v>
      </c>
    </row>
    <row r="8913" spans="1:7" x14ac:dyDescent="0.25">
      <c r="A8913" s="1">
        <f t="shared" si="1557"/>
        <v>45488</v>
      </c>
      <c r="B8913" s="36"/>
      <c r="E8913" s="5" t="e">
        <f>Table4[[#This Row],[qty]]*(VLOOKUP(Table4[[#This Row],[item_sold]],Table1[],5,FALSE))</f>
        <v>#N/A</v>
      </c>
      <c r="F8913" s="5" t="e">
        <f>(VLOOKUP(Table4[[#This Row],[item_sold]],Table1[],4,FALSE))*Table4[[#This Row],[qty]]</f>
        <v>#N/A</v>
      </c>
      <c r="G8913" t="e">
        <f t="shared" si="1558"/>
        <v>#N/A</v>
      </c>
    </row>
    <row r="8914" spans="1:7" x14ac:dyDescent="0.25">
      <c r="A8914" s="1">
        <f t="shared" si="1557"/>
        <v>45488</v>
      </c>
      <c r="B8914" s="36"/>
      <c r="E8914" s="5" t="e">
        <f>Table4[[#This Row],[qty]]*(VLOOKUP(Table4[[#This Row],[item_sold]],Table1[],5,FALSE))</f>
        <v>#N/A</v>
      </c>
      <c r="F8914" s="5" t="e">
        <f>(VLOOKUP(Table4[[#This Row],[item_sold]],Table1[],4,FALSE))*Table4[[#This Row],[qty]]</f>
        <v>#N/A</v>
      </c>
      <c r="G8914" t="e">
        <f t="shared" si="1558"/>
        <v>#N/A</v>
      </c>
    </row>
    <row r="8915" spans="1:7" x14ac:dyDescent="0.25">
      <c r="A8915" s="1">
        <f t="shared" si="1557"/>
        <v>45488</v>
      </c>
      <c r="B8915" s="36"/>
      <c r="E8915" s="5" t="e">
        <f>Table4[[#This Row],[qty]]*(VLOOKUP(Table4[[#This Row],[item_sold]],Table1[],5,FALSE))</f>
        <v>#N/A</v>
      </c>
      <c r="F8915" s="5" t="e">
        <f>(VLOOKUP(Table4[[#This Row],[item_sold]],Table1[],4,FALSE))*Table4[[#This Row],[qty]]</f>
        <v>#N/A</v>
      </c>
      <c r="G8915" t="e">
        <f t="shared" si="1558"/>
        <v>#N/A</v>
      </c>
    </row>
    <row r="8916" spans="1:7" x14ac:dyDescent="0.25">
      <c r="A8916" s="1">
        <f t="shared" ref="A8916:A8979" si="1559">DATE(2024,7,15)</f>
        <v>45488</v>
      </c>
      <c r="B8916" s="36"/>
      <c r="E8916" s="5" t="e">
        <f>Table4[[#This Row],[qty]]*(VLOOKUP(Table4[[#This Row],[item_sold]],Table1[],5,FALSE))</f>
        <v>#N/A</v>
      </c>
      <c r="F8916" s="5" t="e">
        <f>(VLOOKUP(Table4[[#This Row],[item_sold]],Table1[],4,FALSE))*Table4[[#This Row],[qty]]</f>
        <v>#N/A</v>
      </c>
      <c r="G8916" t="e">
        <f t="shared" ref="G8916:G8979" si="1560">E8916-F8916</f>
        <v>#N/A</v>
      </c>
    </row>
    <row r="8917" spans="1:7" x14ac:dyDescent="0.25">
      <c r="A8917" s="1">
        <f t="shared" si="1559"/>
        <v>45488</v>
      </c>
      <c r="B8917" s="36"/>
      <c r="E8917" s="5" t="e">
        <f>Table4[[#This Row],[qty]]*(VLOOKUP(Table4[[#This Row],[item_sold]],Table1[],5,FALSE))</f>
        <v>#N/A</v>
      </c>
      <c r="F8917" s="5" t="e">
        <f>(VLOOKUP(Table4[[#This Row],[item_sold]],Table1[],4,FALSE))*Table4[[#This Row],[qty]]</f>
        <v>#N/A</v>
      </c>
      <c r="G8917" t="e">
        <f t="shared" si="1560"/>
        <v>#N/A</v>
      </c>
    </row>
    <row r="8918" spans="1:7" x14ac:dyDescent="0.25">
      <c r="A8918" s="1">
        <f t="shared" si="1559"/>
        <v>45488</v>
      </c>
      <c r="B8918" s="36"/>
      <c r="E8918" s="5" t="e">
        <f>Table4[[#This Row],[qty]]*(VLOOKUP(Table4[[#This Row],[item_sold]],Table1[],5,FALSE))</f>
        <v>#N/A</v>
      </c>
      <c r="F8918" s="5" t="e">
        <f>(VLOOKUP(Table4[[#This Row],[item_sold]],Table1[],4,FALSE))*Table4[[#This Row],[qty]]</f>
        <v>#N/A</v>
      </c>
      <c r="G8918" t="e">
        <f t="shared" si="1560"/>
        <v>#N/A</v>
      </c>
    </row>
    <row r="8919" spans="1:7" x14ac:dyDescent="0.25">
      <c r="A8919" s="1">
        <f t="shared" si="1559"/>
        <v>45488</v>
      </c>
      <c r="B8919" s="36"/>
      <c r="E8919" s="5" t="e">
        <f>Table4[[#This Row],[qty]]*(VLOOKUP(Table4[[#This Row],[item_sold]],Table1[],5,FALSE))</f>
        <v>#N/A</v>
      </c>
      <c r="F8919" s="5" t="e">
        <f>(VLOOKUP(Table4[[#This Row],[item_sold]],Table1[],4,FALSE))*Table4[[#This Row],[qty]]</f>
        <v>#N/A</v>
      </c>
      <c r="G8919" t="e">
        <f t="shared" si="1560"/>
        <v>#N/A</v>
      </c>
    </row>
    <row r="8920" spans="1:7" x14ac:dyDescent="0.25">
      <c r="A8920" s="1">
        <f t="shared" si="1559"/>
        <v>45488</v>
      </c>
      <c r="B8920" s="36"/>
      <c r="E8920" s="5" t="e">
        <f>Table4[[#This Row],[qty]]*(VLOOKUP(Table4[[#This Row],[item_sold]],Table1[],5,FALSE))</f>
        <v>#N/A</v>
      </c>
      <c r="F8920" s="5" t="e">
        <f>(VLOOKUP(Table4[[#This Row],[item_sold]],Table1[],4,FALSE))*Table4[[#This Row],[qty]]</f>
        <v>#N/A</v>
      </c>
      <c r="G8920" t="e">
        <f t="shared" si="1560"/>
        <v>#N/A</v>
      </c>
    </row>
    <row r="8921" spans="1:7" x14ac:dyDescent="0.25">
      <c r="A8921" s="1">
        <f t="shared" si="1559"/>
        <v>45488</v>
      </c>
      <c r="B8921" s="36"/>
      <c r="E8921" s="5" t="e">
        <f>Table4[[#This Row],[qty]]*(VLOOKUP(Table4[[#This Row],[item_sold]],Table1[],5,FALSE))</f>
        <v>#N/A</v>
      </c>
      <c r="F8921" s="5" t="e">
        <f>(VLOOKUP(Table4[[#This Row],[item_sold]],Table1[],4,FALSE))*Table4[[#This Row],[qty]]</f>
        <v>#N/A</v>
      </c>
      <c r="G8921" t="e">
        <f t="shared" si="1560"/>
        <v>#N/A</v>
      </c>
    </row>
    <row r="8922" spans="1:7" x14ac:dyDescent="0.25">
      <c r="A8922" s="1">
        <f t="shared" si="1559"/>
        <v>45488</v>
      </c>
      <c r="B8922" s="36"/>
      <c r="E8922" s="5" t="e">
        <f>Table4[[#This Row],[qty]]*(VLOOKUP(Table4[[#This Row],[item_sold]],Table1[],5,FALSE))</f>
        <v>#N/A</v>
      </c>
      <c r="F8922" s="5" t="e">
        <f>(VLOOKUP(Table4[[#This Row],[item_sold]],Table1[],4,FALSE))*Table4[[#This Row],[qty]]</f>
        <v>#N/A</v>
      </c>
      <c r="G8922" t="e">
        <f t="shared" si="1560"/>
        <v>#N/A</v>
      </c>
    </row>
    <row r="8923" spans="1:7" x14ac:dyDescent="0.25">
      <c r="A8923" s="1">
        <f t="shared" si="1559"/>
        <v>45488</v>
      </c>
      <c r="B8923" s="36"/>
      <c r="E8923" s="5" t="e">
        <f>Table4[[#This Row],[qty]]*(VLOOKUP(Table4[[#This Row],[item_sold]],Table1[],5,FALSE))</f>
        <v>#N/A</v>
      </c>
      <c r="F8923" s="5" t="e">
        <f>(VLOOKUP(Table4[[#This Row],[item_sold]],Table1[],4,FALSE))*Table4[[#This Row],[qty]]</f>
        <v>#N/A</v>
      </c>
      <c r="G8923" t="e">
        <f t="shared" si="1560"/>
        <v>#N/A</v>
      </c>
    </row>
    <row r="8924" spans="1:7" x14ac:dyDescent="0.25">
      <c r="A8924" s="1">
        <f t="shared" si="1559"/>
        <v>45488</v>
      </c>
      <c r="B8924" s="36"/>
      <c r="E8924" s="5" t="e">
        <f>Table4[[#This Row],[qty]]*(VLOOKUP(Table4[[#This Row],[item_sold]],Table1[],5,FALSE))</f>
        <v>#N/A</v>
      </c>
      <c r="F8924" s="5" t="e">
        <f>(VLOOKUP(Table4[[#This Row],[item_sold]],Table1[],4,FALSE))*Table4[[#This Row],[qty]]</f>
        <v>#N/A</v>
      </c>
      <c r="G8924" t="e">
        <f t="shared" si="1560"/>
        <v>#N/A</v>
      </c>
    </row>
    <row r="8925" spans="1:7" x14ac:dyDescent="0.25">
      <c r="A8925" s="1">
        <f t="shared" si="1559"/>
        <v>45488</v>
      </c>
      <c r="B8925" s="36"/>
      <c r="E8925" s="5" t="e">
        <f>Table4[[#This Row],[qty]]*(VLOOKUP(Table4[[#This Row],[item_sold]],Table1[],5,FALSE))</f>
        <v>#N/A</v>
      </c>
      <c r="F8925" s="5" t="e">
        <f>(VLOOKUP(Table4[[#This Row],[item_sold]],Table1[],4,FALSE))*Table4[[#This Row],[qty]]</f>
        <v>#N/A</v>
      </c>
      <c r="G8925" t="e">
        <f t="shared" si="1560"/>
        <v>#N/A</v>
      </c>
    </row>
    <row r="8926" spans="1:7" x14ac:dyDescent="0.25">
      <c r="A8926" s="1">
        <f t="shared" si="1559"/>
        <v>45488</v>
      </c>
      <c r="B8926" s="36"/>
      <c r="E8926" s="5" t="e">
        <f>Table4[[#This Row],[qty]]*(VLOOKUP(Table4[[#This Row],[item_sold]],Table1[],5,FALSE))</f>
        <v>#N/A</v>
      </c>
      <c r="F8926" s="5" t="e">
        <f>(VLOOKUP(Table4[[#This Row],[item_sold]],Table1[],4,FALSE))*Table4[[#This Row],[qty]]</f>
        <v>#N/A</v>
      </c>
      <c r="G8926" t="e">
        <f t="shared" si="1560"/>
        <v>#N/A</v>
      </c>
    </row>
    <row r="8927" spans="1:7" x14ac:dyDescent="0.25">
      <c r="A8927" s="1">
        <f t="shared" si="1559"/>
        <v>45488</v>
      </c>
      <c r="B8927" s="36"/>
      <c r="E8927" s="5" t="e">
        <f>Table4[[#This Row],[qty]]*(VLOOKUP(Table4[[#This Row],[item_sold]],Table1[],5,FALSE))</f>
        <v>#N/A</v>
      </c>
      <c r="F8927" s="5" t="e">
        <f>(VLOOKUP(Table4[[#This Row],[item_sold]],Table1[],4,FALSE))*Table4[[#This Row],[qty]]</f>
        <v>#N/A</v>
      </c>
      <c r="G8927" t="e">
        <f t="shared" si="1560"/>
        <v>#N/A</v>
      </c>
    </row>
    <row r="8928" spans="1:7" x14ac:dyDescent="0.25">
      <c r="A8928" s="1">
        <f t="shared" si="1559"/>
        <v>45488</v>
      </c>
      <c r="B8928" s="36"/>
      <c r="E8928" s="5" t="e">
        <f>Table4[[#This Row],[qty]]*(VLOOKUP(Table4[[#This Row],[item_sold]],Table1[],5,FALSE))</f>
        <v>#N/A</v>
      </c>
      <c r="F8928" s="5" t="e">
        <f>(VLOOKUP(Table4[[#This Row],[item_sold]],Table1[],4,FALSE))*Table4[[#This Row],[qty]]</f>
        <v>#N/A</v>
      </c>
      <c r="G8928" t="e">
        <f t="shared" si="1560"/>
        <v>#N/A</v>
      </c>
    </row>
    <row r="8929" spans="1:7" x14ac:dyDescent="0.25">
      <c r="A8929" s="1">
        <f t="shared" si="1559"/>
        <v>45488</v>
      </c>
      <c r="B8929" s="36"/>
      <c r="E8929" s="5" t="e">
        <f>Table4[[#This Row],[qty]]*(VLOOKUP(Table4[[#This Row],[item_sold]],Table1[],5,FALSE))</f>
        <v>#N/A</v>
      </c>
      <c r="F8929" s="5" t="e">
        <f>(VLOOKUP(Table4[[#This Row],[item_sold]],Table1[],4,FALSE))*Table4[[#This Row],[qty]]</f>
        <v>#N/A</v>
      </c>
      <c r="G8929" t="e">
        <f t="shared" si="1560"/>
        <v>#N/A</v>
      </c>
    </row>
    <row r="8930" spans="1:7" x14ac:dyDescent="0.25">
      <c r="A8930" s="1">
        <f t="shared" si="1559"/>
        <v>45488</v>
      </c>
      <c r="B8930" s="36"/>
      <c r="E8930" s="5" t="e">
        <f>Table4[[#This Row],[qty]]*(VLOOKUP(Table4[[#This Row],[item_sold]],Table1[],5,FALSE))</f>
        <v>#N/A</v>
      </c>
      <c r="F8930" s="5" t="e">
        <f>(VLOOKUP(Table4[[#This Row],[item_sold]],Table1[],4,FALSE))*Table4[[#This Row],[qty]]</f>
        <v>#N/A</v>
      </c>
      <c r="G8930" t="e">
        <f t="shared" si="1560"/>
        <v>#N/A</v>
      </c>
    </row>
    <row r="8931" spans="1:7" x14ac:dyDescent="0.25">
      <c r="A8931" s="1">
        <f t="shared" si="1559"/>
        <v>45488</v>
      </c>
      <c r="B8931" s="36"/>
      <c r="E8931" s="5" t="e">
        <f>Table4[[#This Row],[qty]]*(VLOOKUP(Table4[[#This Row],[item_sold]],Table1[],5,FALSE))</f>
        <v>#N/A</v>
      </c>
      <c r="F8931" s="5" t="e">
        <f>(VLOOKUP(Table4[[#This Row],[item_sold]],Table1[],4,FALSE))*Table4[[#This Row],[qty]]</f>
        <v>#N/A</v>
      </c>
      <c r="G8931" t="e">
        <f t="shared" si="1560"/>
        <v>#N/A</v>
      </c>
    </row>
    <row r="8932" spans="1:7" x14ac:dyDescent="0.25">
      <c r="A8932" s="1">
        <f t="shared" si="1559"/>
        <v>45488</v>
      </c>
      <c r="B8932" s="36"/>
      <c r="E8932" s="5" t="e">
        <f>Table4[[#This Row],[qty]]*(VLOOKUP(Table4[[#This Row],[item_sold]],Table1[],5,FALSE))</f>
        <v>#N/A</v>
      </c>
      <c r="F8932" s="5" t="e">
        <f>(VLOOKUP(Table4[[#This Row],[item_sold]],Table1[],4,FALSE))*Table4[[#This Row],[qty]]</f>
        <v>#N/A</v>
      </c>
      <c r="G8932" t="e">
        <f t="shared" si="1560"/>
        <v>#N/A</v>
      </c>
    </row>
    <row r="8933" spans="1:7" x14ac:dyDescent="0.25">
      <c r="A8933" s="1">
        <f t="shared" si="1559"/>
        <v>45488</v>
      </c>
      <c r="B8933" s="36"/>
      <c r="E8933" s="5" t="e">
        <f>Table4[[#This Row],[qty]]*(VLOOKUP(Table4[[#This Row],[item_sold]],Table1[],5,FALSE))</f>
        <v>#N/A</v>
      </c>
      <c r="F8933" s="5" t="e">
        <f>(VLOOKUP(Table4[[#This Row],[item_sold]],Table1[],4,FALSE))*Table4[[#This Row],[qty]]</f>
        <v>#N/A</v>
      </c>
      <c r="G8933" t="e">
        <f t="shared" si="1560"/>
        <v>#N/A</v>
      </c>
    </row>
    <row r="8934" spans="1:7" x14ac:dyDescent="0.25">
      <c r="A8934" s="1">
        <f t="shared" si="1559"/>
        <v>45488</v>
      </c>
      <c r="B8934" s="36"/>
      <c r="E8934" s="5" t="e">
        <f>Table4[[#This Row],[qty]]*(VLOOKUP(Table4[[#This Row],[item_sold]],Table1[],5,FALSE))</f>
        <v>#N/A</v>
      </c>
      <c r="F8934" s="5" t="e">
        <f>(VLOOKUP(Table4[[#This Row],[item_sold]],Table1[],4,FALSE))*Table4[[#This Row],[qty]]</f>
        <v>#N/A</v>
      </c>
      <c r="G8934" t="e">
        <f t="shared" si="1560"/>
        <v>#N/A</v>
      </c>
    </row>
    <row r="8935" spans="1:7" x14ac:dyDescent="0.25">
      <c r="A8935" s="1">
        <f t="shared" si="1559"/>
        <v>45488</v>
      </c>
      <c r="B8935" s="36"/>
      <c r="E8935" s="5" t="e">
        <f>Table4[[#This Row],[qty]]*(VLOOKUP(Table4[[#This Row],[item_sold]],Table1[],5,FALSE))</f>
        <v>#N/A</v>
      </c>
      <c r="F8935" s="5" t="e">
        <f>(VLOOKUP(Table4[[#This Row],[item_sold]],Table1[],4,FALSE))*Table4[[#This Row],[qty]]</f>
        <v>#N/A</v>
      </c>
      <c r="G8935" t="e">
        <f t="shared" si="1560"/>
        <v>#N/A</v>
      </c>
    </row>
    <row r="8936" spans="1:7" x14ac:dyDescent="0.25">
      <c r="A8936" s="1">
        <f t="shared" si="1559"/>
        <v>45488</v>
      </c>
      <c r="B8936" s="36"/>
      <c r="E8936" s="5" t="e">
        <f>Table4[[#This Row],[qty]]*(VLOOKUP(Table4[[#This Row],[item_sold]],Table1[],5,FALSE))</f>
        <v>#N/A</v>
      </c>
      <c r="F8936" s="5" t="e">
        <f>(VLOOKUP(Table4[[#This Row],[item_sold]],Table1[],4,FALSE))*Table4[[#This Row],[qty]]</f>
        <v>#N/A</v>
      </c>
      <c r="G8936" t="e">
        <f t="shared" si="1560"/>
        <v>#N/A</v>
      </c>
    </row>
    <row r="8937" spans="1:7" x14ac:dyDescent="0.25">
      <c r="A8937" s="1">
        <f t="shared" si="1559"/>
        <v>45488</v>
      </c>
      <c r="B8937" s="36"/>
      <c r="E8937" s="5" t="e">
        <f>Table4[[#This Row],[qty]]*(VLOOKUP(Table4[[#This Row],[item_sold]],Table1[],5,FALSE))</f>
        <v>#N/A</v>
      </c>
      <c r="F8937" s="5" t="e">
        <f>(VLOOKUP(Table4[[#This Row],[item_sold]],Table1[],4,FALSE))*Table4[[#This Row],[qty]]</f>
        <v>#N/A</v>
      </c>
      <c r="G8937" t="e">
        <f t="shared" si="1560"/>
        <v>#N/A</v>
      </c>
    </row>
    <row r="8938" spans="1:7" x14ac:dyDescent="0.25">
      <c r="A8938" s="1">
        <f t="shared" si="1559"/>
        <v>45488</v>
      </c>
      <c r="B8938" s="36"/>
      <c r="E8938" s="5" t="e">
        <f>Table4[[#This Row],[qty]]*(VLOOKUP(Table4[[#This Row],[item_sold]],Table1[],5,FALSE))</f>
        <v>#N/A</v>
      </c>
      <c r="F8938" s="5" t="e">
        <f>(VLOOKUP(Table4[[#This Row],[item_sold]],Table1[],4,FALSE))*Table4[[#This Row],[qty]]</f>
        <v>#N/A</v>
      </c>
      <c r="G8938" t="e">
        <f t="shared" si="1560"/>
        <v>#N/A</v>
      </c>
    </row>
    <row r="8939" spans="1:7" x14ac:dyDescent="0.25">
      <c r="A8939" s="1">
        <f t="shared" si="1559"/>
        <v>45488</v>
      </c>
      <c r="B8939" s="36"/>
      <c r="E8939" s="5" t="e">
        <f>Table4[[#This Row],[qty]]*(VLOOKUP(Table4[[#This Row],[item_sold]],Table1[],5,FALSE))</f>
        <v>#N/A</v>
      </c>
      <c r="F8939" s="5" t="e">
        <f>(VLOOKUP(Table4[[#This Row],[item_sold]],Table1[],4,FALSE))*Table4[[#This Row],[qty]]</f>
        <v>#N/A</v>
      </c>
      <c r="G8939" t="e">
        <f t="shared" si="1560"/>
        <v>#N/A</v>
      </c>
    </row>
    <row r="8940" spans="1:7" x14ac:dyDescent="0.25">
      <c r="A8940" s="1">
        <f t="shared" si="1559"/>
        <v>45488</v>
      </c>
      <c r="B8940" s="36"/>
      <c r="E8940" s="5" t="e">
        <f>Table4[[#This Row],[qty]]*(VLOOKUP(Table4[[#This Row],[item_sold]],Table1[],5,FALSE))</f>
        <v>#N/A</v>
      </c>
      <c r="F8940" s="5" t="e">
        <f>(VLOOKUP(Table4[[#This Row],[item_sold]],Table1[],4,FALSE))*Table4[[#This Row],[qty]]</f>
        <v>#N/A</v>
      </c>
      <c r="G8940" t="e">
        <f t="shared" si="1560"/>
        <v>#N/A</v>
      </c>
    </row>
    <row r="8941" spans="1:7" x14ac:dyDescent="0.25">
      <c r="A8941" s="1">
        <f t="shared" si="1559"/>
        <v>45488</v>
      </c>
      <c r="B8941" s="36"/>
      <c r="E8941" s="5" t="e">
        <f>Table4[[#This Row],[qty]]*(VLOOKUP(Table4[[#This Row],[item_sold]],Table1[],5,FALSE))</f>
        <v>#N/A</v>
      </c>
      <c r="F8941" s="5" t="e">
        <f>(VLOOKUP(Table4[[#This Row],[item_sold]],Table1[],4,FALSE))*Table4[[#This Row],[qty]]</f>
        <v>#N/A</v>
      </c>
      <c r="G8941" t="e">
        <f t="shared" si="1560"/>
        <v>#N/A</v>
      </c>
    </row>
    <row r="8942" spans="1:7" x14ac:dyDescent="0.25">
      <c r="A8942" s="1">
        <f t="shared" si="1559"/>
        <v>45488</v>
      </c>
      <c r="B8942" s="36"/>
      <c r="E8942" s="5" t="e">
        <f>Table4[[#This Row],[qty]]*(VLOOKUP(Table4[[#This Row],[item_sold]],Table1[],5,FALSE))</f>
        <v>#N/A</v>
      </c>
      <c r="F8942" s="5" t="e">
        <f>(VLOOKUP(Table4[[#This Row],[item_sold]],Table1[],4,FALSE))*Table4[[#This Row],[qty]]</f>
        <v>#N/A</v>
      </c>
      <c r="G8942" t="e">
        <f t="shared" si="1560"/>
        <v>#N/A</v>
      </c>
    </row>
    <row r="8943" spans="1:7" x14ac:dyDescent="0.25">
      <c r="A8943" s="1">
        <f t="shared" si="1559"/>
        <v>45488</v>
      </c>
      <c r="B8943" s="36"/>
      <c r="E8943" s="5" t="e">
        <f>Table4[[#This Row],[qty]]*(VLOOKUP(Table4[[#This Row],[item_sold]],Table1[],5,FALSE))</f>
        <v>#N/A</v>
      </c>
      <c r="F8943" s="5" t="e">
        <f>(VLOOKUP(Table4[[#This Row],[item_sold]],Table1[],4,FALSE))*Table4[[#This Row],[qty]]</f>
        <v>#N/A</v>
      </c>
      <c r="G8943" t="e">
        <f t="shared" si="1560"/>
        <v>#N/A</v>
      </c>
    </row>
    <row r="8944" spans="1:7" x14ac:dyDescent="0.25">
      <c r="A8944" s="1">
        <f t="shared" si="1559"/>
        <v>45488</v>
      </c>
      <c r="B8944" s="36"/>
      <c r="E8944" s="5" t="e">
        <f>Table4[[#This Row],[qty]]*(VLOOKUP(Table4[[#This Row],[item_sold]],Table1[],5,FALSE))</f>
        <v>#N/A</v>
      </c>
      <c r="F8944" s="5" t="e">
        <f>(VLOOKUP(Table4[[#This Row],[item_sold]],Table1[],4,FALSE))*Table4[[#This Row],[qty]]</f>
        <v>#N/A</v>
      </c>
      <c r="G8944" t="e">
        <f t="shared" si="1560"/>
        <v>#N/A</v>
      </c>
    </row>
    <row r="8945" spans="1:7" x14ac:dyDescent="0.25">
      <c r="A8945" s="1">
        <f t="shared" si="1559"/>
        <v>45488</v>
      </c>
      <c r="B8945" s="36"/>
      <c r="E8945" s="5" t="e">
        <f>Table4[[#This Row],[qty]]*(VLOOKUP(Table4[[#This Row],[item_sold]],Table1[],5,FALSE))</f>
        <v>#N/A</v>
      </c>
      <c r="F8945" s="5" t="e">
        <f>(VLOOKUP(Table4[[#This Row],[item_sold]],Table1[],4,FALSE))*Table4[[#This Row],[qty]]</f>
        <v>#N/A</v>
      </c>
      <c r="G8945" t="e">
        <f t="shared" si="1560"/>
        <v>#N/A</v>
      </c>
    </row>
    <row r="8946" spans="1:7" x14ac:dyDescent="0.25">
      <c r="A8946" s="1">
        <f t="shared" si="1559"/>
        <v>45488</v>
      </c>
      <c r="B8946" s="36"/>
      <c r="E8946" s="5" t="e">
        <f>Table4[[#This Row],[qty]]*(VLOOKUP(Table4[[#This Row],[item_sold]],Table1[],5,FALSE))</f>
        <v>#N/A</v>
      </c>
      <c r="F8946" s="5" t="e">
        <f>(VLOOKUP(Table4[[#This Row],[item_sold]],Table1[],4,FALSE))*Table4[[#This Row],[qty]]</f>
        <v>#N/A</v>
      </c>
      <c r="G8946" t="e">
        <f t="shared" si="1560"/>
        <v>#N/A</v>
      </c>
    </row>
    <row r="8947" spans="1:7" x14ac:dyDescent="0.25">
      <c r="A8947" s="1">
        <f t="shared" si="1559"/>
        <v>45488</v>
      </c>
      <c r="B8947" s="36"/>
      <c r="E8947" s="5" t="e">
        <f>Table4[[#This Row],[qty]]*(VLOOKUP(Table4[[#This Row],[item_sold]],Table1[],5,FALSE))</f>
        <v>#N/A</v>
      </c>
      <c r="F8947" s="5" t="e">
        <f>(VLOOKUP(Table4[[#This Row],[item_sold]],Table1[],4,FALSE))*Table4[[#This Row],[qty]]</f>
        <v>#N/A</v>
      </c>
      <c r="G8947" t="e">
        <f t="shared" si="1560"/>
        <v>#N/A</v>
      </c>
    </row>
    <row r="8948" spans="1:7" x14ac:dyDescent="0.25">
      <c r="A8948" s="1">
        <f t="shared" si="1559"/>
        <v>45488</v>
      </c>
      <c r="B8948" s="36"/>
      <c r="E8948" s="5" t="e">
        <f>Table4[[#This Row],[qty]]*(VLOOKUP(Table4[[#This Row],[item_sold]],Table1[],5,FALSE))</f>
        <v>#N/A</v>
      </c>
      <c r="F8948" s="5" t="e">
        <f>(VLOOKUP(Table4[[#This Row],[item_sold]],Table1[],4,FALSE))*Table4[[#This Row],[qty]]</f>
        <v>#N/A</v>
      </c>
      <c r="G8948" t="e">
        <f t="shared" si="1560"/>
        <v>#N/A</v>
      </c>
    </row>
    <row r="8949" spans="1:7" x14ac:dyDescent="0.25">
      <c r="A8949" s="1">
        <f t="shared" si="1559"/>
        <v>45488</v>
      </c>
      <c r="B8949" s="36"/>
      <c r="E8949" s="5" t="e">
        <f>Table4[[#This Row],[qty]]*(VLOOKUP(Table4[[#This Row],[item_sold]],Table1[],5,FALSE))</f>
        <v>#N/A</v>
      </c>
      <c r="F8949" s="5" t="e">
        <f>(VLOOKUP(Table4[[#This Row],[item_sold]],Table1[],4,FALSE))*Table4[[#This Row],[qty]]</f>
        <v>#N/A</v>
      </c>
      <c r="G8949" t="e">
        <f t="shared" si="1560"/>
        <v>#N/A</v>
      </c>
    </row>
    <row r="8950" spans="1:7" x14ac:dyDescent="0.25">
      <c r="A8950" s="1">
        <f t="shared" si="1559"/>
        <v>45488</v>
      </c>
      <c r="B8950" s="36"/>
      <c r="E8950" s="5" t="e">
        <f>Table4[[#This Row],[qty]]*(VLOOKUP(Table4[[#This Row],[item_sold]],Table1[],5,FALSE))</f>
        <v>#N/A</v>
      </c>
      <c r="F8950" s="5" t="e">
        <f>(VLOOKUP(Table4[[#This Row],[item_sold]],Table1[],4,FALSE))*Table4[[#This Row],[qty]]</f>
        <v>#N/A</v>
      </c>
      <c r="G8950" t="e">
        <f t="shared" si="1560"/>
        <v>#N/A</v>
      </c>
    </row>
    <row r="8951" spans="1:7" x14ac:dyDescent="0.25">
      <c r="A8951" s="1">
        <f t="shared" si="1559"/>
        <v>45488</v>
      </c>
      <c r="B8951" s="36"/>
      <c r="E8951" s="5" t="e">
        <f>Table4[[#This Row],[qty]]*(VLOOKUP(Table4[[#This Row],[item_sold]],Table1[],5,FALSE))</f>
        <v>#N/A</v>
      </c>
      <c r="F8951" s="5" t="e">
        <f>(VLOOKUP(Table4[[#This Row],[item_sold]],Table1[],4,FALSE))*Table4[[#This Row],[qty]]</f>
        <v>#N/A</v>
      </c>
      <c r="G8951" t="e">
        <f t="shared" si="1560"/>
        <v>#N/A</v>
      </c>
    </row>
    <row r="8952" spans="1:7" x14ac:dyDescent="0.25">
      <c r="A8952" s="1">
        <f t="shared" si="1559"/>
        <v>45488</v>
      </c>
      <c r="B8952" s="36"/>
      <c r="E8952" s="5" t="e">
        <f>Table4[[#This Row],[qty]]*(VLOOKUP(Table4[[#This Row],[item_sold]],Table1[],5,FALSE))</f>
        <v>#N/A</v>
      </c>
      <c r="F8952" s="5" t="e">
        <f>(VLOOKUP(Table4[[#This Row],[item_sold]],Table1[],4,FALSE))*Table4[[#This Row],[qty]]</f>
        <v>#N/A</v>
      </c>
      <c r="G8952" t="e">
        <f t="shared" si="1560"/>
        <v>#N/A</v>
      </c>
    </row>
    <row r="8953" spans="1:7" x14ac:dyDescent="0.25">
      <c r="A8953" s="1">
        <f t="shared" si="1559"/>
        <v>45488</v>
      </c>
      <c r="B8953" s="36"/>
      <c r="E8953" s="5" t="e">
        <f>Table4[[#This Row],[qty]]*(VLOOKUP(Table4[[#This Row],[item_sold]],Table1[],5,FALSE))</f>
        <v>#N/A</v>
      </c>
      <c r="F8953" s="5" t="e">
        <f>(VLOOKUP(Table4[[#This Row],[item_sold]],Table1[],4,FALSE))*Table4[[#This Row],[qty]]</f>
        <v>#N/A</v>
      </c>
      <c r="G8953" t="e">
        <f t="shared" si="1560"/>
        <v>#N/A</v>
      </c>
    </row>
    <row r="8954" spans="1:7" x14ac:dyDescent="0.25">
      <c r="A8954" s="1">
        <f t="shared" si="1559"/>
        <v>45488</v>
      </c>
      <c r="B8954" s="36"/>
      <c r="E8954" s="5" t="e">
        <f>Table4[[#This Row],[qty]]*(VLOOKUP(Table4[[#This Row],[item_sold]],Table1[],5,FALSE))</f>
        <v>#N/A</v>
      </c>
      <c r="F8954" s="5" t="e">
        <f>(VLOOKUP(Table4[[#This Row],[item_sold]],Table1[],4,FALSE))*Table4[[#This Row],[qty]]</f>
        <v>#N/A</v>
      </c>
      <c r="G8954" t="e">
        <f t="shared" si="1560"/>
        <v>#N/A</v>
      </c>
    </row>
    <row r="8955" spans="1:7" x14ac:dyDescent="0.25">
      <c r="A8955" s="1">
        <f t="shared" si="1559"/>
        <v>45488</v>
      </c>
      <c r="B8955" s="36"/>
      <c r="E8955" s="5" t="e">
        <f>Table4[[#This Row],[qty]]*(VLOOKUP(Table4[[#This Row],[item_sold]],Table1[],5,FALSE))</f>
        <v>#N/A</v>
      </c>
      <c r="F8955" s="5" t="e">
        <f>(VLOOKUP(Table4[[#This Row],[item_sold]],Table1[],4,FALSE))*Table4[[#This Row],[qty]]</f>
        <v>#N/A</v>
      </c>
      <c r="G8955" t="e">
        <f t="shared" si="1560"/>
        <v>#N/A</v>
      </c>
    </row>
    <row r="8956" spans="1:7" x14ac:dyDescent="0.25">
      <c r="A8956" s="1">
        <f t="shared" si="1559"/>
        <v>45488</v>
      </c>
      <c r="B8956" s="36"/>
      <c r="E8956" s="5" t="e">
        <f>Table4[[#This Row],[qty]]*(VLOOKUP(Table4[[#This Row],[item_sold]],Table1[],5,FALSE))</f>
        <v>#N/A</v>
      </c>
      <c r="F8956" s="5" t="e">
        <f>(VLOOKUP(Table4[[#This Row],[item_sold]],Table1[],4,FALSE))*Table4[[#This Row],[qty]]</f>
        <v>#N/A</v>
      </c>
      <c r="G8956" t="e">
        <f t="shared" si="1560"/>
        <v>#N/A</v>
      </c>
    </row>
    <row r="8957" spans="1:7" x14ac:dyDescent="0.25">
      <c r="A8957" s="1">
        <f t="shared" si="1559"/>
        <v>45488</v>
      </c>
      <c r="B8957" s="36"/>
      <c r="E8957" s="5" t="e">
        <f>Table4[[#This Row],[qty]]*(VLOOKUP(Table4[[#This Row],[item_sold]],Table1[],5,FALSE))</f>
        <v>#N/A</v>
      </c>
      <c r="F8957" s="5" t="e">
        <f>(VLOOKUP(Table4[[#This Row],[item_sold]],Table1[],4,FALSE))*Table4[[#This Row],[qty]]</f>
        <v>#N/A</v>
      </c>
      <c r="G8957" t="e">
        <f t="shared" si="1560"/>
        <v>#N/A</v>
      </c>
    </row>
    <row r="8958" spans="1:7" x14ac:dyDescent="0.25">
      <c r="A8958" s="1">
        <f t="shared" si="1559"/>
        <v>45488</v>
      </c>
      <c r="B8958" s="36"/>
      <c r="E8958" s="5" t="e">
        <f>Table4[[#This Row],[qty]]*(VLOOKUP(Table4[[#This Row],[item_sold]],Table1[],5,FALSE))</f>
        <v>#N/A</v>
      </c>
      <c r="F8958" s="5" t="e">
        <f>(VLOOKUP(Table4[[#This Row],[item_sold]],Table1[],4,FALSE))*Table4[[#This Row],[qty]]</f>
        <v>#N/A</v>
      </c>
      <c r="G8958" t="e">
        <f t="shared" si="1560"/>
        <v>#N/A</v>
      </c>
    </row>
    <row r="8959" spans="1:7" x14ac:dyDescent="0.25">
      <c r="A8959" s="1">
        <f t="shared" si="1559"/>
        <v>45488</v>
      </c>
      <c r="B8959" s="36"/>
      <c r="E8959" s="5" t="e">
        <f>Table4[[#This Row],[qty]]*(VLOOKUP(Table4[[#This Row],[item_sold]],Table1[],5,FALSE))</f>
        <v>#N/A</v>
      </c>
      <c r="F8959" s="5" t="e">
        <f>(VLOOKUP(Table4[[#This Row],[item_sold]],Table1[],4,FALSE))*Table4[[#This Row],[qty]]</f>
        <v>#N/A</v>
      </c>
      <c r="G8959" t="e">
        <f t="shared" si="1560"/>
        <v>#N/A</v>
      </c>
    </row>
    <row r="8960" spans="1:7" x14ac:dyDescent="0.25">
      <c r="A8960" s="1">
        <f t="shared" si="1559"/>
        <v>45488</v>
      </c>
      <c r="B8960" s="36"/>
      <c r="E8960" s="5" t="e">
        <f>Table4[[#This Row],[qty]]*(VLOOKUP(Table4[[#This Row],[item_sold]],Table1[],5,FALSE))</f>
        <v>#N/A</v>
      </c>
      <c r="F8960" s="5" t="e">
        <f>(VLOOKUP(Table4[[#This Row],[item_sold]],Table1[],4,FALSE))*Table4[[#This Row],[qty]]</f>
        <v>#N/A</v>
      </c>
      <c r="G8960" t="e">
        <f t="shared" si="1560"/>
        <v>#N/A</v>
      </c>
    </row>
    <row r="8961" spans="1:7" x14ac:dyDescent="0.25">
      <c r="A8961" s="1">
        <f t="shared" si="1559"/>
        <v>45488</v>
      </c>
      <c r="B8961" s="36"/>
      <c r="E8961" s="5" t="e">
        <f>Table4[[#This Row],[qty]]*(VLOOKUP(Table4[[#This Row],[item_sold]],Table1[],5,FALSE))</f>
        <v>#N/A</v>
      </c>
      <c r="F8961" s="5" t="e">
        <f>(VLOOKUP(Table4[[#This Row],[item_sold]],Table1[],4,FALSE))*Table4[[#This Row],[qty]]</f>
        <v>#N/A</v>
      </c>
      <c r="G8961" t="e">
        <f t="shared" si="1560"/>
        <v>#N/A</v>
      </c>
    </row>
    <row r="8962" spans="1:7" x14ac:dyDescent="0.25">
      <c r="A8962" s="1">
        <f t="shared" si="1559"/>
        <v>45488</v>
      </c>
      <c r="B8962" s="36"/>
      <c r="E8962" s="5" t="e">
        <f>Table4[[#This Row],[qty]]*(VLOOKUP(Table4[[#This Row],[item_sold]],Table1[],5,FALSE))</f>
        <v>#N/A</v>
      </c>
      <c r="F8962" s="5" t="e">
        <f>(VLOOKUP(Table4[[#This Row],[item_sold]],Table1[],4,FALSE))*Table4[[#This Row],[qty]]</f>
        <v>#N/A</v>
      </c>
      <c r="G8962" t="e">
        <f t="shared" si="1560"/>
        <v>#N/A</v>
      </c>
    </row>
    <row r="8963" spans="1:7" x14ac:dyDescent="0.25">
      <c r="A8963" s="1">
        <f t="shared" si="1559"/>
        <v>45488</v>
      </c>
      <c r="B8963" s="36"/>
      <c r="E8963" s="5" t="e">
        <f>Table4[[#This Row],[qty]]*(VLOOKUP(Table4[[#This Row],[item_sold]],Table1[],5,FALSE))</f>
        <v>#N/A</v>
      </c>
      <c r="F8963" s="5" t="e">
        <f>(VLOOKUP(Table4[[#This Row],[item_sold]],Table1[],4,FALSE))*Table4[[#This Row],[qty]]</f>
        <v>#N/A</v>
      </c>
      <c r="G8963" t="e">
        <f t="shared" si="1560"/>
        <v>#N/A</v>
      </c>
    </row>
    <row r="8964" spans="1:7" x14ac:dyDescent="0.25">
      <c r="A8964" s="1">
        <f t="shared" si="1559"/>
        <v>45488</v>
      </c>
      <c r="B8964" s="36"/>
      <c r="E8964" s="5" t="e">
        <f>Table4[[#This Row],[qty]]*(VLOOKUP(Table4[[#This Row],[item_sold]],Table1[],5,FALSE))</f>
        <v>#N/A</v>
      </c>
      <c r="F8964" s="5" t="e">
        <f>(VLOOKUP(Table4[[#This Row],[item_sold]],Table1[],4,FALSE))*Table4[[#This Row],[qty]]</f>
        <v>#N/A</v>
      </c>
      <c r="G8964" t="e">
        <f t="shared" si="1560"/>
        <v>#N/A</v>
      </c>
    </row>
    <row r="8965" spans="1:7" x14ac:dyDescent="0.25">
      <c r="A8965" s="1">
        <f t="shared" si="1559"/>
        <v>45488</v>
      </c>
      <c r="B8965" s="36"/>
      <c r="E8965" s="5" t="e">
        <f>Table4[[#This Row],[qty]]*(VLOOKUP(Table4[[#This Row],[item_sold]],Table1[],5,FALSE))</f>
        <v>#N/A</v>
      </c>
      <c r="F8965" s="5" t="e">
        <f>(VLOOKUP(Table4[[#This Row],[item_sold]],Table1[],4,FALSE))*Table4[[#This Row],[qty]]</f>
        <v>#N/A</v>
      </c>
      <c r="G8965" t="e">
        <f t="shared" si="1560"/>
        <v>#N/A</v>
      </c>
    </row>
    <row r="8966" spans="1:7" x14ac:dyDescent="0.25">
      <c r="A8966" s="1">
        <f t="shared" si="1559"/>
        <v>45488</v>
      </c>
      <c r="B8966" s="36"/>
      <c r="E8966" s="5" t="e">
        <f>Table4[[#This Row],[qty]]*(VLOOKUP(Table4[[#This Row],[item_sold]],Table1[],5,FALSE))</f>
        <v>#N/A</v>
      </c>
      <c r="F8966" s="5" t="e">
        <f>(VLOOKUP(Table4[[#This Row],[item_sold]],Table1[],4,FALSE))*Table4[[#This Row],[qty]]</f>
        <v>#N/A</v>
      </c>
      <c r="G8966" t="e">
        <f t="shared" si="1560"/>
        <v>#N/A</v>
      </c>
    </row>
    <row r="8967" spans="1:7" x14ac:dyDescent="0.25">
      <c r="A8967" s="1">
        <f t="shared" si="1559"/>
        <v>45488</v>
      </c>
      <c r="B8967" s="36"/>
      <c r="E8967" s="5" t="e">
        <f>Table4[[#This Row],[qty]]*(VLOOKUP(Table4[[#This Row],[item_sold]],Table1[],5,FALSE))</f>
        <v>#N/A</v>
      </c>
      <c r="F8967" s="5" t="e">
        <f>(VLOOKUP(Table4[[#This Row],[item_sold]],Table1[],4,FALSE))*Table4[[#This Row],[qty]]</f>
        <v>#N/A</v>
      </c>
      <c r="G8967" t="e">
        <f t="shared" si="1560"/>
        <v>#N/A</v>
      </c>
    </row>
    <row r="8968" spans="1:7" x14ac:dyDescent="0.25">
      <c r="A8968" s="1">
        <f t="shared" si="1559"/>
        <v>45488</v>
      </c>
      <c r="B8968" s="36"/>
      <c r="E8968" s="5" t="e">
        <f>Table4[[#This Row],[qty]]*(VLOOKUP(Table4[[#This Row],[item_sold]],Table1[],5,FALSE))</f>
        <v>#N/A</v>
      </c>
      <c r="F8968" s="5" t="e">
        <f>(VLOOKUP(Table4[[#This Row],[item_sold]],Table1[],4,FALSE))*Table4[[#This Row],[qty]]</f>
        <v>#N/A</v>
      </c>
      <c r="G8968" t="e">
        <f t="shared" si="1560"/>
        <v>#N/A</v>
      </c>
    </row>
    <row r="8969" spans="1:7" x14ac:dyDescent="0.25">
      <c r="A8969" s="1">
        <f t="shared" si="1559"/>
        <v>45488</v>
      </c>
      <c r="B8969" s="36"/>
      <c r="E8969" s="5" t="e">
        <f>Table4[[#This Row],[qty]]*(VLOOKUP(Table4[[#This Row],[item_sold]],Table1[],5,FALSE))</f>
        <v>#N/A</v>
      </c>
      <c r="F8969" s="5" t="e">
        <f>(VLOOKUP(Table4[[#This Row],[item_sold]],Table1[],4,FALSE))*Table4[[#This Row],[qty]]</f>
        <v>#N/A</v>
      </c>
      <c r="G8969" t="e">
        <f t="shared" si="1560"/>
        <v>#N/A</v>
      </c>
    </row>
    <row r="8970" spans="1:7" x14ac:dyDescent="0.25">
      <c r="A8970" s="1">
        <f t="shared" si="1559"/>
        <v>45488</v>
      </c>
      <c r="B8970" s="36"/>
      <c r="E8970" s="5" t="e">
        <f>Table4[[#This Row],[qty]]*(VLOOKUP(Table4[[#This Row],[item_sold]],Table1[],5,FALSE))</f>
        <v>#N/A</v>
      </c>
      <c r="F8970" s="5" t="e">
        <f>(VLOOKUP(Table4[[#This Row],[item_sold]],Table1[],4,FALSE))*Table4[[#This Row],[qty]]</f>
        <v>#N/A</v>
      </c>
      <c r="G8970" t="e">
        <f t="shared" si="1560"/>
        <v>#N/A</v>
      </c>
    </row>
    <row r="8971" spans="1:7" x14ac:dyDescent="0.25">
      <c r="A8971" s="1">
        <f t="shared" si="1559"/>
        <v>45488</v>
      </c>
      <c r="B8971" s="36"/>
      <c r="E8971" s="5" t="e">
        <f>Table4[[#This Row],[qty]]*(VLOOKUP(Table4[[#This Row],[item_sold]],Table1[],5,FALSE))</f>
        <v>#N/A</v>
      </c>
      <c r="F8971" s="5" t="e">
        <f>(VLOOKUP(Table4[[#This Row],[item_sold]],Table1[],4,FALSE))*Table4[[#This Row],[qty]]</f>
        <v>#N/A</v>
      </c>
      <c r="G8971" t="e">
        <f t="shared" si="1560"/>
        <v>#N/A</v>
      </c>
    </row>
    <row r="8972" spans="1:7" x14ac:dyDescent="0.25">
      <c r="A8972" s="1">
        <f t="shared" si="1559"/>
        <v>45488</v>
      </c>
      <c r="B8972" s="36"/>
      <c r="E8972" s="5" t="e">
        <f>Table4[[#This Row],[qty]]*(VLOOKUP(Table4[[#This Row],[item_sold]],Table1[],5,FALSE))</f>
        <v>#N/A</v>
      </c>
      <c r="F8972" s="5" t="e">
        <f>(VLOOKUP(Table4[[#This Row],[item_sold]],Table1[],4,FALSE))*Table4[[#This Row],[qty]]</f>
        <v>#N/A</v>
      </c>
      <c r="G8972" t="e">
        <f t="shared" si="1560"/>
        <v>#N/A</v>
      </c>
    </row>
    <row r="8973" spans="1:7" x14ac:dyDescent="0.25">
      <c r="A8973" s="1">
        <f t="shared" si="1559"/>
        <v>45488</v>
      </c>
      <c r="B8973" s="36"/>
      <c r="E8973" s="5" t="e">
        <f>Table4[[#This Row],[qty]]*(VLOOKUP(Table4[[#This Row],[item_sold]],Table1[],5,FALSE))</f>
        <v>#N/A</v>
      </c>
      <c r="F8973" s="5" t="e">
        <f>(VLOOKUP(Table4[[#This Row],[item_sold]],Table1[],4,FALSE))*Table4[[#This Row],[qty]]</f>
        <v>#N/A</v>
      </c>
      <c r="G8973" t="e">
        <f t="shared" si="1560"/>
        <v>#N/A</v>
      </c>
    </row>
    <row r="8974" spans="1:7" x14ac:dyDescent="0.25">
      <c r="A8974" s="1">
        <f t="shared" si="1559"/>
        <v>45488</v>
      </c>
      <c r="B8974" s="36"/>
      <c r="E8974" s="5" t="e">
        <f>Table4[[#This Row],[qty]]*(VLOOKUP(Table4[[#This Row],[item_sold]],Table1[],5,FALSE))</f>
        <v>#N/A</v>
      </c>
      <c r="F8974" s="5" t="e">
        <f>(VLOOKUP(Table4[[#This Row],[item_sold]],Table1[],4,FALSE))*Table4[[#This Row],[qty]]</f>
        <v>#N/A</v>
      </c>
      <c r="G8974" t="e">
        <f t="shared" si="1560"/>
        <v>#N/A</v>
      </c>
    </row>
    <row r="8975" spans="1:7" x14ac:dyDescent="0.25">
      <c r="A8975" s="1">
        <f t="shared" si="1559"/>
        <v>45488</v>
      </c>
      <c r="B8975" s="36"/>
      <c r="E8975" s="5" t="e">
        <f>Table4[[#This Row],[qty]]*(VLOOKUP(Table4[[#This Row],[item_sold]],Table1[],5,FALSE))</f>
        <v>#N/A</v>
      </c>
      <c r="F8975" s="5" t="e">
        <f>(VLOOKUP(Table4[[#This Row],[item_sold]],Table1[],4,FALSE))*Table4[[#This Row],[qty]]</f>
        <v>#N/A</v>
      </c>
      <c r="G8975" t="e">
        <f t="shared" si="1560"/>
        <v>#N/A</v>
      </c>
    </row>
    <row r="8976" spans="1:7" x14ac:dyDescent="0.25">
      <c r="A8976" s="1">
        <f t="shared" si="1559"/>
        <v>45488</v>
      </c>
      <c r="B8976" s="36"/>
      <c r="E8976" s="5" t="e">
        <f>Table4[[#This Row],[qty]]*(VLOOKUP(Table4[[#This Row],[item_sold]],Table1[],5,FALSE))</f>
        <v>#N/A</v>
      </c>
      <c r="F8976" s="5" t="e">
        <f>(VLOOKUP(Table4[[#This Row],[item_sold]],Table1[],4,FALSE))*Table4[[#This Row],[qty]]</f>
        <v>#N/A</v>
      </c>
      <c r="G8976" t="e">
        <f t="shared" si="1560"/>
        <v>#N/A</v>
      </c>
    </row>
    <row r="8977" spans="1:7" x14ac:dyDescent="0.25">
      <c r="A8977" s="1">
        <f t="shared" si="1559"/>
        <v>45488</v>
      </c>
      <c r="B8977" s="36"/>
      <c r="E8977" s="5" t="e">
        <f>Table4[[#This Row],[qty]]*(VLOOKUP(Table4[[#This Row],[item_sold]],Table1[],5,FALSE))</f>
        <v>#N/A</v>
      </c>
      <c r="F8977" s="5" t="e">
        <f>(VLOOKUP(Table4[[#This Row],[item_sold]],Table1[],4,FALSE))*Table4[[#This Row],[qty]]</f>
        <v>#N/A</v>
      </c>
      <c r="G8977" t="e">
        <f t="shared" si="1560"/>
        <v>#N/A</v>
      </c>
    </row>
    <row r="8978" spans="1:7" x14ac:dyDescent="0.25">
      <c r="A8978" s="1">
        <f t="shared" si="1559"/>
        <v>45488</v>
      </c>
      <c r="B8978" s="36"/>
      <c r="E8978" s="5" t="e">
        <f>Table4[[#This Row],[qty]]*(VLOOKUP(Table4[[#This Row],[item_sold]],Table1[],5,FALSE))</f>
        <v>#N/A</v>
      </c>
      <c r="F8978" s="5" t="e">
        <f>(VLOOKUP(Table4[[#This Row],[item_sold]],Table1[],4,FALSE))*Table4[[#This Row],[qty]]</f>
        <v>#N/A</v>
      </c>
      <c r="G8978" t="e">
        <f t="shared" si="1560"/>
        <v>#N/A</v>
      </c>
    </row>
    <row r="8979" spans="1:7" x14ac:dyDescent="0.25">
      <c r="A8979" s="1">
        <f t="shared" si="1559"/>
        <v>45488</v>
      </c>
      <c r="B8979" s="36"/>
      <c r="E8979" s="5" t="e">
        <f>Table4[[#This Row],[qty]]*(VLOOKUP(Table4[[#This Row],[item_sold]],Table1[],5,FALSE))</f>
        <v>#N/A</v>
      </c>
      <c r="F8979" s="5" t="e">
        <f>(VLOOKUP(Table4[[#This Row],[item_sold]],Table1[],4,FALSE))*Table4[[#This Row],[qty]]</f>
        <v>#N/A</v>
      </c>
      <c r="G8979" t="e">
        <f t="shared" si="1560"/>
        <v>#N/A</v>
      </c>
    </row>
    <row r="8980" spans="1:7" x14ac:dyDescent="0.25">
      <c r="A8980" s="1">
        <f t="shared" ref="A8980:A9043" si="1561">DATE(2024,7,15)</f>
        <v>45488</v>
      </c>
      <c r="B8980" s="36"/>
      <c r="E8980" s="5" t="e">
        <f>Table4[[#This Row],[qty]]*(VLOOKUP(Table4[[#This Row],[item_sold]],Table1[],5,FALSE))</f>
        <v>#N/A</v>
      </c>
      <c r="F8980" s="5" t="e">
        <f>(VLOOKUP(Table4[[#This Row],[item_sold]],Table1[],4,FALSE))*Table4[[#This Row],[qty]]</f>
        <v>#N/A</v>
      </c>
      <c r="G8980" t="e">
        <f t="shared" ref="G8980:G9043" si="1562">E8980-F8980</f>
        <v>#N/A</v>
      </c>
    </row>
    <row r="8981" spans="1:7" x14ac:dyDescent="0.25">
      <c r="A8981" s="1">
        <f t="shared" si="1561"/>
        <v>45488</v>
      </c>
      <c r="B8981" s="36"/>
      <c r="E8981" s="5" t="e">
        <f>Table4[[#This Row],[qty]]*(VLOOKUP(Table4[[#This Row],[item_sold]],Table1[],5,FALSE))</f>
        <v>#N/A</v>
      </c>
      <c r="F8981" s="5" t="e">
        <f>(VLOOKUP(Table4[[#This Row],[item_sold]],Table1[],4,FALSE))*Table4[[#This Row],[qty]]</f>
        <v>#N/A</v>
      </c>
      <c r="G8981" t="e">
        <f t="shared" si="1562"/>
        <v>#N/A</v>
      </c>
    </row>
    <row r="8982" spans="1:7" x14ac:dyDescent="0.25">
      <c r="A8982" s="1">
        <f t="shared" si="1561"/>
        <v>45488</v>
      </c>
      <c r="B8982" s="36"/>
      <c r="E8982" s="5" t="e">
        <f>Table4[[#This Row],[qty]]*(VLOOKUP(Table4[[#This Row],[item_sold]],Table1[],5,FALSE))</f>
        <v>#N/A</v>
      </c>
      <c r="F8982" s="5" t="e">
        <f>(VLOOKUP(Table4[[#This Row],[item_sold]],Table1[],4,FALSE))*Table4[[#This Row],[qty]]</f>
        <v>#N/A</v>
      </c>
      <c r="G8982" t="e">
        <f t="shared" si="1562"/>
        <v>#N/A</v>
      </c>
    </row>
    <row r="8983" spans="1:7" x14ac:dyDescent="0.25">
      <c r="A8983" s="1">
        <f t="shared" si="1561"/>
        <v>45488</v>
      </c>
      <c r="B8983" s="36"/>
      <c r="E8983" s="5" t="e">
        <f>Table4[[#This Row],[qty]]*(VLOOKUP(Table4[[#This Row],[item_sold]],Table1[],5,FALSE))</f>
        <v>#N/A</v>
      </c>
      <c r="F8983" s="5" t="e">
        <f>(VLOOKUP(Table4[[#This Row],[item_sold]],Table1[],4,FALSE))*Table4[[#This Row],[qty]]</f>
        <v>#N/A</v>
      </c>
      <c r="G8983" t="e">
        <f t="shared" si="1562"/>
        <v>#N/A</v>
      </c>
    </row>
    <row r="8984" spans="1:7" x14ac:dyDescent="0.25">
      <c r="A8984" s="1">
        <f t="shared" si="1561"/>
        <v>45488</v>
      </c>
      <c r="B8984" s="36"/>
      <c r="E8984" s="5" t="e">
        <f>Table4[[#This Row],[qty]]*(VLOOKUP(Table4[[#This Row],[item_sold]],Table1[],5,FALSE))</f>
        <v>#N/A</v>
      </c>
      <c r="F8984" s="5" t="e">
        <f>(VLOOKUP(Table4[[#This Row],[item_sold]],Table1[],4,FALSE))*Table4[[#This Row],[qty]]</f>
        <v>#N/A</v>
      </c>
      <c r="G8984" t="e">
        <f t="shared" si="1562"/>
        <v>#N/A</v>
      </c>
    </row>
    <row r="8985" spans="1:7" x14ac:dyDescent="0.25">
      <c r="A8985" s="1">
        <f t="shared" si="1561"/>
        <v>45488</v>
      </c>
      <c r="B8985" s="36"/>
      <c r="E8985" s="5" t="e">
        <f>Table4[[#This Row],[qty]]*(VLOOKUP(Table4[[#This Row],[item_sold]],Table1[],5,FALSE))</f>
        <v>#N/A</v>
      </c>
      <c r="F8985" s="5" t="e">
        <f>(VLOOKUP(Table4[[#This Row],[item_sold]],Table1[],4,FALSE))*Table4[[#This Row],[qty]]</f>
        <v>#N/A</v>
      </c>
      <c r="G8985" t="e">
        <f t="shared" si="1562"/>
        <v>#N/A</v>
      </c>
    </row>
    <row r="8986" spans="1:7" x14ac:dyDescent="0.25">
      <c r="A8986" s="1">
        <f t="shared" si="1561"/>
        <v>45488</v>
      </c>
      <c r="B8986" s="36"/>
      <c r="E8986" s="5" t="e">
        <f>Table4[[#This Row],[qty]]*(VLOOKUP(Table4[[#This Row],[item_sold]],Table1[],5,FALSE))</f>
        <v>#N/A</v>
      </c>
      <c r="F8986" s="5" t="e">
        <f>(VLOOKUP(Table4[[#This Row],[item_sold]],Table1[],4,FALSE))*Table4[[#This Row],[qty]]</f>
        <v>#N/A</v>
      </c>
      <c r="G8986" t="e">
        <f t="shared" si="1562"/>
        <v>#N/A</v>
      </c>
    </row>
    <row r="8987" spans="1:7" x14ac:dyDescent="0.25">
      <c r="A8987" s="1">
        <f t="shared" si="1561"/>
        <v>45488</v>
      </c>
      <c r="B8987" s="36"/>
      <c r="E8987" s="5" t="e">
        <f>Table4[[#This Row],[qty]]*(VLOOKUP(Table4[[#This Row],[item_sold]],Table1[],5,FALSE))</f>
        <v>#N/A</v>
      </c>
      <c r="F8987" s="5" t="e">
        <f>(VLOOKUP(Table4[[#This Row],[item_sold]],Table1[],4,FALSE))*Table4[[#This Row],[qty]]</f>
        <v>#N/A</v>
      </c>
      <c r="G8987" t="e">
        <f t="shared" si="1562"/>
        <v>#N/A</v>
      </c>
    </row>
    <row r="8988" spans="1:7" x14ac:dyDescent="0.25">
      <c r="A8988" s="1">
        <f t="shared" si="1561"/>
        <v>45488</v>
      </c>
      <c r="B8988" s="36"/>
      <c r="E8988" s="5" t="e">
        <f>Table4[[#This Row],[qty]]*(VLOOKUP(Table4[[#This Row],[item_sold]],Table1[],5,FALSE))</f>
        <v>#N/A</v>
      </c>
      <c r="F8988" s="5" t="e">
        <f>(VLOOKUP(Table4[[#This Row],[item_sold]],Table1[],4,FALSE))*Table4[[#This Row],[qty]]</f>
        <v>#N/A</v>
      </c>
      <c r="G8988" t="e">
        <f t="shared" si="1562"/>
        <v>#N/A</v>
      </c>
    </row>
    <row r="8989" spans="1:7" x14ac:dyDescent="0.25">
      <c r="A8989" s="1">
        <f t="shared" si="1561"/>
        <v>45488</v>
      </c>
      <c r="B8989" s="36"/>
      <c r="E8989" s="5" t="e">
        <f>Table4[[#This Row],[qty]]*(VLOOKUP(Table4[[#This Row],[item_sold]],Table1[],5,FALSE))</f>
        <v>#N/A</v>
      </c>
      <c r="F8989" s="5" t="e">
        <f>(VLOOKUP(Table4[[#This Row],[item_sold]],Table1[],4,FALSE))*Table4[[#This Row],[qty]]</f>
        <v>#N/A</v>
      </c>
      <c r="G8989" t="e">
        <f t="shared" si="1562"/>
        <v>#N/A</v>
      </c>
    </row>
    <row r="8990" spans="1:7" x14ac:dyDescent="0.25">
      <c r="A8990" s="1">
        <f t="shared" si="1561"/>
        <v>45488</v>
      </c>
      <c r="B8990" s="36"/>
      <c r="E8990" s="5" t="e">
        <f>Table4[[#This Row],[qty]]*(VLOOKUP(Table4[[#This Row],[item_sold]],Table1[],5,FALSE))</f>
        <v>#N/A</v>
      </c>
      <c r="F8990" s="5" t="e">
        <f>(VLOOKUP(Table4[[#This Row],[item_sold]],Table1[],4,FALSE))*Table4[[#This Row],[qty]]</f>
        <v>#N/A</v>
      </c>
      <c r="G8990" t="e">
        <f t="shared" si="1562"/>
        <v>#N/A</v>
      </c>
    </row>
    <row r="8991" spans="1:7" x14ac:dyDescent="0.25">
      <c r="A8991" s="1">
        <f t="shared" si="1561"/>
        <v>45488</v>
      </c>
      <c r="B8991" s="36"/>
      <c r="E8991" s="5" t="e">
        <f>Table4[[#This Row],[qty]]*(VLOOKUP(Table4[[#This Row],[item_sold]],Table1[],5,FALSE))</f>
        <v>#N/A</v>
      </c>
      <c r="F8991" s="5" t="e">
        <f>(VLOOKUP(Table4[[#This Row],[item_sold]],Table1[],4,FALSE))*Table4[[#This Row],[qty]]</f>
        <v>#N/A</v>
      </c>
      <c r="G8991" t="e">
        <f t="shared" si="1562"/>
        <v>#N/A</v>
      </c>
    </row>
    <row r="8992" spans="1:7" x14ac:dyDescent="0.25">
      <c r="A8992" s="1">
        <f t="shared" si="1561"/>
        <v>45488</v>
      </c>
      <c r="B8992" s="36"/>
      <c r="E8992" s="5" t="e">
        <f>Table4[[#This Row],[qty]]*(VLOOKUP(Table4[[#This Row],[item_sold]],Table1[],5,FALSE))</f>
        <v>#N/A</v>
      </c>
      <c r="F8992" s="5" t="e">
        <f>(VLOOKUP(Table4[[#This Row],[item_sold]],Table1[],4,FALSE))*Table4[[#This Row],[qty]]</f>
        <v>#N/A</v>
      </c>
      <c r="G8992" t="e">
        <f t="shared" si="1562"/>
        <v>#N/A</v>
      </c>
    </row>
    <row r="8993" spans="1:7" x14ac:dyDescent="0.25">
      <c r="A8993" s="1">
        <f t="shared" si="1561"/>
        <v>45488</v>
      </c>
      <c r="B8993" s="36"/>
      <c r="E8993" s="5" t="e">
        <f>Table4[[#This Row],[qty]]*(VLOOKUP(Table4[[#This Row],[item_sold]],Table1[],5,FALSE))</f>
        <v>#N/A</v>
      </c>
      <c r="F8993" s="5" t="e">
        <f>(VLOOKUP(Table4[[#This Row],[item_sold]],Table1[],4,FALSE))*Table4[[#This Row],[qty]]</f>
        <v>#N/A</v>
      </c>
      <c r="G8993" t="e">
        <f t="shared" si="1562"/>
        <v>#N/A</v>
      </c>
    </row>
    <row r="8994" spans="1:7" x14ac:dyDescent="0.25">
      <c r="A8994" s="1">
        <f t="shared" si="1561"/>
        <v>45488</v>
      </c>
      <c r="B8994" s="36"/>
      <c r="E8994" s="5" t="e">
        <f>Table4[[#This Row],[qty]]*(VLOOKUP(Table4[[#This Row],[item_sold]],Table1[],5,FALSE))</f>
        <v>#N/A</v>
      </c>
      <c r="F8994" s="5" t="e">
        <f>(VLOOKUP(Table4[[#This Row],[item_sold]],Table1[],4,FALSE))*Table4[[#This Row],[qty]]</f>
        <v>#N/A</v>
      </c>
      <c r="G8994" t="e">
        <f t="shared" si="1562"/>
        <v>#N/A</v>
      </c>
    </row>
    <row r="8995" spans="1:7" x14ac:dyDescent="0.25">
      <c r="A8995" s="1">
        <f t="shared" si="1561"/>
        <v>45488</v>
      </c>
      <c r="B8995" s="36"/>
      <c r="E8995" s="5" t="e">
        <f>Table4[[#This Row],[qty]]*(VLOOKUP(Table4[[#This Row],[item_sold]],Table1[],5,FALSE))</f>
        <v>#N/A</v>
      </c>
      <c r="F8995" s="5" t="e">
        <f>(VLOOKUP(Table4[[#This Row],[item_sold]],Table1[],4,FALSE))*Table4[[#This Row],[qty]]</f>
        <v>#N/A</v>
      </c>
      <c r="G8995" t="e">
        <f t="shared" si="1562"/>
        <v>#N/A</v>
      </c>
    </row>
    <row r="8996" spans="1:7" x14ac:dyDescent="0.25">
      <c r="A8996" s="1">
        <f t="shared" si="1561"/>
        <v>45488</v>
      </c>
      <c r="B8996" s="36"/>
      <c r="E8996" s="5" t="e">
        <f>Table4[[#This Row],[qty]]*(VLOOKUP(Table4[[#This Row],[item_sold]],Table1[],5,FALSE))</f>
        <v>#N/A</v>
      </c>
      <c r="F8996" s="5" t="e">
        <f>(VLOOKUP(Table4[[#This Row],[item_sold]],Table1[],4,FALSE))*Table4[[#This Row],[qty]]</f>
        <v>#N/A</v>
      </c>
      <c r="G8996" t="e">
        <f t="shared" si="1562"/>
        <v>#N/A</v>
      </c>
    </row>
    <row r="8997" spans="1:7" x14ac:dyDescent="0.25">
      <c r="A8997" s="1">
        <f t="shared" si="1561"/>
        <v>45488</v>
      </c>
      <c r="B8997" s="36"/>
      <c r="E8997" s="5" t="e">
        <f>Table4[[#This Row],[qty]]*(VLOOKUP(Table4[[#This Row],[item_sold]],Table1[],5,FALSE))</f>
        <v>#N/A</v>
      </c>
      <c r="F8997" s="5" t="e">
        <f>(VLOOKUP(Table4[[#This Row],[item_sold]],Table1[],4,FALSE))*Table4[[#This Row],[qty]]</f>
        <v>#N/A</v>
      </c>
      <c r="G8997" t="e">
        <f t="shared" si="1562"/>
        <v>#N/A</v>
      </c>
    </row>
    <row r="8998" spans="1:7" x14ac:dyDescent="0.25">
      <c r="A8998" s="1">
        <f t="shared" si="1561"/>
        <v>45488</v>
      </c>
      <c r="B8998" s="36"/>
      <c r="E8998" s="5" t="e">
        <f>Table4[[#This Row],[qty]]*(VLOOKUP(Table4[[#This Row],[item_sold]],Table1[],5,FALSE))</f>
        <v>#N/A</v>
      </c>
      <c r="F8998" s="5" t="e">
        <f>(VLOOKUP(Table4[[#This Row],[item_sold]],Table1[],4,FALSE))*Table4[[#This Row],[qty]]</f>
        <v>#N/A</v>
      </c>
      <c r="G8998" t="e">
        <f t="shared" si="1562"/>
        <v>#N/A</v>
      </c>
    </row>
    <row r="8999" spans="1:7" x14ac:dyDescent="0.25">
      <c r="A8999" s="1">
        <f t="shared" si="1561"/>
        <v>45488</v>
      </c>
      <c r="B8999" s="36"/>
      <c r="E8999" s="5" t="e">
        <f>Table4[[#This Row],[qty]]*(VLOOKUP(Table4[[#This Row],[item_sold]],Table1[],5,FALSE))</f>
        <v>#N/A</v>
      </c>
      <c r="F8999" s="5" t="e">
        <f>(VLOOKUP(Table4[[#This Row],[item_sold]],Table1[],4,FALSE))*Table4[[#This Row],[qty]]</f>
        <v>#N/A</v>
      </c>
      <c r="G8999" t="e">
        <f t="shared" si="1562"/>
        <v>#N/A</v>
      </c>
    </row>
    <row r="9000" spans="1:7" x14ac:dyDescent="0.25">
      <c r="A9000" s="1">
        <f t="shared" si="1561"/>
        <v>45488</v>
      </c>
      <c r="B9000" s="36"/>
      <c r="E9000" s="5" t="e">
        <f>Table4[[#This Row],[qty]]*(VLOOKUP(Table4[[#This Row],[item_sold]],Table1[],5,FALSE))</f>
        <v>#N/A</v>
      </c>
      <c r="F9000" s="5" t="e">
        <f>(VLOOKUP(Table4[[#This Row],[item_sold]],Table1[],4,FALSE))*Table4[[#This Row],[qty]]</f>
        <v>#N/A</v>
      </c>
      <c r="G9000" t="e">
        <f t="shared" si="1562"/>
        <v>#N/A</v>
      </c>
    </row>
    <row r="9001" spans="1:7" x14ac:dyDescent="0.25">
      <c r="A9001" s="1">
        <f t="shared" si="1561"/>
        <v>45488</v>
      </c>
      <c r="B9001" s="36"/>
      <c r="E9001" s="5" t="e">
        <f>Table4[[#This Row],[qty]]*(VLOOKUP(Table4[[#This Row],[item_sold]],Table1[],5,FALSE))</f>
        <v>#N/A</v>
      </c>
      <c r="F9001" s="5" t="e">
        <f>(VLOOKUP(Table4[[#This Row],[item_sold]],Table1[],4,FALSE))*Table4[[#This Row],[qty]]</f>
        <v>#N/A</v>
      </c>
      <c r="G9001" t="e">
        <f t="shared" si="1562"/>
        <v>#N/A</v>
      </c>
    </row>
    <row r="9002" spans="1:7" x14ac:dyDescent="0.25">
      <c r="A9002" s="1">
        <f t="shared" si="1561"/>
        <v>45488</v>
      </c>
      <c r="B9002" s="36"/>
      <c r="E9002" s="5" t="e">
        <f>Table4[[#This Row],[qty]]*(VLOOKUP(Table4[[#This Row],[item_sold]],Table1[],5,FALSE))</f>
        <v>#N/A</v>
      </c>
      <c r="F9002" s="5" t="e">
        <f>(VLOOKUP(Table4[[#This Row],[item_sold]],Table1[],4,FALSE))*Table4[[#This Row],[qty]]</f>
        <v>#N/A</v>
      </c>
      <c r="G9002" t="e">
        <f t="shared" si="1562"/>
        <v>#N/A</v>
      </c>
    </row>
    <row r="9003" spans="1:7" x14ac:dyDescent="0.25">
      <c r="A9003" s="1">
        <f t="shared" si="1561"/>
        <v>45488</v>
      </c>
      <c r="B9003" s="36"/>
      <c r="E9003" s="5" t="e">
        <f>Table4[[#This Row],[qty]]*(VLOOKUP(Table4[[#This Row],[item_sold]],Table1[],5,FALSE))</f>
        <v>#N/A</v>
      </c>
      <c r="F9003" s="5" t="e">
        <f>(VLOOKUP(Table4[[#This Row],[item_sold]],Table1[],4,FALSE))*Table4[[#This Row],[qty]]</f>
        <v>#N/A</v>
      </c>
      <c r="G9003" t="e">
        <f t="shared" si="1562"/>
        <v>#N/A</v>
      </c>
    </row>
    <row r="9004" spans="1:7" x14ac:dyDescent="0.25">
      <c r="A9004" s="1">
        <f t="shared" si="1561"/>
        <v>45488</v>
      </c>
      <c r="B9004" s="36"/>
      <c r="E9004" s="5" t="e">
        <f>Table4[[#This Row],[qty]]*(VLOOKUP(Table4[[#This Row],[item_sold]],Table1[],5,FALSE))</f>
        <v>#N/A</v>
      </c>
      <c r="F9004" s="5" t="e">
        <f>(VLOOKUP(Table4[[#This Row],[item_sold]],Table1[],4,FALSE))*Table4[[#This Row],[qty]]</f>
        <v>#N/A</v>
      </c>
      <c r="G9004" t="e">
        <f t="shared" si="1562"/>
        <v>#N/A</v>
      </c>
    </row>
    <row r="9005" spans="1:7" x14ac:dyDescent="0.25">
      <c r="A9005" s="1">
        <f t="shared" si="1561"/>
        <v>45488</v>
      </c>
      <c r="B9005" s="36"/>
      <c r="E9005" s="5" t="e">
        <f>Table4[[#This Row],[qty]]*(VLOOKUP(Table4[[#This Row],[item_sold]],Table1[],5,FALSE))</f>
        <v>#N/A</v>
      </c>
      <c r="F9005" s="5" t="e">
        <f>(VLOOKUP(Table4[[#This Row],[item_sold]],Table1[],4,FALSE))*Table4[[#This Row],[qty]]</f>
        <v>#N/A</v>
      </c>
      <c r="G9005" t="e">
        <f t="shared" si="1562"/>
        <v>#N/A</v>
      </c>
    </row>
    <row r="9006" spans="1:7" x14ac:dyDescent="0.25">
      <c r="A9006" s="1">
        <f t="shared" si="1561"/>
        <v>45488</v>
      </c>
      <c r="B9006" s="36"/>
      <c r="E9006" s="5" t="e">
        <f>Table4[[#This Row],[qty]]*(VLOOKUP(Table4[[#This Row],[item_sold]],Table1[],5,FALSE))</f>
        <v>#N/A</v>
      </c>
      <c r="F9006" s="5" t="e">
        <f>(VLOOKUP(Table4[[#This Row],[item_sold]],Table1[],4,FALSE))*Table4[[#This Row],[qty]]</f>
        <v>#N/A</v>
      </c>
      <c r="G9006" t="e">
        <f t="shared" si="1562"/>
        <v>#N/A</v>
      </c>
    </row>
    <row r="9007" spans="1:7" x14ac:dyDescent="0.25">
      <c r="A9007" s="1">
        <f t="shared" si="1561"/>
        <v>45488</v>
      </c>
      <c r="B9007" s="36"/>
      <c r="E9007" s="5" t="e">
        <f>Table4[[#This Row],[qty]]*(VLOOKUP(Table4[[#This Row],[item_sold]],Table1[],5,FALSE))</f>
        <v>#N/A</v>
      </c>
      <c r="F9007" s="5" t="e">
        <f>(VLOOKUP(Table4[[#This Row],[item_sold]],Table1[],4,FALSE))*Table4[[#This Row],[qty]]</f>
        <v>#N/A</v>
      </c>
      <c r="G9007" t="e">
        <f t="shared" si="1562"/>
        <v>#N/A</v>
      </c>
    </row>
    <row r="9008" spans="1:7" x14ac:dyDescent="0.25">
      <c r="A9008" s="1">
        <f t="shared" si="1561"/>
        <v>45488</v>
      </c>
      <c r="B9008" s="36"/>
      <c r="E9008" s="5" t="e">
        <f>Table4[[#This Row],[qty]]*(VLOOKUP(Table4[[#This Row],[item_sold]],Table1[],5,FALSE))</f>
        <v>#N/A</v>
      </c>
      <c r="F9008" s="5" t="e">
        <f>(VLOOKUP(Table4[[#This Row],[item_sold]],Table1[],4,FALSE))*Table4[[#This Row],[qty]]</f>
        <v>#N/A</v>
      </c>
      <c r="G9008" t="e">
        <f t="shared" si="1562"/>
        <v>#N/A</v>
      </c>
    </row>
    <row r="9009" spans="1:7" x14ac:dyDescent="0.25">
      <c r="A9009" s="1">
        <f t="shared" si="1561"/>
        <v>45488</v>
      </c>
      <c r="B9009" s="36"/>
      <c r="E9009" s="5" t="e">
        <f>Table4[[#This Row],[qty]]*(VLOOKUP(Table4[[#This Row],[item_sold]],Table1[],5,FALSE))</f>
        <v>#N/A</v>
      </c>
      <c r="F9009" s="5" t="e">
        <f>(VLOOKUP(Table4[[#This Row],[item_sold]],Table1[],4,FALSE))*Table4[[#This Row],[qty]]</f>
        <v>#N/A</v>
      </c>
      <c r="G9009" t="e">
        <f t="shared" si="1562"/>
        <v>#N/A</v>
      </c>
    </row>
    <row r="9010" spans="1:7" x14ac:dyDescent="0.25">
      <c r="A9010" s="1">
        <f t="shared" si="1561"/>
        <v>45488</v>
      </c>
      <c r="B9010" s="36"/>
      <c r="E9010" s="5" t="e">
        <f>Table4[[#This Row],[qty]]*(VLOOKUP(Table4[[#This Row],[item_sold]],Table1[],5,FALSE))</f>
        <v>#N/A</v>
      </c>
      <c r="F9010" s="5" t="e">
        <f>(VLOOKUP(Table4[[#This Row],[item_sold]],Table1[],4,FALSE))*Table4[[#This Row],[qty]]</f>
        <v>#N/A</v>
      </c>
      <c r="G9010" t="e">
        <f t="shared" si="1562"/>
        <v>#N/A</v>
      </c>
    </row>
    <row r="9011" spans="1:7" x14ac:dyDescent="0.25">
      <c r="A9011" s="1">
        <f t="shared" si="1561"/>
        <v>45488</v>
      </c>
      <c r="B9011" s="36"/>
      <c r="E9011" s="5" t="e">
        <f>Table4[[#This Row],[qty]]*(VLOOKUP(Table4[[#This Row],[item_sold]],Table1[],5,FALSE))</f>
        <v>#N/A</v>
      </c>
      <c r="F9011" s="5" t="e">
        <f>(VLOOKUP(Table4[[#This Row],[item_sold]],Table1[],4,FALSE))*Table4[[#This Row],[qty]]</f>
        <v>#N/A</v>
      </c>
      <c r="G9011" t="e">
        <f t="shared" si="1562"/>
        <v>#N/A</v>
      </c>
    </row>
    <row r="9012" spans="1:7" x14ac:dyDescent="0.25">
      <c r="A9012" s="1">
        <f t="shared" si="1561"/>
        <v>45488</v>
      </c>
      <c r="B9012" s="36"/>
      <c r="E9012" s="5" t="e">
        <f>Table4[[#This Row],[qty]]*(VLOOKUP(Table4[[#This Row],[item_sold]],Table1[],5,FALSE))</f>
        <v>#N/A</v>
      </c>
      <c r="F9012" s="5" t="e">
        <f>(VLOOKUP(Table4[[#This Row],[item_sold]],Table1[],4,FALSE))*Table4[[#This Row],[qty]]</f>
        <v>#N/A</v>
      </c>
      <c r="G9012" t="e">
        <f t="shared" si="1562"/>
        <v>#N/A</v>
      </c>
    </row>
    <row r="9013" spans="1:7" x14ac:dyDescent="0.25">
      <c r="A9013" s="1">
        <f t="shared" si="1561"/>
        <v>45488</v>
      </c>
      <c r="B9013" s="36"/>
      <c r="E9013" s="5" t="e">
        <f>Table4[[#This Row],[qty]]*(VLOOKUP(Table4[[#This Row],[item_sold]],Table1[],5,FALSE))</f>
        <v>#N/A</v>
      </c>
      <c r="F9013" s="5" t="e">
        <f>(VLOOKUP(Table4[[#This Row],[item_sold]],Table1[],4,FALSE))*Table4[[#This Row],[qty]]</f>
        <v>#N/A</v>
      </c>
      <c r="G9013" t="e">
        <f t="shared" si="1562"/>
        <v>#N/A</v>
      </c>
    </row>
    <row r="9014" spans="1:7" x14ac:dyDescent="0.25">
      <c r="A9014" s="1">
        <f t="shared" si="1561"/>
        <v>45488</v>
      </c>
      <c r="B9014" s="36"/>
      <c r="E9014" s="5" t="e">
        <f>Table4[[#This Row],[qty]]*(VLOOKUP(Table4[[#This Row],[item_sold]],Table1[],5,FALSE))</f>
        <v>#N/A</v>
      </c>
      <c r="F9014" s="5" t="e">
        <f>(VLOOKUP(Table4[[#This Row],[item_sold]],Table1[],4,FALSE))*Table4[[#This Row],[qty]]</f>
        <v>#N/A</v>
      </c>
      <c r="G9014" t="e">
        <f t="shared" si="1562"/>
        <v>#N/A</v>
      </c>
    </row>
    <row r="9015" spans="1:7" x14ac:dyDescent="0.25">
      <c r="A9015" s="1">
        <f t="shared" si="1561"/>
        <v>45488</v>
      </c>
      <c r="B9015" s="36"/>
      <c r="E9015" s="5" t="e">
        <f>Table4[[#This Row],[qty]]*(VLOOKUP(Table4[[#This Row],[item_sold]],Table1[],5,FALSE))</f>
        <v>#N/A</v>
      </c>
      <c r="F9015" s="5" t="e">
        <f>(VLOOKUP(Table4[[#This Row],[item_sold]],Table1[],4,FALSE))*Table4[[#This Row],[qty]]</f>
        <v>#N/A</v>
      </c>
      <c r="G9015" t="e">
        <f t="shared" si="1562"/>
        <v>#N/A</v>
      </c>
    </row>
    <row r="9016" spans="1:7" x14ac:dyDescent="0.25">
      <c r="A9016" s="1">
        <f t="shared" si="1561"/>
        <v>45488</v>
      </c>
      <c r="B9016" s="36"/>
      <c r="E9016" s="5" t="e">
        <f>Table4[[#This Row],[qty]]*(VLOOKUP(Table4[[#This Row],[item_sold]],Table1[],5,FALSE))</f>
        <v>#N/A</v>
      </c>
      <c r="F9016" s="5" t="e">
        <f>(VLOOKUP(Table4[[#This Row],[item_sold]],Table1[],4,FALSE))*Table4[[#This Row],[qty]]</f>
        <v>#N/A</v>
      </c>
      <c r="G9016" t="e">
        <f t="shared" si="1562"/>
        <v>#N/A</v>
      </c>
    </row>
    <row r="9017" spans="1:7" x14ac:dyDescent="0.25">
      <c r="A9017" s="1">
        <f t="shared" si="1561"/>
        <v>45488</v>
      </c>
      <c r="B9017" s="36"/>
      <c r="E9017" s="5" t="e">
        <f>Table4[[#This Row],[qty]]*(VLOOKUP(Table4[[#This Row],[item_sold]],Table1[],5,FALSE))</f>
        <v>#N/A</v>
      </c>
      <c r="F9017" s="5" t="e">
        <f>(VLOOKUP(Table4[[#This Row],[item_sold]],Table1[],4,FALSE))*Table4[[#This Row],[qty]]</f>
        <v>#N/A</v>
      </c>
      <c r="G9017" t="e">
        <f t="shared" si="1562"/>
        <v>#N/A</v>
      </c>
    </row>
    <row r="9018" spans="1:7" x14ac:dyDescent="0.25">
      <c r="A9018" s="1">
        <f t="shared" si="1561"/>
        <v>45488</v>
      </c>
      <c r="B9018" s="36"/>
      <c r="E9018" s="5" t="e">
        <f>Table4[[#This Row],[qty]]*(VLOOKUP(Table4[[#This Row],[item_sold]],Table1[],5,FALSE))</f>
        <v>#N/A</v>
      </c>
      <c r="F9018" s="5" t="e">
        <f>(VLOOKUP(Table4[[#This Row],[item_sold]],Table1[],4,FALSE))*Table4[[#This Row],[qty]]</f>
        <v>#N/A</v>
      </c>
      <c r="G9018" t="e">
        <f t="shared" si="1562"/>
        <v>#N/A</v>
      </c>
    </row>
    <row r="9019" spans="1:7" x14ac:dyDescent="0.25">
      <c r="A9019" s="1">
        <f t="shared" si="1561"/>
        <v>45488</v>
      </c>
      <c r="B9019" s="36"/>
      <c r="E9019" s="5" t="e">
        <f>Table4[[#This Row],[qty]]*(VLOOKUP(Table4[[#This Row],[item_sold]],Table1[],5,FALSE))</f>
        <v>#N/A</v>
      </c>
      <c r="F9019" s="5" t="e">
        <f>(VLOOKUP(Table4[[#This Row],[item_sold]],Table1[],4,FALSE))*Table4[[#This Row],[qty]]</f>
        <v>#N/A</v>
      </c>
      <c r="G9019" t="e">
        <f t="shared" si="1562"/>
        <v>#N/A</v>
      </c>
    </row>
    <row r="9020" spans="1:7" x14ac:dyDescent="0.25">
      <c r="A9020" s="1">
        <f t="shared" si="1561"/>
        <v>45488</v>
      </c>
      <c r="B9020" s="36"/>
      <c r="E9020" s="5" t="e">
        <f>Table4[[#This Row],[qty]]*(VLOOKUP(Table4[[#This Row],[item_sold]],Table1[],5,FALSE))</f>
        <v>#N/A</v>
      </c>
      <c r="F9020" s="5" t="e">
        <f>(VLOOKUP(Table4[[#This Row],[item_sold]],Table1[],4,FALSE))*Table4[[#This Row],[qty]]</f>
        <v>#N/A</v>
      </c>
      <c r="G9020" t="e">
        <f t="shared" si="1562"/>
        <v>#N/A</v>
      </c>
    </row>
    <row r="9021" spans="1:7" x14ac:dyDescent="0.25">
      <c r="A9021" s="1">
        <f t="shared" si="1561"/>
        <v>45488</v>
      </c>
      <c r="B9021" s="36"/>
      <c r="E9021" s="5" t="e">
        <f>Table4[[#This Row],[qty]]*(VLOOKUP(Table4[[#This Row],[item_sold]],Table1[],5,FALSE))</f>
        <v>#N/A</v>
      </c>
      <c r="F9021" s="5" t="e">
        <f>(VLOOKUP(Table4[[#This Row],[item_sold]],Table1[],4,FALSE))*Table4[[#This Row],[qty]]</f>
        <v>#N/A</v>
      </c>
      <c r="G9021" t="e">
        <f t="shared" si="1562"/>
        <v>#N/A</v>
      </c>
    </row>
    <row r="9022" spans="1:7" x14ac:dyDescent="0.25">
      <c r="A9022" s="1">
        <f t="shared" si="1561"/>
        <v>45488</v>
      </c>
      <c r="B9022" s="36"/>
      <c r="E9022" s="5" t="e">
        <f>Table4[[#This Row],[qty]]*(VLOOKUP(Table4[[#This Row],[item_sold]],Table1[],5,FALSE))</f>
        <v>#N/A</v>
      </c>
      <c r="F9022" s="5" t="e">
        <f>(VLOOKUP(Table4[[#This Row],[item_sold]],Table1[],4,FALSE))*Table4[[#This Row],[qty]]</f>
        <v>#N/A</v>
      </c>
      <c r="G9022" t="e">
        <f t="shared" si="1562"/>
        <v>#N/A</v>
      </c>
    </row>
    <row r="9023" spans="1:7" x14ac:dyDescent="0.25">
      <c r="A9023" s="1">
        <f t="shared" si="1561"/>
        <v>45488</v>
      </c>
      <c r="B9023" s="36"/>
      <c r="E9023" s="5" t="e">
        <f>Table4[[#This Row],[qty]]*(VLOOKUP(Table4[[#This Row],[item_sold]],Table1[],5,FALSE))</f>
        <v>#N/A</v>
      </c>
      <c r="F9023" s="5" t="e">
        <f>(VLOOKUP(Table4[[#This Row],[item_sold]],Table1[],4,FALSE))*Table4[[#This Row],[qty]]</f>
        <v>#N/A</v>
      </c>
      <c r="G9023" t="e">
        <f t="shared" si="1562"/>
        <v>#N/A</v>
      </c>
    </row>
    <row r="9024" spans="1:7" x14ac:dyDescent="0.25">
      <c r="A9024" s="1">
        <f t="shared" si="1561"/>
        <v>45488</v>
      </c>
      <c r="B9024" s="36"/>
      <c r="E9024" s="5" t="e">
        <f>Table4[[#This Row],[qty]]*(VLOOKUP(Table4[[#This Row],[item_sold]],Table1[],5,FALSE))</f>
        <v>#N/A</v>
      </c>
      <c r="F9024" s="5" t="e">
        <f>(VLOOKUP(Table4[[#This Row],[item_sold]],Table1[],4,FALSE))*Table4[[#This Row],[qty]]</f>
        <v>#N/A</v>
      </c>
      <c r="G9024" t="e">
        <f t="shared" si="1562"/>
        <v>#N/A</v>
      </c>
    </row>
    <row r="9025" spans="1:7" x14ac:dyDescent="0.25">
      <c r="A9025" s="1">
        <f t="shared" si="1561"/>
        <v>45488</v>
      </c>
      <c r="B9025" s="36"/>
      <c r="E9025" s="5" t="e">
        <f>Table4[[#This Row],[qty]]*(VLOOKUP(Table4[[#This Row],[item_sold]],Table1[],5,FALSE))</f>
        <v>#N/A</v>
      </c>
      <c r="F9025" s="5" t="e">
        <f>(VLOOKUP(Table4[[#This Row],[item_sold]],Table1[],4,FALSE))*Table4[[#This Row],[qty]]</f>
        <v>#N/A</v>
      </c>
      <c r="G9025" t="e">
        <f t="shared" si="1562"/>
        <v>#N/A</v>
      </c>
    </row>
    <row r="9026" spans="1:7" x14ac:dyDescent="0.25">
      <c r="A9026" s="1">
        <f t="shared" si="1561"/>
        <v>45488</v>
      </c>
      <c r="B9026" s="36"/>
      <c r="E9026" s="5" t="e">
        <f>Table4[[#This Row],[qty]]*(VLOOKUP(Table4[[#This Row],[item_sold]],Table1[],5,FALSE))</f>
        <v>#N/A</v>
      </c>
      <c r="F9026" s="5" t="e">
        <f>(VLOOKUP(Table4[[#This Row],[item_sold]],Table1[],4,FALSE))*Table4[[#This Row],[qty]]</f>
        <v>#N/A</v>
      </c>
      <c r="G9026" t="e">
        <f t="shared" si="1562"/>
        <v>#N/A</v>
      </c>
    </row>
    <row r="9027" spans="1:7" x14ac:dyDescent="0.25">
      <c r="A9027" s="1">
        <f t="shared" si="1561"/>
        <v>45488</v>
      </c>
      <c r="B9027" s="36"/>
      <c r="E9027" s="5" t="e">
        <f>Table4[[#This Row],[qty]]*(VLOOKUP(Table4[[#This Row],[item_sold]],Table1[],5,FALSE))</f>
        <v>#N/A</v>
      </c>
      <c r="F9027" s="5" t="e">
        <f>(VLOOKUP(Table4[[#This Row],[item_sold]],Table1[],4,FALSE))*Table4[[#This Row],[qty]]</f>
        <v>#N/A</v>
      </c>
      <c r="G9027" t="e">
        <f t="shared" si="1562"/>
        <v>#N/A</v>
      </c>
    </row>
    <row r="9028" spans="1:7" x14ac:dyDescent="0.25">
      <c r="A9028" s="1">
        <f t="shared" si="1561"/>
        <v>45488</v>
      </c>
      <c r="B9028" s="36"/>
      <c r="E9028" s="5" t="e">
        <f>Table4[[#This Row],[qty]]*(VLOOKUP(Table4[[#This Row],[item_sold]],Table1[],5,FALSE))</f>
        <v>#N/A</v>
      </c>
      <c r="F9028" s="5" t="e">
        <f>(VLOOKUP(Table4[[#This Row],[item_sold]],Table1[],4,FALSE))*Table4[[#This Row],[qty]]</f>
        <v>#N/A</v>
      </c>
      <c r="G9028" t="e">
        <f t="shared" si="1562"/>
        <v>#N/A</v>
      </c>
    </row>
    <row r="9029" spans="1:7" x14ac:dyDescent="0.25">
      <c r="A9029" s="1">
        <f t="shared" si="1561"/>
        <v>45488</v>
      </c>
      <c r="B9029" s="36"/>
      <c r="E9029" s="5" t="e">
        <f>Table4[[#This Row],[qty]]*(VLOOKUP(Table4[[#This Row],[item_sold]],Table1[],5,FALSE))</f>
        <v>#N/A</v>
      </c>
      <c r="F9029" s="5" t="e">
        <f>(VLOOKUP(Table4[[#This Row],[item_sold]],Table1[],4,FALSE))*Table4[[#This Row],[qty]]</f>
        <v>#N/A</v>
      </c>
      <c r="G9029" t="e">
        <f t="shared" si="1562"/>
        <v>#N/A</v>
      </c>
    </row>
    <row r="9030" spans="1:7" x14ac:dyDescent="0.25">
      <c r="A9030" s="1">
        <f t="shared" si="1561"/>
        <v>45488</v>
      </c>
      <c r="B9030" s="36"/>
      <c r="E9030" s="5" t="e">
        <f>Table4[[#This Row],[qty]]*(VLOOKUP(Table4[[#This Row],[item_sold]],Table1[],5,FALSE))</f>
        <v>#N/A</v>
      </c>
      <c r="F9030" s="5" t="e">
        <f>(VLOOKUP(Table4[[#This Row],[item_sold]],Table1[],4,FALSE))*Table4[[#This Row],[qty]]</f>
        <v>#N/A</v>
      </c>
      <c r="G9030" t="e">
        <f t="shared" si="1562"/>
        <v>#N/A</v>
      </c>
    </row>
    <row r="9031" spans="1:7" x14ac:dyDescent="0.25">
      <c r="A9031" s="1">
        <f t="shared" si="1561"/>
        <v>45488</v>
      </c>
      <c r="B9031" s="36"/>
      <c r="E9031" s="5" t="e">
        <f>Table4[[#This Row],[qty]]*(VLOOKUP(Table4[[#This Row],[item_sold]],Table1[],5,FALSE))</f>
        <v>#N/A</v>
      </c>
      <c r="F9031" s="5" t="e">
        <f>(VLOOKUP(Table4[[#This Row],[item_sold]],Table1[],4,FALSE))*Table4[[#This Row],[qty]]</f>
        <v>#N/A</v>
      </c>
      <c r="G9031" t="e">
        <f t="shared" si="1562"/>
        <v>#N/A</v>
      </c>
    </row>
    <row r="9032" spans="1:7" x14ac:dyDescent="0.25">
      <c r="A9032" s="1">
        <f t="shared" si="1561"/>
        <v>45488</v>
      </c>
      <c r="B9032" s="36"/>
      <c r="E9032" s="5" t="e">
        <f>Table4[[#This Row],[qty]]*(VLOOKUP(Table4[[#This Row],[item_sold]],Table1[],5,FALSE))</f>
        <v>#N/A</v>
      </c>
      <c r="F9032" s="5" t="e">
        <f>(VLOOKUP(Table4[[#This Row],[item_sold]],Table1[],4,FALSE))*Table4[[#This Row],[qty]]</f>
        <v>#N/A</v>
      </c>
      <c r="G9032" t="e">
        <f t="shared" si="1562"/>
        <v>#N/A</v>
      </c>
    </row>
    <row r="9033" spans="1:7" x14ac:dyDescent="0.25">
      <c r="A9033" s="1">
        <f t="shared" si="1561"/>
        <v>45488</v>
      </c>
      <c r="B9033" s="36"/>
      <c r="E9033" s="5" t="e">
        <f>Table4[[#This Row],[qty]]*(VLOOKUP(Table4[[#This Row],[item_sold]],Table1[],5,FALSE))</f>
        <v>#N/A</v>
      </c>
      <c r="F9033" s="5" t="e">
        <f>(VLOOKUP(Table4[[#This Row],[item_sold]],Table1[],4,FALSE))*Table4[[#This Row],[qty]]</f>
        <v>#N/A</v>
      </c>
      <c r="G9033" t="e">
        <f t="shared" si="1562"/>
        <v>#N/A</v>
      </c>
    </row>
    <row r="9034" spans="1:7" x14ac:dyDescent="0.25">
      <c r="A9034" s="1">
        <f t="shared" si="1561"/>
        <v>45488</v>
      </c>
      <c r="B9034" s="36"/>
      <c r="E9034" s="5" t="e">
        <f>Table4[[#This Row],[qty]]*(VLOOKUP(Table4[[#This Row],[item_sold]],Table1[],5,FALSE))</f>
        <v>#N/A</v>
      </c>
      <c r="F9034" s="5" t="e">
        <f>(VLOOKUP(Table4[[#This Row],[item_sold]],Table1[],4,FALSE))*Table4[[#This Row],[qty]]</f>
        <v>#N/A</v>
      </c>
      <c r="G9034" t="e">
        <f t="shared" si="1562"/>
        <v>#N/A</v>
      </c>
    </row>
    <row r="9035" spans="1:7" x14ac:dyDescent="0.25">
      <c r="A9035" s="1">
        <f t="shared" si="1561"/>
        <v>45488</v>
      </c>
      <c r="B9035" s="36"/>
      <c r="E9035" s="5" t="e">
        <f>Table4[[#This Row],[qty]]*(VLOOKUP(Table4[[#This Row],[item_sold]],Table1[],5,FALSE))</f>
        <v>#N/A</v>
      </c>
      <c r="F9035" s="5" t="e">
        <f>(VLOOKUP(Table4[[#This Row],[item_sold]],Table1[],4,FALSE))*Table4[[#This Row],[qty]]</f>
        <v>#N/A</v>
      </c>
      <c r="G9035" t="e">
        <f t="shared" si="1562"/>
        <v>#N/A</v>
      </c>
    </row>
    <row r="9036" spans="1:7" x14ac:dyDescent="0.25">
      <c r="A9036" s="1">
        <f t="shared" si="1561"/>
        <v>45488</v>
      </c>
      <c r="B9036" s="36"/>
      <c r="E9036" s="5" t="e">
        <f>Table4[[#This Row],[qty]]*(VLOOKUP(Table4[[#This Row],[item_sold]],Table1[],5,FALSE))</f>
        <v>#N/A</v>
      </c>
      <c r="F9036" s="5" t="e">
        <f>(VLOOKUP(Table4[[#This Row],[item_sold]],Table1[],4,FALSE))*Table4[[#This Row],[qty]]</f>
        <v>#N/A</v>
      </c>
      <c r="G9036" t="e">
        <f t="shared" si="1562"/>
        <v>#N/A</v>
      </c>
    </row>
    <row r="9037" spans="1:7" x14ac:dyDescent="0.25">
      <c r="A9037" s="1">
        <f t="shared" si="1561"/>
        <v>45488</v>
      </c>
      <c r="B9037" s="36"/>
      <c r="E9037" s="5" t="e">
        <f>Table4[[#This Row],[qty]]*(VLOOKUP(Table4[[#This Row],[item_sold]],Table1[],5,FALSE))</f>
        <v>#N/A</v>
      </c>
      <c r="F9037" s="5" t="e">
        <f>(VLOOKUP(Table4[[#This Row],[item_sold]],Table1[],4,FALSE))*Table4[[#This Row],[qty]]</f>
        <v>#N/A</v>
      </c>
      <c r="G9037" t="e">
        <f t="shared" si="1562"/>
        <v>#N/A</v>
      </c>
    </row>
    <row r="9038" spans="1:7" x14ac:dyDescent="0.25">
      <c r="A9038" s="1">
        <f t="shared" si="1561"/>
        <v>45488</v>
      </c>
      <c r="B9038" s="36"/>
      <c r="E9038" s="5" t="e">
        <f>Table4[[#This Row],[qty]]*(VLOOKUP(Table4[[#This Row],[item_sold]],Table1[],5,FALSE))</f>
        <v>#N/A</v>
      </c>
      <c r="F9038" s="5" t="e">
        <f>(VLOOKUP(Table4[[#This Row],[item_sold]],Table1[],4,FALSE))*Table4[[#This Row],[qty]]</f>
        <v>#N/A</v>
      </c>
      <c r="G9038" t="e">
        <f t="shared" si="1562"/>
        <v>#N/A</v>
      </c>
    </row>
    <row r="9039" spans="1:7" x14ac:dyDescent="0.25">
      <c r="A9039" s="1">
        <f t="shared" si="1561"/>
        <v>45488</v>
      </c>
      <c r="B9039" s="36"/>
      <c r="E9039" s="5" t="e">
        <f>Table4[[#This Row],[qty]]*(VLOOKUP(Table4[[#This Row],[item_sold]],Table1[],5,FALSE))</f>
        <v>#N/A</v>
      </c>
      <c r="F9039" s="5" t="e">
        <f>(VLOOKUP(Table4[[#This Row],[item_sold]],Table1[],4,FALSE))*Table4[[#This Row],[qty]]</f>
        <v>#N/A</v>
      </c>
      <c r="G9039" t="e">
        <f t="shared" si="1562"/>
        <v>#N/A</v>
      </c>
    </row>
    <row r="9040" spans="1:7" x14ac:dyDescent="0.25">
      <c r="A9040" s="1">
        <f t="shared" si="1561"/>
        <v>45488</v>
      </c>
      <c r="B9040" s="36"/>
      <c r="E9040" s="5" t="e">
        <f>Table4[[#This Row],[qty]]*(VLOOKUP(Table4[[#This Row],[item_sold]],Table1[],5,FALSE))</f>
        <v>#N/A</v>
      </c>
      <c r="F9040" s="5" t="e">
        <f>(VLOOKUP(Table4[[#This Row],[item_sold]],Table1[],4,FALSE))*Table4[[#This Row],[qty]]</f>
        <v>#N/A</v>
      </c>
      <c r="G9040" t="e">
        <f t="shared" si="1562"/>
        <v>#N/A</v>
      </c>
    </row>
    <row r="9041" spans="1:7" x14ac:dyDescent="0.25">
      <c r="A9041" s="1">
        <f t="shared" si="1561"/>
        <v>45488</v>
      </c>
      <c r="B9041" s="36"/>
      <c r="E9041" s="5" t="e">
        <f>Table4[[#This Row],[qty]]*(VLOOKUP(Table4[[#This Row],[item_sold]],Table1[],5,FALSE))</f>
        <v>#N/A</v>
      </c>
      <c r="F9041" s="5" t="e">
        <f>(VLOOKUP(Table4[[#This Row],[item_sold]],Table1[],4,FALSE))*Table4[[#This Row],[qty]]</f>
        <v>#N/A</v>
      </c>
      <c r="G9041" t="e">
        <f t="shared" si="1562"/>
        <v>#N/A</v>
      </c>
    </row>
    <row r="9042" spans="1:7" x14ac:dyDescent="0.25">
      <c r="A9042" s="1">
        <f t="shared" si="1561"/>
        <v>45488</v>
      </c>
      <c r="B9042" s="36"/>
      <c r="E9042" s="5" t="e">
        <f>Table4[[#This Row],[qty]]*(VLOOKUP(Table4[[#This Row],[item_sold]],Table1[],5,FALSE))</f>
        <v>#N/A</v>
      </c>
      <c r="F9042" s="5" t="e">
        <f>(VLOOKUP(Table4[[#This Row],[item_sold]],Table1[],4,FALSE))*Table4[[#This Row],[qty]]</f>
        <v>#N/A</v>
      </c>
      <c r="G9042" t="e">
        <f t="shared" si="1562"/>
        <v>#N/A</v>
      </c>
    </row>
    <row r="9043" spans="1:7" x14ac:dyDescent="0.25">
      <c r="A9043" s="1">
        <f t="shared" si="1561"/>
        <v>45488</v>
      </c>
      <c r="B9043" s="36"/>
      <c r="E9043" s="5" t="e">
        <f>Table4[[#This Row],[qty]]*(VLOOKUP(Table4[[#This Row],[item_sold]],Table1[],5,FALSE))</f>
        <v>#N/A</v>
      </c>
      <c r="F9043" s="5" t="e">
        <f>(VLOOKUP(Table4[[#This Row],[item_sold]],Table1[],4,FALSE))*Table4[[#This Row],[qty]]</f>
        <v>#N/A</v>
      </c>
      <c r="G9043" t="e">
        <f t="shared" si="1562"/>
        <v>#N/A</v>
      </c>
    </row>
    <row r="9044" spans="1:7" x14ac:dyDescent="0.25">
      <c r="A9044" s="1">
        <f t="shared" ref="A9044:A9107" si="1563">DATE(2024,7,15)</f>
        <v>45488</v>
      </c>
      <c r="B9044" s="36"/>
      <c r="E9044" s="5" t="e">
        <f>Table4[[#This Row],[qty]]*(VLOOKUP(Table4[[#This Row],[item_sold]],Table1[],5,FALSE))</f>
        <v>#N/A</v>
      </c>
      <c r="F9044" s="5" t="e">
        <f>(VLOOKUP(Table4[[#This Row],[item_sold]],Table1[],4,FALSE))*Table4[[#This Row],[qty]]</f>
        <v>#N/A</v>
      </c>
      <c r="G9044" t="e">
        <f t="shared" ref="G9044:G9107" si="1564">E9044-F9044</f>
        <v>#N/A</v>
      </c>
    </row>
    <row r="9045" spans="1:7" x14ac:dyDescent="0.25">
      <c r="A9045" s="1">
        <f t="shared" si="1563"/>
        <v>45488</v>
      </c>
      <c r="B9045" s="36"/>
      <c r="E9045" s="5" t="e">
        <f>Table4[[#This Row],[qty]]*(VLOOKUP(Table4[[#This Row],[item_sold]],Table1[],5,FALSE))</f>
        <v>#N/A</v>
      </c>
      <c r="F9045" s="5" t="e">
        <f>(VLOOKUP(Table4[[#This Row],[item_sold]],Table1[],4,FALSE))*Table4[[#This Row],[qty]]</f>
        <v>#N/A</v>
      </c>
      <c r="G9045" t="e">
        <f t="shared" si="1564"/>
        <v>#N/A</v>
      </c>
    </row>
    <row r="9046" spans="1:7" x14ac:dyDescent="0.25">
      <c r="A9046" s="1">
        <f t="shared" si="1563"/>
        <v>45488</v>
      </c>
      <c r="B9046" s="36"/>
      <c r="E9046" s="5" t="e">
        <f>Table4[[#This Row],[qty]]*(VLOOKUP(Table4[[#This Row],[item_sold]],Table1[],5,FALSE))</f>
        <v>#N/A</v>
      </c>
      <c r="F9046" s="5" t="e">
        <f>(VLOOKUP(Table4[[#This Row],[item_sold]],Table1[],4,FALSE))*Table4[[#This Row],[qty]]</f>
        <v>#N/A</v>
      </c>
      <c r="G9046" t="e">
        <f t="shared" si="1564"/>
        <v>#N/A</v>
      </c>
    </row>
    <row r="9047" spans="1:7" x14ac:dyDescent="0.25">
      <c r="A9047" s="1">
        <f t="shared" si="1563"/>
        <v>45488</v>
      </c>
      <c r="B9047" s="36"/>
      <c r="E9047" s="5" t="e">
        <f>Table4[[#This Row],[qty]]*(VLOOKUP(Table4[[#This Row],[item_sold]],Table1[],5,FALSE))</f>
        <v>#N/A</v>
      </c>
      <c r="F9047" s="5" t="e">
        <f>(VLOOKUP(Table4[[#This Row],[item_sold]],Table1[],4,FALSE))*Table4[[#This Row],[qty]]</f>
        <v>#N/A</v>
      </c>
      <c r="G9047" t="e">
        <f t="shared" si="1564"/>
        <v>#N/A</v>
      </c>
    </row>
    <row r="9048" spans="1:7" x14ac:dyDescent="0.25">
      <c r="A9048" s="1">
        <f t="shared" si="1563"/>
        <v>45488</v>
      </c>
      <c r="B9048" s="36"/>
      <c r="E9048" s="5" t="e">
        <f>Table4[[#This Row],[qty]]*(VLOOKUP(Table4[[#This Row],[item_sold]],Table1[],5,FALSE))</f>
        <v>#N/A</v>
      </c>
      <c r="F9048" s="5" t="e">
        <f>(VLOOKUP(Table4[[#This Row],[item_sold]],Table1[],4,FALSE))*Table4[[#This Row],[qty]]</f>
        <v>#N/A</v>
      </c>
      <c r="G9048" t="e">
        <f t="shared" si="1564"/>
        <v>#N/A</v>
      </c>
    </row>
    <row r="9049" spans="1:7" x14ac:dyDescent="0.25">
      <c r="A9049" s="1">
        <f t="shared" si="1563"/>
        <v>45488</v>
      </c>
      <c r="B9049" s="36"/>
      <c r="E9049" s="5" t="e">
        <f>Table4[[#This Row],[qty]]*(VLOOKUP(Table4[[#This Row],[item_sold]],Table1[],5,FALSE))</f>
        <v>#N/A</v>
      </c>
      <c r="F9049" s="5" t="e">
        <f>(VLOOKUP(Table4[[#This Row],[item_sold]],Table1[],4,FALSE))*Table4[[#This Row],[qty]]</f>
        <v>#N/A</v>
      </c>
      <c r="G9049" t="e">
        <f t="shared" si="1564"/>
        <v>#N/A</v>
      </c>
    </row>
    <row r="9050" spans="1:7" x14ac:dyDescent="0.25">
      <c r="A9050" s="1">
        <f t="shared" si="1563"/>
        <v>45488</v>
      </c>
      <c r="B9050" s="36"/>
      <c r="E9050" s="5" t="e">
        <f>Table4[[#This Row],[qty]]*(VLOOKUP(Table4[[#This Row],[item_sold]],Table1[],5,FALSE))</f>
        <v>#N/A</v>
      </c>
      <c r="F9050" s="5" t="e">
        <f>(VLOOKUP(Table4[[#This Row],[item_sold]],Table1[],4,FALSE))*Table4[[#This Row],[qty]]</f>
        <v>#N/A</v>
      </c>
      <c r="G9050" t="e">
        <f t="shared" si="1564"/>
        <v>#N/A</v>
      </c>
    </row>
    <row r="9051" spans="1:7" x14ac:dyDescent="0.25">
      <c r="A9051" s="1">
        <f t="shared" si="1563"/>
        <v>45488</v>
      </c>
      <c r="B9051" s="36"/>
      <c r="E9051" s="5" t="e">
        <f>Table4[[#This Row],[qty]]*(VLOOKUP(Table4[[#This Row],[item_sold]],Table1[],5,FALSE))</f>
        <v>#N/A</v>
      </c>
      <c r="F9051" s="5" t="e">
        <f>(VLOOKUP(Table4[[#This Row],[item_sold]],Table1[],4,FALSE))*Table4[[#This Row],[qty]]</f>
        <v>#N/A</v>
      </c>
      <c r="G9051" t="e">
        <f t="shared" si="1564"/>
        <v>#N/A</v>
      </c>
    </row>
    <row r="9052" spans="1:7" x14ac:dyDescent="0.25">
      <c r="A9052" s="1">
        <f t="shared" si="1563"/>
        <v>45488</v>
      </c>
      <c r="B9052" s="36"/>
      <c r="E9052" s="5" t="e">
        <f>Table4[[#This Row],[qty]]*(VLOOKUP(Table4[[#This Row],[item_sold]],Table1[],5,FALSE))</f>
        <v>#N/A</v>
      </c>
      <c r="F9052" s="5" t="e">
        <f>(VLOOKUP(Table4[[#This Row],[item_sold]],Table1[],4,FALSE))*Table4[[#This Row],[qty]]</f>
        <v>#N/A</v>
      </c>
      <c r="G9052" t="e">
        <f t="shared" si="1564"/>
        <v>#N/A</v>
      </c>
    </row>
    <row r="9053" spans="1:7" x14ac:dyDescent="0.25">
      <c r="A9053" s="1">
        <f t="shared" si="1563"/>
        <v>45488</v>
      </c>
      <c r="B9053" s="36"/>
      <c r="E9053" s="5" t="e">
        <f>Table4[[#This Row],[qty]]*(VLOOKUP(Table4[[#This Row],[item_sold]],Table1[],5,FALSE))</f>
        <v>#N/A</v>
      </c>
      <c r="F9053" s="5" t="e">
        <f>(VLOOKUP(Table4[[#This Row],[item_sold]],Table1[],4,FALSE))*Table4[[#This Row],[qty]]</f>
        <v>#N/A</v>
      </c>
      <c r="G9053" t="e">
        <f t="shared" si="1564"/>
        <v>#N/A</v>
      </c>
    </row>
    <row r="9054" spans="1:7" x14ac:dyDescent="0.25">
      <c r="A9054" s="1">
        <f t="shared" si="1563"/>
        <v>45488</v>
      </c>
      <c r="B9054" s="36"/>
      <c r="E9054" s="5" t="e">
        <f>Table4[[#This Row],[qty]]*(VLOOKUP(Table4[[#This Row],[item_sold]],Table1[],5,FALSE))</f>
        <v>#N/A</v>
      </c>
      <c r="F9054" s="5" t="e">
        <f>(VLOOKUP(Table4[[#This Row],[item_sold]],Table1[],4,FALSE))*Table4[[#This Row],[qty]]</f>
        <v>#N/A</v>
      </c>
      <c r="G9054" t="e">
        <f t="shared" si="1564"/>
        <v>#N/A</v>
      </c>
    </row>
    <row r="9055" spans="1:7" x14ac:dyDescent="0.25">
      <c r="A9055" s="1">
        <f t="shared" si="1563"/>
        <v>45488</v>
      </c>
      <c r="B9055" s="36"/>
      <c r="E9055" s="5" t="e">
        <f>Table4[[#This Row],[qty]]*(VLOOKUP(Table4[[#This Row],[item_sold]],Table1[],5,FALSE))</f>
        <v>#N/A</v>
      </c>
      <c r="F9055" s="5" t="e">
        <f>(VLOOKUP(Table4[[#This Row],[item_sold]],Table1[],4,FALSE))*Table4[[#This Row],[qty]]</f>
        <v>#N/A</v>
      </c>
      <c r="G9055" t="e">
        <f t="shared" si="1564"/>
        <v>#N/A</v>
      </c>
    </row>
    <row r="9056" spans="1:7" x14ac:dyDescent="0.25">
      <c r="A9056" s="1">
        <f t="shared" si="1563"/>
        <v>45488</v>
      </c>
      <c r="B9056" s="36"/>
      <c r="E9056" s="5" t="e">
        <f>Table4[[#This Row],[qty]]*(VLOOKUP(Table4[[#This Row],[item_sold]],Table1[],5,FALSE))</f>
        <v>#N/A</v>
      </c>
      <c r="F9056" s="5" t="e">
        <f>(VLOOKUP(Table4[[#This Row],[item_sold]],Table1[],4,FALSE))*Table4[[#This Row],[qty]]</f>
        <v>#N/A</v>
      </c>
      <c r="G9056" t="e">
        <f t="shared" si="1564"/>
        <v>#N/A</v>
      </c>
    </row>
    <row r="9057" spans="1:7" x14ac:dyDescent="0.25">
      <c r="A9057" s="1">
        <f t="shared" si="1563"/>
        <v>45488</v>
      </c>
      <c r="B9057" s="36"/>
      <c r="E9057" s="5" t="e">
        <f>Table4[[#This Row],[qty]]*(VLOOKUP(Table4[[#This Row],[item_sold]],Table1[],5,FALSE))</f>
        <v>#N/A</v>
      </c>
      <c r="F9057" s="5" t="e">
        <f>(VLOOKUP(Table4[[#This Row],[item_sold]],Table1[],4,FALSE))*Table4[[#This Row],[qty]]</f>
        <v>#N/A</v>
      </c>
      <c r="G9057" t="e">
        <f t="shared" si="1564"/>
        <v>#N/A</v>
      </c>
    </row>
    <row r="9058" spans="1:7" x14ac:dyDescent="0.25">
      <c r="A9058" s="1">
        <f t="shared" si="1563"/>
        <v>45488</v>
      </c>
      <c r="B9058" s="36"/>
      <c r="E9058" s="5" t="e">
        <f>Table4[[#This Row],[qty]]*(VLOOKUP(Table4[[#This Row],[item_sold]],Table1[],5,FALSE))</f>
        <v>#N/A</v>
      </c>
      <c r="F9058" s="5" t="e">
        <f>(VLOOKUP(Table4[[#This Row],[item_sold]],Table1[],4,FALSE))*Table4[[#This Row],[qty]]</f>
        <v>#N/A</v>
      </c>
      <c r="G9058" t="e">
        <f t="shared" si="1564"/>
        <v>#N/A</v>
      </c>
    </row>
    <row r="9059" spans="1:7" x14ac:dyDescent="0.25">
      <c r="A9059" s="1">
        <f t="shared" si="1563"/>
        <v>45488</v>
      </c>
      <c r="B9059" s="36"/>
      <c r="E9059" s="5" t="e">
        <f>Table4[[#This Row],[qty]]*(VLOOKUP(Table4[[#This Row],[item_sold]],Table1[],5,FALSE))</f>
        <v>#N/A</v>
      </c>
      <c r="F9059" s="5" t="e">
        <f>(VLOOKUP(Table4[[#This Row],[item_sold]],Table1[],4,FALSE))*Table4[[#This Row],[qty]]</f>
        <v>#N/A</v>
      </c>
      <c r="G9059" t="e">
        <f t="shared" si="1564"/>
        <v>#N/A</v>
      </c>
    </row>
    <row r="9060" spans="1:7" x14ac:dyDescent="0.25">
      <c r="A9060" s="1">
        <f t="shared" si="1563"/>
        <v>45488</v>
      </c>
      <c r="B9060" s="36"/>
      <c r="E9060" s="5" t="e">
        <f>Table4[[#This Row],[qty]]*(VLOOKUP(Table4[[#This Row],[item_sold]],Table1[],5,FALSE))</f>
        <v>#N/A</v>
      </c>
      <c r="F9060" s="5" t="e">
        <f>(VLOOKUP(Table4[[#This Row],[item_sold]],Table1[],4,FALSE))*Table4[[#This Row],[qty]]</f>
        <v>#N/A</v>
      </c>
      <c r="G9060" t="e">
        <f t="shared" si="1564"/>
        <v>#N/A</v>
      </c>
    </row>
    <row r="9061" spans="1:7" x14ac:dyDescent="0.25">
      <c r="A9061" s="1">
        <f t="shared" si="1563"/>
        <v>45488</v>
      </c>
      <c r="B9061" s="36"/>
      <c r="E9061" s="5" t="e">
        <f>Table4[[#This Row],[qty]]*(VLOOKUP(Table4[[#This Row],[item_sold]],Table1[],5,FALSE))</f>
        <v>#N/A</v>
      </c>
      <c r="F9061" s="5" t="e">
        <f>(VLOOKUP(Table4[[#This Row],[item_sold]],Table1[],4,FALSE))*Table4[[#This Row],[qty]]</f>
        <v>#N/A</v>
      </c>
      <c r="G9061" t="e">
        <f t="shared" si="1564"/>
        <v>#N/A</v>
      </c>
    </row>
    <row r="9062" spans="1:7" x14ac:dyDescent="0.25">
      <c r="A9062" s="1">
        <f t="shared" si="1563"/>
        <v>45488</v>
      </c>
      <c r="B9062" s="36"/>
      <c r="E9062" s="5" t="e">
        <f>Table4[[#This Row],[qty]]*(VLOOKUP(Table4[[#This Row],[item_sold]],Table1[],5,FALSE))</f>
        <v>#N/A</v>
      </c>
      <c r="F9062" s="5" t="e">
        <f>(VLOOKUP(Table4[[#This Row],[item_sold]],Table1[],4,FALSE))*Table4[[#This Row],[qty]]</f>
        <v>#N/A</v>
      </c>
      <c r="G9062" t="e">
        <f t="shared" si="1564"/>
        <v>#N/A</v>
      </c>
    </row>
    <row r="9063" spans="1:7" x14ac:dyDescent="0.25">
      <c r="A9063" s="1">
        <f t="shared" si="1563"/>
        <v>45488</v>
      </c>
      <c r="B9063" s="36"/>
      <c r="E9063" s="5" t="e">
        <f>Table4[[#This Row],[qty]]*(VLOOKUP(Table4[[#This Row],[item_sold]],Table1[],5,FALSE))</f>
        <v>#N/A</v>
      </c>
      <c r="F9063" s="5" t="e">
        <f>(VLOOKUP(Table4[[#This Row],[item_sold]],Table1[],4,FALSE))*Table4[[#This Row],[qty]]</f>
        <v>#N/A</v>
      </c>
      <c r="G9063" t="e">
        <f t="shared" si="1564"/>
        <v>#N/A</v>
      </c>
    </row>
    <row r="9064" spans="1:7" x14ac:dyDescent="0.25">
      <c r="A9064" s="1">
        <f t="shared" si="1563"/>
        <v>45488</v>
      </c>
      <c r="B9064" s="36"/>
      <c r="E9064" s="5" t="e">
        <f>Table4[[#This Row],[qty]]*(VLOOKUP(Table4[[#This Row],[item_sold]],Table1[],5,FALSE))</f>
        <v>#N/A</v>
      </c>
      <c r="F9064" s="5" t="e">
        <f>(VLOOKUP(Table4[[#This Row],[item_sold]],Table1[],4,FALSE))*Table4[[#This Row],[qty]]</f>
        <v>#N/A</v>
      </c>
      <c r="G9064" t="e">
        <f t="shared" si="1564"/>
        <v>#N/A</v>
      </c>
    </row>
    <row r="9065" spans="1:7" x14ac:dyDescent="0.25">
      <c r="A9065" s="1">
        <f t="shared" si="1563"/>
        <v>45488</v>
      </c>
      <c r="B9065" s="36"/>
      <c r="E9065" s="5" t="e">
        <f>Table4[[#This Row],[qty]]*(VLOOKUP(Table4[[#This Row],[item_sold]],Table1[],5,FALSE))</f>
        <v>#N/A</v>
      </c>
      <c r="F9065" s="5" t="e">
        <f>(VLOOKUP(Table4[[#This Row],[item_sold]],Table1[],4,FALSE))*Table4[[#This Row],[qty]]</f>
        <v>#N/A</v>
      </c>
      <c r="G9065" t="e">
        <f t="shared" si="1564"/>
        <v>#N/A</v>
      </c>
    </row>
    <row r="9066" spans="1:7" x14ac:dyDescent="0.25">
      <c r="A9066" s="1">
        <f t="shared" si="1563"/>
        <v>45488</v>
      </c>
      <c r="B9066" s="36"/>
      <c r="E9066" s="5" t="e">
        <f>Table4[[#This Row],[qty]]*(VLOOKUP(Table4[[#This Row],[item_sold]],Table1[],5,FALSE))</f>
        <v>#N/A</v>
      </c>
      <c r="F9066" s="5" t="e">
        <f>(VLOOKUP(Table4[[#This Row],[item_sold]],Table1[],4,FALSE))*Table4[[#This Row],[qty]]</f>
        <v>#N/A</v>
      </c>
      <c r="G9066" t="e">
        <f t="shared" si="1564"/>
        <v>#N/A</v>
      </c>
    </row>
    <row r="9067" spans="1:7" x14ac:dyDescent="0.25">
      <c r="A9067" s="1">
        <f t="shared" si="1563"/>
        <v>45488</v>
      </c>
      <c r="B9067" s="36"/>
      <c r="E9067" s="5" t="e">
        <f>Table4[[#This Row],[qty]]*(VLOOKUP(Table4[[#This Row],[item_sold]],Table1[],5,FALSE))</f>
        <v>#N/A</v>
      </c>
      <c r="F9067" s="5" t="e">
        <f>(VLOOKUP(Table4[[#This Row],[item_sold]],Table1[],4,FALSE))*Table4[[#This Row],[qty]]</f>
        <v>#N/A</v>
      </c>
      <c r="G9067" t="e">
        <f t="shared" si="1564"/>
        <v>#N/A</v>
      </c>
    </row>
    <row r="9068" spans="1:7" x14ac:dyDescent="0.25">
      <c r="A9068" s="1">
        <f t="shared" si="1563"/>
        <v>45488</v>
      </c>
      <c r="B9068" s="36"/>
      <c r="E9068" s="5" t="e">
        <f>Table4[[#This Row],[qty]]*(VLOOKUP(Table4[[#This Row],[item_sold]],Table1[],5,FALSE))</f>
        <v>#N/A</v>
      </c>
      <c r="F9068" s="5" t="e">
        <f>(VLOOKUP(Table4[[#This Row],[item_sold]],Table1[],4,FALSE))*Table4[[#This Row],[qty]]</f>
        <v>#N/A</v>
      </c>
      <c r="G9068" t="e">
        <f t="shared" si="1564"/>
        <v>#N/A</v>
      </c>
    </row>
    <row r="9069" spans="1:7" x14ac:dyDescent="0.25">
      <c r="A9069" s="1">
        <f t="shared" si="1563"/>
        <v>45488</v>
      </c>
      <c r="B9069" s="36"/>
      <c r="E9069" s="5" t="e">
        <f>Table4[[#This Row],[qty]]*(VLOOKUP(Table4[[#This Row],[item_sold]],Table1[],5,FALSE))</f>
        <v>#N/A</v>
      </c>
      <c r="F9069" s="5" t="e">
        <f>(VLOOKUP(Table4[[#This Row],[item_sold]],Table1[],4,FALSE))*Table4[[#This Row],[qty]]</f>
        <v>#N/A</v>
      </c>
      <c r="G9069" t="e">
        <f t="shared" si="1564"/>
        <v>#N/A</v>
      </c>
    </row>
    <row r="9070" spans="1:7" x14ac:dyDescent="0.25">
      <c r="A9070" s="1">
        <f t="shared" si="1563"/>
        <v>45488</v>
      </c>
      <c r="B9070" s="36"/>
      <c r="E9070" s="5" t="e">
        <f>Table4[[#This Row],[qty]]*(VLOOKUP(Table4[[#This Row],[item_sold]],Table1[],5,FALSE))</f>
        <v>#N/A</v>
      </c>
      <c r="F9070" s="5" t="e">
        <f>(VLOOKUP(Table4[[#This Row],[item_sold]],Table1[],4,FALSE))*Table4[[#This Row],[qty]]</f>
        <v>#N/A</v>
      </c>
      <c r="G9070" t="e">
        <f t="shared" si="1564"/>
        <v>#N/A</v>
      </c>
    </row>
    <row r="9071" spans="1:7" x14ac:dyDescent="0.25">
      <c r="A9071" s="1">
        <f t="shared" si="1563"/>
        <v>45488</v>
      </c>
      <c r="B9071" s="36"/>
      <c r="E9071" s="5" t="e">
        <f>Table4[[#This Row],[qty]]*(VLOOKUP(Table4[[#This Row],[item_sold]],Table1[],5,FALSE))</f>
        <v>#N/A</v>
      </c>
      <c r="F9071" s="5" t="e">
        <f>(VLOOKUP(Table4[[#This Row],[item_sold]],Table1[],4,FALSE))*Table4[[#This Row],[qty]]</f>
        <v>#N/A</v>
      </c>
      <c r="G9071" t="e">
        <f t="shared" si="1564"/>
        <v>#N/A</v>
      </c>
    </row>
    <row r="9072" spans="1:7" x14ac:dyDescent="0.25">
      <c r="A9072" s="1">
        <f t="shared" si="1563"/>
        <v>45488</v>
      </c>
      <c r="B9072" s="36"/>
      <c r="E9072" s="5" t="e">
        <f>Table4[[#This Row],[qty]]*(VLOOKUP(Table4[[#This Row],[item_sold]],Table1[],5,FALSE))</f>
        <v>#N/A</v>
      </c>
      <c r="F9072" s="5" t="e">
        <f>(VLOOKUP(Table4[[#This Row],[item_sold]],Table1[],4,FALSE))*Table4[[#This Row],[qty]]</f>
        <v>#N/A</v>
      </c>
      <c r="G9072" t="e">
        <f t="shared" si="1564"/>
        <v>#N/A</v>
      </c>
    </row>
    <row r="9073" spans="1:7" x14ac:dyDescent="0.25">
      <c r="A9073" s="1">
        <f t="shared" si="1563"/>
        <v>45488</v>
      </c>
      <c r="B9073" s="36"/>
      <c r="E9073" s="5" t="e">
        <f>Table4[[#This Row],[qty]]*(VLOOKUP(Table4[[#This Row],[item_sold]],Table1[],5,FALSE))</f>
        <v>#N/A</v>
      </c>
      <c r="F9073" s="5" t="e">
        <f>(VLOOKUP(Table4[[#This Row],[item_sold]],Table1[],4,FALSE))*Table4[[#This Row],[qty]]</f>
        <v>#N/A</v>
      </c>
      <c r="G9073" t="e">
        <f t="shared" si="1564"/>
        <v>#N/A</v>
      </c>
    </row>
    <row r="9074" spans="1:7" x14ac:dyDescent="0.25">
      <c r="A9074" s="1">
        <f t="shared" si="1563"/>
        <v>45488</v>
      </c>
      <c r="B9074" s="36"/>
      <c r="E9074" s="5" t="e">
        <f>Table4[[#This Row],[qty]]*(VLOOKUP(Table4[[#This Row],[item_sold]],Table1[],5,FALSE))</f>
        <v>#N/A</v>
      </c>
      <c r="F9074" s="5" t="e">
        <f>(VLOOKUP(Table4[[#This Row],[item_sold]],Table1[],4,FALSE))*Table4[[#This Row],[qty]]</f>
        <v>#N/A</v>
      </c>
      <c r="G9074" t="e">
        <f t="shared" si="1564"/>
        <v>#N/A</v>
      </c>
    </row>
    <row r="9075" spans="1:7" x14ac:dyDescent="0.25">
      <c r="A9075" s="1">
        <f t="shared" si="1563"/>
        <v>45488</v>
      </c>
      <c r="B9075" s="36"/>
      <c r="E9075" s="5" t="e">
        <f>Table4[[#This Row],[qty]]*(VLOOKUP(Table4[[#This Row],[item_sold]],Table1[],5,FALSE))</f>
        <v>#N/A</v>
      </c>
      <c r="F9075" s="5" t="e">
        <f>(VLOOKUP(Table4[[#This Row],[item_sold]],Table1[],4,FALSE))*Table4[[#This Row],[qty]]</f>
        <v>#N/A</v>
      </c>
      <c r="G9075" t="e">
        <f t="shared" si="1564"/>
        <v>#N/A</v>
      </c>
    </row>
    <row r="9076" spans="1:7" x14ac:dyDescent="0.25">
      <c r="A9076" s="1">
        <f t="shared" si="1563"/>
        <v>45488</v>
      </c>
      <c r="B9076" s="36"/>
      <c r="E9076" s="5" t="e">
        <f>Table4[[#This Row],[qty]]*(VLOOKUP(Table4[[#This Row],[item_sold]],Table1[],5,FALSE))</f>
        <v>#N/A</v>
      </c>
      <c r="F9076" s="5" t="e">
        <f>(VLOOKUP(Table4[[#This Row],[item_sold]],Table1[],4,FALSE))*Table4[[#This Row],[qty]]</f>
        <v>#N/A</v>
      </c>
      <c r="G9076" t="e">
        <f t="shared" si="1564"/>
        <v>#N/A</v>
      </c>
    </row>
    <row r="9077" spans="1:7" x14ac:dyDescent="0.25">
      <c r="A9077" s="1">
        <f t="shared" si="1563"/>
        <v>45488</v>
      </c>
      <c r="B9077" s="36"/>
      <c r="E9077" s="5" t="e">
        <f>Table4[[#This Row],[qty]]*(VLOOKUP(Table4[[#This Row],[item_sold]],Table1[],5,FALSE))</f>
        <v>#N/A</v>
      </c>
      <c r="F9077" s="5" t="e">
        <f>(VLOOKUP(Table4[[#This Row],[item_sold]],Table1[],4,FALSE))*Table4[[#This Row],[qty]]</f>
        <v>#N/A</v>
      </c>
      <c r="G9077" t="e">
        <f t="shared" si="1564"/>
        <v>#N/A</v>
      </c>
    </row>
    <row r="9078" spans="1:7" x14ac:dyDescent="0.25">
      <c r="A9078" s="1">
        <f t="shared" si="1563"/>
        <v>45488</v>
      </c>
      <c r="B9078" s="36"/>
      <c r="E9078" s="5" t="e">
        <f>Table4[[#This Row],[qty]]*(VLOOKUP(Table4[[#This Row],[item_sold]],Table1[],5,FALSE))</f>
        <v>#N/A</v>
      </c>
      <c r="F9078" s="5" t="e">
        <f>(VLOOKUP(Table4[[#This Row],[item_sold]],Table1[],4,FALSE))*Table4[[#This Row],[qty]]</f>
        <v>#N/A</v>
      </c>
      <c r="G9078" t="e">
        <f t="shared" si="1564"/>
        <v>#N/A</v>
      </c>
    </row>
    <row r="9079" spans="1:7" x14ac:dyDescent="0.25">
      <c r="A9079" s="1">
        <f t="shared" si="1563"/>
        <v>45488</v>
      </c>
      <c r="B9079" s="36"/>
      <c r="E9079" s="5" t="e">
        <f>Table4[[#This Row],[qty]]*(VLOOKUP(Table4[[#This Row],[item_sold]],Table1[],5,FALSE))</f>
        <v>#N/A</v>
      </c>
      <c r="F9079" s="5" t="e">
        <f>(VLOOKUP(Table4[[#This Row],[item_sold]],Table1[],4,FALSE))*Table4[[#This Row],[qty]]</f>
        <v>#N/A</v>
      </c>
      <c r="G9079" t="e">
        <f t="shared" si="1564"/>
        <v>#N/A</v>
      </c>
    </row>
    <row r="9080" spans="1:7" x14ac:dyDescent="0.25">
      <c r="A9080" s="1">
        <f t="shared" si="1563"/>
        <v>45488</v>
      </c>
      <c r="B9080" s="36"/>
      <c r="E9080" s="5" t="e">
        <f>Table4[[#This Row],[qty]]*(VLOOKUP(Table4[[#This Row],[item_sold]],Table1[],5,FALSE))</f>
        <v>#N/A</v>
      </c>
      <c r="F9080" s="5" t="e">
        <f>(VLOOKUP(Table4[[#This Row],[item_sold]],Table1[],4,FALSE))*Table4[[#This Row],[qty]]</f>
        <v>#N/A</v>
      </c>
      <c r="G9080" t="e">
        <f t="shared" si="1564"/>
        <v>#N/A</v>
      </c>
    </row>
    <row r="9081" spans="1:7" x14ac:dyDescent="0.25">
      <c r="A9081" s="1">
        <f t="shared" si="1563"/>
        <v>45488</v>
      </c>
      <c r="B9081" s="36"/>
      <c r="E9081" s="5" t="e">
        <f>Table4[[#This Row],[qty]]*(VLOOKUP(Table4[[#This Row],[item_sold]],Table1[],5,FALSE))</f>
        <v>#N/A</v>
      </c>
      <c r="F9081" s="5" t="e">
        <f>(VLOOKUP(Table4[[#This Row],[item_sold]],Table1[],4,FALSE))*Table4[[#This Row],[qty]]</f>
        <v>#N/A</v>
      </c>
      <c r="G9081" t="e">
        <f t="shared" si="1564"/>
        <v>#N/A</v>
      </c>
    </row>
    <row r="9082" spans="1:7" x14ac:dyDescent="0.25">
      <c r="A9082" s="1">
        <f t="shared" si="1563"/>
        <v>45488</v>
      </c>
      <c r="B9082" s="36"/>
      <c r="E9082" s="5" t="e">
        <f>Table4[[#This Row],[qty]]*(VLOOKUP(Table4[[#This Row],[item_sold]],Table1[],5,FALSE))</f>
        <v>#N/A</v>
      </c>
      <c r="F9082" s="5" t="e">
        <f>(VLOOKUP(Table4[[#This Row],[item_sold]],Table1[],4,FALSE))*Table4[[#This Row],[qty]]</f>
        <v>#N/A</v>
      </c>
      <c r="G9082" t="e">
        <f t="shared" si="1564"/>
        <v>#N/A</v>
      </c>
    </row>
    <row r="9083" spans="1:7" x14ac:dyDescent="0.25">
      <c r="A9083" s="1">
        <f t="shared" si="1563"/>
        <v>45488</v>
      </c>
      <c r="B9083" s="36"/>
      <c r="E9083" s="5" t="e">
        <f>Table4[[#This Row],[qty]]*(VLOOKUP(Table4[[#This Row],[item_sold]],Table1[],5,FALSE))</f>
        <v>#N/A</v>
      </c>
      <c r="F9083" s="5" t="e">
        <f>(VLOOKUP(Table4[[#This Row],[item_sold]],Table1[],4,FALSE))*Table4[[#This Row],[qty]]</f>
        <v>#N/A</v>
      </c>
      <c r="G9083" t="e">
        <f t="shared" si="1564"/>
        <v>#N/A</v>
      </c>
    </row>
    <row r="9084" spans="1:7" x14ac:dyDescent="0.25">
      <c r="A9084" s="1">
        <f t="shared" si="1563"/>
        <v>45488</v>
      </c>
      <c r="B9084" s="36"/>
      <c r="E9084" s="5" t="e">
        <f>Table4[[#This Row],[qty]]*(VLOOKUP(Table4[[#This Row],[item_sold]],Table1[],5,FALSE))</f>
        <v>#N/A</v>
      </c>
      <c r="F9084" s="5" t="e">
        <f>(VLOOKUP(Table4[[#This Row],[item_sold]],Table1[],4,FALSE))*Table4[[#This Row],[qty]]</f>
        <v>#N/A</v>
      </c>
      <c r="G9084" t="e">
        <f t="shared" si="1564"/>
        <v>#N/A</v>
      </c>
    </row>
    <row r="9085" spans="1:7" x14ac:dyDescent="0.25">
      <c r="A9085" s="1">
        <f t="shared" si="1563"/>
        <v>45488</v>
      </c>
      <c r="B9085" s="36"/>
      <c r="E9085" s="5" t="e">
        <f>Table4[[#This Row],[qty]]*(VLOOKUP(Table4[[#This Row],[item_sold]],Table1[],5,FALSE))</f>
        <v>#N/A</v>
      </c>
      <c r="F9085" s="5" t="e">
        <f>(VLOOKUP(Table4[[#This Row],[item_sold]],Table1[],4,FALSE))*Table4[[#This Row],[qty]]</f>
        <v>#N/A</v>
      </c>
      <c r="G9085" t="e">
        <f t="shared" si="1564"/>
        <v>#N/A</v>
      </c>
    </row>
    <row r="9086" spans="1:7" x14ac:dyDescent="0.25">
      <c r="A9086" s="1">
        <f t="shared" si="1563"/>
        <v>45488</v>
      </c>
      <c r="B9086" s="36"/>
      <c r="E9086" s="5" t="e">
        <f>Table4[[#This Row],[qty]]*(VLOOKUP(Table4[[#This Row],[item_sold]],Table1[],5,FALSE))</f>
        <v>#N/A</v>
      </c>
      <c r="F9086" s="5" t="e">
        <f>(VLOOKUP(Table4[[#This Row],[item_sold]],Table1[],4,FALSE))*Table4[[#This Row],[qty]]</f>
        <v>#N/A</v>
      </c>
      <c r="G9086" t="e">
        <f t="shared" si="1564"/>
        <v>#N/A</v>
      </c>
    </row>
    <row r="9087" spans="1:7" x14ac:dyDescent="0.25">
      <c r="A9087" s="1">
        <f t="shared" si="1563"/>
        <v>45488</v>
      </c>
      <c r="B9087" s="36"/>
      <c r="E9087" s="5" t="e">
        <f>Table4[[#This Row],[qty]]*(VLOOKUP(Table4[[#This Row],[item_sold]],Table1[],5,FALSE))</f>
        <v>#N/A</v>
      </c>
      <c r="F9087" s="5" t="e">
        <f>(VLOOKUP(Table4[[#This Row],[item_sold]],Table1[],4,FALSE))*Table4[[#This Row],[qty]]</f>
        <v>#N/A</v>
      </c>
      <c r="G9087" t="e">
        <f t="shared" si="1564"/>
        <v>#N/A</v>
      </c>
    </row>
    <row r="9088" spans="1:7" x14ac:dyDescent="0.25">
      <c r="A9088" s="1">
        <f t="shared" si="1563"/>
        <v>45488</v>
      </c>
      <c r="B9088" s="36"/>
      <c r="E9088" s="5" t="e">
        <f>Table4[[#This Row],[qty]]*(VLOOKUP(Table4[[#This Row],[item_sold]],Table1[],5,FALSE))</f>
        <v>#N/A</v>
      </c>
      <c r="F9088" s="5" t="e">
        <f>(VLOOKUP(Table4[[#This Row],[item_sold]],Table1[],4,FALSE))*Table4[[#This Row],[qty]]</f>
        <v>#N/A</v>
      </c>
      <c r="G9088" t="e">
        <f t="shared" si="1564"/>
        <v>#N/A</v>
      </c>
    </row>
    <row r="9089" spans="1:7" x14ac:dyDescent="0.25">
      <c r="A9089" s="1">
        <f t="shared" si="1563"/>
        <v>45488</v>
      </c>
      <c r="B9089" s="36"/>
      <c r="E9089" s="5" t="e">
        <f>Table4[[#This Row],[qty]]*(VLOOKUP(Table4[[#This Row],[item_sold]],Table1[],5,FALSE))</f>
        <v>#N/A</v>
      </c>
      <c r="F9089" s="5" t="e">
        <f>(VLOOKUP(Table4[[#This Row],[item_sold]],Table1[],4,FALSE))*Table4[[#This Row],[qty]]</f>
        <v>#N/A</v>
      </c>
      <c r="G9089" t="e">
        <f t="shared" si="1564"/>
        <v>#N/A</v>
      </c>
    </row>
    <row r="9090" spans="1:7" x14ac:dyDescent="0.25">
      <c r="A9090" s="1">
        <f t="shared" si="1563"/>
        <v>45488</v>
      </c>
      <c r="B9090" s="36"/>
      <c r="E9090" s="5" t="e">
        <f>Table4[[#This Row],[qty]]*(VLOOKUP(Table4[[#This Row],[item_sold]],Table1[],5,FALSE))</f>
        <v>#N/A</v>
      </c>
      <c r="F9090" s="5" t="e">
        <f>(VLOOKUP(Table4[[#This Row],[item_sold]],Table1[],4,FALSE))*Table4[[#This Row],[qty]]</f>
        <v>#N/A</v>
      </c>
      <c r="G9090" t="e">
        <f t="shared" si="1564"/>
        <v>#N/A</v>
      </c>
    </row>
    <row r="9091" spans="1:7" x14ac:dyDescent="0.25">
      <c r="A9091" s="1">
        <f t="shared" si="1563"/>
        <v>45488</v>
      </c>
      <c r="B9091" s="36"/>
      <c r="E9091" s="5" t="e">
        <f>Table4[[#This Row],[qty]]*(VLOOKUP(Table4[[#This Row],[item_sold]],Table1[],5,FALSE))</f>
        <v>#N/A</v>
      </c>
      <c r="F9091" s="5" t="e">
        <f>(VLOOKUP(Table4[[#This Row],[item_sold]],Table1[],4,FALSE))*Table4[[#This Row],[qty]]</f>
        <v>#N/A</v>
      </c>
      <c r="G9091" t="e">
        <f t="shared" si="1564"/>
        <v>#N/A</v>
      </c>
    </row>
    <row r="9092" spans="1:7" x14ac:dyDescent="0.25">
      <c r="A9092" s="1">
        <f t="shared" si="1563"/>
        <v>45488</v>
      </c>
      <c r="B9092" s="36"/>
      <c r="E9092" s="5" t="e">
        <f>Table4[[#This Row],[qty]]*(VLOOKUP(Table4[[#This Row],[item_sold]],Table1[],5,FALSE))</f>
        <v>#N/A</v>
      </c>
      <c r="F9092" s="5" t="e">
        <f>(VLOOKUP(Table4[[#This Row],[item_sold]],Table1[],4,FALSE))*Table4[[#This Row],[qty]]</f>
        <v>#N/A</v>
      </c>
      <c r="G9092" t="e">
        <f t="shared" si="1564"/>
        <v>#N/A</v>
      </c>
    </row>
    <row r="9093" spans="1:7" x14ac:dyDescent="0.25">
      <c r="A9093" s="1">
        <f t="shared" si="1563"/>
        <v>45488</v>
      </c>
      <c r="B9093" s="36"/>
      <c r="E9093" s="5" t="e">
        <f>Table4[[#This Row],[qty]]*(VLOOKUP(Table4[[#This Row],[item_sold]],Table1[],5,FALSE))</f>
        <v>#N/A</v>
      </c>
      <c r="F9093" s="5" t="e">
        <f>(VLOOKUP(Table4[[#This Row],[item_sold]],Table1[],4,FALSE))*Table4[[#This Row],[qty]]</f>
        <v>#N/A</v>
      </c>
      <c r="G9093" t="e">
        <f t="shared" si="1564"/>
        <v>#N/A</v>
      </c>
    </row>
    <row r="9094" spans="1:7" x14ac:dyDescent="0.25">
      <c r="A9094" s="1">
        <f t="shared" si="1563"/>
        <v>45488</v>
      </c>
      <c r="B9094" s="36"/>
      <c r="E9094" s="5" t="e">
        <f>Table4[[#This Row],[qty]]*(VLOOKUP(Table4[[#This Row],[item_sold]],Table1[],5,FALSE))</f>
        <v>#N/A</v>
      </c>
      <c r="F9094" s="5" t="e">
        <f>(VLOOKUP(Table4[[#This Row],[item_sold]],Table1[],4,FALSE))*Table4[[#This Row],[qty]]</f>
        <v>#N/A</v>
      </c>
      <c r="G9094" t="e">
        <f t="shared" si="1564"/>
        <v>#N/A</v>
      </c>
    </row>
    <row r="9095" spans="1:7" x14ac:dyDescent="0.25">
      <c r="A9095" s="1">
        <f t="shared" si="1563"/>
        <v>45488</v>
      </c>
      <c r="B9095" s="36"/>
      <c r="E9095" s="5" t="e">
        <f>Table4[[#This Row],[qty]]*(VLOOKUP(Table4[[#This Row],[item_sold]],Table1[],5,FALSE))</f>
        <v>#N/A</v>
      </c>
      <c r="F9095" s="5" t="e">
        <f>(VLOOKUP(Table4[[#This Row],[item_sold]],Table1[],4,FALSE))*Table4[[#This Row],[qty]]</f>
        <v>#N/A</v>
      </c>
      <c r="G9095" t="e">
        <f t="shared" si="1564"/>
        <v>#N/A</v>
      </c>
    </row>
    <row r="9096" spans="1:7" x14ac:dyDescent="0.25">
      <c r="A9096" s="1">
        <f t="shared" si="1563"/>
        <v>45488</v>
      </c>
      <c r="B9096" s="36"/>
      <c r="E9096" s="5" t="e">
        <f>Table4[[#This Row],[qty]]*(VLOOKUP(Table4[[#This Row],[item_sold]],Table1[],5,FALSE))</f>
        <v>#N/A</v>
      </c>
      <c r="F9096" s="5" t="e">
        <f>(VLOOKUP(Table4[[#This Row],[item_sold]],Table1[],4,FALSE))*Table4[[#This Row],[qty]]</f>
        <v>#N/A</v>
      </c>
      <c r="G9096" t="e">
        <f t="shared" si="1564"/>
        <v>#N/A</v>
      </c>
    </row>
    <row r="9097" spans="1:7" x14ac:dyDescent="0.25">
      <c r="A9097" s="1">
        <f t="shared" si="1563"/>
        <v>45488</v>
      </c>
      <c r="B9097" s="36"/>
      <c r="E9097" s="5" t="e">
        <f>Table4[[#This Row],[qty]]*(VLOOKUP(Table4[[#This Row],[item_sold]],Table1[],5,FALSE))</f>
        <v>#N/A</v>
      </c>
      <c r="F9097" s="5" t="e">
        <f>(VLOOKUP(Table4[[#This Row],[item_sold]],Table1[],4,FALSE))*Table4[[#This Row],[qty]]</f>
        <v>#N/A</v>
      </c>
      <c r="G9097" t="e">
        <f t="shared" si="1564"/>
        <v>#N/A</v>
      </c>
    </row>
    <row r="9098" spans="1:7" x14ac:dyDescent="0.25">
      <c r="A9098" s="1">
        <f t="shared" si="1563"/>
        <v>45488</v>
      </c>
      <c r="B9098" s="36"/>
      <c r="E9098" s="5" t="e">
        <f>Table4[[#This Row],[qty]]*(VLOOKUP(Table4[[#This Row],[item_sold]],Table1[],5,FALSE))</f>
        <v>#N/A</v>
      </c>
      <c r="F9098" s="5" t="e">
        <f>(VLOOKUP(Table4[[#This Row],[item_sold]],Table1[],4,FALSE))*Table4[[#This Row],[qty]]</f>
        <v>#N/A</v>
      </c>
      <c r="G9098" t="e">
        <f t="shared" si="1564"/>
        <v>#N/A</v>
      </c>
    </row>
    <row r="9099" spans="1:7" x14ac:dyDescent="0.25">
      <c r="A9099" s="1">
        <f t="shared" si="1563"/>
        <v>45488</v>
      </c>
      <c r="B9099" s="36"/>
      <c r="E9099" s="5" t="e">
        <f>Table4[[#This Row],[qty]]*(VLOOKUP(Table4[[#This Row],[item_sold]],Table1[],5,FALSE))</f>
        <v>#N/A</v>
      </c>
      <c r="F9099" s="5" t="e">
        <f>(VLOOKUP(Table4[[#This Row],[item_sold]],Table1[],4,FALSE))*Table4[[#This Row],[qty]]</f>
        <v>#N/A</v>
      </c>
      <c r="G9099" t="e">
        <f t="shared" si="1564"/>
        <v>#N/A</v>
      </c>
    </row>
    <row r="9100" spans="1:7" x14ac:dyDescent="0.25">
      <c r="A9100" s="1">
        <f t="shared" si="1563"/>
        <v>45488</v>
      </c>
      <c r="B9100" s="36"/>
      <c r="E9100" s="5" t="e">
        <f>Table4[[#This Row],[qty]]*(VLOOKUP(Table4[[#This Row],[item_sold]],Table1[],5,FALSE))</f>
        <v>#N/A</v>
      </c>
      <c r="F9100" s="5" t="e">
        <f>(VLOOKUP(Table4[[#This Row],[item_sold]],Table1[],4,FALSE))*Table4[[#This Row],[qty]]</f>
        <v>#N/A</v>
      </c>
      <c r="G9100" t="e">
        <f t="shared" si="1564"/>
        <v>#N/A</v>
      </c>
    </row>
    <row r="9101" spans="1:7" x14ac:dyDescent="0.25">
      <c r="A9101" s="1">
        <f t="shared" si="1563"/>
        <v>45488</v>
      </c>
      <c r="B9101" s="36"/>
      <c r="E9101" s="5" t="e">
        <f>Table4[[#This Row],[qty]]*(VLOOKUP(Table4[[#This Row],[item_sold]],Table1[],5,FALSE))</f>
        <v>#N/A</v>
      </c>
      <c r="F9101" s="5" t="e">
        <f>(VLOOKUP(Table4[[#This Row],[item_sold]],Table1[],4,FALSE))*Table4[[#This Row],[qty]]</f>
        <v>#N/A</v>
      </c>
      <c r="G9101" t="e">
        <f t="shared" si="1564"/>
        <v>#N/A</v>
      </c>
    </row>
    <row r="9102" spans="1:7" x14ac:dyDescent="0.25">
      <c r="A9102" s="1">
        <f t="shared" si="1563"/>
        <v>45488</v>
      </c>
      <c r="B9102" s="36"/>
      <c r="E9102" s="5" t="e">
        <f>Table4[[#This Row],[qty]]*(VLOOKUP(Table4[[#This Row],[item_sold]],Table1[],5,FALSE))</f>
        <v>#N/A</v>
      </c>
      <c r="F9102" s="5" t="e">
        <f>(VLOOKUP(Table4[[#This Row],[item_sold]],Table1[],4,FALSE))*Table4[[#This Row],[qty]]</f>
        <v>#N/A</v>
      </c>
      <c r="G9102" t="e">
        <f t="shared" si="1564"/>
        <v>#N/A</v>
      </c>
    </row>
    <row r="9103" spans="1:7" x14ac:dyDescent="0.25">
      <c r="A9103" s="1">
        <f t="shared" si="1563"/>
        <v>45488</v>
      </c>
      <c r="B9103" s="36"/>
      <c r="E9103" s="5" t="e">
        <f>Table4[[#This Row],[qty]]*(VLOOKUP(Table4[[#This Row],[item_sold]],Table1[],5,FALSE))</f>
        <v>#N/A</v>
      </c>
      <c r="F9103" s="5" t="e">
        <f>(VLOOKUP(Table4[[#This Row],[item_sold]],Table1[],4,FALSE))*Table4[[#This Row],[qty]]</f>
        <v>#N/A</v>
      </c>
      <c r="G9103" t="e">
        <f t="shared" si="1564"/>
        <v>#N/A</v>
      </c>
    </row>
    <row r="9104" spans="1:7" x14ac:dyDescent="0.25">
      <c r="A9104" s="1">
        <f t="shared" si="1563"/>
        <v>45488</v>
      </c>
      <c r="B9104" s="36"/>
      <c r="E9104" s="5" t="e">
        <f>Table4[[#This Row],[qty]]*(VLOOKUP(Table4[[#This Row],[item_sold]],Table1[],5,FALSE))</f>
        <v>#N/A</v>
      </c>
      <c r="F9104" s="5" t="e">
        <f>(VLOOKUP(Table4[[#This Row],[item_sold]],Table1[],4,FALSE))*Table4[[#This Row],[qty]]</f>
        <v>#N/A</v>
      </c>
      <c r="G9104" t="e">
        <f t="shared" si="1564"/>
        <v>#N/A</v>
      </c>
    </row>
    <row r="9105" spans="1:7" x14ac:dyDescent="0.25">
      <c r="A9105" s="1">
        <f t="shared" si="1563"/>
        <v>45488</v>
      </c>
      <c r="B9105" s="36"/>
      <c r="E9105" s="5" t="e">
        <f>Table4[[#This Row],[qty]]*(VLOOKUP(Table4[[#This Row],[item_sold]],Table1[],5,FALSE))</f>
        <v>#N/A</v>
      </c>
      <c r="F9105" s="5" t="e">
        <f>(VLOOKUP(Table4[[#This Row],[item_sold]],Table1[],4,FALSE))*Table4[[#This Row],[qty]]</f>
        <v>#N/A</v>
      </c>
      <c r="G9105" t="e">
        <f t="shared" si="1564"/>
        <v>#N/A</v>
      </c>
    </row>
    <row r="9106" spans="1:7" x14ac:dyDescent="0.25">
      <c r="A9106" s="1">
        <f t="shared" si="1563"/>
        <v>45488</v>
      </c>
      <c r="B9106" s="36"/>
      <c r="E9106" s="5" t="e">
        <f>Table4[[#This Row],[qty]]*(VLOOKUP(Table4[[#This Row],[item_sold]],Table1[],5,FALSE))</f>
        <v>#N/A</v>
      </c>
      <c r="F9106" s="5" t="e">
        <f>(VLOOKUP(Table4[[#This Row],[item_sold]],Table1[],4,FALSE))*Table4[[#This Row],[qty]]</f>
        <v>#N/A</v>
      </c>
      <c r="G9106" t="e">
        <f t="shared" si="1564"/>
        <v>#N/A</v>
      </c>
    </row>
    <row r="9107" spans="1:7" x14ac:dyDescent="0.25">
      <c r="A9107" s="1">
        <f t="shared" si="1563"/>
        <v>45488</v>
      </c>
      <c r="B9107" s="36"/>
      <c r="E9107" s="5" t="e">
        <f>Table4[[#This Row],[qty]]*(VLOOKUP(Table4[[#This Row],[item_sold]],Table1[],5,FALSE))</f>
        <v>#N/A</v>
      </c>
      <c r="F9107" s="5" t="e">
        <f>(VLOOKUP(Table4[[#This Row],[item_sold]],Table1[],4,FALSE))*Table4[[#This Row],[qty]]</f>
        <v>#N/A</v>
      </c>
      <c r="G9107" t="e">
        <f t="shared" si="1564"/>
        <v>#N/A</v>
      </c>
    </row>
    <row r="9108" spans="1:7" x14ac:dyDescent="0.25">
      <c r="A9108" s="1">
        <f t="shared" ref="A9108:A9171" si="1565">DATE(2024,7,15)</f>
        <v>45488</v>
      </c>
      <c r="B9108" s="36"/>
      <c r="E9108" s="5" t="e">
        <f>Table4[[#This Row],[qty]]*(VLOOKUP(Table4[[#This Row],[item_sold]],Table1[],5,FALSE))</f>
        <v>#N/A</v>
      </c>
      <c r="F9108" s="5" t="e">
        <f>(VLOOKUP(Table4[[#This Row],[item_sold]],Table1[],4,FALSE))*Table4[[#This Row],[qty]]</f>
        <v>#N/A</v>
      </c>
      <c r="G9108" t="e">
        <f t="shared" ref="G9108:G9171" si="1566">E9108-F9108</f>
        <v>#N/A</v>
      </c>
    </row>
    <row r="9109" spans="1:7" x14ac:dyDescent="0.25">
      <c r="A9109" s="1">
        <f t="shared" si="1565"/>
        <v>45488</v>
      </c>
      <c r="B9109" s="36"/>
      <c r="E9109" s="5" t="e">
        <f>Table4[[#This Row],[qty]]*(VLOOKUP(Table4[[#This Row],[item_sold]],Table1[],5,FALSE))</f>
        <v>#N/A</v>
      </c>
      <c r="F9109" s="5" t="e">
        <f>(VLOOKUP(Table4[[#This Row],[item_sold]],Table1[],4,FALSE))*Table4[[#This Row],[qty]]</f>
        <v>#N/A</v>
      </c>
      <c r="G9109" t="e">
        <f t="shared" si="1566"/>
        <v>#N/A</v>
      </c>
    </row>
    <row r="9110" spans="1:7" x14ac:dyDescent="0.25">
      <c r="A9110" s="1">
        <f t="shared" si="1565"/>
        <v>45488</v>
      </c>
      <c r="B9110" s="36"/>
      <c r="E9110" s="5" t="e">
        <f>Table4[[#This Row],[qty]]*(VLOOKUP(Table4[[#This Row],[item_sold]],Table1[],5,FALSE))</f>
        <v>#N/A</v>
      </c>
      <c r="F9110" s="5" t="e">
        <f>(VLOOKUP(Table4[[#This Row],[item_sold]],Table1[],4,FALSE))*Table4[[#This Row],[qty]]</f>
        <v>#N/A</v>
      </c>
      <c r="G9110" t="e">
        <f t="shared" si="1566"/>
        <v>#N/A</v>
      </c>
    </row>
    <row r="9111" spans="1:7" x14ac:dyDescent="0.25">
      <c r="A9111" s="1">
        <f t="shared" si="1565"/>
        <v>45488</v>
      </c>
      <c r="B9111" s="36"/>
      <c r="E9111" s="5" t="e">
        <f>Table4[[#This Row],[qty]]*(VLOOKUP(Table4[[#This Row],[item_sold]],Table1[],5,FALSE))</f>
        <v>#N/A</v>
      </c>
      <c r="F9111" s="5" t="e">
        <f>(VLOOKUP(Table4[[#This Row],[item_sold]],Table1[],4,FALSE))*Table4[[#This Row],[qty]]</f>
        <v>#N/A</v>
      </c>
      <c r="G9111" t="e">
        <f t="shared" si="1566"/>
        <v>#N/A</v>
      </c>
    </row>
    <row r="9112" spans="1:7" x14ac:dyDescent="0.25">
      <c r="A9112" s="1">
        <f t="shared" si="1565"/>
        <v>45488</v>
      </c>
      <c r="B9112" s="36"/>
      <c r="E9112" s="5" t="e">
        <f>Table4[[#This Row],[qty]]*(VLOOKUP(Table4[[#This Row],[item_sold]],Table1[],5,FALSE))</f>
        <v>#N/A</v>
      </c>
      <c r="F9112" s="5" t="e">
        <f>(VLOOKUP(Table4[[#This Row],[item_sold]],Table1[],4,FALSE))*Table4[[#This Row],[qty]]</f>
        <v>#N/A</v>
      </c>
      <c r="G9112" t="e">
        <f t="shared" si="1566"/>
        <v>#N/A</v>
      </c>
    </row>
    <row r="9113" spans="1:7" x14ac:dyDescent="0.25">
      <c r="A9113" s="1">
        <f t="shared" si="1565"/>
        <v>45488</v>
      </c>
      <c r="B9113" s="36"/>
      <c r="E9113" s="5" t="e">
        <f>Table4[[#This Row],[qty]]*(VLOOKUP(Table4[[#This Row],[item_sold]],Table1[],5,FALSE))</f>
        <v>#N/A</v>
      </c>
      <c r="F9113" s="5" t="e">
        <f>(VLOOKUP(Table4[[#This Row],[item_sold]],Table1[],4,FALSE))*Table4[[#This Row],[qty]]</f>
        <v>#N/A</v>
      </c>
      <c r="G9113" t="e">
        <f t="shared" si="1566"/>
        <v>#N/A</v>
      </c>
    </row>
    <row r="9114" spans="1:7" x14ac:dyDescent="0.25">
      <c r="A9114" s="1">
        <f t="shared" si="1565"/>
        <v>45488</v>
      </c>
      <c r="B9114" s="36"/>
      <c r="E9114" s="5" t="e">
        <f>Table4[[#This Row],[qty]]*(VLOOKUP(Table4[[#This Row],[item_sold]],Table1[],5,FALSE))</f>
        <v>#N/A</v>
      </c>
      <c r="F9114" s="5" t="e">
        <f>(VLOOKUP(Table4[[#This Row],[item_sold]],Table1[],4,FALSE))*Table4[[#This Row],[qty]]</f>
        <v>#N/A</v>
      </c>
      <c r="G9114" t="e">
        <f t="shared" si="1566"/>
        <v>#N/A</v>
      </c>
    </row>
    <row r="9115" spans="1:7" x14ac:dyDescent="0.25">
      <c r="A9115" s="1">
        <f t="shared" si="1565"/>
        <v>45488</v>
      </c>
      <c r="B9115" s="36"/>
      <c r="E9115" s="5" t="e">
        <f>Table4[[#This Row],[qty]]*(VLOOKUP(Table4[[#This Row],[item_sold]],Table1[],5,FALSE))</f>
        <v>#N/A</v>
      </c>
      <c r="F9115" s="5" t="e">
        <f>(VLOOKUP(Table4[[#This Row],[item_sold]],Table1[],4,FALSE))*Table4[[#This Row],[qty]]</f>
        <v>#N/A</v>
      </c>
      <c r="G9115" t="e">
        <f t="shared" si="1566"/>
        <v>#N/A</v>
      </c>
    </row>
    <row r="9116" spans="1:7" x14ac:dyDescent="0.25">
      <c r="A9116" s="1">
        <f t="shared" si="1565"/>
        <v>45488</v>
      </c>
      <c r="B9116" s="36"/>
      <c r="E9116" s="5" t="e">
        <f>Table4[[#This Row],[qty]]*(VLOOKUP(Table4[[#This Row],[item_sold]],Table1[],5,FALSE))</f>
        <v>#N/A</v>
      </c>
      <c r="F9116" s="5" t="e">
        <f>(VLOOKUP(Table4[[#This Row],[item_sold]],Table1[],4,FALSE))*Table4[[#This Row],[qty]]</f>
        <v>#N/A</v>
      </c>
      <c r="G9116" t="e">
        <f t="shared" si="1566"/>
        <v>#N/A</v>
      </c>
    </row>
    <row r="9117" spans="1:7" x14ac:dyDescent="0.25">
      <c r="A9117" s="1">
        <f t="shared" si="1565"/>
        <v>45488</v>
      </c>
      <c r="B9117" s="36"/>
      <c r="E9117" s="5" t="e">
        <f>Table4[[#This Row],[qty]]*(VLOOKUP(Table4[[#This Row],[item_sold]],Table1[],5,FALSE))</f>
        <v>#N/A</v>
      </c>
      <c r="F9117" s="5" t="e">
        <f>(VLOOKUP(Table4[[#This Row],[item_sold]],Table1[],4,FALSE))*Table4[[#This Row],[qty]]</f>
        <v>#N/A</v>
      </c>
      <c r="G9117" t="e">
        <f t="shared" si="1566"/>
        <v>#N/A</v>
      </c>
    </row>
    <row r="9118" spans="1:7" x14ac:dyDescent="0.25">
      <c r="A9118" s="1">
        <f t="shared" si="1565"/>
        <v>45488</v>
      </c>
      <c r="B9118" s="36"/>
      <c r="E9118" s="5" t="e">
        <f>Table4[[#This Row],[qty]]*(VLOOKUP(Table4[[#This Row],[item_sold]],Table1[],5,FALSE))</f>
        <v>#N/A</v>
      </c>
      <c r="F9118" s="5" t="e">
        <f>(VLOOKUP(Table4[[#This Row],[item_sold]],Table1[],4,FALSE))*Table4[[#This Row],[qty]]</f>
        <v>#N/A</v>
      </c>
      <c r="G9118" t="e">
        <f t="shared" si="1566"/>
        <v>#N/A</v>
      </c>
    </row>
    <row r="9119" spans="1:7" x14ac:dyDescent="0.25">
      <c r="A9119" s="1">
        <f t="shared" si="1565"/>
        <v>45488</v>
      </c>
      <c r="B9119" s="36"/>
      <c r="E9119" s="5" t="e">
        <f>Table4[[#This Row],[qty]]*(VLOOKUP(Table4[[#This Row],[item_sold]],Table1[],5,FALSE))</f>
        <v>#N/A</v>
      </c>
      <c r="F9119" s="5" t="e">
        <f>(VLOOKUP(Table4[[#This Row],[item_sold]],Table1[],4,FALSE))*Table4[[#This Row],[qty]]</f>
        <v>#N/A</v>
      </c>
      <c r="G9119" t="e">
        <f t="shared" si="1566"/>
        <v>#N/A</v>
      </c>
    </row>
    <row r="9120" spans="1:7" x14ac:dyDescent="0.25">
      <c r="A9120" s="1">
        <f t="shared" si="1565"/>
        <v>45488</v>
      </c>
      <c r="B9120" s="36"/>
      <c r="E9120" s="5" t="e">
        <f>Table4[[#This Row],[qty]]*(VLOOKUP(Table4[[#This Row],[item_sold]],Table1[],5,FALSE))</f>
        <v>#N/A</v>
      </c>
      <c r="F9120" s="5" t="e">
        <f>(VLOOKUP(Table4[[#This Row],[item_sold]],Table1[],4,FALSE))*Table4[[#This Row],[qty]]</f>
        <v>#N/A</v>
      </c>
      <c r="G9120" t="e">
        <f t="shared" si="1566"/>
        <v>#N/A</v>
      </c>
    </row>
    <row r="9121" spans="1:7" x14ac:dyDescent="0.25">
      <c r="A9121" s="1">
        <f t="shared" si="1565"/>
        <v>45488</v>
      </c>
      <c r="B9121" s="36"/>
      <c r="E9121" s="5" t="e">
        <f>Table4[[#This Row],[qty]]*(VLOOKUP(Table4[[#This Row],[item_sold]],Table1[],5,FALSE))</f>
        <v>#N/A</v>
      </c>
      <c r="F9121" s="5" t="e">
        <f>(VLOOKUP(Table4[[#This Row],[item_sold]],Table1[],4,FALSE))*Table4[[#This Row],[qty]]</f>
        <v>#N/A</v>
      </c>
      <c r="G9121" t="e">
        <f t="shared" si="1566"/>
        <v>#N/A</v>
      </c>
    </row>
    <row r="9122" spans="1:7" x14ac:dyDescent="0.25">
      <c r="A9122" s="1">
        <f t="shared" si="1565"/>
        <v>45488</v>
      </c>
      <c r="B9122" s="36"/>
      <c r="E9122" s="5" t="e">
        <f>Table4[[#This Row],[qty]]*(VLOOKUP(Table4[[#This Row],[item_sold]],Table1[],5,FALSE))</f>
        <v>#N/A</v>
      </c>
      <c r="F9122" s="5" t="e">
        <f>(VLOOKUP(Table4[[#This Row],[item_sold]],Table1[],4,FALSE))*Table4[[#This Row],[qty]]</f>
        <v>#N/A</v>
      </c>
      <c r="G9122" t="e">
        <f t="shared" si="1566"/>
        <v>#N/A</v>
      </c>
    </row>
    <row r="9123" spans="1:7" x14ac:dyDescent="0.25">
      <c r="A9123" s="1">
        <f t="shared" si="1565"/>
        <v>45488</v>
      </c>
      <c r="B9123" s="36"/>
      <c r="E9123" s="5" t="e">
        <f>Table4[[#This Row],[qty]]*(VLOOKUP(Table4[[#This Row],[item_sold]],Table1[],5,FALSE))</f>
        <v>#N/A</v>
      </c>
      <c r="F9123" s="5" t="e">
        <f>(VLOOKUP(Table4[[#This Row],[item_sold]],Table1[],4,FALSE))*Table4[[#This Row],[qty]]</f>
        <v>#N/A</v>
      </c>
      <c r="G9123" t="e">
        <f t="shared" si="1566"/>
        <v>#N/A</v>
      </c>
    </row>
    <row r="9124" spans="1:7" x14ac:dyDescent="0.25">
      <c r="A9124" s="1">
        <f t="shared" si="1565"/>
        <v>45488</v>
      </c>
      <c r="B9124" s="36"/>
      <c r="E9124" s="5" t="e">
        <f>Table4[[#This Row],[qty]]*(VLOOKUP(Table4[[#This Row],[item_sold]],Table1[],5,FALSE))</f>
        <v>#N/A</v>
      </c>
      <c r="F9124" s="5" t="e">
        <f>(VLOOKUP(Table4[[#This Row],[item_sold]],Table1[],4,FALSE))*Table4[[#This Row],[qty]]</f>
        <v>#N/A</v>
      </c>
      <c r="G9124" t="e">
        <f t="shared" si="1566"/>
        <v>#N/A</v>
      </c>
    </row>
    <row r="9125" spans="1:7" x14ac:dyDescent="0.25">
      <c r="A9125" s="1">
        <f t="shared" si="1565"/>
        <v>45488</v>
      </c>
      <c r="B9125" s="36"/>
      <c r="E9125" s="5" t="e">
        <f>Table4[[#This Row],[qty]]*(VLOOKUP(Table4[[#This Row],[item_sold]],Table1[],5,FALSE))</f>
        <v>#N/A</v>
      </c>
      <c r="F9125" s="5" t="e">
        <f>(VLOOKUP(Table4[[#This Row],[item_sold]],Table1[],4,FALSE))*Table4[[#This Row],[qty]]</f>
        <v>#N/A</v>
      </c>
      <c r="G9125" t="e">
        <f t="shared" si="1566"/>
        <v>#N/A</v>
      </c>
    </row>
    <row r="9126" spans="1:7" x14ac:dyDescent="0.25">
      <c r="A9126" s="1">
        <f t="shared" si="1565"/>
        <v>45488</v>
      </c>
      <c r="B9126" s="36"/>
      <c r="E9126" s="5" t="e">
        <f>Table4[[#This Row],[qty]]*(VLOOKUP(Table4[[#This Row],[item_sold]],Table1[],5,FALSE))</f>
        <v>#N/A</v>
      </c>
      <c r="F9126" s="5" t="e">
        <f>(VLOOKUP(Table4[[#This Row],[item_sold]],Table1[],4,FALSE))*Table4[[#This Row],[qty]]</f>
        <v>#N/A</v>
      </c>
      <c r="G9126" t="e">
        <f t="shared" si="1566"/>
        <v>#N/A</v>
      </c>
    </row>
    <row r="9127" spans="1:7" x14ac:dyDescent="0.25">
      <c r="A9127" s="1">
        <f t="shared" si="1565"/>
        <v>45488</v>
      </c>
      <c r="B9127" s="36"/>
      <c r="E9127" s="5" t="e">
        <f>Table4[[#This Row],[qty]]*(VLOOKUP(Table4[[#This Row],[item_sold]],Table1[],5,FALSE))</f>
        <v>#N/A</v>
      </c>
      <c r="F9127" s="5" t="e">
        <f>(VLOOKUP(Table4[[#This Row],[item_sold]],Table1[],4,FALSE))*Table4[[#This Row],[qty]]</f>
        <v>#N/A</v>
      </c>
      <c r="G9127" t="e">
        <f t="shared" si="1566"/>
        <v>#N/A</v>
      </c>
    </row>
    <row r="9128" spans="1:7" x14ac:dyDescent="0.25">
      <c r="A9128" s="1">
        <f t="shared" si="1565"/>
        <v>45488</v>
      </c>
      <c r="B9128" s="36"/>
      <c r="E9128" s="5" t="e">
        <f>Table4[[#This Row],[qty]]*(VLOOKUP(Table4[[#This Row],[item_sold]],Table1[],5,FALSE))</f>
        <v>#N/A</v>
      </c>
      <c r="F9128" s="5" t="e">
        <f>(VLOOKUP(Table4[[#This Row],[item_sold]],Table1[],4,FALSE))*Table4[[#This Row],[qty]]</f>
        <v>#N/A</v>
      </c>
      <c r="G9128" t="e">
        <f t="shared" si="1566"/>
        <v>#N/A</v>
      </c>
    </row>
    <row r="9129" spans="1:7" x14ac:dyDescent="0.25">
      <c r="A9129" s="1">
        <f t="shared" si="1565"/>
        <v>45488</v>
      </c>
      <c r="B9129" s="36"/>
      <c r="E9129" s="5" t="e">
        <f>Table4[[#This Row],[qty]]*(VLOOKUP(Table4[[#This Row],[item_sold]],Table1[],5,FALSE))</f>
        <v>#N/A</v>
      </c>
      <c r="F9129" s="5" t="e">
        <f>(VLOOKUP(Table4[[#This Row],[item_sold]],Table1[],4,FALSE))*Table4[[#This Row],[qty]]</f>
        <v>#N/A</v>
      </c>
      <c r="G9129" t="e">
        <f t="shared" si="1566"/>
        <v>#N/A</v>
      </c>
    </row>
    <row r="9130" spans="1:7" x14ac:dyDescent="0.25">
      <c r="A9130" s="1">
        <f t="shared" si="1565"/>
        <v>45488</v>
      </c>
      <c r="B9130" s="36"/>
      <c r="E9130" s="5" t="e">
        <f>Table4[[#This Row],[qty]]*(VLOOKUP(Table4[[#This Row],[item_sold]],Table1[],5,FALSE))</f>
        <v>#N/A</v>
      </c>
      <c r="F9130" s="5" t="e">
        <f>(VLOOKUP(Table4[[#This Row],[item_sold]],Table1[],4,FALSE))*Table4[[#This Row],[qty]]</f>
        <v>#N/A</v>
      </c>
      <c r="G9130" t="e">
        <f t="shared" si="1566"/>
        <v>#N/A</v>
      </c>
    </row>
    <row r="9131" spans="1:7" x14ac:dyDescent="0.25">
      <c r="A9131" s="1">
        <f t="shared" si="1565"/>
        <v>45488</v>
      </c>
      <c r="B9131" s="36"/>
      <c r="E9131" s="5" t="e">
        <f>Table4[[#This Row],[qty]]*(VLOOKUP(Table4[[#This Row],[item_sold]],Table1[],5,FALSE))</f>
        <v>#N/A</v>
      </c>
      <c r="F9131" s="5" t="e">
        <f>(VLOOKUP(Table4[[#This Row],[item_sold]],Table1[],4,FALSE))*Table4[[#This Row],[qty]]</f>
        <v>#N/A</v>
      </c>
      <c r="G9131" t="e">
        <f t="shared" si="1566"/>
        <v>#N/A</v>
      </c>
    </row>
    <row r="9132" spans="1:7" x14ac:dyDescent="0.25">
      <c r="A9132" s="1">
        <f t="shared" si="1565"/>
        <v>45488</v>
      </c>
      <c r="B9132" s="36"/>
      <c r="E9132" s="5" t="e">
        <f>Table4[[#This Row],[qty]]*(VLOOKUP(Table4[[#This Row],[item_sold]],Table1[],5,FALSE))</f>
        <v>#N/A</v>
      </c>
      <c r="F9132" s="5" t="e">
        <f>(VLOOKUP(Table4[[#This Row],[item_sold]],Table1[],4,FALSE))*Table4[[#This Row],[qty]]</f>
        <v>#N/A</v>
      </c>
      <c r="G9132" t="e">
        <f t="shared" si="1566"/>
        <v>#N/A</v>
      </c>
    </row>
    <row r="9133" spans="1:7" x14ac:dyDescent="0.25">
      <c r="A9133" s="1">
        <f t="shared" si="1565"/>
        <v>45488</v>
      </c>
      <c r="B9133" s="36"/>
      <c r="E9133" s="5" t="e">
        <f>Table4[[#This Row],[qty]]*(VLOOKUP(Table4[[#This Row],[item_sold]],Table1[],5,FALSE))</f>
        <v>#N/A</v>
      </c>
      <c r="F9133" s="5" t="e">
        <f>(VLOOKUP(Table4[[#This Row],[item_sold]],Table1[],4,FALSE))*Table4[[#This Row],[qty]]</f>
        <v>#N/A</v>
      </c>
      <c r="G9133" t="e">
        <f t="shared" si="1566"/>
        <v>#N/A</v>
      </c>
    </row>
    <row r="9134" spans="1:7" x14ac:dyDescent="0.25">
      <c r="A9134" s="1">
        <f t="shared" si="1565"/>
        <v>45488</v>
      </c>
      <c r="B9134" s="36"/>
      <c r="E9134" s="5" t="e">
        <f>Table4[[#This Row],[qty]]*(VLOOKUP(Table4[[#This Row],[item_sold]],Table1[],5,FALSE))</f>
        <v>#N/A</v>
      </c>
      <c r="F9134" s="5" t="e">
        <f>(VLOOKUP(Table4[[#This Row],[item_sold]],Table1[],4,FALSE))*Table4[[#This Row],[qty]]</f>
        <v>#N/A</v>
      </c>
      <c r="G9134" t="e">
        <f t="shared" si="1566"/>
        <v>#N/A</v>
      </c>
    </row>
    <row r="9135" spans="1:7" x14ac:dyDescent="0.25">
      <c r="A9135" s="1">
        <f t="shared" si="1565"/>
        <v>45488</v>
      </c>
      <c r="B9135" s="36"/>
      <c r="E9135" s="5" t="e">
        <f>Table4[[#This Row],[qty]]*(VLOOKUP(Table4[[#This Row],[item_sold]],Table1[],5,FALSE))</f>
        <v>#N/A</v>
      </c>
      <c r="F9135" s="5" t="e">
        <f>(VLOOKUP(Table4[[#This Row],[item_sold]],Table1[],4,FALSE))*Table4[[#This Row],[qty]]</f>
        <v>#N/A</v>
      </c>
      <c r="G9135" t="e">
        <f t="shared" si="1566"/>
        <v>#N/A</v>
      </c>
    </row>
    <row r="9136" spans="1:7" x14ac:dyDescent="0.25">
      <c r="A9136" s="1">
        <f t="shared" si="1565"/>
        <v>45488</v>
      </c>
      <c r="B9136" s="36"/>
      <c r="E9136" s="5" t="e">
        <f>Table4[[#This Row],[qty]]*(VLOOKUP(Table4[[#This Row],[item_sold]],Table1[],5,FALSE))</f>
        <v>#N/A</v>
      </c>
      <c r="F9136" s="5" t="e">
        <f>(VLOOKUP(Table4[[#This Row],[item_sold]],Table1[],4,FALSE))*Table4[[#This Row],[qty]]</f>
        <v>#N/A</v>
      </c>
      <c r="G9136" t="e">
        <f t="shared" si="1566"/>
        <v>#N/A</v>
      </c>
    </row>
    <row r="9137" spans="1:7" x14ac:dyDescent="0.25">
      <c r="A9137" s="1">
        <f t="shared" si="1565"/>
        <v>45488</v>
      </c>
      <c r="B9137" s="36"/>
      <c r="E9137" s="5" t="e">
        <f>Table4[[#This Row],[qty]]*(VLOOKUP(Table4[[#This Row],[item_sold]],Table1[],5,FALSE))</f>
        <v>#N/A</v>
      </c>
      <c r="F9137" s="5" t="e">
        <f>(VLOOKUP(Table4[[#This Row],[item_sold]],Table1[],4,FALSE))*Table4[[#This Row],[qty]]</f>
        <v>#N/A</v>
      </c>
      <c r="G9137" t="e">
        <f t="shared" si="1566"/>
        <v>#N/A</v>
      </c>
    </row>
    <row r="9138" spans="1:7" x14ac:dyDescent="0.25">
      <c r="A9138" s="1">
        <f t="shared" si="1565"/>
        <v>45488</v>
      </c>
      <c r="B9138" s="36"/>
      <c r="E9138" s="5" t="e">
        <f>Table4[[#This Row],[qty]]*(VLOOKUP(Table4[[#This Row],[item_sold]],Table1[],5,FALSE))</f>
        <v>#N/A</v>
      </c>
      <c r="F9138" s="5" t="e">
        <f>(VLOOKUP(Table4[[#This Row],[item_sold]],Table1[],4,FALSE))*Table4[[#This Row],[qty]]</f>
        <v>#N/A</v>
      </c>
      <c r="G9138" t="e">
        <f t="shared" si="1566"/>
        <v>#N/A</v>
      </c>
    </row>
    <row r="9139" spans="1:7" x14ac:dyDescent="0.25">
      <c r="A9139" s="1">
        <f t="shared" si="1565"/>
        <v>45488</v>
      </c>
      <c r="B9139" s="36"/>
      <c r="E9139" s="5" t="e">
        <f>Table4[[#This Row],[qty]]*(VLOOKUP(Table4[[#This Row],[item_sold]],Table1[],5,FALSE))</f>
        <v>#N/A</v>
      </c>
      <c r="F9139" s="5" t="e">
        <f>(VLOOKUP(Table4[[#This Row],[item_sold]],Table1[],4,FALSE))*Table4[[#This Row],[qty]]</f>
        <v>#N/A</v>
      </c>
      <c r="G9139" t="e">
        <f t="shared" si="1566"/>
        <v>#N/A</v>
      </c>
    </row>
    <row r="9140" spans="1:7" x14ac:dyDescent="0.25">
      <c r="A9140" s="1">
        <f t="shared" si="1565"/>
        <v>45488</v>
      </c>
      <c r="B9140" s="36"/>
      <c r="E9140" s="5" t="e">
        <f>Table4[[#This Row],[qty]]*(VLOOKUP(Table4[[#This Row],[item_sold]],Table1[],5,FALSE))</f>
        <v>#N/A</v>
      </c>
      <c r="F9140" s="5" t="e">
        <f>(VLOOKUP(Table4[[#This Row],[item_sold]],Table1[],4,FALSE))*Table4[[#This Row],[qty]]</f>
        <v>#N/A</v>
      </c>
      <c r="G9140" t="e">
        <f t="shared" si="1566"/>
        <v>#N/A</v>
      </c>
    </row>
    <row r="9141" spans="1:7" x14ac:dyDescent="0.25">
      <c r="A9141" s="1">
        <f t="shared" si="1565"/>
        <v>45488</v>
      </c>
      <c r="B9141" s="36"/>
      <c r="E9141" s="5" t="e">
        <f>Table4[[#This Row],[qty]]*(VLOOKUP(Table4[[#This Row],[item_sold]],Table1[],5,FALSE))</f>
        <v>#N/A</v>
      </c>
      <c r="F9141" s="5" t="e">
        <f>(VLOOKUP(Table4[[#This Row],[item_sold]],Table1[],4,FALSE))*Table4[[#This Row],[qty]]</f>
        <v>#N/A</v>
      </c>
      <c r="G9141" t="e">
        <f t="shared" si="1566"/>
        <v>#N/A</v>
      </c>
    </row>
    <row r="9142" spans="1:7" x14ac:dyDescent="0.25">
      <c r="A9142" s="1">
        <f t="shared" si="1565"/>
        <v>45488</v>
      </c>
      <c r="B9142" s="36"/>
      <c r="E9142" s="5" t="e">
        <f>Table4[[#This Row],[qty]]*(VLOOKUP(Table4[[#This Row],[item_sold]],Table1[],5,FALSE))</f>
        <v>#N/A</v>
      </c>
      <c r="F9142" s="5" t="e">
        <f>(VLOOKUP(Table4[[#This Row],[item_sold]],Table1[],4,FALSE))*Table4[[#This Row],[qty]]</f>
        <v>#N/A</v>
      </c>
      <c r="G9142" t="e">
        <f t="shared" si="1566"/>
        <v>#N/A</v>
      </c>
    </row>
    <row r="9143" spans="1:7" x14ac:dyDescent="0.25">
      <c r="A9143" s="1">
        <f t="shared" si="1565"/>
        <v>45488</v>
      </c>
      <c r="B9143" s="36"/>
      <c r="E9143" s="5" t="e">
        <f>Table4[[#This Row],[qty]]*(VLOOKUP(Table4[[#This Row],[item_sold]],Table1[],5,FALSE))</f>
        <v>#N/A</v>
      </c>
      <c r="F9143" s="5" t="e">
        <f>(VLOOKUP(Table4[[#This Row],[item_sold]],Table1[],4,FALSE))*Table4[[#This Row],[qty]]</f>
        <v>#N/A</v>
      </c>
      <c r="G9143" t="e">
        <f t="shared" si="1566"/>
        <v>#N/A</v>
      </c>
    </row>
    <row r="9144" spans="1:7" x14ac:dyDescent="0.25">
      <c r="A9144" s="1">
        <f t="shared" si="1565"/>
        <v>45488</v>
      </c>
      <c r="B9144" s="36"/>
      <c r="E9144" s="5" t="e">
        <f>Table4[[#This Row],[qty]]*(VLOOKUP(Table4[[#This Row],[item_sold]],Table1[],5,FALSE))</f>
        <v>#N/A</v>
      </c>
      <c r="F9144" s="5" t="e">
        <f>(VLOOKUP(Table4[[#This Row],[item_sold]],Table1[],4,FALSE))*Table4[[#This Row],[qty]]</f>
        <v>#N/A</v>
      </c>
      <c r="G9144" t="e">
        <f t="shared" si="1566"/>
        <v>#N/A</v>
      </c>
    </row>
    <row r="9145" spans="1:7" x14ac:dyDescent="0.25">
      <c r="A9145" s="1">
        <f t="shared" si="1565"/>
        <v>45488</v>
      </c>
      <c r="B9145" s="36"/>
      <c r="E9145" s="5" t="e">
        <f>Table4[[#This Row],[qty]]*(VLOOKUP(Table4[[#This Row],[item_sold]],Table1[],5,FALSE))</f>
        <v>#N/A</v>
      </c>
      <c r="F9145" s="5" t="e">
        <f>(VLOOKUP(Table4[[#This Row],[item_sold]],Table1[],4,FALSE))*Table4[[#This Row],[qty]]</f>
        <v>#N/A</v>
      </c>
      <c r="G9145" t="e">
        <f t="shared" si="1566"/>
        <v>#N/A</v>
      </c>
    </row>
    <row r="9146" spans="1:7" x14ac:dyDescent="0.25">
      <c r="A9146" s="1">
        <f t="shared" si="1565"/>
        <v>45488</v>
      </c>
      <c r="B9146" s="36"/>
      <c r="E9146" s="5" t="e">
        <f>Table4[[#This Row],[qty]]*(VLOOKUP(Table4[[#This Row],[item_sold]],Table1[],5,FALSE))</f>
        <v>#N/A</v>
      </c>
      <c r="F9146" s="5" t="e">
        <f>(VLOOKUP(Table4[[#This Row],[item_sold]],Table1[],4,FALSE))*Table4[[#This Row],[qty]]</f>
        <v>#N/A</v>
      </c>
      <c r="G9146" t="e">
        <f t="shared" si="1566"/>
        <v>#N/A</v>
      </c>
    </row>
    <row r="9147" spans="1:7" x14ac:dyDescent="0.25">
      <c r="A9147" s="1">
        <f t="shared" si="1565"/>
        <v>45488</v>
      </c>
      <c r="B9147" s="36"/>
      <c r="E9147" s="5" t="e">
        <f>Table4[[#This Row],[qty]]*(VLOOKUP(Table4[[#This Row],[item_sold]],Table1[],5,FALSE))</f>
        <v>#N/A</v>
      </c>
      <c r="F9147" s="5" t="e">
        <f>(VLOOKUP(Table4[[#This Row],[item_sold]],Table1[],4,FALSE))*Table4[[#This Row],[qty]]</f>
        <v>#N/A</v>
      </c>
      <c r="G9147" t="e">
        <f t="shared" si="1566"/>
        <v>#N/A</v>
      </c>
    </row>
    <row r="9148" spans="1:7" x14ac:dyDescent="0.25">
      <c r="A9148" s="1">
        <f t="shared" si="1565"/>
        <v>45488</v>
      </c>
      <c r="B9148" s="36"/>
      <c r="E9148" s="5" t="e">
        <f>Table4[[#This Row],[qty]]*(VLOOKUP(Table4[[#This Row],[item_sold]],Table1[],5,FALSE))</f>
        <v>#N/A</v>
      </c>
      <c r="F9148" s="5" t="e">
        <f>(VLOOKUP(Table4[[#This Row],[item_sold]],Table1[],4,FALSE))*Table4[[#This Row],[qty]]</f>
        <v>#N/A</v>
      </c>
      <c r="G9148" t="e">
        <f t="shared" si="1566"/>
        <v>#N/A</v>
      </c>
    </row>
    <row r="9149" spans="1:7" x14ac:dyDescent="0.25">
      <c r="A9149" s="1">
        <f t="shared" si="1565"/>
        <v>45488</v>
      </c>
      <c r="B9149" s="36"/>
      <c r="E9149" s="5" t="e">
        <f>Table4[[#This Row],[qty]]*(VLOOKUP(Table4[[#This Row],[item_sold]],Table1[],5,FALSE))</f>
        <v>#N/A</v>
      </c>
      <c r="F9149" s="5" t="e">
        <f>(VLOOKUP(Table4[[#This Row],[item_sold]],Table1[],4,FALSE))*Table4[[#This Row],[qty]]</f>
        <v>#N/A</v>
      </c>
      <c r="G9149" t="e">
        <f t="shared" si="1566"/>
        <v>#N/A</v>
      </c>
    </row>
    <row r="9150" spans="1:7" x14ac:dyDescent="0.25">
      <c r="A9150" s="1">
        <f t="shared" si="1565"/>
        <v>45488</v>
      </c>
      <c r="B9150" s="36"/>
      <c r="E9150" s="5" t="e">
        <f>Table4[[#This Row],[qty]]*(VLOOKUP(Table4[[#This Row],[item_sold]],Table1[],5,FALSE))</f>
        <v>#N/A</v>
      </c>
      <c r="F9150" s="5" t="e">
        <f>(VLOOKUP(Table4[[#This Row],[item_sold]],Table1[],4,FALSE))*Table4[[#This Row],[qty]]</f>
        <v>#N/A</v>
      </c>
      <c r="G9150" t="e">
        <f t="shared" si="1566"/>
        <v>#N/A</v>
      </c>
    </row>
    <row r="9151" spans="1:7" x14ac:dyDescent="0.25">
      <c r="A9151" s="1">
        <f t="shared" si="1565"/>
        <v>45488</v>
      </c>
      <c r="B9151" s="36"/>
      <c r="E9151" s="5" t="e">
        <f>Table4[[#This Row],[qty]]*(VLOOKUP(Table4[[#This Row],[item_sold]],Table1[],5,FALSE))</f>
        <v>#N/A</v>
      </c>
      <c r="F9151" s="5" t="e">
        <f>(VLOOKUP(Table4[[#This Row],[item_sold]],Table1[],4,FALSE))*Table4[[#This Row],[qty]]</f>
        <v>#N/A</v>
      </c>
      <c r="G9151" t="e">
        <f t="shared" si="1566"/>
        <v>#N/A</v>
      </c>
    </row>
    <row r="9152" spans="1:7" x14ac:dyDescent="0.25">
      <c r="A9152" s="1">
        <f t="shared" si="1565"/>
        <v>45488</v>
      </c>
      <c r="B9152" s="36"/>
      <c r="E9152" s="5" t="e">
        <f>Table4[[#This Row],[qty]]*(VLOOKUP(Table4[[#This Row],[item_sold]],Table1[],5,FALSE))</f>
        <v>#N/A</v>
      </c>
      <c r="F9152" s="5" t="e">
        <f>(VLOOKUP(Table4[[#This Row],[item_sold]],Table1[],4,FALSE))*Table4[[#This Row],[qty]]</f>
        <v>#N/A</v>
      </c>
      <c r="G9152" t="e">
        <f t="shared" si="1566"/>
        <v>#N/A</v>
      </c>
    </row>
    <row r="9153" spans="1:7" x14ac:dyDescent="0.25">
      <c r="A9153" s="1">
        <f t="shared" si="1565"/>
        <v>45488</v>
      </c>
      <c r="B9153" s="36"/>
      <c r="E9153" s="5" t="e">
        <f>Table4[[#This Row],[qty]]*(VLOOKUP(Table4[[#This Row],[item_sold]],Table1[],5,FALSE))</f>
        <v>#N/A</v>
      </c>
      <c r="F9153" s="5" t="e">
        <f>(VLOOKUP(Table4[[#This Row],[item_sold]],Table1[],4,FALSE))*Table4[[#This Row],[qty]]</f>
        <v>#N/A</v>
      </c>
      <c r="G9153" t="e">
        <f t="shared" si="1566"/>
        <v>#N/A</v>
      </c>
    </row>
    <row r="9154" spans="1:7" x14ac:dyDescent="0.25">
      <c r="A9154" s="1">
        <f t="shared" si="1565"/>
        <v>45488</v>
      </c>
      <c r="B9154" s="36"/>
      <c r="E9154" s="5" t="e">
        <f>Table4[[#This Row],[qty]]*(VLOOKUP(Table4[[#This Row],[item_sold]],Table1[],5,FALSE))</f>
        <v>#N/A</v>
      </c>
      <c r="F9154" s="5" t="e">
        <f>(VLOOKUP(Table4[[#This Row],[item_sold]],Table1[],4,FALSE))*Table4[[#This Row],[qty]]</f>
        <v>#N/A</v>
      </c>
      <c r="G9154" t="e">
        <f t="shared" si="1566"/>
        <v>#N/A</v>
      </c>
    </row>
    <row r="9155" spans="1:7" x14ac:dyDescent="0.25">
      <c r="A9155" s="1">
        <f t="shared" si="1565"/>
        <v>45488</v>
      </c>
      <c r="B9155" s="36"/>
      <c r="E9155" s="5" t="e">
        <f>Table4[[#This Row],[qty]]*(VLOOKUP(Table4[[#This Row],[item_sold]],Table1[],5,FALSE))</f>
        <v>#N/A</v>
      </c>
      <c r="F9155" s="5" t="e">
        <f>(VLOOKUP(Table4[[#This Row],[item_sold]],Table1[],4,FALSE))*Table4[[#This Row],[qty]]</f>
        <v>#N/A</v>
      </c>
      <c r="G9155" t="e">
        <f t="shared" si="1566"/>
        <v>#N/A</v>
      </c>
    </row>
    <row r="9156" spans="1:7" x14ac:dyDescent="0.25">
      <c r="A9156" s="1">
        <f t="shared" si="1565"/>
        <v>45488</v>
      </c>
      <c r="B9156" s="36"/>
      <c r="E9156" s="5" t="e">
        <f>Table4[[#This Row],[qty]]*(VLOOKUP(Table4[[#This Row],[item_sold]],Table1[],5,FALSE))</f>
        <v>#N/A</v>
      </c>
      <c r="F9156" s="5" t="e">
        <f>(VLOOKUP(Table4[[#This Row],[item_sold]],Table1[],4,FALSE))*Table4[[#This Row],[qty]]</f>
        <v>#N/A</v>
      </c>
      <c r="G9156" t="e">
        <f t="shared" si="1566"/>
        <v>#N/A</v>
      </c>
    </row>
    <row r="9157" spans="1:7" x14ac:dyDescent="0.25">
      <c r="A9157" s="1">
        <f t="shared" si="1565"/>
        <v>45488</v>
      </c>
      <c r="B9157" s="36"/>
      <c r="E9157" s="5" t="e">
        <f>Table4[[#This Row],[qty]]*(VLOOKUP(Table4[[#This Row],[item_sold]],Table1[],5,FALSE))</f>
        <v>#N/A</v>
      </c>
      <c r="F9157" s="5" t="e">
        <f>(VLOOKUP(Table4[[#This Row],[item_sold]],Table1[],4,FALSE))*Table4[[#This Row],[qty]]</f>
        <v>#N/A</v>
      </c>
      <c r="G9157" t="e">
        <f t="shared" si="1566"/>
        <v>#N/A</v>
      </c>
    </row>
    <row r="9158" spans="1:7" x14ac:dyDescent="0.25">
      <c r="A9158" s="1">
        <f t="shared" si="1565"/>
        <v>45488</v>
      </c>
      <c r="B9158" s="36"/>
      <c r="E9158" s="5" t="e">
        <f>Table4[[#This Row],[qty]]*(VLOOKUP(Table4[[#This Row],[item_sold]],Table1[],5,FALSE))</f>
        <v>#N/A</v>
      </c>
      <c r="F9158" s="5" t="e">
        <f>(VLOOKUP(Table4[[#This Row],[item_sold]],Table1[],4,FALSE))*Table4[[#This Row],[qty]]</f>
        <v>#N/A</v>
      </c>
      <c r="G9158" t="e">
        <f t="shared" si="1566"/>
        <v>#N/A</v>
      </c>
    </row>
    <row r="9159" spans="1:7" x14ac:dyDescent="0.25">
      <c r="A9159" s="1">
        <f t="shared" si="1565"/>
        <v>45488</v>
      </c>
      <c r="B9159" s="36"/>
      <c r="E9159" s="5" t="e">
        <f>Table4[[#This Row],[qty]]*(VLOOKUP(Table4[[#This Row],[item_sold]],Table1[],5,FALSE))</f>
        <v>#N/A</v>
      </c>
      <c r="F9159" s="5" t="e">
        <f>(VLOOKUP(Table4[[#This Row],[item_sold]],Table1[],4,FALSE))*Table4[[#This Row],[qty]]</f>
        <v>#N/A</v>
      </c>
      <c r="G9159" t="e">
        <f t="shared" si="1566"/>
        <v>#N/A</v>
      </c>
    </row>
    <row r="9160" spans="1:7" x14ac:dyDescent="0.25">
      <c r="A9160" s="1">
        <f t="shared" si="1565"/>
        <v>45488</v>
      </c>
      <c r="B9160" s="36"/>
      <c r="E9160" s="5" t="e">
        <f>Table4[[#This Row],[qty]]*(VLOOKUP(Table4[[#This Row],[item_sold]],Table1[],5,FALSE))</f>
        <v>#N/A</v>
      </c>
      <c r="F9160" s="5" t="e">
        <f>(VLOOKUP(Table4[[#This Row],[item_sold]],Table1[],4,FALSE))*Table4[[#This Row],[qty]]</f>
        <v>#N/A</v>
      </c>
      <c r="G9160" t="e">
        <f t="shared" si="1566"/>
        <v>#N/A</v>
      </c>
    </row>
    <row r="9161" spans="1:7" x14ac:dyDescent="0.25">
      <c r="A9161" s="1">
        <f t="shared" si="1565"/>
        <v>45488</v>
      </c>
      <c r="B9161" s="36"/>
      <c r="E9161" s="5" t="e">
        <f>Table4[[#This Row],[qty]]*(VLOOKUP(Table4[[#This Row],[item_sold]],Table1[],5,FALSE))</f>
        <v>#N/A</v>
      </c>
      <c r="F9161" s="5" t="e">
        <f>(VLOOKUP(Table4[[#This Row],[item_sold]],Table1[],4,FALSE))*Table4[[#This Row],[qty]]</f>
        <v>#N/A</v>
      </c>
      <c r="G9161" t="e">
        <f t="shared" si="1566"/>
        <v>#N/A</v>
      </c>
    </row>
    <row r="9162" spans="1:7" x14ac:dyDescent="0.25">
      <c r="A9162" s="1">
        <f t="shared" si="1565"/>
        <v>45488</v>
      </c>
      <c r="B9162" s="36"/>
      <c r="E9162" s="5" t="e">
        <f>Table4[[#This Row],[qty]]*(VLOOKUP(Table4[[#This Row],[item_sold]],Table1[],5,FALSE))</f>
        <v>#N/A</v>
      </c>
      <c r="F9162" s="5" t="e">
        <f>(VLOOKUP(Table4[[#This Row],[item_sold]],Table1[],4,FALSE))*Table4[[#This Row],[qty]]</f>
        <v>#N/A</v>
      </c>
      <c r="G9162" t="e">
        <f t="shared" si="1566"/>
        <v>#N/A</v>
      </c>
    </row>
    <row r="9163" spans="1:7" x14ac:dyDescent="0.25">
      <c r="A9163" s="1">
        <f t="shared" si="1565"/>
        <v>45488</v>
      </c>
      <c r="B9163" s="36"/>
      <c r="E9163" s="5" t="e">
        <f>Table4[[#This Row],[qty]]*(VLOOKUP(Table4[[#This Row],[item_sold]],Table1[],5,FALSE))</f>
        <v>#N/A</v>
      </c>
      <c r="F9163" s="5" t="e">
        <f>(VLOOKUP(Table4[[#This Row],[item_sold]],Table1[],4,FALSE))*Table4[[#This Row],[qty]]</f>
        <v>#N/A</v>
      </c>
      <c r="G9163" t="e">
        <f t="shared" si="1566"/>
        <v>#N/A</v>
      </c>
    </row>
    <row r="9164" spans="1:7" x14ac:dyDescent="0.25">
      <c r="A9164" s="1">
        <f t="shared" si="1565"/>
        <v>45488</v>
      </c>
      <c r="B9164" s="36"/>
      <c r="E9164" s="5" t="e">
        <f>Table4[[#This Row],[qty]]*(VLOOKUP(Table4[[#This Row],[item_sold]],Table1[],5,FALSE))</f>
        <v>#N/A</v>
      </c>
      <c r="F9164" s="5" t="e">
        <f>(VLOOKUP(Table4[[#This Row],[item_sold]],Table1[],4,FALSE))*Table4[[#This Row],[qty]]</f>
        <v>#N/A</v>
      </c>
      <c r="G9164" t="e">
        <f t="shared" si="1566"/>
        <v>#N/A</v>
      </c>
    </row>
    <row r="9165" spans="1:7" x14ac:dyDescent="0.25">
      <c r="A9165" s="1">
        <f t="shared" si="1565"/>
        <v>45488</v>
      </c>
      <c r="B9165" s="36"/>
      <c r="E9165" s="5" t="e">
        <f>Table4[[#This Row],[qty]]*(VLOOKUP(Table4[[#This Row],[item_sold]],Table1[],5,FALSE))</f>
        <v>#N/A</v>
      </c>
      <c r="F9165" s="5" t="e">
        <f>(VLOOKUP(Table4[[#This Row],[item_sold]],Table1[],4,FALSE))*Table4[[#This Row],[qty]]</f>
        <v>#N/A</v>
      </c>
      <c r="G9165" t="e">
        <f t="shared" si="1566"/>
        <v>#N/A</v>
      </c>
    </row>
    <row r="9166" spans="1:7" x14ac:dyDescent="0.25">
      <c r="A9166" s="1">
        <f t="shared" si="1565"/>
        <v>45488</v>
      </c>
      <c r="B9166" s="36"/>
      <c r="E9166" s="5" t="e">
        <f>Table4[[#This Row],[qty]]*(VLOOKUP(Table4[[#This Row],[item_sold]],Table1[],5,FALSE))</f>
        <v>#N/A</v>
      </c>
      <c r="F9166" s="5" t="e">
        <f>(VLOOKUP(Table4[[#This Row],[item_sold]],Table1[],4,FALSE))*Table4[[#This Row],[qty]]</f>
        <v>#N/A</v>
      </c>
      <c r="G9166" t="e">
        <f t="shared" si="1566"/>
        <v>#N/A</v>
      </c>
    </row>
    <row r="9167" spans="1:7" x14ac:dyDescent="0.25">
      <c r="A9167" s="1">
        <f t="shared" si="1565"/>
        <v>45488</v>
      </c>
      <c r="B9167" s="36"/>
      <c r="E9167" s="5" t="e">
        <f>Table4[[#This Row],[qty]]*(VLOOKUP(Table4[[#This Row],[item_sold]],Table1[],5,FALSE))</f>
        <v>#N/A</v>
      </c>
      <c r="F9167" s="5" t="e">
        <f>(VLOOKUP(Table4[[#This Row],[item_sold]],Table1[],4,FALSE))*Table4[[#This Row],[qty]]</f>
        <v>#N/A</v>
      </c>
      <c r="G9167" t="e">
        <f t="shared" si="1566"/>
        <v>#N/A</v>
      </c>
    </row>
    <row r="9168" spans="1:7" x14ac:dyDescent="0.25">
      <c r="A9168" s="1">
        <f t="shared" si="1565"/>
        <v>45488</v>
      </c>
      <c r="B9168" s="36"/>
      <c r="E9168" s="5" t="e">
        <f>Table4[[#This Row],[qty]]*(VLOOKUP(Table4[[#This Row],[item_sold]],Table1[],5,FALSE))</f>
        <v>#N/A</v>
      </c>
      <c r="F9168" s="5" t="e">
        <f>(VLOOKUP(Table4[[#This Row],[item_sold]],Table1[],4,FALSE))*Table4[[#This Row],[qty]]</f>
        <v>#N/A</v>
      </c>
      <c r="G9168" t="e">
        <f t="shared" si="1566"/>
        <v>#N/A</v>
      </c>
    </row>
    <row r="9169" spans="1:7" x14ac:dyDescent="0.25">
      <c r="A9169" s="1">
        <f t="shared" si="1565"/>
        <v>45488</v>
      </c>
      <c r="B9169" s="36"/>
      <c r="E9169" s="5" t="e">
        <f>Table4[[#This Row],[qty]]*(VLOOKUP(Table4[[#This Row],[item_sold]],Table1[],5,FALSE))</f>
        <v>#N/A</v>
      </c>
      <c r="F9169" s="5" t="e">
        <f>(VLOOKUP(Table4[[#This Row],[item_sold]],Table1[],4,FALSE))*Table4[[#This Row],[qty]]</f>
        <v>#N/A</v>
      </c>
      <c r="G9169" t="e">
        <f t="shared" si="1566"/>
        <v>#N/A</v>
      </c>
    </row>
    <row r="9170" spans="1:7" x14ac:dyDescent="0.25">
      <c r="A9170" s="1">
        <f t="shared" si="1565"/>
        <v>45488</v>
      </c>
      <c r="B9170" s="36"/>
      <c r="E9170" s="5" t="e">
        <f>Table4[[#This Row],[qty]]*(VLOOKUP(Table4[[#This Row],[item_sold]],Table1[],5,FALSE))</f>
        <v>#N/A</v>
      </c>
      <c r="F9170" s="5" t="e">
        <f>(VLOOKUP(Table4[[#This Row],[item_sold]],Table1[],4,FALSE))*Table4[[#This Row],[qty]]</f>
        <v>#N/A</v>
      </c>
      <c r="G9170" t="e">
        <f t="shared" si="1566"/>
        <v>#N/A</v>
      </c>
    </row>
    <row r="9171" spans="1:7" x14ac:dyDescent="0.25">
      <c r="A9171" s="1">
        <f t="shared" si="1565"/>
        <v>45488</v>
      </c>
      <c r="B9171" s="36"/>
      <c r="E9171" s="5" t="e">
        <f>Table4[[#This Row],[qty]]*(VLOOKUP(Table4[[#This Row],[item_sold]],Table1[],5,FALSE))</f>
        <v>#N/A</v>
      </c>
      <c r="F9171" s="5" t="e">
        <f>(VLOOKUP(Table4[[#This Row],[item_sold]],Table1[],4,FALSE))*Table4[[#This Row],[qty]]</f>
        <v>#N/A</v>
      </c>
      <c r="G9171" t="e">
        <f t="shared" si="1566"/>
        <v>#N/A</v>
      </c>
    </row>
    <row r="9172" spans="1:7" x14ac:dyDescent="0.25">
      <c r="A9172" s="1">
        <f t="shared" ref="A9172:A9235" si="1567">DATE(2024,7,15)</f>
        <v>45488</v>
      </c>
      <c r="B9172" s="36"/>
      <c r="E9172" s="5" t="e">
        <f>Table4[[#This Row],[qty]]*(VLOOKUP(Table4[[#This Row],[item_sold]],Table1[],5,FALSE))</f>
        <v>#N/A</v>
      </c>
      <c r="F9172" s="5" t="e">
        <f>(VLOOKUP(Table4[[#This Row],[item_sold]],Table1[],4,FALSE))*Table4[[#This Row],[qty]]</f>
        <v>#N/A</v>
      </c>
      <c r="G9172" t="e">
        <f t="shared" ref="G9172:G9235" si="1568">E9172-F9172</f>
        <v>#N/A</v>
      </c>
    </row>
    <row r="9173" spans="1:7" x14ac:dyDescent="0.25">
      <c r="A9173" s="1">
        <f t="shared" si="1567"/>
        <v>45488</v>
      </c>
      <c r="B9173" s="36"/>
      <c r="E9173" s="5" t="e">
        <f>Table4[[#This Row],[qty]]*(VLOOKUP(Table4[[#This Row],[item_sold]],Table1[],5,FALSE))</f>
        <v>#N/A</v>
      </c>
      <c r="F9173" s="5" t="e">
        <f>(VLOOKUP(Table4[[#This Row],[item_sold]],Table1[],4,FALSE))*Table4[[#This Row],[qty]]</f>
        <v>#N/A</v>
      </c>
      <c r="G9173" t="e">
        <f t="shared" si="1568"/>
        <v>#N/A</v>
      </c>
    </row>
    <row r="9174" spans="1:7" x14ac:dyDescent="0.25">
      <c r="A9174" s="1">
        <f t="shared" si="1567"/>
        <v>45488</v>
      </c>
      <c r="B9174" s="36"/>
      <c r="E9174" s="5" t="e">
        <f>Table4[[#This Row],[qty]]*(VLOOKUP(Table4[[#This Row],[item_sold]],Table1[],5,FALSE))</f>
        <v>#N/A</v>
      </c>
      <c r="F9174" s="5" t="e">
        <f>(VLOOKUP(Table4[[#This Row],[item_sold]],Table1[],4,FALSE))*Table4[[#This Row],[qty]]</f>
        <v>#N/A</v>
      </c>
      <c r="G9174" t="e">
        <f t="shared" si="1568"/>
        <v>#N/A</v>
      </c>
    </row>
    <row r="9175" spans="1:7" x14ac:dyDescent="0.25">
      <c r="A9175" s="1">
        <f t="shared" si="1567"/>
        <v>45488</v>
      </c>
      <c r="B9175" s="36"/>
      <c r="E9175" s="5" t="e">
        <f>Table4[[#This Row],[qty]]*(VLOOKUP(Table4[[#This Row],[item_sold]],Table1[],5,FALSE))</f>
        <v>#N/A</v>
      </c>
      <c r="F9175" s="5" t="e">
        <f>(VLOOKUP(Table4[[#This Row],[item_sold]],Table1[],4,FALSE))*Table4[[#This Row],[qty]]</f>
        <v>#N/A</v>
      </c>
      <c r="G9175" t="e">
        <f t="shared" si="1568"/>
        <v>#N/A</v>
      </c>
    </row>
    <row r="9176" spans="1:7" x14ac:dyDescent="0.25">
      <c r="A9176" s="1">
        <f t="shared" si="1567"/>
        <v>45488</v>
      </c>
      <c r="B9176" s="36"/>
      <c r="E9176" s="5" t="e">
        <f>Table4[[#This Row],[qty]]*(VLOOKUP(Table4[[#This Row],[item_sold]],Table1[],5,FALSE))</f>
        <v>#N/A</v>
      </c>
      <c r="F9176" s="5" t="e">
        <f>(VLOOKUP(Table4[[#This Row],[item_sold]],Table1[],4,FALSE))*Table4[[#This Row],[qty]]</f>
        <v>#N/A</v>
      </c>
      <c r="G9176" t="e">
        <f t="shared" si="1568"/>
        <v>#N/A</v>
      </c>
    </row>
    <row r="9177" spans="1:7" x14ac:dyDescent="0.25">
      <c r="A9177" s="1">
        <f t="shared" si="1567"/>
        <v>45488</v>
      </c>
      <c r="B9177" s="36"/>
      <c r="E9177" s="5" t="e">
        <f>Table4[[#This Row],[qty]]*(VLOOKUP(Table4[[#This Row],[item_sold]],Table1[],5,FALSE))</f>
        <v>#N/A</v>
      </c>
      <c r="F9177" s="5" t="e">
        <f>(VLOOKUP(Table4[[#This Row],[item_sold]],Table1[],4,FALSE))*Table4[[#This Row],[qty]]</f>
        <v>#N/A</v>
      </c>
      <c r="G9177" t="e">
        <f t="shared" si="1568"/>
        <v>#N/A</v>
      </c>
    </row>
    <row r="9178" spans="1:7" x14ac:dyDescent="0.25">
      <c r="A9178" s="1">
        <f t="shared" si="1567"/>
        <v>45488</v>
      </c>
      <c r="B9178" s="36"/>
      <c r="E9178" s="5" t="e">
        <f>Table4[[#This Row],[qty]]*(VLOOKUP(Table4[[#This Row],[item_sold]],Table1[],5,FALSE))</f>
        <v>#N/A</v>
      </c>
      <c r="F9178" s="5" t="e">
        <f>(VLOOKUP(Table4[[#This Row],[item_sold]],Table1[],4,FALSE))*Table4[[#This Row],[qty]]</f>
        <v>#N/A</v>
      </c>
      <c r="G9178" t="e">
        <f t="shared" si="1568"/>
        <v>#N/A</v>
      </c>
    </row>
    <row r="9179" spans="1:7" x14ac:dyDescent="0.25">
      <c r="A9179" s="1">
        <f t="shared" si="1567"/>
        <v>45488</v>
      </c>
      <c r="B9179" s="36"/>
      <c r="E9179" s="5" t="e">
        <f>Table4[[#This Row],[qty]]*(VLOOKUP(Table4[[#This Row],[item_sold]],Table1[],5,FALSE))</f>
        <v>#N/A</v>
      </c>
      <c r="F9179" s="5" t="e">
        <f>(VLOOKUP(Table4[[#This Row],[item_sold]],Table1[],4,FALSE))*Table4[[#This Row],[qty]]</f>
        <v>#N/A</v>
      </c>
      <c r="G9179" t="e">
        <f t="shared" si="1568"/>
        <v>#N/A</v>
      </c>
    </row>
    <row r="9180" spans="1:7" x14ac:dyDescent="0.25">
      <c r="A9180" s="1">
        <f t="shared" si="1567"/>
        <v>45488</v>
      </c>
      <c r="B9180" s="36"/>
      <c r="E9180" s="5" t="e">
        <f>Table4[[#This Row],[qty]]*(VLOOKUP(Table4[[#This Row],[item_sold]],Table1[],5,FALSE))</f>
        <v>#N/A</v>
      </c>
      <c r="F9180" s="5" t="e">
        <f>(VLOOKUP(Table4[[#This Row],[item_sold]],Table1[],4,FALSE))*Table4[[#This Row],[qty]]</f>
        <v>#N/A</v>
      </c>
      <c r="G9180" t="e">
        <f t="shared" si="1568"/>
        <v>#N/A</v>
      </c>
    </row>
    <row r="9181" spans="1:7" x14ac:dyDescent="0.25">
      <c r="A9181" s="1">
        <f t="shared" si="1567"/>
        <v>45488</v>
      </c>
      <c r="B9181" s="36"/>
      <c r="E9181" s="5" t="e">
        <f>Table4[[#This Row],[qty]]*(VLOOKUP(Table4[[#This Row],[item_sold]],Table1[],5,FALSE))</f>
        <v>#N/A</v>
      </c>
      <c r="F9181" s="5" t="e">
        <f>(VLOOKUP(Table4[[#This Row],[item_sold]],Table1[],4,FALSE))*Table4[[#This Row],[qty]]</f>
        <v>#N/A</v>
      </c>
      <c r="G9181" t="e">
        <f t="shared" si="1568"/>
        <v>#N/A</v>
      </c>
    </row>
    <row r="9182" spans="1:7" x14ac:dyDescent="0.25">
      <c r="A9182" s="1">
        <f t="shared" si="1567"/>
        <v>45488</v>
      </c>
      <c r="B9182" s="36"/>
      <c r="E9182" s="5" t="e">
        <f>Table4[[#This Row],[qty]]*(VLOOKUP(Table4[[#This Row],[item_sold]],Table1[],5,FALSE))</f>
        <v>#N/A</v>
      </c>
      <c r="F9182" s="5" t="e">
        <f>(VLOOKUP(Table4[[#This Row],[item_sold]],Table1[],4,FALSE))*Table4[[#This Row],[qty]]</f>
        <v>#N/A</v>
      </c>
      <c r="G9182" t="e">
        <f t="shared" si="1568"/>
        <v>#N/A</v>
      </c>
    </row>
    <row r="9183" spans="1:7" x14ac:dyDescent="0.25">
      <c r="A9183" s="1">
        <f t="shared" si="1567"/>
        <v>45488</v>
      </c>
      <c r="B9183" s="36"/>
      <c r="E9183" s="5" t="e">
        <f>Table4[[#This Row],[qty]]*(VLOOKUP(Table4[[#This Row],[item_sold]],Table1[],5,FALSE))</f>
        <v>#N/A</v>
      </c>
      <c r="F9183" s="5" t="e">
        <f>(VLOOKUP(Table4[[#This Row],[item_sold]],Table1[],4,FALSE))*Table4[[#This Row],[qty]]</f>
        <v>#N/A</v>
      </c>
      <c r="G9183" t="e">
        <f t="shared" si="1568"/>
        <v>#N/A</v>
      </c>
    </row>
    <row r="9184" spans="1:7" x14ac:dyDescent="0.25">
      <c r="A9184" s="1">
        <f t="shared" si="1567"/>
        <v>45488</v>
      </c>
      <c r="B9184" s="36"/>
      <c r="E9184" s="5" t="e">
        <f>Table4[[#This Row],[qty]]*(VLOOKUP(Table4[[#This Row],[item_sold]],Table1[],5,FALSE))</f>
        <v>#N/A</v>
      </c>
      <c r="F9184" s="5" t="e">
        <f>(VLOOKUP(Table4[[#This Row],[item_sold]],Table1[],4,FALSE))*Table4[[#This Row],[qty]]</f>
        <v>#N/A</v>
      </c>
      <c r="G9184" t="e">
        <f t="shared" si="1568"/>
        <v>#N/A</v>
      </c>
    </row>
    <row r="9185" spans="1:7" x14ac:dyDescent="0.25">
      <c r="A9185" s="1">
        <f t="shared" si="1567"/>
        <v>45488</v>
      </c>
      <c r="B9185" s="36"/>
      <c r="E9185" s="5" t="e">
        <f>Table4[[#This Row],[qty]]*(VLOOKUP(Table4[[#This Row],[item_sold]],Table1[],5,FALSE))</f>
        <v>#N/A</v>
      </c>
      <c r="F9185" s="5" t="e">
        <f>(VLOOKUP(Table4[[#This Row],[item_sold]],Table1[],4,FALSE))*Table4[[#This Row],[qty]]</f>
        <v>#N/A</v>
      </c>
      <c r="G9185" t="e">
        <f t="shared" si="1568"/>
        <v>#N/A</v>
      </c>
    </row>
    <row r="9186" spans="1:7" x14ac:dyDescent="0.25">
      <c r="A9186" s="1">
        <f t="shared" si="1567"/>
        <v>45488</v>
      </c>
      <c r="B9186" s="36"/>
      <c r="E9186" s="5" t="e">
        <f>Table4[[#This Row],[qty]]*(VLOOKUP(Table4[[#This Row],[item_sold]],Table1[],5,FALSE))</f>
        <v>#N/A</v>
      </c>
      <c r="F9186" s="5" t="e">
        <f>(VLOOKUP(Table4[[#This Row],[item_sold]],Table1[],4,FALSE))*Table4[[#This Row],[qty]]</f>
        <v>#N/A</v>
      </c>
      <c r="G9186" t="e">
        <f t="shared" si="1568"/>
        <v>#N/A</v>
      </c>
    </row>
    <row r="9187" spans="1:7" x14ac:dyDescent="0.25">
      <c r="A9187" s="1">
        <f t="shared" si="1567"/>
        <v>45488</v>
      </c>
      <c r="B9187" s="36"/>
      <c r="E9187" s="5" t="e">
        <f>Table4[[#This Row],[qty]]*(VLOOKUP(Table4[[#This Row],[item_sold]],Table1[],5,FALSE))</f>
        <v>#N/A</v>
      </c>
      <c r="F9187" s="5" t="e">
        <f>(VLOOKUP(Table4[[#This Row],[item_sold]],Table1[],4,FALSE))*Table4[[#This Row],[qty]]</f>
        <v>#N/A</v>
      </c>
      <c r="G9187" t="e">
        <f t="shared" si="1568"/>
        <v>#N/A</v>
      </c>
    </row>
    <row r="9188" spans="1:7" x14ac:dyDescent="0.25">
      <c r="A9188" s="1">
        <f t="shared" si="1567"/>
        <v>45488</v>
      </c>
      <c r="B9188" s="36"/>
      <c r="E9188" s="5" t="e">
        <f>Table4[[#This Row],[qty]]*(VLOOKUP(Table4[[#This Row],[item_sold]],Table1[],5,FALSE))</f>
        <v>#N/A</v>
      </c>
      <c r="F9188" s="5" t="e">
        <f>(VLOOKUP(Table4[[#This Row],[item_sold]],Table1[],4,FALSE))*Table4[[#This Row],[qty]]</f>
        <v>#N/A</v>
      </c>
      <c r="G9188" t="e">
        <f t="shared" si="1568"/>
        <v>#N/A</v>
      </c>
    </row>
    <row r="9189" spans="1:7" x14ac:dyDescent="0.25">
      <c r="A9189" s="1">
        <f t="shared" si="1567"/>
        <v>45488</v>
      </c>
      <c r="B9189" s="36"/>
      <c r="E9189" s="5" t="e">
        <f>Table4[[#This Row],[qty]]*(VLOOKUP(Table4[[#This Row],[item_sold]],Table1[],5,FALSE))</f>
        <v>#N/A</v>
      </c>
      <c r="F9189" s="5" t="e">
        <f>(VLOOKUP(Table4[[#This Row],[item_sold]],Table1[],4,FALSE))*Table4[[#This Row],[qty]]</f>
        <v>#N/A</v>
      </c>
      <c r="G9189" t="e">
        <f t="shared" si="1568"/>
        <v>#N/A</v>
      </c>
    </row>
    <row r="9190" spans="1:7" x14ac:dyDescent="0.25">
      <c r="A9190" s="1">
        <f t="shared" si="1567"/>
        <v>45488</v>
      </c>
      <c r="B9190" s="36"/>
      <c r="E9190" s="5" t="e">
        <f>Table4[[#This Row],[qty]]*(VLOOKUP(Table4[[#This Row],[item_sold]],Table1[],5,FALSE))</f>
        <v>#N/A</v>
      </c>
      <c r="F9190" s="5" t="e">
        <f>(VLOOKUP(Table4[[#This Row],[item_sold]],Table1[],4,FALSE))*Table4[[#This Row],[qty]]</f>
        <v>#N/A</v>
      </c>
      <c r="G9190" t="e">
        <f t="shared" si="1568"/>
        <v>#N/A</v>
      </c>
    </row>
    <row r="9191" spans="1:7" x14ac:dyDescent="0.25">
      <c r="A9191" s="1">
        <f t="shared" si="1567"/>
        <v>45488</v>
      </c>
      <c r="B9191" s="36"/>
      <c r="E9191" s="5" t="e">
        <f>Table4[[#This Row],[qty]]*(VLOOKUP(Table4[[#This Row],[item_sold]],Table1[],5,FALSE))</f>
        <v>#N/A</v>
      </c>
      <c r="F9191" s="5" t="e">
        <f>(VLOOKUP(Table4[[#This Row],[item_sold]],Table1[],4,FALSE))*Table4[[#This Row],[qty]]</f>
        <v>#N/A</v>
      </c>
      <c r="G9191" t="e">
        <f t="shared" si="1568"/>
        <v>#N/A</v>
      </c>
    </row>
    <row r="9192" spans="1:7" x14ac:dyDescent="0.25">
      <c r="A9192" s="1">
        <f t="shared" si="1567"/>
        <v>45488</v>
      </c>
      <c r="B9192" s="36"/>
      <c r="E9192" s="5" t="e">
        <f>Table4[[#This Row],[qty]]*(VLOOKUP(Table4[[#This Row],[item_sold]],Table1[],5,FALSE))</f>
        <v>#N/A</v>
      </c>
      <c r="F9192" s="5" t="e">
        <f>(VLOOKUP(Table4[[#This Row],[item_sold]],Table1[],4,FALSE))*Table4[[#This Row],[qty]]</f>
        <v>#N/A</v>
      </c>
      <c r="G9192" t="e">
        <f t="shared" si="1568"/>
        <v>#N/A</v>
      </c>
    </row>
    <row r="9193" spans="1:7" x14ac:dyDescent="0.25">
      <c r="A9193" s="1">
        <f t="shared" si="1567"/>
        <v>45488</v>
      </c>
      <c r="B9193" s="36"/>
      <c r="E9193" s="5" t="e">
        <f>Table4[[#This Row],[qty]]*(VLOOKUP(Table4[[#This Row],[item_sold]],Table1[],5,FALSE))</f>
        <v>#N/A</v>
      </c>
      <c r="F9193" s="5" t="e">
        <f>(VLOOKUP(Table4[[#This Row],[item_sold]],Table1[],4,FALSE))*Table4[[#This Row],[qty]]</f>
        <v>#N/A</v>
      </c>
      <c r="G9193" t="e">
        <f t="shared" si="1568"/>
        <v>#N/A</v>
      </c>
    </row>
    <row r="9194" spans="1:7" x14ac:dyDescent="0.25">
      <c r="A9194" s="1">
        <f t="shared" si="1567"/>
        <v>45488</v>
      </c>
      <c r="B9194" s="36"/>
      <c r="E9194" s="5" t="e">
        <f>Table4[[#This Row],[qty]]*(VLOOKUP(Table4[[#This Row],[item_sold]],Table1[],5,FALSE))</f>
        <v>#N/A</v>
      </c>
      <c r="F9194" s="5" t="e">
        <f>(VLOOKUP(Table4[[#This Row],[item_sold]],Table1[],4,FALSE))*Table4[[#This Row],[qty]]</f>
        <v>#N/A</v>
      </c>
      <c r="G9194" t="e">
        <f t="shared" si="1568"/>
        <v>#N/A</v>
      </c>
    </row>
    <row r="9195" spans="1:7" x14ac:dyDescent="0.25">
      <c r="A9195" s="1">
        <f t="shared" si="1567"/>
        <v>45488</v>
      </c>
      <c r="B9195" s="36"/>
      <c r="E9195" s="5" t="e">
        <f>Table4[[#This Row],[qty]]*(VLOOKUP(Table4[[#This Row],[item_sold]],Table1[],5,FALSE))</f>
        <v>#N/A</v>
      </c>
      <c r="F9195" s="5" t="e">
        <f>(VLOOKUP(Table4[[#This Row],[item_sold]],Table1[],4,FALSE))*Table4[[#This Row],[qty]]</f>
        <v>#N/A</v>
      </c>
      <c r="G9195" t="e">
        <f t="shared" si="1568"/>
        <v>#N/A</v>
      </c>
    </row>
    <row r="9196" spans="1:7" x14ac:dyDescent="0.25">
      <c r="A9196" s="1">
        <f t="shared" si="1567"/>
        <v>45488</v>
      </c>
      <c r="B9196" s="36"/>
      <c r="E9196" s="5" t="e">
        <f>Table4[[#This Row],[qty]]*(VLOOKUP(Table4[[#This Row],[item_sold]],Table1[],5,FALSE))</f>
        <v>#N/A</v>
      </c>
      <c r="F9196" s="5" t="e">
        <f>(VLOOKUP(Table4[[#This Row],[item_sold]],Table1[],4,FALSE))*Table4[[#This Row],[qty]]</f>
        <v>#N/A</v>
      </c>
      <c r="G9196" t="e">
        <f t="shared" si="1568"/>
        <v>#N/A</v>
      </c>
    </row>
    <row r="9197" spans="1:7" x14ac:dyDescent="0.25">
      <c r="A9197" s="1">
        <f t="shared" si="1567"/>
        <v>45488</v>
      </c>
      <c r="B9197" s="36"/>
      <c r="E9197" s="5" t="e">
        <f>Table4[[#This Row],[qty]]*(VLOOKUP(Table4[[#This Row],[item_sold]],Table1[],5,FALSE))</f>
        <v>#N/A</v>
      </c>
      <c r="F9197" s="5" t="e">
        <f>(VLOOKUP(Table4[[#This Row],[item_sold]],Table1[],4,FALSE))*Table4[[#This Row],[qty]]</f>
        <v>#N/A</v>
      </c>
      <c r="G9197" t="e">
        <f t="shared" si="1568"/>
        <v>#N/A</v>
      </c>
    </row>
    <row r="9198" spans="1:7" x14ac:dyDescent="0.25">
      <c r="A9198" s="1">
        <f t="shared" si="1567"/>
        <v>45488</v>
      </c>
      <c r="B9198" s="36"/>
      <c r="E9198" s="5" t="e">
        <f>Table4[[#This Row],[qty]]*(VLOOKUP(Table4[[#This Row],[item_sold]],Table1[],5,FALSE))</f>
        <v>#N/A</v>
      </c>
      <c r="F9198" s="5" t="e">
        <f>(VLOOKUP(Table4[[#This Row],[item_sold]],Table1[],4,FALSE))*Table4[[#This Row],[qty]]</f>
        <v>#N/A</v>
      </c>
      <c r="G9198" t="e">
        <f t="shared" si="1568"/>
        <v>#N/A</v>
      </c>
    </row>
    <row r="9199" spans="1:7" x14ac:dyDescent="0.25">
      <c r="A9199" s="1">
        <f t="shared" si="1567"/>
        <v>45488</v>
      </c>
      <c r="B9199" s="36"/>
      <c r="E9199" s="5" t="e">
        <f>Table4[[#This Row],[qty]]*(VLOOKUP(Table4[[#This Row],[item_sold]],Table1[],5,FALSE))</f>
        <v>#N/A</v>
      </c>
      <c r="F9199" s="5" t="e">
        <f>(VLOOKUP(Table4[[#This Row],[item_sold]],Table1[],4,FALSE))*Table4[[#This Row],[qty]]</f>
        <v>#N/A</v>
      </c>
      <c r="G9199" t="e">
        <f t="shared" si="1568"/>
        <v>#N/A</v>
      </c>
    </row>
    <row r="9200" spans="1:7" x14ac:dyDescent="0.25">
      <c r="A9200" s="1">
        <f t="shared" si="1567"/>
        <v>45488</v>
      </c>
      <c r="B9200" s="36"/>
      <c r="E9200" s="5" t="e">
        <f>Table4[[#This Row],[qty]]*(VLOOKUP(Table4[[#This Row],[item_sold]],Table1[],5,FALSE))</f>
        <v>#N/A</v>
      </c>
      <c r="F9200" s="5" t="e">
        <f>(VLOOKUP(Table4[[#This Row],[item_sold]],Table1[],4,FALSE))*Table4[[#This Row],[qty]]</f>
        <v>#N/A</v>
      </c>
      <c r="G9200" t="e">
        <f t="shared" si="1568"/>
        <v>#N/A</v>
      </c>
    </row>
    <row r="9201" spans="1:7" x14ac:dyDescent="0.25">
      <c r="A9201" s="1">
        <f t="shared" si="1567"/>
        <v>45488</v>
      </c>
      <c r="B9201" s="36"/>
      <c r="E9201" s="5" t="e">
        <f>Table4[[#This Row],[qty]]*(VLOOKUP(Table4[[#This Row],[item_sold]],Table1[],5,FALSE))</f>
        <v>#N/A</v>
      </c>
      <c r="F9201" s="5" t="e">
        <f>(VLOOKUP(Table4[[#This Row],[item_sold]],Table1[],4,FALSE))*Table4[[#This Row],[qty]]</f>
        <v>#N/A</v>
      </c>
      <c r="G9201" t="e">
        <f t="shared" si="1568"/>
        <v>#N/A</v>
      </c>
    </row>
    <row r="9202" spans="1:7" x14ac:dyDescent="0.25">
      <c r="A9202" s="1">
        <f t="shared" si="1567"/>
        <v>45488</v>
      </c>
      <c r="B9202" s="36"/>
      <c r="E9202" s="5" t="e">
        <f>Table4[[#This Row],[qty]]*(VLOOKUP(Table4[[#This Row],[item_sold]],Table1[],5,FALSE))</f>
        <v>#N/A</v>
      </c>
      <c r="F9202" s="5" t="e">
        <f>(VLOOKUP(Table4[[#This Row],[item_sold]],Table1[],4,FALSE))*Table4[[#This Row],[qty]]</f>
        <v>#N/A</v>
      </c>
      <c r="G9202" t="e">
        <f t="shared" si="1568"/>
        <v>#N/A</v>
      </c>
    </row>
    <row r="9203" spans="1:7" x14ac:dyDescent="0.25">
      <c r="A9203" s="1">
        <f t="shared" si="1567"/>
        <v>45488</v>
      </c>
      <c r="B9203" s="36"/>
      <c r="E9203" s="5" t="e">
        <f>Table4[[#This Row],[qty]]*(VLOOKUP(Table4[[#This Row],[item_sold]],Table1[],5,FALSE))</f>
        <v>#N/A</v>
      </c>
      <c r="F9203" s="5" t="e">
        <f>(VLOOKUP(Table4[[#This Row],[item_sold]],Table1[],4,FALSE))*Table4[[#This Row],[qty]]</f>
        <v>#N/A</v>
      </c>
      <c r="G9203" t="e">
        <f t="shared" si="1568"/>
        <v>#N/A</v>
      </c>
    </row>
    <row r="9204" spans="1:7" x14ac:dyDescent="0.25">
      <c r="A9204" s="1">
        <f t="shared" si="1567"/>
        <v>45488</v>
      </c>
      <c r="B9204" s="36"/>
      <c r="E9204" s="5" t="e">
        <f>Table4[[#This Row],[qty]]*(VLOOKUP(Table4[[#This Row],[item_sold]],Table1[],5,FALSE))</f>
        <v>#N/A</v>
      </c>
      <c r="F9204" s="5" t="e">
        <f>(VLOOKUP(Table4[[#This Row],[item_sold]],Table1[],4,FALSE))*Table4[[#This Row],[qty]]</f>
        <v>#N/A</v>
      </c>
      <c r="G9204" t="e">
        <f t="shared" si="1568"/>
        <v>#N/A</v>
      </c>
    </row>
    <row r="9205" spans="1:7" x14ac:dyDescent="0.25">
      <c r="A9205" s="1">
        <f t="shared" si="1567"/>
        <v>45488</v>
      </c>
      <c r="B9205" s="36"/>
      <c r="E9205" s="5" t="e">
        <f>Table4[[#This Row],[qty]]*(VLOOKUP(Table4[[#This Row],[item_sold]],Table1[],5,FALSE))</f>
        <v>#N/A</v>
      </c>
      <c r="F9205" s="5" t="e">
        <f>(VLOOKUP(Table4[[#This Row],[item_sold]],Table1[],4,FALSE))*Table4[[#This Row],[qty]]</f>
        <v>#N/A</v>
      </c>
      <c r="G9205" t="e">
        <f t="shared" si="1568"/>
        <v>#N/A</v>
      </c>
    </row>
    <row r="9206" spans="1:7" x14ac:dyDescent="0.25">
      <c r="A9206" s="1">
        <f t="shared" si="1567"/>
        <v>45488</v>
      </c>
      <c r="B9206" s="36"/>
      <c r="E9206" s="5" t="e">
        <f>Table4[[#This Row],[qty]]*(VLOOKUP(Table4[[#This Row],[item_sold]],Table1[],5,FALSE))</f>
        <v>#N/A</v>
      </c>
      <c r="F9206" s="5" t="e">
        <f>(VLOOKUP(Table4[[#This Row],[item_sold]],Table1[],4,FALSE))*Table4[[#This Row],[qty]]</f>
        <v>#N/A</v>
      </c>
      <c r="G9206" t="e">
        <f t="shared" si="1568"/>
        <v>#N/A</v>
      </c>
    </row>
    <row r="9207" spans="1:7" x14ac:dyDescent="0.25">
      <c r="A9207" s="1">
        <f t="shared" si="1567"/>
        <v>45488</v>
      </c>
      <c r="B9207" s="36"/>
      <c r="E9207" s="5" t="e">
        <f>Table4[[#This Row],[qty]]*(VLOOKUP(Table4[[#This Row],[item_sold]],Table1[],5,FALSE))</f>
        <v>#N/A</v>
      </c>
      <c r="F9207" s="5" t="e">
        <f>(VLOOKUP(Table4[[#This Row],[item_sold]],Table1[],4,FALSE))*Table4[[#This Row],[qty]]</f>
        <v>#N/A</v>
      </c>
      <c r="G9207" t="e">
        <f t="shared" si="1568"/>
        <v>#N/A</v>
      </c>
    </row>
    <row r="9208" spans="1:7" x14ac:dyDescent="0.25">
      <c r="A9208" s="1">
        <f t="shared" si="1567"/>
        <v>45488</v>
      </c>
      <c r="B9208" s="36"/>
      <c r="E9208" s="5" t="e">
        <f>Table4[[#This Row],[qty]]*(VLOOKUP(Table4[[#This Row],[item_sold]],Table1[],5,FALSE))</f>
        <v>#N/A</v>
      </c>
      <c r="F9208" s="5" t="e">
        <f>(VLOOKUP(Table4[[#This Row],[item_sold]],Table1[],4,FALSE))*Table4[[#This Row],[qty]]</f>
        <v>#N/A</v>
      </c>
      <c r="G9208" t="e">
        <f t="shared" si="1568"/>
        <v>#N/A</v>
      </c>
    </row>
    <row r="9209" spans="1:7" x14ac:dyDescent="0.25">
      <c r="A9209" s="1">
        <f t="shared" si="1567"/>
        <v>45488</v>
      </c>
      <c r="B9209" s="36"/>
      <c r="E9209" s="5" t="e">
        <f>Table4[[#This Row],[qty]]*(VLOOKUP(Table4[[#This Row],[item_sold]],Table1[],5,FALSE))</f>
        <v>#N/A</v>
      </c>
      <c r="F9209" s="5" t="e">
        <f>(VLOOKUP(Table4[[#This Row],[item_sold]],Table1[],4,FALSE))*Table4[[#This Row],[qty]]</f>
        <v>#N/A</v>
      </c>
      <c r="G9209" t="e">
        <f t="shared" si="1568"/>
        <v>#N/A</v>
      </c>
    </row>
    <row r="9210" spans="1:7" x14ac:dyDescent="0.25">
      <c r="A9210" s="1">
        <f t="shared" si="1567"/>
        <v>45488</v>
      </c>
      <c r="B9210" s="36"/>
      <c r="E9210" s="5" t="e">
        <f>Table4[[#This Row],[qty]]*(VLOOKUP(Table4[[#This Row],[item_sold]],Table1[],5,FALSE))</f>
        <v>#N/A</v>
      </c>
      <c r="F9210" s="5" t="e">
        <f>(VLOOKUP(Table4[[#This Row],[item_sold]],Table1[],4,FALSE))*Table4[[#This Row],[qty]]</f>
        <v>#N/A</v>
      </c>
      <c r="G9210" t="e">
        <f t="shared" si="1568"/>
        <v>#N/A</v>
      </c>
    </row>
    <row r="9211" spans="1:7" x14ac:dyDescent="0.25">
      <c r="A9211" s="1">
        <f t="shared" si="1567"/>
        <v>45488</v>
      </c>
      <c r="B9211" s="36"/>
      <c r="E9211" s="5" t="e">
        <f>Table4[[#This Row],[qty]]*(VLOOKUP(Table4[[#This Row],[item_sold]],Table1[],5,FALSE))</f>
        <v>#N/A</v>
      </c>
      <c r="F9211" s="5" t="e">
        <f>(VLOOKUP(Table4[[#This Row],[item_sold]],Table1[],4,FALSE))*Table4[[#This Row],[qty]]</f>
        <v>#N/A</v>
      </c>
      <c r="G9211" t="e">
        <f t="shared" si="1568"/>
        <v>#N/A</v>
      </c>
    </row>
    <row r="9212" spans="1:7" x14ac:dyDescent="0.25">
      <c r="A9212" s="1">
        <f t="shared" si="1567"/>
        <v>45488</v>
      </c>
      <c r="B9212" s="36"/>
      <c r="E9212" s="5" t="e">
        <f>Table4[[#This Row],[qty]]*(VLOOKUP(Table4[[#This Row],[item_sold]],Table1[],5,FALSE))</f>
        <v>#N/A</v>
      </c>
      <c r="F9212" s="5" t="e">
        <f>(VLOOKUP(Table4[[#This Row],[item_sold]],Table1[],4,FALSE))*Table4[[#This Row],[qty]]</f>
        <v>#N/A</v>
      </c>
      <c r="G9212" t="e">
        <f t="shared" si="1568"/>
        <v>#N/A</v>
      </c>
    </row>
    <row r="9213" spans="1:7" x14ac:dyDescent="0.25">
      <c r="A9213" s="1">
        <f t="shared" si="1567"/>
        <v>45488</v>
      </c>
      <c r="B9213" s="36"/>
      <c r="E9213" s="5" t="e">
        <f>Table4[[#This Row],[qty]]*(VLOOKUP(Table4[[#This Row],[item_sold]],Table1[],5,FALSE))</f>
        <v>#N/A</v>
      </c>
      <c r="F9213" s="5" t="e">
        <f>(VLOOKUP(Table4[[#This Row],[item_sold]],Table1[],4,FALSE))*Table4[[#This Row],[qty]]</f>
        <v>#N/A</v>
      </c>
      <c r="G9213" t="e">
        <f t="shared" si="1568"/>
        <v>#N/A</v>
      </c>
    </row>
    <row r="9214" spans="1:7" x14ac:dyDescent="0.25">
      <c r="A9214" s="1">
        <f t="shared" si="1567"/>
        <v>45488</v>
      </c>
      <c r="B9214" s="36"/>
      <c r="E9214" s="5" t="e">
        <f>Table4[[#This Row],[qty]]*(VLOOKUP(Table4[[#This Row],[item_sold]],Table1[],5,FALSE))</f>
        <v>#N/A</v>
      </c>
      <c r="F9214" s="5" t="e">
        <f>(VLOOKUP(Table4[[#This Row],[item_sold]],Table1[],4,FALSE))*Table4[[#This Row],[qty]]</f>
        <v>#N/A</v>
      </c>
      <c r="G9214" t="e">
        <f t="shared" si="1568"/>
        <v>#N/A</v>
      </c>
    </row>
    <row r="9215" spans="1:7" x14ac:dyDescent="0.25">
      <c r="A9215" s="1">
        <f t="shared" si="1567"/>
        <v>45488</v>
      </c>
      <c r="B9215" s="36"/>
      <c r="E9215" s="5" t="e">
        <f>Table4[[#This Row],[qty]]*(VLOOKUP(Table4[[#This Row],[item_sold]],Table1[],5,FALSE))</f>
        <v>#N/A</v>
      </c>
      <c r="F9215" s="5" t="e">
        <f>(VLOOKUP(Table4[[#This Row],[item_sold]],Table1[],4,FALSE))*Table4[[#This Row],[qty]]</f>
        <v>#N/A</v>
      </c>
      <c r="G9215" t="e">
        <f t="shared" si="1568"/>
        <v>#N/A</v>
      </c>
    </row>
    <row r="9216" spans="1:7" x14ac:dyDescent="0.25">
      <c r="A9216" s="1">
        <f t="shared" si="1567"/>
        <v>45488</v>
      </c>
      <c r="B9216" s="36"/>
      <c r="E9216" s="5" t="e">
        <f>Table4[[#This Row],[qty]]*(VLOOKUP(Table4[[#This Row],[item_sold]],Table1[],5,FALSE))</f>
        <v>#N/A</v>
      </c>
      <c r="F9216" s="5" t="e">
        <f>(VLOOKUP(Table4[[#This Row],[item_sold]],Table1[],4,FALSE))*Table4[[#This Row],[qty]]</f>
        <v>#N/A</v>
      </c>
      <c r="G9216" t="e">
        <f t="shared" si="1568"/>
        <v>#N/A</v>
      </c>
    </row>
    <row r="9217" spans="1:7" x14ac:dyDescent="0.25">
      <c r="A9217" s="1">
        <f t="shared" si="1567"/>
        <v>45488</v>
      </c>
      <c r="B9217" s="36"/>
      <c r="E9217" s="5" t="e">
        <f>Table4[[#This Row],[qty]]*(VLOOKUP(Table4[[#This Row],[item_sold]],Table1[],5,FALSE))</f>
        <v>#N/A</v>
      </c>
      <c r="F9217" s="5" t="e">
        <f>(VLOOKUP(Table4[[#This Row],[item_sold]],Table1[],4,FALSE))*Table4[[#This Row],[qty]]</f>
        <v>#N/A</v>
      </c>
      <c r="G9217" t="e">
        <f t="shared" si="1568"/>
        <v>#N/A</v>
      </c>
    </row>
    <row r="9218" spans="1:7" x14ac:dyDescent="0.25">
      <c r="A9218" s="1">
        <f t="shared" si="1567"/>
        <v>45488</v>
      </c>
      <c r="B9218" s="36"/>
      <c r="E9218" s="5" t="e">
        <f>Table4[[#This Row],[qty]]*(VLOOKUP(Table4[[#This Row],[item_sold]],Table1[],5,FALSE))</f>
        <v>#N/A</v>
      </c>
      <c r="F9218" s="5" t="e">
        <f>(VLOOKUP(Table4[[#This Row],[item_sold]],Table1[],4,FALSE))*Table4[[#This Row],[qty]]</f>
        <v>#N/A</v>
      </c>
      <c r="G9218" t="e">
        <f t="shared" si="1568"/>
        <v>#N/A</v>
      </c>
    </row>
    <row r="9219" spans="1:7" x14ac:dyDescent="0.25">
      <c r="A9219" s="1">
        <f t="shared" si="1567"/>
        <v>45488</v>
      </c>
      <c r="B9219" s="36"/>
      <c r="E9219" s="5" t="e">
        <f>Table4[[#This Row],[qty]]*(VLOOKUP(Table4[[#This Row],[item_sold]],Table1[],5,FALSE))</f>
        <v>#N/A</v>
      </c>
      <c r="F9219" s="5" t="e">
        <f>(VLOOKUP(Table4[[#This Row],[item_sold]],Table1[],4,FALSE))*Table4[[#This Row],[qty]]</f>
        <v>#N/A</v>
      </c>
      <c r="G9219" t="e">
        <f t="shared" si="1568"/>
        <v>#N/A</v>
      </c>
    </row>
    <row r="9220" spans="1:7" x14ac:dyDescent="0.25">
      <c r="A9220" s="1">
        <f t="shared" si="1567"/>
        <v>45488</v>
      </c>
      <c r="B9220" s="36"/>
      <c r="E9220" s="5" t="e">
        <f>Table4[[#This Row],[qty]]*(VLOOKUP(Table4[[#This Row],[item_sold]],Table1[],5,FALSE))</f>
        <v>#N/A</v>
      </c>
      <c r="F9220" s="5" t="e">
        <f>(VLOOKUP(Table4[[#This Row],[item_sold]],Table1[],4,FALSE))*Table4[[#This Row],[qty]]</f>
        <v>#N/A</v>
      </c>
      <c r="G9220" t="e">
        <f t="shared" si="1568"/>
        <v>#N/A</v>
      </c>
    </row>
    <row r="9221" spans="1:7" x14ac:dyDescent="0.25">
      <c r="A9221" s="1">
        <f t="shared" si="1567"/>
        <v>45488</v>
      </c>
      <c r="B9221" s="36"/>
      <c r="E9221" s="5" t="e">
        <f>Table4[[#This Row],[qty]]*(VLOOKUP(Table4[[#This Row],[item_sold]],Table1[],5,FALSE))</f>
        <v>#N/A</v>
      </c>
      <c r="F9221" s="5" t="e">
        <f>(VLOOKUP(Table4[[#This Row],[item_sold]],Table1[],4,FALSE))*Table4[[#This Row],[qty]]</f>
        <v>#N/A</v>
      </c>
      <c r="G9221" t="e">
        <f t="shared" si="1568"/>
        <v>#N/A</v>
      </c>
    </row>
    <row r="9222" spans="1:7" x14ac:dyDescent="0.25">
      <c r="A9222" s="1">
        <f t="shared" si="1567"/>
        <v>45488</v>
      </c>
      <c r="B9222" s="36"/>
      <c r="E9222" s="5" t="e">
        <f>Table4[[#This Row],[qty]]*(VLOOKUP(Table4[[#This Row],[item_sold]],Table1[],5,FALSE))</f>
        <v>#N/A</v>
      </c>
      <c r="F9222" s="5" t="e">
        <f>(VLOOKUP(Table4[[#This Row],[item_sold]],Table1[],4,FALSE))*Table4[[#This Row],[qty]]</f>
        <v>#N/A</v>
      </c>
      <c r="G9222" t="e">
        <f t="shared" si="1568"/>
        <v>#N/A</v>
      </c>
    </row>
    <row r="9223" spans="1:7" x14ac:dyDescent="0.25">
      <c r="A9223" s="1">
        <f t="shared" si="1567"/>
        <v>45488</v>
      </c>
      <c r="B9223" s="36"/>
      <c r="E9223" s="5" t="e">
        <f>Table4[[#This Row],[qty]]*(VLOOKUP(Table4[[#This Row],[item_sold]],Table1[],5,FALSE))</f>
        <v>#N/A</v>
      </c>
      <c r="F9223" s="5" t="e">
        <f>(VLOOKUP(Table4[[#This Row],[item_sold]],Table1[],4,FALSE))*Table4[[#This Row],[qty]]</f>
        <v>#N/A</v>
      </c>
      <c r="G9223" t="e">
        <f t="shared" si="1568"/>
        <v>#N/A</v>
      </c>
    </row>
    <row r="9224" spans="1:7" x14ac:dyDescent="0.25">
      <c r="A9224" s="1">
        <f t="shared" si="1567"/>
        <v>45488</v>
      </c>
      <c r="B9224" s="36"/>
      <c r="E9224" s="5" t="e">
        <f>Table4[[#This Row],[qty]]*(VLOOKUP(Table4[[#This Row],[item_sold]],Table1[],5,FALSE))</f>
        <v>#N/A</v>
      </c>
      <c r="F9224" s="5" t="e">
        <f>(VLOOKUP(Table4[[#This Row],[item_sold]],Table1[],4,FALSE))*Table4[[#This Row],[qty]]</f>
        <v>#N/A</v>
      </c>
      <c r="G9224" t="e">
        <f t="shared" si="1568"/>
        <v>#N/A</v>
      </c>
    </row>
    <row r="9225" spans="1:7" x14ac:dyDescent="0.25">
      <c r="A9225" s="1">
        <f t="shared" si="1567"/>
        <v>45488</v>
      </c>
      <c r="B9225" s="36"/>
      <c r="E9225" s="5" t="e">
        <f>Table4[[#This Row],[qty]]*(VLOOKUP(Table4[[#This Row],[item_sold]],Table1[],5,FALSE))</f>
        <v>#N/A</v>
      </c>
      <c r="F9225" s="5" t="e">
        <f>(VLOOKUP(Table4[[#This Row],[item_sold]],Table1[],4,FALSE))*Table4[[#This Row],[qty]]</f>
        <v>#N/A</v>
      </c>
      <c r="G9225" t="e">
        <f t="shared" si="1568"/>
        <v>#N/A</v>
      </c>
    </row>
    <row r="9226" spans="1:7" x14ac:dyDescent="0.25">
      <c r="A9226" s="1">
        <f t="shared" si="1567"/>
        <v>45488</v>
      </c>
      <c r="B9226" s="36"/>
      <c r="E9226" s="5" t="e">
        <f>Table4[[#This Row],[qty]]*(VLOOKUP(Table4[[#This Row],[item_sold]],Table1[],5,FALSE))</f>
        <v>#N/A</v>
      </c>
      <c r="F9226" s="5" t="e">
        <f>(VLOOKUP(Table4[[#This Row],[item_sold]],Table1[],4,FALSE))*Table4[[#This Row],[qty]]</f>
        <v>#N/A</v>
      </c>
      <c r="G9226" t="e">
        <f t="shared" si="1568"/>
        <v>#N/A</v>
      </c>
    </row>
    <row r="9227" spans="1:7" x14ac:dyDescent="0.25">
      <c r="A9227" s="1">
        <f t="shared" si="1567"/>
        <v>45488</v>
      </c>
      <c r="B9227" s="36"/>
      <c r="E9227" s="5" t="e">
        <f>Table4[[#This Row],[qty]]*(VLOOKUP(Table4[[#This Row],[item_sold]],Table1[],5,FALSE))</f>
        <v>#N/A</v>
      </c>
      <c r="F9227" s="5" t="e">
        <f>(VLOOKUP(Table4[[#This Row],[item_sold]],Table1[],4,FALSE))*Table4[[#This Row],[qty]]</f>
        <v>#N/A</v>
      </c>
      <c r="G9227" t="e">
        <f t="shared" si="1568"/>
        <v>#N/A</v>
      </c>
    </row>
    <row r="9228" spans="1:7" x14ac:dyDescent="0.25">
      <c r="A9228" s="1">
        <f t="shared" si="1567"/>
        <v>45488</v>
      </c>
      <c r="B9228" s="36"/>
      <c r="E9228" s="5" t="e">
        <f>Table4[[#This Row],[qty]]*(VLOOKUP(Table4[[#This Row],[item_sold]],Table1[],5,FALSE))</f>
        <v>#N/A</v>
      </c>
      <c r="F9228" s="5" t="e">
        <f>(VLOOKUP(Table4[[#This Row],[item_sold]],Table1[],4,FALSE))*Table4[[#This Row],[qty]]</f>
        <v>#N/A</v>
      </c>
      <c r="G9228" t="e">
        <f t="shared" si="1568"/>
        <v>#N/A</v>
      </c>
    </row>
    <row r="9229" spans="1:7" x14ac:dyDescent="0.25">
      <c r="A9229" s="1">
        <f t="shared" si="1567"/>
        <v>45488</v>
      </c>
      <c r="B9229" s="36"/>
      <c r="E9229" s="5" t="e">
        <f>Table4[[#This Row],[qty]]*(VLOOKUP(Table4[[#This Row],[item_sold]],Table1[],5,FALSE))</f>
        <v>#N/A</v>
      </c>
      <c r="F9229" s="5" t="e">
        <f>(VLOOKUP(Table4[[#This Row],[item_sold]],Table1[],4,FALSE))*Table4[[#This Row],[qty]]</f>
        <v>#N/A</v>
      </c>
      <c r="G9229" t="e">
        <f t="shared" si="1568"/>
        <v>#N/A</v>
      </c>
    </row>
    <row r="9230" spans="1:7" x14ac:dyDescent="0.25">
      <c r="A9230" s="1">
        <f t="shared" si="1567"/>
        <v>45488</v>
      </c>
      <c r="B9230" s="36"/>
      <c r="E9230" s="5" t="e">
        <f>Table4[[#This Row],[qty]]*(VLOOKUP(Table4[[#This Row],[item_sold]],Table1[],5,FALSE))</f>
        <v>#N/A</v>
      </c>
      <c r="F9230" s="5" t="e">
        <f>(VLOOKUP(Table4[[#This Row],[item_sold]],Table1[],4,FALSE))*Table4[[#This Row],[qty]]</f>
        <v>#N/A</v>
      </c>
      <c r="G9230" t="e">
        <f t="shared" si="1568"/>
        <v>#N/A</v>
      </c>
    </row>
    <row r="9231" spans="1:7" x14ac:dyDescent="0.25">
      <c r="A9231" s="1">
        <f t="shared" si="1567"/>
        <v>45488</v>
      </c>
      <c r="B9231" s="36"/>
      <c r="E9231" s="5" t="e">
        <f>Table4[[#This Row],[qty]]*(VLOOKUP(Table4[[#This Row],[item_sold]],Table1[],5,FALSE))</f>
        <v>#N/A</v>
      </c>
      <c r="F9231" s="5" t="e">
        <f>(VLOOKUP(Table4[[#This Row],[item_sold]],Table1[],4,FALSE))*Table4[[#This Row],[qty]]</f>
        <v>#N/A</v>
      </c>
      <c r="G9231" t="e">
        <f t="shared" si="1568"/>
        <v>#N/A</v>
      </c>
    </row>
    <row r="9232" spans="1:7" x14ac:dyDescent="0.25">
      <c r="A9232" s="1">
        <f t="shared" si="1567"/>
        <v>45488</v>
      </c>
      <c r="B9232" s="36"/>
      <c r="E9232" s="5" t="e">
        <f>Table4[[#This Row],[qty]]*(VLOOKUP(Table4[[#This Row],[item_sold]],Table1[],5,FALSE))</f>
        <v>#N/A</v>
      </c>
      <c r="F9232" s="5" t="e">
        <f>(VLOOKUP(Table4[[#This Row],[item_sold]],Table1[],4,FALSE))*Table4[[#This Row],[qty]]</f>
        <v>#N/A</v>
      </c>
      <c r="G9232" t="e">
        <f t="shared" si="1568"/>
        <v>#N/A</v>
      </c>
    </row>
    <row r="9233" spans="1:7" x14ac:dyDescent="0.25">
      <c r="A9233" s="1">
        <f t="shared" si="1567"/>
        <v>45488</v>
      </c>
      <c r="B9233" s="36"/>
      <c r="E9233" s="5" t="e">
        <f>Table4[[#This Row],[qty]]*(VLOOKUP(Table4[[#This Row],[item_sold]],Table1[],5,FALSE))</f>
        <v>#N/A</v>
      </c>
      <c r="F9233" s="5" t="e">
        <f>(VLOOKUP(Table4[[#This Row],[item_sold]],Table1[],4,FALSE))*Table4[[#This Row],[qty]]</f>
        <v>#N/A</v>
      </c>
      <c r="G9233" t="e">
        <f t="shared" si="1568"/>
        <v>#N/A</v>
      </c>
    </row>
    <row r="9234" spans="1:7" x14ac:dyDescent="0.25">
      <c r="A9234" s="1">
        <f t="shared" si="1567"/>
        <v>45488</v>
      </c>
      <c r="B9234" s="36"/>
      <c r="E9234" s="5" t="e">
        <f>Table4[[#This Row],[qty]]*(VLOOKUP(Table4[[#This Row],[item_sold]],Table1[],5,FALSE))</f>
        <v>#N/A</v>
      </c>
      <c r="F9234" s="5" t="e">
        <f>(VLOOKUP(Table4[[#This Row],[item_sold]],Table1[],4,FALSE))*Table4[[#This Row],[qty]]</f>
        <v>#N/A</v>
      </c>
      <c r="G9234" t="e">
        <f t="shared" si="1568"/>
        <v>#N/A</v>
      </c>
    </row>
    <row r="9235" spans="1:7" x14ac:dyDescent="0.25">
      <c r="A9235" s="1">
        <f t="shared" si="1567"/>
        <v>45488</v>
      </c>
      <c r="B9235" s="36"/>
      <c r="E9235" s="5" t="e">
        <f>Table4[[#This Row],[qty]]*(VLOOKUP(Table4[[#This Row],[item_sold]],Table1[],5,FALSE))</f>
        <v>#N/A</v>
      </c>
      <c r="F9235" s="5" t="e">
        <f>(VLOOKUP(Table4[[#This Row],[item_sold]],Table1[],4,FALSE))*Table4[[#This Row],[qty]]</f>
        <v>#N/A</v>
      </c>
      <c r="G9235" t="e">
        <f t="shared" si="1568"/>
        <v>#N/A</v>
      </c>
    </row>
    <row r="9236" spans="1:7" x14ac:dyDescent="0.25">
      <c r="A9236" s="1">
        <f t="shared" ref="A9236:A9299" si="1569">DATE(2024,7,15)</f>
        <v>45488</v>
      </c>
      <c r="B9236" s="36"/>
      <c r="E9236" s="5" t="e">
        <f>Table4[[#This Row],[qty]]*(VLOOKUP(Table4[[#This Row],[item_sold]],Table1[],5,FALSE))</f>
        <v>#N/A</v>
      </c>
      <c r="F9236" s="5" t="e">
        <f>(VLOOKUP(Table4[[#This Row],[item_sold]],Table1[],4,FALSE))*Table4[[#This Row],[qty]]</f>
        <v>#N/A</v>
      </c>
      <c r="G9236" t="e">
        <f t="shared" ref="G9236:G9299" si="1570">E9236-F9236</f>
        <v>#N/A</v>
      </c>
    </row>
    <row r="9237" spans="1:7" x14ac:dyDescent="0.25">
      <c r="A9237" s="1">
        <f t="shared" si="1569"/>
        <v>45488</v>
      </c>
      <c r="B9237" s="36"/>
      <c r="E9237" s="5" t="e">
        <f>Table4[[#This Row],[qty]]*(VLOOKUP(Table4[[#This Row],[item_sold]],Table1[],5,FALSE))</f>
        <v>#N/A</v>
      </c>
      <c r="F9237" s="5" t="e">
        <f>(VLOOKUP(Table4[[#This Row],[item_sold]],Table1[],4,FALSE))*Table4[[#This Row],[qty]]</f>
        <v>#N/A</v>
      </c>
      <c r="G9237" t="e">
        <f t="shared" si="1570"/>
        <v>#N/A</v>
      </c>
    </row>
    <row r="9238" spans="1:7" x14ac:dyDescent="0.25">
      <c r="A9238" s="1">
        <f t="shared" si="1569"/>
        <v>45488</v>
      </c>
      <c r="B9238" s="36"/>
      <c r="E9238" s="5" t="e">
        <f>Table4[[#This Row],[qty]]*(VLOOKUP(Table4[[#This Row],[item_sold]],Table1[],5,FALSE))</f>
        <v>#N/A</v>
      </c>
      <c r="F9238" s="5" t="e">
        <f>(VLOOKUP(Table4[[#This Row],[item_sold]],Table1[],4,FALSE))*Table4[[#This Row],[qty]]</f>
        <v>#N/A</v>
      </c>
      <c r="G9238" t="e">
        <f t="shared" si="1570"/>
        <v>#N/A</v>
      </c>
    </row>
    <row r="9239" spans="1:7" x14ac:dyDescent="0.25">
      <c r="A9239" s="1">
        <f t="shared" si="1569"/>
        <v>45488</v>
      </c>
      <c r="B9239" s="36"/>
      <c r="E9239" s="5" t="e">
        <f>Table4[[#This Row],[qty]]*(VLOOKUP(Table4[[#This Row],[item_sold]],Table1[],5,FALSE))</f>
        <v>#N/A</v>
      </c>
      <c r="F9239" s="5" t="e">
        <f>(VLOOKUP(Table4[[#This Row],[item_sold]],Table1[],4,FALSE))*Table4[[#This Row],[qty]]</f>
        <v>#N/A</v>
      </c>
      <c r="G9239" t="e">
        <f t="shared" si="1570"/>
        <v>#N/A</v>
      </c>
    </row>
    <row r="9240" spans="1:7" x14ac:dyDescent="0.25">
      <c r="A9240" s="1">
        <f t="shared" si="1569"/>
        <v>45488</v>
      </c>
      <c r="B9240" s="36"/>
      <c r="E9240" s="5" t="e">
        <f>Table4[[#This Row],[qty]]*(VLOOKUP(Table4[[#This Row],[item_sold]],Table1[],5,FALSE))</f>
        <v>#N/A</v>
      </c>
      <c r="F9240" s="5" t="e">
        <f>(VLOOKUP(Table4[[#This Row],[item_sold]],Table1[],4,FALSE))*Table4[[#This Row],[qty]]</f>
        <v>#N/A</v>
      </c>
      <c r="G9240" t="e">
        <f t="shared" si="1570"/>
        <v>#N/A</v>
      </c>
    </row>
    <row r="9241" spans="1:7" x14ac:dyDescent="0.25">
      <c r="A9241" s="1">
        <f t="shared" si="1569"/>
        <v>45488</v>
      </c>
      <c r="B9241" s="36"/>
      <c r="E9241" s="5" t="e">
        <f>Table4[[#This Row],[qty]]*(VLOOKUP(Table4[[#This Row],[item_sold]],Table1[],5,FALSE))</f>
        <v>#N/A</v>
      </c>
      <c r="F9241" s="5" t="e">
        <f>(VLOOKUP(Table4[[#This Row],[item_sold]],Table1[],4,FALSE))*Table4[[#This Row],[qty]]</f>
        <v>#N/A</v>
      </c>
      <c r="G9241" t="e">
        <f t="shared" si="1570"/>
        <v>#N/A</v>
      </c>
    </row>
    <row r="9242" spans="1:7" x14ac:dyDescent="0.25">
      <c r="A9242" s="1">
        <f t="shared" si="1569"/>
        <v>45488</v>
      </c>
      <c r="B9242" s="36"/>
      <c r="E9242" s="5" t="e">
        <f>Table4[[#This Row],[qty]]*(VLOOKUP(Table4[[#This Row],[item_sold]],Table1[],5,FALSE))</f>
        <v>#N/A</v>
      </c>
      <c r="F9242" s="5" t="e">
        <f>(VLOOKUP(Table4[[#This Row],[item_sold]],Table1[],4,FALSE))*Table4[[#This Row],[qty]]</f>
        <v>#N/A</v>
      </c>
      <c r="G9242" t="e">
        <f t="shared" si="1570"/>
        <v>#N/A</v>
      </c>
    </row>
    <row r="9243" spans="1:7" x14ac:dyDescent="0.25">
      <c r="A9243" s="1">
        <f t="shared" si="1569"/>
        <v>45488</v>
      </c>
      <c r="B9243" s="36"/>
      <c r="E9243" s="5" t="e">
        <f>Table4[[#This Row],[qty]]*(VLOOKUP(Table4[[#This Row],[item_sold]],Table1[],5,FALSE))</f>
        <v>#N/A</v>
      </c>
      <c r="F9243" s="5" t="e">
        <f>(VLOOKUP(Table4[[#This Row],[item_sold]],Table1[],4,FALSE))*Table4[[#This Row],[qty]]</f>
        <v>#N/A</v>
      </c>
      <c r="G9243" t="e">
        <f t="shared" si="1570"/>
        <v>#N/A</v>
      </c>
    </row>
    <row r="9244" spans="1:7" x14ac:dyDescent="0.25">
      <c r="A9244" s="1">
        <f t="shared" si="1569"/>
        <v>45488</v>
      </c>
      <c r="B9244" s="36"/>
      <c r="E9244" s="5" t="e">
        <f>Table4[[#This Row],[qty]]*(VLOOKUP(Table4[[#This Row],[item_sold]],Table1[],5,FALSE))</f>
        <v>#N/A</v>
      </c>
      <c r="F9244" s="5" t="e">
        <f>(VLOOKUP(Table4[[#This Row],[item_sold]],Table1[],4,FALSE))*Table4[[#This Row],[qty]]</f>
        <v>#N/A</v>
      </c>
      <c r="G9244" t="e">
        <f t="shared" si="1570"/>
        <v>#N/A</v>
      </c>
    </row>
    <row r="9245" spans="1:7" x14ac:dyDescent="0.25">
      <c r="A9245" s="1">
        <f t="shared" si="1569"/>
        <v>45488</v>
      </c>
      <c r="B9245" s="36"/>
      <c r="E9245" s="5" t="e">
        <f>Table4[[#This Row],[qty]]*(VLOOKUP(Table4[[#This Row],[item_sold]],Table1[],5,FALSE))</f>
        <v>#N/A</v>
      </c>
      <c r="F9245" s="5" t="e">
        <f>(VLOOKUP(Table4[[#This Row],[item_sold]],Table1[],4,FALSE))*Table4[[#This Row],[qty]]</f>
        <v>#N/A</v>
      </c>
      <c r="G9245" t="e">
        <f t="shared" si="1570"/>
        <v>#N/A</v>
      </c>
    </row>
    <row r="9246" spans="1:7" x14ac:dyDescent="0.25">
      <c r="A9246" s="1">
        <f t="shared" si="1569"/>
        <v>45488</v>
      </c>
      <c r="B9246" s="36"/>
      <c r="E9246" s="5" t="e">
        <f>Table4[[#This Row],[qty]]*(VLOOKUP(Table4[[#This Row],[item_sold]],Table1[],5,FALSE))</f>
        <v>#N/A</v>
      </c>
      <c r="F9246" s="5" t="e">
        <f>(VLOOKUP(Table4[[#This Row],[item_sold]],Table1[],4,FALSE))*Table4[[#This Row],[qty]]</f>
        <v>#N/A</v>
      </c>
      <c r="G9246" t="e">
        <f t="shared" si="1570"/>
        <v>#N/A</v>
      </c>
    </row>
    <row r="9247" spans="1:7" x14ac:dyDescent="0.25">
      <c r="A9247" s="1">
        <f t="shared" si="1569"/>
        <v>45488</v>
      </c>
      <c r="B9247" s="36"/>
      <c r="E9247" s="5" t="e">
        <f>Table4[[#This Row],[qty]]*(VLOOKUP(Table4[[#This Row],[item_sold]],Table1[],5,FALSE))</f>
        <v>#N/A</v>
      </c>
      <c r="F9247" s="5" t="e">
        <f>(VLOOKUP(Table4[[#This Row],[item_sold]],Table1[],4,FALSE))*Table4[[#This Row],[qty]]</f>
        <v>#N/A</v>
      </c>
      <c r="G9247" t="e">
        <f t="shared" si="1570"/>
        <v>#N/A</v>
      </c>
    </row>
    <row r="9248" spans="1:7" x14ac:dyDescent="0.25">
      <c r="A9248" s="1">
        <f t="shared" si="1569"/>
        <v>45488</v>
      </c>
      <c r="B9248" s="36"/>
      <c r="E9248" s="5" t="e">
        <f>Table4[[#This Row],[qty]]*(VLOOKUP(Table4[[#This Row],[item_sold]],Table1[],5,FALSE))</f>
        <v>#N/A</v>
      </c>
      <c r="F9248" s="5" t="e">
        <f>(VLOOKUP(Table4[[#This Row],[item_sold]],Table1[],4,FALSE))*Table4[[#This Row],[qty]]</f>
        <v>#N/A</v>
      </c>
      <c r="G9248" t="e">
        <f t="shared" si="1570"/>
        <v>#N/A</v>
      </c>
    </row>
    <row r="9249" spans="1:7" x14ac:dyDescent="0.25">
      <c r="A9249" s="1">
        <f t="shared" si="1569"/>
        <v>45488</v>
      </c>
      <c r="B9249" s="36"/>
      <c r="E9249" s="5" t="e">
        <f>Table4[[#This Row],[qty]]*(VLOOKUP(Table4[[#This Row],[item_sold]],Table1[],5,FALSE))</f>
        <v>#N/A</v>
      </c>
      <c r="F9249" s="5" t="e">
        <f>(VLOOKUP(Table4[[#This Row],[item_sold]],Table1[],4,FALSE))*Table4[[#This Row],[qty]]</f>
        <v>#N/A</v>
      </c>
      <c r="G9249" t="e">
        <f t="shared" si="1570"/>
        <v>#N/A</v>
      </c>
    </row>
    <row r="9250" spans="1:7" x14ac:dyDescent="0.25">
      <c r="A9250" s="1">
        <f t="shared" si="1569"/>
        <v>45488</v>
      </c>
      <c r="B9250" s="36"/>
      <c r="E9250" s="5" t="e">
        <f>Table4[[#This Row],[qty]]*(VLOOKUP(Table4[[#This Row],[item_sold]],Table1[],5,FALSE))</f>
        <v>#N/A</v>
      </c>
      <c r="F9250" s="5" t="e">
        <f>(VLOOKUP(Table4[[#This Row],[item_sold]],Table1[],4,FALSE))*Table4[[#This Row],[qty]]</f>
        <v>#N/A</v>
      </c>
      <c r="G9250" t="e">
        <f t="shared" si="1570"/>
        <v>#N/A</v>
      </c>
    </row>
    <row r="9251" spans="1:7" x14ac:dyDescent="0.25">
      <c r="A9251" s="1">
        <f t="shared" si="1569"/>
        <v>45488</v>
      </c>
      <c r="B9251" s="36"/>
      <c r="E9251" s="5" t="e">
        <f>Table4[[#This Row],[qty]]*(VLOOKUP(Table4[[#This Row],[item_sold]],Table1[],5,FALSE))</f>
        <v>#N/A</v>
      </c>
      <c r="F9251" s="5" t="e">
        <f>(VLOOKUP(Table4[[#This Row],[item_sold]],Table1[],4,FALSE))*Table4[[#This Row],[qty]]</f>
        <v>#N/A</v>
      </c>
      <c r="G9251" t="e">
        <f t="shared" si="1570"/>
        <v>#N/A</v>
      </c>
    </row>
    <row r="9252" spans="1:7" x14ac:dyDescent="0.25">
      <c r="A9252" s="1">
        <f t="shared" si="1569"/>
        <v>45488</v>
      </c>
      <c r="B9252" s="36"/>
      <c r="E9252" s="5" t="e">
        <f>Table4[[#This Row],[qty]]*(VLOOKUP(Table4[[#This Row],[item_sold]],Table1[],5,FALSE))</f>
        <v>#N/A</v>
      </c>
      <c r="F9252" s="5" t="e">
        <f>(VLOOKUP(Table4[[#This Row],[item_sold]],Table1[],4,FALSE))*Table4[[#This Row],[qty]]</f>
        <v>#N/A</v>
      </c>
      <c r="G9252" t="e">
        <f t="shared" si="1570"/>
        <v>#N/A</v>
      </c>
    </row>
    <row r="9253" spans="1:7" x14ac:dyDescent="0.25">
      <c r="A9253" s="1">
        <f t="shared" si="1569"/>
        <v>45488</v>
      </c>
      <c r="B9253" s="36"/>
      <c r="E9253" s="5" t="e">
        <f>Table4[[#This Row],[qty]]*(VLOOKUP(Table4[[#This Row],[item_sold]],Table1[],5,FALSE))</f>
        <v>#N/A</v>
      </c>
      <c r="F9253" s="5" t="e">
        <f>(VLOOKUP(Table4[[#This Row],[item_sold]],Table1[],4,FALSE))*Table4[[#This Row],[qty]]</f>
        <v>#N/A</v>
      </c>
      <c r="G9253" t="e">
        <f t="shared" si="1570"/>
        <v>#N/A</v>
      </c>
    </row>
    <row r="9254" spans="1:7" x14ac:dyDescent="0.25">
      <c r="A9254" s="1">
        <f t="shared" si="1569"/>
        <v>45488</v>
      </c>
      <c r="B9254" s="36"/>
      <c r="E9254" s="5" t="e">
        <f>Table4[[#This Row],[qty]]*(VLOOKUP(Table4[[#This Row],[item_sold]],Table1[],5,FALSE))</f>
        <v>#N/A</v>
      </c>
      <c r="F9254" s="5" t="e">
        <f>(VLOOKUP(Table4[[#This Row],[item_sold]],Table1[],4,FALSE))*Table4[[#This Row],[qty]]</f>
        <v>#N/A</v>
      </c>
      <c r="G9254" t="e">
        <f t="shared" si="1570"/>
        <v>#N/A</v>
      </c>
    </row>
    <row r="9255" spans="1:7" x14ac:dyDescent="0.25">
      <c r="A9255" s="1">
        <f t="shared" si="1569"/>
        <v>45488</v>
      </c>
      <c r="B9255" s="36"/>
      <c r="E9255" s="5" t="e">
        <f>Table4[[#This Row],[qty]]*(VLOOKUP(Table4[[#This Row],[item_sold]],Table1[],5,FALSE))</f>
        <v>#N/A</v>
      </c>
      <c r="F9255" s="5" t="e">
        <f>(VLOOKUP(Table4[[#This Row],[item_sold]],Table1[],4,FALSE))*Table4[[#This Row],[qty]]</f>
        <v>#N/A</v>
      </c>
      <c r="G9255" t="e">
        <f t="shared" si="1570"/>
        <v>#N/A</v>
      </c>
    </row>
    <row r="9256" spans="1:7" x14ac:dyDescent="0.25">
      <c r="A9256" s="1">
        <f t="shared" si="1569"/>
        <v>45488</v>
      </c>
      <c r="B9256" s="36"/>
      <c r="E9256" s="5" t="e">
        <f>Table4[[#This Row],[qty]]*(VLOOKUP(Table4[[#This Row],[item_sold]],Table1[],5,FALSE))</f>
        <v>#N/A</v>
      </c>
      <c r="F9256" s="5" t="e">
        <f>(VLOOKUP(Table4[[#This Row],[item_sold]],Table1[],4,FALSE))*Table4[[#This Row],[qty]]</f>
        <v>#N/A</v>
      </c>
      <c r="G9256" t="e">
        <f t="shared" si="1570"/>
        <v>#N/A</v>
      </c>
    </row>
    <row r="9257" spans="1:7" x14ac:dyDescent="0.25">
      <c r="A9257" s="1">
        <f t="shared" si="1569"/>
        <v>45488</v>
      </c>
      <c r="B9257" s="36"/>
      <c r="E9257" s="5" t="e">
        <f>Table4[[#This Row],[qty]]*(VLOOKUP(Table4[[#This Row],[item_sold]],Table1[],5,FALSE))</f>
        <v>#N/A</v>
      </c>
      <c r="F9257" s="5" t="e">
        <f>(VLOOKUP(Table4[[#This Row],[item_sold]],Table1[],4,FALSE))*Table4[[#This Row],[qty]]</f>
        <v>#N/A</v>
      </c>
      <c r="G9257" t="e">
        <f t="shared" si="1570"/>
        <v>#N/A</v>
      </c>
    </row>
    <row r="9258" spans="1:7" x14ac:dyDescent="0.25">
      <c r="A9258" s="1">
        <f t="shared" si="1569"/>
        <v>45488</v>
      </c>
      <c r="B9258" s="36"/>
      <c r="E9258" s="5" t="e">
        <f>Table4[[#This Row],[qty]]*(VLOOKUP(Table4[[#This Row],[item_sold]],Table1[],5,FALSE))</f>
        <v>#N/A</v>
      </c>
      <c r="F9258" s="5" t="e">
        <f>(VLOOKUP(Table4[[#This Row],[item_sold]],Table1[],4,FALSE))*Table4[[#This Row],[qty]]</f>
        <v>#N/A</v>
      </c>
      <c r="G9258" t="e">
        <f t="shared" si="1570"/>
        <v>#N/A</v>
      </c>
    </row>
    <row r="9259" spans="1:7" x14ac:dyDescent="0.25">
      <c r="A9259" s="1">
        <f t="shared" si="1569"/>
        <v>45488</v>
      </c>
      <c r="B9259" s="36"/>
      <c r="E9259" s="5" t="e">
        <f>Table4[[#This Row],[qty]]*(VLOOKUP(Table4[[#This Row],[item_sold]],Table1[],5,FALSE))</f>
        <v>#N/A</v>
      </c>
      <c r="F9259" s="5" t="e">
        <f>(VLOOKUP(Table4[[#This Row],[item_sold]],Table1[],4,FALSE))*Table4[[#This Row],[qty]]</f>
        <v>#N/A</v>
      </c>
      <c r="G9259" t="e">
        <f t="shared" si="1570"/>
        <v>#N/A</v>
      </c>
    </row>
    <row r="9260" spans="1:7" x14ac:dyDescent="0.25">
      <c r="A9260" s="1">
        <f t="shared" si="1569"/>
        <v>45488</v>
      </c>
      <c r="B9260" s="36"/>
      <c r="E9260" s="5" t="e">
        <f>Table4[[#This Row],[qty]]*(VLOOKUP(Table4[[#This Row],[item_sold]],Table1[],5,FALSE))</f>
        <v>#N/A</v>
      </c>
      <c r="F9260" s="5" t="e">
        <f>(VLOOKUP(Table4[[#This Row],[item_sold]],Table1[],4,FALSE))*Table4[[#This Row],[qty]]</f>
        <v>#N/A</v>
      </c>
      <c r="G9260" t="e">
        <f t="shared" si="1570"/>
        <v>#N/A</v>
      </c>
    </row>
    <row r="9261" spans="1:7" x14ac:dyDescent="0.25">
      <c r="A9261" s="1">
        <f t="shared" si="1569"/>
        <v>45488</v>
      </c>
      <c r="B9261" s="36"/>
      <c r="E9261" s="5" t="e">
        <f>Table4[[#This Row],[qty]]*(VLOOKUP(Table4[[#This Row],[item_sold]],Table1[],5,FALSE))</f>
        <v>#N/A</v>
      </c>
      <c r="F9261" s="5" t="e">
        <f>(VLOOKUP(Table4[[#This Row],[item_sold]],Table1[],4,FALSE))*Table4[[#This Row],[qty]]</f>
        <v>#N/A</v>
      </c>
      <c r="G9261" t="e">
        <f t="shared" si="1570"/>
        <v>#N/A</v>
      </c>
    </row>
    <row r="9262" spans="1:7" x14ac:dyDescent="0.25">
      <c r="A9262" s="1">
        <f t="shared" si="1569"/>
        <v>45488</v>
      </c>
      <c r="B9262" s="36"/>
      <c r="E9262" s="5" t="e">
        <f>Table4[[#This Row],[qty]]*(VLOOKUP(Table4[[#This Row],[item_sold]],Table1[],5,FALSE))</f>
        <v>#N/A</v>
      </c>
      <c r="F9262" s="5" t="e">
        <f>(VLOOKUP(Table4[[#This Row],[item_sold]],Table1[],4,FALSE))*Table4[[#This Row],[qty]]</f>
        <v>#N/A</v>
      </c>
      <c r="G9262" t="e">
        <f t="shared" si="1570"/>
        <v>#N/A</v>
      </c>
    </row>
    <row r="9263" spans="1:7" x14ac:dyDescent="0.25">
      <c r="A9263" s="1">
        <f t="shared" si="1569"/>
        <v>45488</v>
      </c>
      <c r="B9263" s="36"/>
      <c r="E9263" s="5" t="e">
        <f>Table4[[#This Row],[qty]]*(VLOOKUP(Table4[[#This Row],[item_sold]],Table1[],5,FALSE))</f>
        <v>#N/A</v>
      </c>
      <c r="F9263" s="5" t="e">
        <f>(VLOOKUP(Table4[[#This Row],[item_sold]],Table1[],4,FALSE))*Table4[[#This Row],[qty]]</f>
        <v>#N/A</v>
      </c>
      <c r="G9263" t="e">
        <f t="shared" si="1570"/>
        <v>#N/A</v>
      </c>
    </row>
    <row r="9264" spans="1:7" x14ac:dyDescent="0.25">
      <c r="A9264" s="1">
        <f t="shared" si="1569"/>
        <v>45488</v>
      </c>
      <c r="B9264" s="36"/>
      <c r="E9264" s="5" t="e">
        <f>Table4[[#This Row],[qty]]*(VLOOKUP(Table4[[#This Row],[item_sold]],Table1[],5,FALSE))</f>
        <v>#N/A</v>
      </c>
      <c r="F9264" s="5" t="e">
        <f>(VLOOKUP(Table4[[#This Row],[item_sold]],Table1[],4,FALSE))*Table4[[#This Row],[qty]]</f>
        <v>#N/A</v>
      </c>
      <c r="G9264" t="e">
        <f t="shared" si="1570"/>
        <v>#N/A</v>
      </c>
    </row>
    <row r="9265" spans="1:7" x14ac:dyDescent="0.25">
      <c r="A9265" s="1">
        <f t="shared" si="1569"/>
        <v>45488</v>
      </c>
      <c r="B9265" s="36"/>
      <c r="E9265" s="5" t="e">
        <f>Table4[[#This Row],[qty]]*(VLOOKUP(Table4[[#This Row],[item_sold]],Table1[],5,FALSE))</f>
        <v>#N/A</v>
      </c>
      <c r="F9265" s="5" t="e">
        <f>(VLOOKUP(Table4[[#This Row],[item_sold]],Table1[],4,FALSE))*Table4[[#This Row],[qty]]</f>
        <v>#N/A</v>
      </c>
      <c r="G9265" t="e">
        <f t="shared" si="1570"/>
        <v>#N/A</v>
      </c>
    </row>
    <row r="9266" spans="1:7" x14ac:dyDescent="0.25">
      <c r="A9266" s="1">
        <f t="shared" si="1569"/>
        <v>45488</v>
      </c>
      <c r="B9266" s="36"/>
      <c r="E9266" s="5" t="e">
        <f>Table4[[#This Row],[qty]]*(VLOOKUP(Table4[[#This Row],[item_sold]],Table1[],5,FALSE))</f>
        <v>#N/A</v>
      </c>
      <c r="F9266" s="5" t="e">
        <f>(VLOOKUP(Table4[[#This Row],[item_sold]],Table1[],4,FALSE))*Table4[[#This Row],[qty]]</f>
        <v>#N/A</v>
      </c>
      <c r="G9266" t="e">
        <f t="shared" si="1570"/>
        <v>#N/A</v>
      </c>
    </row>
    <row r="9267" spans="1:7" x14ac:dyDescent="0.25">
      <c r="A9267" s="1">
        <f t="shared" si="1569"/>
        <v>45488</v>
      </c>
      <c r="B9267" s="36"/>
      <c r="E9267" s="5" t="e">
        <f>Table4[[#This Row],[qty]]*(VLOOKUP(Table4[[#This Row],[item_sold]],Table1[],5,FALSE))</f>
        <v>#N/A</v>
      </c>
      <c r="F9267" s="5" t="e">
        <f>(VLOOKUP(Table4[[#This Row],[item_sold]],Table1[],4,FALSE))*Table4[[#This Row],[qty]]</f>
        <v>#N/A</v>
      </c>
      <c r="G9267" t="e">
        <f t="shared" si="1570"/>
        <v>#N/A</v>
      </c>
    </row>
    <row r="9268" spans="1:7" x14ac:dyDescent="0.25">
      <c r="A9268" s="1">
        <f t="shared" si="1569"/>
        <v>45488</v>
      </c>
      <c r="B9268" s="36"/>
      <c r="E9268" s="5" t="e">
        <f>Table4[[#This Row],[qty]]*(VLOOKUP(Table4[[#This Row],[item_sold]],Table1[],5,FALSE))</f>
        <v>#N/A</v>
      </c>
      <c r="F9268" s="5" t="e">
        <f>(VLOOKUP(Table4[[#This Row],[item_sold]],Table1[],4,FALSE))*Table4[[#This Row],[qty]]</f>
        <v>#N/A</v>
      </c>
      <c r="G9268" t="e">
        <f t="shared" si="1570"/>
        <v>#N/A</v>
      </c>
    </row>
    <row r="9269" spans="1:7" x14ac:dyDescent="0.25">
      <c r="A9269" s="1">
        <f t="shared" si="1569"/>
        <v>45488</v>
      </c>
      <c r="B9269" s="36"/>
      <c r="E9269" s="5" t="e">
        <f>Table4[[#This Row],[qty]]*(VLOOKUP(Table4[[#This Row],[item_sold]],Table1[],5,FALSE))</f>
        <v>#N/A</v>
      </c>
      <c r="F9269" s="5" t="e">
        <f>(VLOOKUP(Table4[[#This Row],[item_sold]],Table1[],4,FALSE))*Table4[[#This Row],[qty]]</f>
        <v>#N/A</v>
      </c>
      <c r="G9269" t="e">
        <f t="shared" si="1570"/>
        <v>#N/A</v>
      </c>
    </row>
    <row r="9270" spans="1:7" x14ac:dyDescent="0.25">
      <c r="A9270" s="1">
        <f t="shared" si="1569"/>
        <v>45488</v>
      </c>
      <c r="B9270" s="36"/>
      <c r="E9270" s="5" t="e">
        <f>Table4[[#This Row],[qty]]*(VLOOKUP(Table4[[#This Row],[item_sold]],Table1[],5,FALSE))</f>
        <v>#N/A</v>
      </c>
      <c r="F9270" s="5" t="e">
        <f>(VLOOKUP(Table4[[#This Row],[item_sold]],Table1[],4,FALSE))*Table4[[#This Row],[qty]]</f>
        <v>#N/A</v>
      </c>
      <c r="G9270" t="e">
        <f t="shared" si="1570"/>
        <v>#N/A</v>
      </c>
    </row>
    <row r="9271" spans="1:7" x14ac:dyDescent="0.25">
      <c r="A9271" s="1">
        <f t="shared" si="1569"/>
        <v>45488</v>
      </c>
      <c r="B9271" s="36"/>
      <c r="E9271" s="5" t="e">
        <f>Table4[[#This Row],[qty]]*(VLOOKUP(Table4[[#This Row],[item_sold]],Table1[],5,FALSE))</f>
        <v>#N/A</v>
      </c>
      <c r="F9271" s="5" t="e">
        <f>(VLOOKUP(Table4[[#This Row],[item_sold]],Table1[],4,FALSE))*Table4[[#This Row],[qty]]</f>
        <v>#N/A</v>
      </c>
      <c r="G9271" t="e">
        <f t="shared" si="1570"/>
        <v>#N/A</v>
      </c>
    </row>
    <row r="9272" spans="1:7" x14ac:dyDescent="0.25">
      <c r="A9272" s="1">
        <f t="shared" si="1569"/>
        <v>45488</v>
      </c>
      <c r="B9272" s="36"/>
      <c r="E9272" s="5" t="e">
        <f>Table4[[#This Row],[qty]]*(VLOOKUP(Table4[[#This Row],[item_sold]],Table1[],5,FALSE))</f>
        <v>#N/A</v>
      </c>
      <c r="F9272" s="5" t="e">
        <f>(VLOOKUP(Table4[[#This Row],[item_sold]],Table1[],4,FALSE))*Table4[[#This Row],[qty]]</f>
        <v>#N/A</v>
      </c>
      <c r="G9272" t="e">
        <f t="shared" si="1570"/>
        <v>#N/A</v>
      </c>
    </row>
    <row r="9273" spans="1:7" x14ac:dyDescent="0.25">
      <c r="A9273" s="1">
        <f t="shared" si="1569"/>
        <v>45488</v>
      </c>
      <c r="B9273" s="36"/>
      <c r="E9273" s="5" t="e">
        <f>Table4[[#This Row],[qty]]*(VLOOKUP(Table4[[#This Row],[item_sold]],Table1[],5,FALSE))</f>
        <v>#N/A</v>
      </c>
      <c r="F9273" s="5" t="e">
        <f>(VLOOKUP(Table4[[#This Row],[item_sold]],Table1[],4,FALSE))*Table4[[#This Row],[qty]]</f>
        <v>#N/A</v>
      </c>
      <c r="G9273" t="e">
        <f t="shared" si="1570"/>
        <v>#N/A</v>
      </c>
    </row>
    <row r="9274" spans="1:7" x14ac:dyDescent="0.25">
      <c r="A9274" s="1">
        <f t="shared" si="1569"/>
        <v>45488</v>
      </c>
      <c r="B9274" s="36"/>
      <c r="E9274" s="5" t="e">
        <f>Table4[[#This Row],[qty]]*(VLOOKUP(Table4[[#This Row],[item_sold]],Table1[],5,FALSE))</f>
        <v>#N/A</v>
      </c>
      <c r="F9274" s="5" t="e">
        <f>(VLOOKUP(Table4[[#This Row],[item_sold]],Table1[],4,FALSE))*Table4[[#This Row],[qty]]</f>
        <v>#N/A</v>
      </c>
      <c r="G9274" t="e">
        <f t="shared" si="1570"/>
        <v>#N/A</v>
      </c>
    </row>
    <row r="9275" spans="1:7" x14ac:dyDescent="0.25">
      <c r="A9275" s="1">
        <f t="shared" si="1569"/>
        <v>45488</v>
      </c>
      <c r="B9275" s="36"/>
      <c r="E9275" s="5" t="e">
        <f>Table4[[#This Row],[qty]]*(VLOOKUP(Table4[[#This Row],[item_sold]],Table1[],5,FALSE))</f>
        <v>#N/A</v>
      </c>
      <c r="F9275" s="5" t="e">
        <f>(VLOOKUP(Table4[[#This Row],[item_sold]],Table1[],4,FALSE))*Table4[[#This Row],[qty]]</f>
        <v>#N/A</v>
      </c>
      <c r="G9275" t="e">
        <f t="shared" si="1570"/>
        <v>#N/A</v>
      </c>
    </row>
    <row r="9276" spans="1:7" x14ac:dyDescent="0.25">
      <c r="A9276" s="1">
        <f t="shared" si="1569"/>
        <v>45488</v>
      </c>
      <c r="B9276" s="36"/>
      <c r="E9276" s="5" t="e">
        <f>Table4[[#This Row],[qty]]*(VLOOKUP(Table4[[#This Row],[item_sold]],Table1[],5,FALSE))</f>
        <v>#N/A</v>
      </c>
      <c r="F9276" s="5" t="e">
        <f>(VLOOKUP(Table4[[#This Row],[item_sold]],Table1[],4,FALSE))*Table4[[#This Row],[qty]]</f>
        <v>#N/A</v>
      </c>
      <c r="G9276" t="e">
        <f t="shared" si="1570"/>
        <v>#N/A</v>
      </c>
    </row>
    <row r="9277" spans="1:7" x14ac:dyDescent="0.25">
      <c r="A9277" s="1">
        <f t="shared" si="1569"/>
        <v>45488</v>
      </c>
      <c r="B9277" s="36"/>
      <c r="E9277" s="5" t="e">
        <f>Table4[[#This Row],[qty]]*(VLOOKUP(Table4[[#This Row],[item_sold]],Table1[],5,FALSE))</f>
        <v>#N/A</v>
      </c>
      <c r="F9277" s="5" t="e">
        <f>(VLOOKUP(Table4[[#This Row],[item_sold]],Table1[],4,FALSE))*Table4[[#This Row],[qty]]</f>
        <v>#N/A</v>
      </c>
      <c r="G9277" t="e">
        <f t="shared" si="1570"/>
        <v>#N/A</v>
      </c>
    </row>
    <row r="9278" spans="1:7" x14ac:dyDescent="0.25">
      <c r="A9278" s="1">
        <f t="shared" si="1569"/>
        <v>45488</v>
      </c>
      <c r="B9278" s="36"/>
      <c r="E9278" s="5" t="e">
        <f>Table4[[#This Row],[qty]]*(VLOOKUP(Table4[[#This Row],[item_sold]],Table1[],5,FALSE))</f>
        <v>#N/A</v>
      </c>
      <c r="F9278" s="5" t="e">
        <f>(VLOOKUP(Table4[[#This Row],[item_sold]],Table1[],4,FALSE))*Table4[[#This Row],[qty]]</f>
        <v>#N/A</v>
      </c>
      <c r="G9278" t="e">
        <f t="shared" si="1570"/>
        <v>#N/A</v>
      </c>
    </row>
    <row r="9279" spans="1:7" x14ac:dyDescent="0.25">
      <c r="A9279" s="1">
        <f t="shared" si="1569"/>
        <v>45488</v>
      </c>
      <c r="B9279" s="36"/>
      <c r="E9279" s="5" t="e">
        <f>Table4[[#This Row],[qty]]*(VLOOKUP(Table4[[#This Row],[item_sold]],Table1[],5,FALSE))</f>
        <v>#N/A</v>
      </c>
      <c r="F9279" s="5" t="e">
        <f>(VLOOKUP(Table4[[#This Row],[item_sold]],Table1[],4,FALSE))*Table4[[#This Row],[qty]]</f>
        <v>#N/A</v>
      </c>
      <c r="G9279" t="e">
        <f t="shared" si="1570"/>
        <v>#N/A</v>
      </c>
    </row>
    <row r="9280" spans="1:7" x14ac:dyDescent="0.25">
      <c r="A9280" s="1">
        <f t="shared" si="1569"/>
        <v>45488</v>
      </c>
      <c r="B9280" s="36"/>
      <c r="E9280" s="5" t="e">
        <f>Table4[[#This Row],[qty]]*(VLOOKUP(Table4[[#This Row],[item_sold]],Table1[],5,FALSE))</f>
        <v>#N/A</v>
      </c>
      <c r="F9280" s="5" t="e">
        <f>(VLOOKUP(Table4[[#This Row],[item_sold]],Table1[],4,FALSE))*Table4[[#This Row],[qty]]</f>
        <v>#N/A</v>
      </c>
      <c r="G9280" t="e">
        <f t="shared" si="1570"/>
        <v>#N/A</v>
      </c>
    </row>
    <row r="9281" spans="1:7" x14ac:dyDescent="0.25">
      <c r="A9281" s="1">
        <f t="shared" si="1569"/>
        <v>45488</v>
      </c>
      <c r="B9281" s="36"/>
      <c r="E9281" s="5" t="e">
        <f>Table4[[#This Row],[qty]]*(VLOOKUP(Table4[[#This Row],[item_sold]],Table1[],5,FALSE))</f>
        <v>#N/A</v>
      </c>
      <c r="F9281" s="5" t="e">
        <f>(VLOOKUP(Table4[[#This Row],[item_sold]],Table1[],4,FALSE))*Table4[[#This Row],[qty]]</f>
        <v>#N/A</v>
      </c>
      <c r="G9281" t="e">
        <f t="shared" si="1570"/>
        <v>#N/A</v>
      </c>
    </row>
    <row r="9282" spans="1:7" x14ac:dyDescent="0.25">
      <c r="A9282" s="1">
        <f t="shared" si="1569"/>
        <v>45488</v>
      </c>
      <c r="B9282" s="36"/>
      <c r="E9282" s="5" t="e">
        <f>Table4[[#This Row],[qty]]*(VLOOKUP(Table4[[#This Row],[item_sold]],Table1[],5,FALSE))</f>
        <v>#N/A</v>
      </c>
      <c r="F9282" s="5" t="e">
        <f>(VLOOKUP(Table4[[#This Row],[item_sold]],Table1[],4,FALSE))*Table4[[#This Row],[qty]]</f>
        <v>#N/A</v>
      </c>
      <c r="G9282" t="e">
        <f t="shared" si="1570"/>
        <v>#N/A</v>
      </c>
    </row>
    <row r="9283" spans="1:7" x14ac:dyDescent="0.25">
      <c r="A9283" s="1">
        <f t="shared" si="1569"/>
        <v>45488</v>
      </c>
      <c r="B9283" s="36"/>
      <c r="E9283" s="5" t="e">
        <f>Table4[[#This Row],[qty]]*(VLOOKUP(Table4[[#This Row],[item_sold]],Table1[],5,FALSE))</f>
        <v>#N/A</v>
      </c>
      <c r="F9283" s="5" t="e">
        <f>(VLOOKUP(Table4[[#This Row],[item_sold]],Table1[],4,FALSE))*Table4[[#This Row],[qty]]</f>
        <v>#N/A</v>
      </c>
      <c r="G9283" t="e">
        <f t="shared" si="1570"/>
        <v>#N/A</v>
      </c>
    </row>
    <row r="9284" spans="1:7" x14ac:dyDescent="0.25">
      <c r="A9284" s="1">
        <f t="shared" si="1569"/>
        <v>45488</v>
      </c>
      <c r="B9284" s="36"/>
      <c r="E9284" s="5" t="e">
        <f>Table4[[#This Row],[qty]]*(VLOOKUP(Table4[[#This Row],[item_sold]],Table1[],5,FALSE))</f>
        <v>#N/A</v>
      </c>
      <c r="F9284" s="5" t="e">
        <f>(VLOOKUP(Table4[[#This Row],[item_sold]],Table1[],4,FALSE))*Table4[[#This Row],[qty]]</f>
        <v>#N/A</v>
      </c>
      <c r="G9284" t="e">
        <f t="shared" si="1570"/>
        <v>#N/A</v>
      </c>
    </row>
    <row r="9285" spans="1:7" x14ac:dyDescent="0.25">
      <c r="A9285" s="1">
        <f t="shared" si="1569"/>
        <v>45488</v>
      </c>
      <c r="B9285" s="36"/>
      <c r="E9285" s="5" t="e">
        <f>Table4[[#This Row],[qty]]*(VLOOKUP(Table4[[#This Row],[item_sold]],Table1[],5,FALSE))</f>
        <v>#N/A</v>
      </c>
      <c r="F9285" s="5" t="e">
        <f>(VLOOKUP(Table4[[#This Row],[item_sold]],Table1[],4,FALSE))*Table4[[#This Row],[qty]]</f>
        <v>#N/A</v>
      </c>
      <c r="G9285" t="e">
        <f t="shared" si="1570"/>
        <v>#N/A</v>
      </c>
    </row>
    <row r="9286" spans="1:7" x14ac:dyDescent="0.25">
      <c r="A9286" s="1">
        <f t="shared" si="1569"/>
        <v>45488</v>
      </c>
      <c r="B9286" s="36"/>
      <c r="E9286" s="5" t="e">
        <f>Table4[[#This Row],[qty]]*(VLOOKUP(Table4[[#This Row],[item_sold]],Table1[],5,FALSE))</f>
        <v>#N/A</v>
      </c>
      <c r="F9286" s="5" t="e">
        <f>(VLOOKUP(Table4[[#This Row],[item_sold]],Table1[],4,FALSE))*Table4[[#This Row],[qty]]</f>
        <v>#N/A</v>
      </c>
      <c r="G9286" t="e">
        <f t="shared" si="1570"/>
        <v>#N/A</v>
      </c>
    </row>
    <row r="9287" spans="1:7" x14ac:dyDescent="0.25">
      <c r="A9287" s="1">
        <f t="shared" si="1569"/>
        <v>45488</v>
      </c>
      <c r="B9287" s="36"/>
      <c r="E9287" s="5" t="e">
        <f>Table4[[#This Row],[qty]]*(VLOOKUP(Table4[[#This Row],[item_sold]],Table1[],5,FALSE))</f>
        <v>#N/A</v>
      </c>
      <c r="F9287" s="5" t="e">
        <f>(VLOOKUP(Table4[[#This Row],[item_sold]],Table1[],4,FALSE))*Table4[[#This Row],[qty]]</f>
        <v>#N/A</v>
      </c>
      <c r="G9287" t="e">
        <f t="shared" si="1570"/>
        <v>#N/A</v>
      </c>
    </row>
    <row r="9288" spans="1:7" x14ac:dyDescent="0.25">
      <c r="A9288" s="1">
        <f t="shared" si="1569"/>
        <v>45488</v>
      </c>
      <c r="B9288" s="36"/>
      <c r="E9288" s="5" t="e">
        <f>Table4[[#This Row],[qty]]*(VLOOKUP(Table4[[#This Row],[item_sold]],Table1[],5,FALSE))</f>
        <v>#N/A</v>
      </c>
      <c r="F9288" s="5" t="e">
        <f>(VLOOKUP(Table4[[#This Row],[item_sold]],Table1[],4,FALSE))*Table4[[#This Row],[qty]]</f>
        <v>#N/A</v>
      </c>
      <c r="G9288" t="e">
        <f t="shared" si="1570"/>
        <v>#N/A</v>
      </c>
    </row>
    <row r="9289" spans="1:7" x14ac:dyDescent="0.25">
      <c r="A9289" s="1">
        <f t="shared" si="1569"/>
        <v>45488</v>
      </c>
      <c r="B9289" s="36"/>
      <c r="E9289" s="5" t="e">
        <f>Table4[[#This Row],[qty]]*(VLOOKUP(Table4[[#This Row],[item_sold]],Table1[],5,FALSE))</f>
        <v>#N/A</v>
      </c>
      <c r="F9289" s="5" t="e">
        <f>(VLOOKUP(Table4[[#This Row],[item_sold]],Table1[],4,FALSE))*Table4[[#This Row],[qty]]</f>
        <v>#N/A</v>
      </c>
      <c r="G9289" t="e">
        <f t="shared" si="1570"/>
        <v>#N/A</v>
      </c>
    </row>
    <row r="9290" spans="1:7" x14ac:dyDescent="0.25">
      <c r="A9290" s="1">
        <f t="shared" si="1569"/>
        <v>45488</v>
      </c>
      <c r="B9290" s="36"/>
      <c r="E9290" s="5" t="e">
        <f>Table4[[#This Row],[qty]]*(VLOOKUP(Table4[[#This Row],[item_sold]],Table1[],5,FALSE))</f>
        <v>#N/A</v>
      </c>
      <c r="F9290" s="5" t="e">
        <f>(VLOOKUP(Table4[[#This Row],[item_sold]],Table1[],4,FALSE))*Table4[[#This Row],[qty]]</f>
        <v>#N/A</v>
      </c>
      <c r="G9290" t="e">
        <f t="shared" si="1570"/>
        <v>#N/A</v>
      </c>
    </row>
    <row r="9291" spans="1:7" x14ac:dyDescent="0.25">
      <c r="A9291" s="1">
        <f t="shared" si="1569"/>
        <v>45488</v>
      </c>
      <c r="B9291" s="36"/>
      <c r="E9291" s="5" t="e">
        <f>Table4[[#This Row],[qty]]*(VLOOKUP(Table4[[#This Row],[item_sold]],Table1[],5,FALSE))</f>
        <v>#N/A</v>
      </c>
      <c r="F9291" s="5" t="e">
        <f>(VLOOKUP(Table4[[#This Row],[item_sold]],Table1[],4,FALSE))*Table4[[#This Row],[qty]]</f>
        <v>#N/A</v>
      </c>
      <c r="G9291" t="e">
        <f t="shared" si="1570"/>
        <v>#N/A</v>
      </c>
    </row>
    <row r="9292" spans="1:7" x14ac:dyDescent="0.25">
      <c r="A9292" s="1">
        <f t="shared" si="1569"/>
        <v>45488</v>
      </c>
      <c r="B9292" s="36"/>
      <c r="E9292" s="5" t="e">
        <f>Table4[[#This Row],[qty]]*(VLOOKUP(Table4[[#This Row],[item_sold]],Table1[],5,FALSE))</f>
        <v>#N/A</v>
      </c>
      <c r="F9292" s="5" t="e">
        <f>(VLOOKUP(Table4[[#This Row],[item_sold]],Table1[],4,FALSE))*Table4[[#This Row],[qty]]</f>
        <v>#N/A</v>
      </c>
      <c r="G9292" t="e">
        <f t="shared" si="1570"/>
        <v>#N/A</v>
      </c>
    </row>
    <row r="9293" spans="1:7" x14ac:dyDescent="0.25">
      <c r="A9293" s="1">
        <f t="shared" si="1569"/>
        <v>45488</v>
      </c>
      <c r="B9293" s="36"/>
      <c r="E9293" s="5" t="e">
        <f>Table4[[#This Row],[qty]]*(VLOOKUP(Table4[[#This Row],[item_sold]],Table1[],5,FALSE))</f>
        <v>#N/A</v>
      </c>
      <c r="F9293" s="5" t="e">
        <f>(VLOOKUP(Table4[[#This Row],[item_sold]],Table1[],4,FALSE))*Table4[[#This Row],[qty]]</f>
        <v>#N/A</v>
      </c>
      <c r="G9293" t="e">
        <f t="shared" si="1570"/>
        <v>#N/A</v>
      </c>
    </row>
    <row r="9294" spans="1:7" x14ac:dyDescent="0.25">
      <c r="A9294" s="1">
        <f t="shared" si="1569"/>
        <v>45488</v>
      </c>
      <c r="B9294" s="36"/>
      <c r="E9294" s="5" t="e">
        <f>Table4[[#This Row],[qty]]*(VLOOKUP(Table4[[#This Row],[item_sold]],Table1[],5,FALSE))</f>
        <v>#N/A</v>
      </c>
      <c r="F9294" s="5" t="e">
        <f>(VLOOKUP(Table4[[#This Row],[item_sold]],Table1[],4,FALSE))*Table4[[#This Row],[qty]]</f>
        <v>#N/A</v>
      </c>
      <c r="G9294" t="e">
        <f t="shared" si="1570"/>
        <v>#N/A</v>
      </c>
    </row>
    <row r="9295" spans="1:7" x14ac:dyDescent="0.25">
      <c r="A9295" s="1">
        <f t="shared" si="1569"/>
        <v>45488</v>
      </c>
      <c r="B9295" s="36"/>
      <c r="E9295" s="5" t="e">
        <f>Table4[[#This Row],[qty]]*(VLOOKUP(Table4[[#This Row],[item_sold]],Table1[],5,FALSE))</f>
        <v>#N/A</v>
      </c>
      <c r="F9295" s="5" t="e">
        <f>(VLOOKUP(Table4[[#This Row],[item_sold]],Table1[],4,FALSE))*Table4[[#This Row],[qty]]</f>
        <v>#N/A</v>
      </c>
      <c r="G9295" t="e">
        <f t="shared" si="1570"/>
        <v>#N/A</v>
      </c>
    </row>
    <row r="9296" spans="1:7" x14ac:dyDescent="0.25">
      <c r="A9296" s="1">
        <f t="shared" si="1569"/>
        <v>45488</v>
      </c>
      <c r="B9296" s="36"/>
      <c r="E9296" s="5" t="e">
        <f>Table4[[#This Row],[qty]]*(VLOOKUP(Table4[[#This Row],[item_sold]],Table1[],5,FALSE))</f>
        <v>#N/A</v>
      </c>
      <c r="F9296" s="5" t="e">
        <f>(VLOOKUP(Table4[[#This Row],[item_sold]],Table1[],4,FALSE))*Table4[[#This Row],[qty]]</f>
        <v>#N/A</v>
      </c>
      <c r="G9296" t="e">
        <f t="shared" si="1570"/>
        <v>#N/A</v>
      </c>
    </row>
    <row r="9297" spans="1:7" x14ac:dyDescent="0.25">
      <c r="A9297" s="1">
        <f t="shared" si="1569"/>
        <v>45488</v>
      </c>
      <c r="B9297" s="36"/>
      <c r="E9297" s="5" t="e">
        <f>Table4[[#This Row],[qty]]*(VLOOKUP(Table4[[#This Row],[item_sold]],Table1[],5,FALSE))</f>
        <v>#N/A</v>
      </c>
      <c r="F9297" s="5" t="e">
        <f>(VLOOKUP(Table4[[#This Row],[item_sold]],Table1[],4,FALSE))*Table4[[#This Row],[qty]]</f>
        <v>#N/A</v>
      </c>
      <c r="G9297" t="e">
        <f t="shared" si="1570"/>
        <v>#N/A</v>
      </c>
    </row>
    <row r="9298" spans="1:7" x14ac:dyDescent="0.25">
      <c r="A9298" s="1">
        <f t="shared" si="1569"/>
        <v>45488</v>
      </c>
      <c r="B9298" s="36"/>
      <c r="E9298" s="5" t="e">
        <f>Table4[[#This Row],[qty]]*(VLOOKUP(Table4[[#This Row],[item_sold]],Table1[],5,FALSE))</f>
        <v>#N/A</v>
      </c>
      <c r="F9298" s="5" t="e">
        <f>(VLOOKUP(Table4[[#This Row],[item_sold]],Table1[],4,FALSE))*Table4[[#This Row],[qty]]</f>
        <v>#N/A</v>
      </c>
      <c r="G9298" t="e">
        <f t="shared" si="1570"/>
        <v>#N/A</v>
      </c>
    </row>
    <row r="9299" spans="1:7" x14ac:dyDescent="0.25">
      <c r="A9299" s="1">
        <f t="shared" si="1569"/>
        <v>45488</v>
      </c>
      <c r="B9299" s="36"/>
      <c r="E9299" s="5" t="e">
        <f>Table4[[#This Row],[qty]]*(VLOOKUP(Table4[[#This Row],[item_sold]],Table1[],5,FALSE))</f>
        <v>#N/A</v>
      </c>
      <c r="F9299" s="5" t="e">
        <f>(VLOOKUP(Table4[[#This Row],[item_sold]],Table1[],4,FALSE))*Table4[[#This Row],[qty]]</f>
        <v>#N/A</v>
      </c>
      <c r="G9299" t="e">
        <f t="shared" si="1570"/>
        <v>#N/A</v>
      </c>
    </row>
    <row r="9300" spans="1:7" x14ac:dyDescent="0.25">
      <c r="A9300" s="1">
        <f t="shared" ref="A9300:A9363" si="1571">DATE(2024,7,15)</f>
        <v>45488</v>
      </c>
      <c r="B9300" s="36"/>
      <c r="E9300" s="5" t="e">
        <f>Table4[[#This Row],[qty]]*(VLOOKUP(Table4[[#This Row],[item_sold]],Table1[],5,FALSE))</f>
        <v>#N/A</v>
      </c>
      <c r="F9300" s="5" t="e">
        <f>(VLOOKUP(Table4[[#This Row],[item_sold]],Table1[],4,FALSE))*Table4[[#This Row],[qty]]</f>
        <v>#N/A</v>
      </c>
      <c r="G9300" t="e">
        <f t="shared" ref="G9300:G9363" si="1572">E9300-F9300</f>
        <v>#N/A</v>
      </c>
    </row>
    <row r="9301" spans="1:7" x14ac:dyDescent="0.25">
      <c r="A9301" s="1">
        <f t="shared" si="1571"/>
        <v>45488</v>
      </c>
      <c r="B9301" s="36"/>
      <c r="E9301" s="5" t="e">
        <f>Table4[[#This Row],[qty]]*(VLOOKUP(Table4[[#This Row],[item_sold]],Table1[],5,FALSE))</f>
        <v>#N/A</v>
      </c>
      <c r="F9301" s="5" t="e">
        <f>(VLOOKUP(Table4[[#This Row],[item_sold]],Table1[],4,FALSE))*Table4[[#This Row],[qty]]</f>
        <v>#N/A</v>
      </c>
      <c r="G9301" t="e">
        <f t="shared" si="1572"/>
        <v>#N/A</v>
      </c>
    </row>
    <row r="9302" spans="1:7" x14ac:dyDescent="0.25">
      <c r="A9302" s="1">
        <f t="shared" si="1571"/>
        <v>45488</v>
      </c>
      <c r="B9302" s="36"/>
      <c r="E9302" s="5" t="e">
        <f>Table4[[#This Row],[qty]]*(VLOOKUP(Table4[[#This Row],[item_sold]],Table1[],5,FALSE))</f>
        <v>#N/A</v>
      </c>
      <c r="F9302" s="5" t="e">
        <f>(VLOOKUP(Table4[[#This Row],[item_sold]],Table1[],4,FALSE))*Table4[[#This Row],[qty]]</f>
        <v>#N/A</v>
      </c>
      <c r="G9302" t="e">
        <f t="shared" si="1572"/>
        <v>#N/A</v>
      </c>
    </row>
    <row r="9303" spans="1:7" x14ac:dyDescent="0.25">
      <c r="A9303" s="1">
        <f t="shared" si="1571"/>
        <v>45488</v>
      </c>
      <c r="B9303" s="36"/>
      <c r="E9303" s="5" t="e">
        <f>Table4[[#This Row],[qty]]*(VLOOKUP(Table4[[#This Row],[item_sold]],Table1[],5,FALSE))</f>
        <v>#N/A</v>
      </c>
      <c r="F9303" s="5" t="e">
        <f>(VLOOKUP(Table4[[#This Row],[item_sold]],Table1[],4,FALSE))*Table4[[#This Row],[qty]]</f>
        <v>#N/A</v>
      </c>
      <c r="G9303" t="e">
        <f t="shared" si="1572"/>
        <v>#N/A</v>
      </c>
    </row>
    <row r="9304" spans="1:7" x14ac:dyDescent="0.25">
      <c r="A9304" s="1">
        <f t="shared" si="1571"/>
        <v>45488</v>
      </c>
      <c r="B9304" s="36"/>
      <c r="E9304" s="5" t="e">
        <f>Table4[[#This Row],[qty]]*(VLOOKUP(Table4[[#This Row],[item_sold]],Table1[],5,FALSE))</f>
        <v>#N/A</v>
      </c>
      <c r="F9304" s="5" t="e">
        <f>(VLOOKUP(Table4[[#This Row],[item_sold]],Table1[],4,FALSE))*Table4[[#This Row],[qty]]</f>
        <v>#N/A</v>
      </c>
      <c r="G9304" t="e">
        <f t="shared" si="1572"/>
        <v>#N/A</v>
      </c>
    </row>
    <row r="9305" spans="1:7" x14ac:dyDescent="0.25">
      <c r="A9305" s="1">
        <f t="shared" si="1571"/>
        <v>45488</v>
      </c>
      <c r="B9305" s="36"/>
      <c r="E9305" s="5" t="e">
        <f>Table4[[#This Row],[qty]]*(VLOOKUP(Table4[[#This Row],[item_sold]],Table1[],5,FALSE))</f>
        <v>#N/A</v>
      </c>
      <c r="F9305" s="5" t="e">
        <f>(VLOOKUP(Table4[[#This Row],[item_sold]],Table1[],4,FALSE))*Table4[[#This Row],[qty]]</f>
        <v>#N/A</v>
      </c>
      <c r="G9305" t="e">
        <f t="shared" si="1572"/>
        <v>#N/A</v>
      </c>
    </row>
    <row r="9306" spans="1:7" x14ac:dyDescent="0.25">
      <c r="A9306" s="1">
        <f t="shared" si="1571"/>
        <v>45488</v>
      </c>
      <c r="B9306" s="36"/>
      <c r="E9306" s="5" t="e">
        <f>Table4[[#This Row],[qty]]*(VLOOKUP(Table4[[#This Row],[item_sold]],Table1[],5,FALSE))</f>
        <v>#N/A</v>
      </c>
      <c r="F9306" s="5" t="e">
        <f>(VLOOKUP(Table4[[#This Row],[item_sold]],Table1[],4,FALSE))*Table4[[#This Row],[qty]]</f>
        <v>#N/A</v>
      </c>
      <c r="G9306" t="e">
        <f t="shared" si="1572"/>
        <v>#N/A</v>
      </c>
    </row>
    <row r="9307" spans="1:7" x14ac:dyDescent="0.25">
      <c r="A9307" s="1">
        <f t="shared" si="1571"/>
        <v>45488</v>
      </c>
      <c r="B9307" s="36"/>
      <c r="E9307" s="5" t="e">
        <f>Table4[[#This Row],[qty]]*(VLOOKUP(Table4[[#This Row],[item_sold]],Table1[],5,FALSE))</f>
        <v>#N/A</v>
      </c>
      <c r="F9307" s="5" t="e">
        <f>(VLOOKUP(Table4[[#This Row],[item_sold]],Table1[],4,FALSE))*Table4[[#This Row],[qty]]</f>
        <v>#N/A</v>
      </c>
      <c r="G9307" t="e">
        <f t="shared" si="1572"/>
        <v>#N/A</v>
      </c>
    </row>
    <row r="9308" spans="1:7" x14ac:dyDescent="0.25">
      <c r="A9308" s="1">
        <f t="shared" si="1571"/>
        <v>45488</v>
      </c>
      <c r="B9308" s="36"/>
      <c r="E9308" s="5" t="e">
        <f>Table4[[#This Row],[qty]]*(VLOOKUP(Table4[[#This Row],[item_sold]],Table1[],5,FALSE))</f>
        <v>#N/A</v>
      </c>
      <c r="F9308" s="5" t="e">
        <f>(VLOOKUP(Table4[[#This Row],[item_sold]],Table1[],4,FALSE))*Table4[[#This Row],[qty]]</f>
        <v>#N/A</v>
      </c>
      <c r="G9308" t="e">
        <f t="shared" si="1572"/>
        <v>#N/A</v>
      </c>
    </row>
    <row r="9309" spans="1:7" x14ac:dyDescent="0.25">
      <c r="A9309" s="1">
        <f t="shared" si="1571"/>
        <v>45488</v>
      </c>
      <c r="B9309" s="36"/>
      <c r="E9309" s="5" t="e">
        <f>Table4[[#This Row],[qty]]*(VLOOKUP(Table4[[#This Row],[item_sold]],Table1[],5,FALSE))</f>
        <v>#N/A</v>
      </c>
      <c r="F9309" s="5" t="e">
        <f>(VLOOKUP(Table4[[#This Row],[item_sold]],Table1[],4,FALSE))*Table4[[#This Row],[qty]]</f>
        <v>#N/A</v>
      </c>
      <c r="G9309" t="e">
        <f t="shared" si="1572"/>
        <v>#N/A</v>
      </c>
    </row>
    <row r="9310" spans="1:7" x14ac:dyDescent="0.25">
      <c r="A9310" s="1">
        <f t="shared" si="1571"/>
        <v>45488</v>
      </c>
      <c r="B9310" s="36"/>
      <c r="E9310" s="5" t="e">
        <f>Table4[[#This Row],[qty]]*(VLOOKUP(Table4[[#This Row],[item_sold]],Table1[],5,FALSE))</f>
        <v>#N/A</v>
      </c>
      <c r="F9310" s="5" t="e">
        <f>(VLOOKUP(Table4[[#This Row],[item_sold]],Table1[],4,FALSE))*Table4[[#This Row],[qty]]</f>
        <v>#N/A</v>
      </c>
      <c r="G9310" t="e">
        <f t="shared" si="1572"/>
        <v>#N/A</v>
      </c>
    </row>
    <row r="9311" spans="1:7" x14ac:dyDescent="0.25">
      <c r="A9311" s="1">
        <f t="shared" si="1571"/>
        <v>45488</v>
      </c>
      <c r="B9311" s="36"/>
      <c r="E9311" s="5" t="e">
        <f>Table4[[#This Row],[qty]]*(VLOOKUP(Table4[[#This Row],[item_sold]],Table1[],5,FALSE))</f>
        <v>#N/A</v>
      </c>
      <c r="F9311" s="5" t="e">
        <f>(VLOOKUP(Table4[[#This Row],[item_sold]],Table1[],4,FALSE))*Table4[[#This Row],[qty]]</f>
        <v>#N/A</v>
      </c>
      <c r="G9311" t="e">
        <f t="shared" si="1572"/>
        <v>#N/A</v>
      </c>
    </row>
    <row r="9312" spans="1:7" x14ac:dyDescent="0.25">
      <c r="A9312" s="1">
        <f t="shared" si="1571"/>
        <v>45488</v>
      </c>
      <c r="B9312" s="36"/>
      <c r="E9312" s="5" t="e">
        <f>Table4[[#This Row],[qty]]*(VLOOKUP(Table4[[#This Row],[item_sold]],Table1[],5,FALSE))</f>
        <v>#N/A</v>
      </c>
      <c r="F9312" s="5" t="e">
        <f>(VLOOKUP(Table4[[#This Row],[item_sold]],Table1[],4,FALSE))*Table4[[#This Row],[qty]]</f>
        <v>#N/A</v>
      </c>
      <c r="G9312" t="e">
        <f t="shared" si="1572"/>
        <v>#N/A</v>
      </c>
    </row>
    <row r="9313" spans="1:7" x14ac:dyDescent="0.25">
      <c r="A9313" s="1">
        <f t="shared" si="1571"/>
        <v>45488</v>
      </c>
      <c r="B9313" s="36"/>
      <c r="E9313" s="5" t="e">
        <f>Table4[[#This Row],[qty]]*(VLOOKUP(Table4[[#This Row],[item_sold]],Table1[],5,FALSE))</f>
        <v>#N/A</v>
      </c>
      <c r="F9313" s="5" t="e">
        <f>(VLOOKUP(Table4[[#This Row],[item_sold]],Table1[],4,FALSE))*Table4[[#This Row],[qty]]</f>
        <v>#N/A</v>
      </c>
      <c r="G9313" t="e">
        <f t="shared" si="1572"/>
        <v>#N/A</v>
      </c>
    </row>
    <row r="9314" spans="1:7" x14ac:dyDescent="0.25">
      <c r="A9314" s="1">
        <f t="shared" si="1571"/>
        <v>45488</v>
      </c>
      <c r="B9314" s="36"/>
      <c r="E9314" s="5" t="e">
        <f>Table4[[#This Row],[qty]]*(VLOOKUP(Table4[[#This Row],[item_sold]],Table1[],5,FALSE))</f>
        <v>#N/A</v>
      </c>
      <c r="F9314" s="5" t="e">
        <f>(VLOOKUP(Table4[[#This Row],[item_sold]],Table1[],4,FALSE))*Table4[[#This Row],[qty]]</f>
        <v>#N/A</v>
      </c>
      <c r="G9314" t="e">
        <f t="shared" si="1572"/>
        <v>#N/A</v>
      </c>
    </row>
    <row r="9315" spans="1:7" x14ac:dyDescent="0.25">
      <c r="A9315" s="1">
        <f t="shared" si="1571"/>
        <v>45488</v>
      </c>
      <c r="B9315" s="36"/>
      <c r="E9315" s="5" t="e">
        <f>Table4[[#This Row],[qty]]*(VLOOKUP(Table4[[#This Row],[item_sold]],Table1[],5,FALSE))</f>
        <v>#N/A</v>
      </c>
      <c r="F9315" s="5" t="e">
        <f>(VLOOKUP(Table4[[#This Row],[item_sold]],Table1[],4,FALSE))*Table4[[#This Row],[qty]]</f>
        <v>#N/A</v>
      </c>
      <c r="G9315" t="e">
        <f t="shared" si="1572"/>
        <v>#N/A</v>
      </c>
    </row>
    <row r="9316" spans="1:7" x14ac:dyDescent="0.25">
      <c r="A9316" s="1">
        <f t="shared" si="1571"/>
        <v>45488</v>
      </c>
      <c r="B9316" s="36"/>
      <c r="E9316" s="5" t="e">
        <f>Table4[[#This Row],[qty]]*(VLOOKUP(Table4[[#This Row],[item_sold]],Table1[],5,FALSE))</f>
        <v>#N/A</v>
      </c>
      <c r="F9316" s="5" t="e">
        <f>(VLOOKUP(Table4[[#This Row],[item_sold]],Table1[],4,FALSE))*Table4[[#This Row],[qty]]</f>
        <v>#N/A</v>
      </c>
      <c r="G9316" t="e">
        <f t="shared" si="1572"/>
        <v>#N/A</v>
      </c>
    </row>
    <row r="9317" spans="1:7" x14ac:dyDescent="0.25">
      <c r="A9317" s="1">
        <f t="shared" si="1571"/>
        <v>45488</v>
      </c>
      <c r="B9317" s="36"/>
      <c r="E9317" s="5" t="e">
        <f>Table4[[#This Row],[qty]]*(VLOOKUP(Table4[[#This Row],[item_sold]],Table1[],5,FALSE))</f>
        <v>#N/A</v>
      </c>
      <c r="F9317" s="5" t="e">
        <f>(VLOOKUP(Table4[[#This Row],[item_sold]],Table1[],4,FALSE))*Table4[[#This Row],[qty]]</f>
        <v>#N/A</v>
      </c>
      <c r="G9317" t="e">
        <f t="shared" si="1572"/>
        <v>#N/A</v>
      </c>
    </row>
    <row r="9318" spans="1:7" x14ac:dyDescent="0.25">
      <c r="A9318" s="1">
        <f t="shared" si="1571"/>
        <v>45488</v>
      </c>
      <c r="B9318" s="36"/>
      <c r="E9318" s="5" t="e">
        <f>Table4[[#This Row],[qty]]*(VLOOKUP(Table4[[#This Row],[item_sold]],Table1[],5,FALSE))</f>
        <v>#N/A</v>
      </c>
      <c r="F9318" s="5" t="e">
        <f>(VLOOKUP(Table4[[#This Row],[item_sold]],Table1[],4,FALSE))*Table4[[#This Row],[qty]]</f>
        <v>#N/A</v>
      </c>
      <c r="G9318" t="e">
        <f t="shared" si="1572"/>
        <v>#N/A</v>
      </c>
    </row>
    <row r="9319" spans="1:7" x14ac:dyDescent="0.25">
      <c r="A9319" s="1">
        <f t="shared" si="1571"/>
        <v>45488</v>
      </c>
      <c r="B9319" s="36"/>
      <c r="E9319" s="5" t="e">
        <f>Table4[[#This Row],[qty]]*(VLOOKUP(Table4[[#This Row],[item_sold]],Table1[],5,FALSE))</f>
        <v>#N/A</v>
      </c>
      <c r="F9319" s="5" t="e">
        <f>(VLOOKUP(Table4[[#This Row],[item_sold]],Table1[],4,FALSE))*Table4[[#This Row],[qty]]</f>
        <v>#N/A</v>
      </c>
      <c r="G9319" t="e">
        <f t="shared" si="1572"/>
        <v>#N/A</v>
      </c>
    </row>
    <row r="9320" spans="1:7" x14ac:dyDescent="0.25">
      <c r="A9320" s="1">
        <f t="shared" si="1571"/>
        <v>45488</v>
      </c>
      <c r="B9320" s="36"/>
      <c r="E9320" s="5" t="e">
        <f>Table4[[#This Row],[qty]]*(VLOOKUP(Table4[[#This Row],[item_sold]],Table1[],5,FALSE))</f>
        <v>#N/A</v>
      </c>
      <c r="F9320" s="5" t="e">
        <f>(VLOOKUP(Table4[[#This Row],[item_sold]],Table1[],4,FALSE))*Table4[[#This Row],[qty]]</f>
        <v>#N/A</v>
      </c>
      <c r="G9320" t="e">
        <f t="shared" si="1572"/>
        <v>#N/A</v>
      </c>
    </row>
    <row r="9321" spans="1:7" x14ac:dyDescent="0.25">
      <c r="A9321" s="1">
        <f t="shared" si="1571"/>
        <v>45488</v>
      </c>
      <c r="B9321" s="36"/>
      <c r="E9321" s="5" t="e">
        <f>Table4[[#This Row],[qty]]*(VLOOKUP(Table4[[#This Row],[item_sold]],Table1[],5,FALSE))</f>
        <v>#N/A</v>
      </c>
      <c r="F9321" s="5" t="e">
        <f>(VLOOKUP(Table4[[#This Row],[item_sold]],Table1[],4,FALSE))*Table4[[#This Row],[qty]]</f>
        <v>#N/A</v>
      </c>
      <c r="G9321" t="e">
        <f t="shared" si="1572"/>
        <v>#N/A</v>
      </c>
    </row>
    <row r="9322" spans="1:7" x14ac:dyDescent="0.25">
      <c r="A9322" s="1">
        <f t="shared" si="1571"/>
        <v>45488</v>
      </c>
      <c r="B9322" s="36"/>
      <c r="E9322" s="5" t="e">
        <f>Table4[[#This Row],[qty]]*(VLOOKUP(Table4[[#This Row],[item_sold]],Table1[],5,FALSE))</f>
        <v>#N/A</v>
      </c>
      <c r="F9322" s="5" t="e">
        <f>(VLOOKUP(Table4[[#This Row],[item_sold]],Table1[],4,FALSE))*Table4[[#This Row],[qty]]</f>
        <v>#N/A</v>
      </c>
      <c r="G9322" t="e">
        <f t="shared" si="1572"/>
        <v>#N/A</v>
      </c>
    </row>
    <row r="9323" spans="1:7" x14ac:dyDescent="0.25">
      <c r="A9323" s="1">
        <f t="shared" si="1571"/>
        <v>45488</v>
      </c>
      <c r="B9323" s="36"/>
      <c r="E9323" s="5" t="e">
        <f>Table4[[#This Row],[qty]]*(VLOOKUP(Table4[[#This Row],[item_sold]],Table1[],5,FALSE))</f>
        <v>#N/A</v>
      </c>
      <c r="F9323" s="5" t="e">
        <f>(VLOOKUP(Table4[[#This Row],[item_sold]],Table1[],4,FALSE))*Table4[[#This Row],[qty]]</f>
        <v>#N/A</v>
      </c>
      <c r="G9323" t="e">
        <f t="shared" si="1572"/>
        <v>#N/A</v>
      </c>
    </row>
    <row r="9324" spans="1:7" x14ac:dyDescent="0.25">
      <c r="A9324" s="1">
        <f t="shared" si="1571"/>
        <v>45488</v>
      </c>
      <c r="B9324" s="36"/>
      <c r="E9324" s="5" t="e">
        <f>Table4[[#This Row],[qty]]*(VLOOKUP(Table4[[#This Row],[item_sold]],Table1[],5,FALSE))</f>
        <v>#N/A</v>
      </c>
      <c r="F9324" s="5" t="e">
        <f>(VLOOKUP(Table4[[#This Row],[item_sold]],Table1[],4,FALSE))*Table4[[#This Row],[qty]]</f>
        <v>#N/A</v>
      </c>
      <c r="G9324" t="e">
        <f t="shared" si="1572"/>
        <v>#N/A</v>
      </c>
    </row>
    <row r="9325" spans="1:7" x14ac:dyDescent="0.25">
      <c r="A9325" s="1">
        <f t="shared" si="1571"/>
        <v>45488</v>
      </c>
      <c r="B9325" s="36"/>
      <c r="E9325" s="5" t="e">
        <f>Table4[[#This Row],[qty]]*(VLOOKUP(Table4[[#This Row],[item_sold]],Table1[],5,FALSE))</f>
        <v>#N/A</v>
      </c>
      <c r="F9325" s="5" t="e">
        <f>(VLOOKUP(Table4[[#This Row],[item_sold]],Table1[],4,FALSE))*Table4[[#This Row],[qty]]</f>
        <v>#N/A</v>
      </c>
      <c r="G9325" t="e">
        <f t="shared" si="1572"/>
        <v>#N/A</v>
      </c>
    </row>
    <row r="9326" spans="1:7" x14ac:dyDescent="0.25">
      <c r="A9326" s="1">
        <f t="shared" si="1571"/>
        <v>45488</v>
      </c>
      <c r="B9326" s="36"/>
      <c r="E9326" s="5" t="e">
        <f>Table4[[#This Row],[qty]]*(VLOOKUP(Table4[[#This Row],[item_sold]],Table1[],5,FALSE))</f>
        <v>#N/A</v>
      </c>
      <c r="F9326" s="5" t="e">
        <f>(VLOOKUP(Table4[[#This Row],[item_sold]],Table1[],4,FALSE))*Table4[[#This Row],[qty]]</f>
        <v>#N/A</v>
      </c>
      <c r="G9326" t="e">
        <f t="shared" si="1572"/>
        <v>#N/A</v>
      </c>
    </row>
    <row r="9327" spans="1:7" x14ac:dyDescent="0.25">
      <c r="A9327" s="1">
        <f t="shared" si="1571"/>
        <v>45488</v>
      </c>
      <c r="B9327" s="36"/>
      <c r="E9327" s="5" t="e">
        <f>Table4[[#This Row],[qty]]*(VLOOKUP(Table4[[#This Row],[item_sold]],Table1[],5,FALSE))</f>
        <v>#N/A</v>
      </c>
      <c r="F9327" s="5" t="e">
        <f>(VLOOKUP(Table4[[#This Row],[item_sold]],Table1[],4,FALSE))*Table4[[#This Row],[qty]]</f>
        <v>#N/A</v>
      </c>
      <c r="G9327" t="e">
        <f t="shared" si="1572"/>
        <v>#N/A</v>
      </c>
    </row>
    <row r="9328" spans="1:7" x14ac:dyDescent="0.25">
      <c r="A9328" s="1">
        <f t="shared" si="1571"/>
        <v>45488</v>
      </c>
      <c r="B9328" s="36"/>
      <c r="E9328" s="5" t="e">
        <f>Table4[[#This Row],[qty]]*(VLOOKUP(Table4[[#This Row],[item_sold]],Table1[],5,FALSE))</f>
        <v>#N/A</v>
      </c>
      <c r="F9328" s="5" t="e">
        <f>(VLOOKUP(Table4[[#This Row],[item_sold]],Table1[],4,FALSE))*Table4[[#This Row],[qty]]</f>
        <v>#N/A</v>
      </c>
      <c r="G9328" t="e">
        <f t="shared" si="1572"/>
        <v>#N/A</v>
      </c>
    </row>
    <row r="9329" spans="1:7" x14ac:dyDescent="0.25">
      <c r="A9329" s="1">
        <f t="shared" si="1571"/>
        <v>45488</v>
      </c>
      <c r="B9329" s="36"/>
      <c r="E9329" s="5" t="e">
        <f>Table4[[#This Row],[qty]]*(VLOOKUP(Table4[[#This Row],[item_sold]],Table1[],5,FALSE))</f>
        <v>#N/A</v>
      </c>
      <c r="F9329" s="5" t="e">
        <f>(VLOOKUP(Table4[[#This Row],[item_sold]],Table1[],4,FALSE))*Table4[[#This Row],[qty]]</f>
        <v>#N/A</v>
      </c>
      <c r="G9329" t="e">
        <f t="shared" si="1572"/>
        <v>#N/A</v>
      </c>
    </row>
    <row r="9330" spans="1:7" x14ac:dyDescent="0.25">
      <c r="A9330" s="1">
        <f t="shared" si="1571"/>
        <v>45488</v>
      </c>
      <c r="B9330" s="36"/>
      <c r="E9330" s="5" t="e">
        <f>Table4[[#This Row],[qty]]*(VLOOKUP(Table4[[#This Row],[item_sold]],Table1[],5,FALSE))</f>
        <v>#N/A</v>
      </c>
      <c r="F9330" s="5" t="e">
        <f>(VLOOKUP(Table4[[#This Row],[item_sold]],Table1[],4,FALSE))*Table4[[#This Row],[qty]]</f>
        <v>#N/A</v>
      </c>
      <c r="G9330" t="e">
        <f t="shared" si="1572"/>
        <v>#N/A</v>
      </c>
    </row>
    <row r="9331" spans="1:7" x14ac:dyDescent="0.25">
      <c r="A9331" s="1">
        <f t="shared" si="1571"/>
        <v>45488</v>
      </c>
      <c r="B9331" s="36"/>
      <c r="E9331" s="5" t="e">
        <f>Table4[[#This Row],[qty]]*(VLOOKUP(Table4[[#This Row],[item_sold]],Table1[],5,FALSE))</f>
        <v>#N/A</v>
      </c>
      <c r="F9331" s="5" t="e">
        <f>(VLOOKUP(Table4[[#This Row],[item_sold]],Table1[],4,FALSE))*Table4[[#This Row],[qty]]</f>
        <v>#N/A</v>
      </c>
      <c r="G9331" t="e">
        <f t="shared" si="1572"/>
        <v>#N/A</v>
      </c>
    </row>
    <row r="9332" spans="1:7" x14ac:dyDescent="0.25">
      <c r="A9332" s="1">
        <f t="shared" si="1571"/>
        <v>45488</v>
      </c>
      <c r="B9332" s="36"/>
      <c r="E9332" s="5" t="e">
        <f>Table4[[#This Row],[qty]]*(VLOOKUP(Table4[[#This Row],[item_sold]],Table1[],5,FALSE))</f>
        <v>#N/A</v>
      </c>
      <c r="F9332" s="5" t="e">
        <f>(VLOOKUP(Table4[[#This Row],[item_sold]],Table1[],4,FALSE))*Table4[[#This Row],[qty]]</f>
        <v>#N/A</v>
      </c>
      <c r="G9332" t="e">
        <f t="shared" si="1572"/>
        <v>#N/A</v>
      </c>
    </row>
    <row r="9333" spans="1:7" x14ac:dyDescent="0.25">
      <c r="A9333" s="1">
        <f t="shared" si="1571"/>
        <v>45488</v>
      </c>
      <c r="B9333" s="36"/>
      <c r="E9333" s="5" t="e">
        <f>Table4[[#This Row],[qty]]*(VLOOKUP(Table4[[#This Row],[item_sold]],Table1[],5,FALSE))</f>
        <v>#N/A</v>
      </c>
      <c r="F9333" s="5" t="e">
        <f>(VLOOKUP(Table4[[#This Row],[item_sold]],Table1[],4,FALSE))*Table4[[#This Row],[qty]]</f>
        <v>#N/A</v>
      </c>
      <c r="G9333" t="e">
        <f t="shared" si="1572"/>
        <v>#N/A</v>
      </c>
    </row>
    <row r="9334" spans="1:7" x14ac:dyDescent="0.25">
      <c r="A9334" s="1">
        <f t="shared" si="1571"/>
        <v>45488</v>
      </c>
      <c r="B9334" s="36"/>
      <c r="E9334" s="5" t="e">
        <f>Table4[[#This Row],[qty]]*(VLOOKUP(Table4[[#This Row],[item_sold]],Table1[],5,FALSE))</f>
        <v>#N/A</v>
      </c>
      <c r="F9334" s="5" t="e">
        <f>(VLOOKUP(Table4[[#This Row],[item_sold]],Table1[],4,FALSE))*Table4[[#This Row],[qty]]</f>
        <v>#N/A</v>
      </c>
      <c r="G9334" t="e">
        <f t="shared" si="1572"/>
        <v>#N/A</v>
      </c>
    </row>
    <row r="9335" spans="1:7" x14ac:dyDescent="0.25">
      <c r="A9335" s="1">
        <f t="shared" si="1571"/>
        <v>45488</v>
      </c>
      <c r="B9335" s="36"/>
      <c r="E9335" s="5" t="e">
        <f>Table4[[#This Row],[qty]]*(VLOOKUP(Table4[[#This Row],[item_sold]],Table1[],5,FALSE))</f>
        <v>#N/A</v>
      </c>
      <c r="F9335" s="5" t="e">
        <f>(VLOOKUP(Table4[[#This Row],[item_sold]],Table1[],4,FALSE))*Table4[[#This Row],[qty]]</f>
        <v>#N/A</v>
      </c>
      <c r="G9335" t="e">
        <f t="shared" si="1572"/>
        <v>#N/A</v>
      </c>
    </row>
    <row r="9336" spans="1:7" x14ac:dyDescent="0.25">
      <c r="A9336" s="1">
        <f t="shared" si="1571"/>
        <v>45488</v>
      </c>
      <c r="B9336" s="36"/>
      <c r="E9336" s="5" t="e">
        <f>Table4[[#This Row],[qty]]*(VLOOKUP(Table4[[#This Row],[item_sold]],Table1[],5,FALSE))</f>
        <v>#N/A</v>
      </c>
      <c r="F9336" s="5" t="e">
        <f>(VLOOKUP(Table4[[#This Row],[item_sold]],Table1[],4,FALSE))*Table4[[#This Row],[qty]]</f>
        <v>#N/A</v>
      </c>
      <c r="G9336" t="e">
        <f t="shared" si="1572"/>
        <v>#N/A</v>
      </c>
    </row>
    <row r="9337" spans="1:7" x14ac:dyDescent="0.25">
      <c r="A9337" s="1">
        <f t="shared" si="1571"/>
        <v>45488</v>
      </c>
      <c r="B9337" s="36"/>
      <c r="E9337" s="5" t="e">
        <f>Table4[[#This Row],[qty]]*(VLOOKUP(Table4[[#This Row],[item_sold]],Table1[],5,FALSE))</f>
        <v>#N/A</v>
      </c>
      <c r="F9337" s="5" t="e">
        <f>(VLOOKUP(Table4[[#This Row],[item_sold]],Table1[],4,FALSE))*Table4[[#This Row],[qty]]</f>
        <v>#N/A</v>
      </c>
      <c r="G9337" t="e">
        <f t="shared" si="1572"/>
        <v>#N/A</v>
      </c>
    </row>
    <row r="9338" spans="1:7" x14ac:dyDescent="0.25">
      <c r="A9338" s="1">
        <f t="shared" si="1571"/>
        <v>45488</v>
      </c>
      <c r="B9338" s="36"/>
      <c r="E9338" s="5" t="e">
        <f>Table4[[#This Row],[qty]]*(VLOOKUP(Table4[[#This Row],[item_sold]],Table1[],5,FALSE))</f>
        <v>#N/A</v>
      </c>
      <c r="F9338" s="5" t="e">
        <f>(VLOOKUP(Table4[[#This Row],[item_sold]],Table1[],4,FALSE))*Table4[[#This Row],[qty]]</f>
        <v>#N/A</v>
      </c>
      <c r="G9338" t="e">
        <f t="shared" si="1572"/>
        <v>#N/A</v>
      </c>
    </row>
    <row r="9339" spans="1:7" x14ac:dyDescent="0.25">
      <c r="A9339" s="1">
        <f t="shared" si="1571"/>
        <v>45488</v>
      </c>
      <c r="B9339" s="36"/>
      <c r="E9339" s="5" t="e">
        <f>Table4[[#This Row],[qty]]*(VLOOKUP(Table4[[#This Row],[item_sold]],Table1[],5,FALSE))</f>
        <v>#N/A</v>
      </c>
      <c r="F9339" s="5" t="e">
        <f>(VLOOKUP(Table4[[#This Row],[item_sold]],Table1[],4,FALSE))*Table4[[#This Row],[qty]]</f>
        <v>#N/A</v>
      </c>
      <c r="G9339" t="e">
        <f t="shared" si="1572"/>
        <v>#N/A</v>
      </c>
    </row>
    <row r="9340" spans="1:7" x14ac:dyDescent="0.25">
      <c r="A9340" s="1">
        <f t="shared" si="1571"/>
        <v>45488</v>
      </c>
      <c r="B9340" s="36"/>
      <c r="E9340" s="5" t="e">
        <f>Table4[[#This Row],[qty]]*(VLOOKUP(Table4[[#This Row],[item_sold]],Table1[],5,FALSE))</f>
        <v>#N/A</v>
      </c>
      <c r="F9340" s="5" t="e">
        <f>(VLOOKUP(Table4[[#This Row],[item_sold]],Table1[],4,FALSE))*Table4[[#This Row],[qty]]</f>
        <v>#N/A</v>
      </c>
      <c r="G9340" t="e">
        <f t="shared" si="1572"/>
        <v>#N/A</v>
      </c>
    </row>
    <row r="9341" spans="1:7" x14ac:dyDescent="0.25">
      <c r="A9341" s="1">
        <f t="shared" si="1571"/>
        <v>45488</v>
      </c>
      <c r="B9341" s="36"/>
      <c r="E9341" s="5" t="e">
        <f>Table4[[#This Row],[qty]]*(VLOOKUP(Table4[[#This Row],[item_sold]],Table1[],5,FALSE))</f>
        <v>#N/A</v>
      </c>
      <c r="F9341" s="5" t="e">
        <f>(VLOOKUP(Table4[[#This Row],[item_sold]],Table1[],4,FALSE))*Table4[[#This Row],[qty]]</f>
        <v>#N/A</v>
      </c>
      <c r="G9341" t="e">
        <f t="shared" si="1572"/>
        <v>#N/A</v>
      </c>
    </row>
    <row r="9342" spans="1:7" x14ac:dyDescent="0.25">
      <c r="A9342" s="1">
        <f t="shared" si="1571"/>
        <v>45488</v>
      </c>
      <c r="B9342" s="36"/>
      <c r="E9342" s="5" t="e">
        <f>Table4[[#This Row],[qty]]*(VLOOKUP(Table4[[#This Row],[item_sold]],Table1[],5,FALSE))</f>
        <v>#N/A</v>
      </c>
      <c r="F9342" s="5" t="e">
        <f>(VLOOKUP(Table4[[#This Row],[item_sold]],Table1[],4,FALSE))*Table4[[#This Row],[qty]]</f>
        <v>#N/A</v>
      </c>
      <c r="G9342" t="e">
        <f t="shared" si="1572"/>
        <v>#N/A</v>
      </c>
    </row>
    <row r="9343" spans="1:7" x14ac:dyDescent="0.25">
      <c r="A9343" s="1">
        <f t="shared" si="1571"/>
        <v>45488</v>
      </c>
      <c r="B9343" s="36"/>
      <c r="E9343" s="5" t="e">
        <f>Table4[[#This Row],[qty]]*(VLOOKUP(Table4[[#This Row],[item_sold]],Table1[],5,FALSE))</f>
        <v>#N/A</v>
      </c>
      <c r="F9343" s="5" t="e">
        <f>(VLOOKUP(Table4[[#This Row],[item_sold]],Table1[],4,FALSE))*Table4[[#This Row],[qty]]</f>
        <v>#N/A</v>
      </c>
      <c r="G9343" t="e">
        <f t="shared" si="1572"/>
        <v>#N/A</v>
      </c>
    </row>
    <row r="9344" spans="1:7" x14ac:dyDescent="0.25">
      <c r="A9344" s="1">
        <f t="shared" si="1571"/>
        <v>45488</v>
      </c>
      <c r="B9344" s="36"/>
      <c r="E9344" s="5" t="e">
        <f>Table4[[#This Row],[qty]]*(VLOOKUP(Table4[[#This Row],[item_sold]],Table1[],5,FALSE))</f>
        <v>#N/A</v>
      </c>
      <c r="F9344" s="5" t="e">
        <f>(VLOOKUP(Table4[[#This Row],[item_sold]],Table1[],4,FALSE))*Table4[[#This Row],[qty]]</f>
        <v>#N/A</v>
      </c>
      <c r="G9344" t="e">
        <f t="shared" si="1572"/>
        <v>#N/A</v>
      </c>
    </row>
    <row r="9345" spans="1:7" x14ac:dyDescent="0.25">
      <c r="A9345" s="1">
        <f t="shared" si="1571"/>
        <v>45488</v>
      </c>
      <c r="B9345" s="36"/>
      <c r="E9345" s="5" t="e">
        <f>Table4[[#This Row],[qty]]*(VLOOKUP(Table4[[#This Row],[item_sold]],Table1[],5,FALSE))</f>
        <v>#N/A</v>
      </c>
      <c r="F9345" s="5" t="e">
        <f>(VLOOKUP(Table4[[#This Row],[item_sold]],Table1[],4,FALSE))*Table4[[#This Row],[qty]]</f>
        <v>#N/A</v>
      </c>
      <c r="G9345" t="e">
        <f t="shared" si="1572"/>
        <v>#N/A</v>
      </c>
    </row>
    <row r="9346" spans="1:7" x14ac:dyDescent="0.25">
      <c r="A9346" s="1">
        <f t="shared" si="1571"/>
        <v>45488</v>
      </c>
      <c r="B9346" s="36"/>
      <c r="E9346" s="5" t="e">
        <f>Table4[[#This Row],[qty]]*(VLOOKUP(Table4[[#This Row],[item_sold]],Table1[],5,FALSE))</f>
        <v>#N/A</v>
      </c>
      <c r="F9346" s="5" t="e">
        <f>(VLOOKUP(Table4[[#This Row],[item_sold]],Table1[],4,FALSE))*Table4[[#This Row],[qty]]</f>
        <v>#N/A</v>
      </c>
      <c r="G9346" t="e">
        <f t="shared" si="1572"/>
        <v>#N/A</v>
      </c>
    </row>
    <row r="9347" spans="1:7" x14ac:dyDescent="0.25">
      <c r="A9347" s="1">
        <f t="shared" si="1571"/>
        <v>45488</v>
      </c>
      <c r="B9347" s="36"/>
      <c r="E9347" s="5" t="e">
        <f>Table4[[#This Row],[qty]]*(VLOOKUP(Table4[[#This Row],[item_sold]],Table1[],5,FALSE))</f>
        <v>#N/A</v>
      </c>
      <c r="F9347" s="5" t="e">
        <f>(VLOOKUP(Table4[[#This Row],[item_sold]],Table1[],4,FALSE))*Table4[[#This Row],[qty]]</f>
        <v>#N/A</v>
      </c>
      <c r="G9347" t="e">
        <f t="shared" si="1572"/>
        <v>#N/A</v>
      </c>
    </row>
    <row r="9348" spans="1:7" x14ac:dyDescent="0.25">
      <c r="A9348" s="1">
        <f t="shared" si="1571"/>
        <v>45488</v>
      </c>
      <c r="B9348" s="36"/>
      <c r="E9348" s="5" t="e">
        <f>Table4[[#This Row],[qty]]*(VLOOKUP(Table4[[#This Row],[item_sold]],Table1[],5,FALSE))</f>
        <v>#N/A</v>
      </c>
      <c r="F9348" s="5" t="e">
        <f>(VLOOKUP(Table4[[#This Row],[item_sold]],Table1[],4,FALSE))*Table4[[#This Row],[qty]]</f>
        <v>#N/A</v>
      </c>
      <c r="G9348" t="e">
        <f t="shared" si="1572"/>
        <v>#N/A</v>
      </c>
    </row>
    <row r="9349" spans="1:7" x14ac:dyDescent="0.25">
      <c r="A9349" s="1">
        <f t="shared" si="1571"/>
        <v>45488</v>
      </c>
      <c r="B9349" s="36"/>
      <c r="E9349" s="5" t="e">
        <f>Table4[[#This Row],[qty]]*(VLOOKUP(Table4[[#This Row],[item_sold]],Table1[],5,FALSE))</f>
        <v>#N/A</v>
      </c>
      <c r="F9349" s="5" t="e">
        <f>(VLOOKUP(Table4[[#This Row],[item_sold]],Table1[],4,FALSE))*Table4[[#This Row],[qty]]</f>
        <v>#N/A</v>
      </c>
      <c r="G9349" t="e">
        <f t="shared" si="1572"/>
        <v>#N/A</v>
      </c>
    </row>
    <row r="9350" spans="1:7" x14ac:dyDescent="0.25">
      <c r="A9350" s="1">
        <f t="shared" si="1571"/>
        <v>45488</v>
      </c>
      <c r="B9350" s="36"/>
      <c r="E9350" s="5" t="e">
        <f>Table4[[#This Row],[qty]]*(VLOOKUP(Table4[[#This Row],[item_sold]],Table1[],5,FALSE))</f>
        <v>#N/A</v>
      </c>
      <c r="F9350" s="5" t="e">
        <f>(VLOOKUP(Table4[[#This Row],[item_sold]],Table1[],4,FALSE))*Table4[[#This Row],[qty]]</f>
        <v>#N/A</v>
      </c>
      <c r="G9350" t="e">
        <f t="shared" si="1572"/>
        <v>#N/A</v>
      </c>
    </row>
    <row r="9351" spans="1:7" x14ac:dyDescent="0.25">
      <c r="A9351" s="1">
        <f t="shared" si="1571"/>
        <v>45488</v>
      </c>
      <c r="B9351" s="36"/>
      <c r="E9351" s="5" t="e">
        <f>Table4[[#This Row],[qty]]*(VLOOKUP(Table4[[#This Row],[item_sold]],Table1[],5,FALSE))</f>
        <v>#N/A</v>
      </c>
      <c r="F9351" s="5" t="e">
        <f>(VLOOKUP(Table4[[#This Row],[item_sold]],Table1[],4,FALSE))*Table4[[#This Row],[qty]]</f>
        <v>#N/A</v>
      </c>
      <c r="G9351" t="e">
        <f t="shared" si="1572"/>
        <v>#N/A</v>
      </c>
    </row>
    <row r="9352" spans="1:7" x14ac:dyDescent="0.25">
      <c r="A9352" s="1">
        <f t="shared" si="1571"/>
        <v>45488</v>
      </c>
      <c r="B9352" s="36"/>
      <c r="E9352" s="5" t="e">
        <f>Table4[[#This Row],[qty]]*(VLOOKUP(Table4[[#This Row],[item_sold]],Table1[],5,FALSE))</f>
        <v>#N/A</v>
      </c>
      <c r="F9352" s="5" t="e">
        <f>(VLOOKUP(Table4[[#This Row],[item_sold]],Table1[],4,FALSE))*Table4[[#This Row],[qty]]</f>
        <v>#N/A</v>
      </c>
      <c r="G9352" t="e">
        <f t="shared" si="1572"/>
        <v>#N/A</v>
      </c>
    </row>
    <row r="9353" spans="1:7" x14ac:dyDescent="0.25">
      <c r="A9353" s="1">
        <f t="shared" si="1571"/>
        <v>45488</v>
      </c>
      <c r="B9353" s="36"/>
      <c r="E9353" s="5" t="e">
        <f>Table4[[#This Row],[qty]]*(VLOOKUP(Table4[[#This Row],[item_sold]],Table1[],5,FALSE))</f>
        <v>#N/A</v>
      </c>
      <c r="F9353" s="5" t="e">
        <f>(VLOOKUP(Table4[[#This Row],[item_sold]],Table1[],4,FALSE))*Table4[[#This Row],[qty]]</f>
        <v>#N/A</v>
      </c>
      <c r="G9353" t="e">
        <f t="shared" si="1572"/>
        <v>#N/A</v>
      </c>
    </row>
    <row r="9354" spans="1:7" x14ac:dyDescent="0.25">
      <c r="A9354" s="1">
        <f t="shared" si="1571"/>
        <v>45488</v>
      </c>
      <c r="B9354" s="36"/>
      <c r="E9354" s="5" t="e">
        <f>Table4[[#This Row],[qty]]*(VLOOKUP(Table4[[#This Row],[item_sold]],Table1[],5,FALSE))</f>
        <v>#N/A</v>
      </c>
      <c r="F9354" s="5" t="e">
        <f>(VLOOKUP(Table4[[#This Row],[item_sold]],Table1[],4,FALSE))*Table4[[#This Row],[qty]]</f>
        <v>#N/A</v>
      </c>
      <c r="G9354" t="e">
        <f t="shared" si="1572"/>
        <v>#N/A</v>
      </c>
    </row>
    <row r="9355" spans="1:7" x14ac:dyDescent="0.25">
      <c r="A9355" s="1">
        <f t="shared" si="1571"/>
        <v>45488</v>
      </c>
      <c r="B9355" s="36"/>
      <c r="E9355" s="5" t="e">
        <f>Table4[[#This Row],[qty]]*(VLOOKUP(Table4[[#This Row],[item_sold]],Table1[],5,FALSE))</f>
        <v>#N/A</v>
      </c>
      <c r="F9355" s="5" t="e">
        <f>(VLOOKUP(Table4[[#This Row],[item_sold]],Table1[],4,FALSE))*Table4[[#This Row],[qty]]</f>
        <v>#N/A</v>
      </c>
      <c r="G9355" t="e">
        <f t="shared" si="1572"/>
        <v>#N/A</v>
      </c>
    </row>
    <row r="9356" spans="1:7" x14ac:dyDescent="0.25">
      <c r="A9356" s="1">
        <f t="shared" si="1571"/>
        <v>45488</v>
      </c>
      <c r="B9356" s="36"/>
      <c r="E9356" s="5" t="e">
        <f>Table4[[#This Row],[qty]]*(VLOOKUP(Table4[[#This Row],[item_sold]],Table1[],5,FALSE))</f>
        <v>#N/A</v>
      </c>
      <c r="F9356" s="5" t="e">
        <f>(VLOOKUP(Table4[[#This Row],[item_sold]],Table1[],4,FALSE))*Table4[[#This Row],[qty]]</f>
        <v>#N/A</v>
      </c>
      <c r="G9356" t="e">
        <f t="shared" si="1572"/>
        <v>#N/A</v>
      </c>
    </row>
    <row r="9357" spans="1:7" x14ac:dyDescent="0.25">
      <c r="A9357" s="1">
        <f t="shared" si="1571"/>
        <v>45488</v>
      </c>
      <c r="B9357" s="36"/>
      <c r="E9357" s="5" t="e">
        <f>Table4[[#This Row],[qty]]*(VLOOKUP(Table4[[#This Row],[item_sold]],Table1[],5,FALSE))</f>
        <v>#N/A</v>
      </c>
      <c r="F9357" s="5" t="e">
        <f>(VLOOKUP(Table4[[#This Row],[item_sold]],Table1[],4,FALSE))*Table4[[#This Row],[qty]]</f>
        <v>#N/A</v>
      </c>
      <c r="G9357" t="e">
        <f t="shared" si="1572"/>
        <v>#N/A</v>
      </c>
    </row>
    <row r="9358" spans="1:7" x14ac:dyDescent="0.25">
      <c r="A9358" s="1">
        <f t="shared" si="1571"/>
        <v>45488</v>
      </c>
      <c r="B9358" s="36"/>
      <c r="E9358" s="5" t="e">
        <f>Table4[[#This Row],[qty]]*(VLOOKUP(Table4[[#This Row],[item_sold]],Table1[],5,FALSE))</f>
        <v>#N/A</v>
      </c>
      <c r="F9358" s="5" t="e">
        <f>(VLOOKUP(Table4[[#This Row],[item_sold]],Table1[],4,FALSE))*Table4[[#This Row],[qty]]</f>
        <v>#N/A</v>
      </c>
      <c r="G9358" t="e">
        <f t="shared" si="1572"/>
        <v>#N/A</v>
      </c>
    </row>
    <row r="9359" spans="1:7" x14ac:dyDescent="0.25">
      <c r="A9359" s="1">
        <f t="shared" si="1571"/>
        <v>45488</v>
      </c>
      <c r="B9359" s="36"/>
      <c r="E9359" s="5" t="e">
        <f>Table4[[#This Row],[qty]]*(VLOOKUP(Table4[[#This Row],[item_sold]],Table1[],5,FALSE))</f>
        <v>#N/A</v>
      </c>
      <c r="F9359" s="5" t="e">
        <f>(VLOOKUP(Table4[[#This Row],[item_sold]],Table1[],4,FALSE))*Table4[[#This Row],[qty]]</f>
        <v>#N/A</v>
      </c>
      <c r="G9359" t="e">
        <f t="shared" si="1572"/>
        <v>#N/A</v>
      </c>
    </row>
    <row r="9360" spans="1:7" x14ac:dyDescent="0.25">
      <c r="A9360" s="1">
        <f t="shared" si="1571"/>
        <v>45488</v>
      </c>
      <c r="B9360" s="36"/>
      <c r="E9360" s="5" t="e">
        <f>Table4[[#This Row],[qty]]*(VLOOKUP(Table4[[#This Row],[item_sold]],Table1[],5,FALSE))</f>
        <v>#N/A</v>
      </c>
      <c r="F9360" s="5" t="e">
        <f>(VLOOKUP(Table4[[#This Row],[item_sold]],Table1[],4,FALSE))*Table4[[#This Row],[qty]]</f>
        <v>#N/A</v>
      </c>
      <c r="G9360" t="e">
        <f t="shared" si="1572"/>
        <v>#N/A</v>
      </c>
    </row>
    <row r="9361" spans="1:7" x14ac:dyDescent="0.25">
      <c r="A9361" s="1">
        <f t="shared" si="1571"/>
        <v>45488</v>
      </c>
      <c r="B9361" s="36"/>
      <c r="E9361" s="5" t="e">
        <f>Table4[[#This Row],[qty]]*(VLOOKUP(Table4[[#This Row],[item_sold]],Table1[],5,FALSE))</f>
        <v>#N/A</v>
      </c>
      <c r="F9361" s="5" t="e">
        <f>(VLOOKUP(Table4[[#This Row],[item_sold]],Table1[],4,FALSE))*Table4[[#This Row],[qty]]</f>
        <v>#N/A</v>
      </c>
      <c r="G9361" t="e">
        <f t="shared" si="1572"/>
        <v>#N/A</v>
      </c>
    </row>
    <row r="9362" spans="1:7" x14ac:dyDescent="0.25">
      <c r="A9362" s="1">
        <f t="shared" si="1571"/>
        <v>45488</v>
      </c>
      <c r="B9362" s="36"/>
      <c r="E9362" s="5" t="e">
        <f>Table4[[#This Row],[qty]]*(VLOOKUP(Table4[[#This Row],[item_sold]],Table1[],5,FALSE))</f>
        <v>#N/A</v>
      </c>
      <c r="F9362" s="5" t="e">
        <f>(VLOOKUP(Table4[[#This Row],[item_sold]],Table1[],4,FALSE))*Table4[[#This Row],[qty]]</f>
        <v>#N/A</v>
      </c>
      <c r="G9362" t="e">
        <f t="shared" si="1572"/>
        <v>#N/A</v>
      </c>
    </row>
    <row r="9363" spans="1:7" x14ac:dyDescent="0.25">
      <c r="A9363" s="1">
        <f t="shared" si="1571"/>
        <v>45488</v>
      </c>
      <c r="B9363" s="36"/>
      <c r="E9363" s="5" t="e">
        <f>Table4[[#This Row],[qty]]*(VLOOKUP(Table4[[#This Row],[item_sold]],Table1[],5,FALSE))</f>
        <v>#N/A</v>
      </c>
      <c r="F9363" s="5" t="e">
        <f>(VLOOKUP(Table4[[#This Row],[item_sold]],Table1[],4,FALSE))*Table4[[#This Row],[qty]]</f>
        <v>#N/A</v>
      </c>
      <c r="G9363" t="e">
        <f t="shared" si="1572"/>
        <v>#N/A</v>
      </c>
    </row>
    <row r="9364" spans="1:7" x14ac:dyDescent="0.25">
      <c r="A9364" s="1">
        <f t="shared" ref="A9364:A9427" si="1573">DATE(2024,7,15)</f>
        <v>45488</v>
      </c>
      <c r="B9364" s="36"/>
      <c r="E9364" s="5" t="e">
        <f>Table4[[#This Row],[qty]]*(VLOOKUP(Table4[[#This Row],[item_sold]],Table1[],5,FALSE))</f>
        <v>#N/A</v>
      </c>
      <c r="F9364" s="5" t="e">
        <f>(VLOOKUP(Table4[[#This Row],[item_sold]],Table1[],4,FALSE))*Table4[[#This Row],[qty]]</f>
        <v>#N/A</v>
      </c>
      <c r="G9364" t="e">
        <f t="shared" ref="G9364:G9427" si="1574">E9364-F9364</f>
        <v>#N/A</v>
      </c>
    </row>
    <row r="9365" spans="1:7" x14ac:dyDescent="0.25">
      <c r="A9365" s="1">
        <f t="shared" si="1573"/>
        <v>45488</v>
      </c>
      <c r="B9365" s="36"/>
      <c r="E9365" s="5" t="e">
        <f>Table4[[#This Row],[qty]]*(VLOOKUP(Table4[[#This Row],[item_sold]],Table1[],5,FALSE))</f>
        <v>#N/A</v>
      </c>
      <c r="F9365" s="5" t="e">
        <f>(VLOOKUP(Table4[[#This Row],[item_sold]],Table1[],4,FALSE))*Table4[[#This Row],[qty]]</f>
        <v>#N/A</v>
      </c>
      <c r="G9365" t="e">
        <f t="shared" si="1574"/>
        <v>#N/A</v>
      </c>
    </row>
    <row r="9366" spans="1:7" x14ac:dyDescent="0.25">
      <c r="A9366" s="1">
        <f t="shared" si="1573"/>
        <v>45488</v>
      </c>
      <c r="B9366" s="36"/>
      <c r="E9366" s="5" t="e">
        <f>Table4[[#This Row],[qty]]*(VLOOKUP(Table4[[#This Row],[item_sold]],Table1[],5,FALSE))</f>
        <v>#N/A</v>
      </c>
      <c r="F9366" s="5" t="e">
        <f>(VLOOKUP(Table4[[#This Row],[item_sold]],Table1[],4,FALSE))*Table4[[#This Row],[qty]]</f>
        <v>#N/A</v>
      </c>
      <c r="G9366" t="e">
        <f t="shared" si="1574"/>
        <v>#N/A</v>
      </c>
    </row>
    <row r="9367" spans="1:7" x14ac:dyDescent="0.25">
      <c r="A9367" s="1">
        <f t="shared" si="1573"/>
        <v>45488</v>
      </c>
      <c r="B9367" s="36"/>
      <c r="E9367" s="5" t="e">
        <f>Table4[[#This Row],[qty]]*(VLOOKUP(Table4[[#This Row],[item_sold]],Table1[],5,FALSE))</f>
        <v>#N/A</v>
      </c>
      <c r="F9367" s="5" t="e">
        <f>(VLOOKUP(Table4[[#This Row],[item_sold]],Table1[],4,FALSE))*Table4[[#This Row],[qty]]</f>
        <v>#N/A</v>
      </c>
      <c r="G9367" t="e">
        <f t="shared" si="1574"/>
        <v>#N/A</v>
      </c>
    </row>
    <row r="9368" spans="1:7" x14ac:dyDescent="0.25">
      <c r="A9368" s="1">
        <f t="shared" si="1573"/>
        <v>45488</v>
      </c>
      <c r="B9368" s="36"/>
      <c r="E9368" s="5" t="e">
        <f>Table4[[#This Row],[qty]]*(VLOOKUP(Table4[[#This Row],[item_sold]],Table1[],5,FALSE))</f>
        <v>#N/A</v>
      </c>
      <c r="F9368" s="5" t="e">
        <f>(VLOOKUP(Table4[[#This Row],[item_sold]],Table1[],4,FALSE))*Table4[[#This Row],[qty]]</f>
        <v>#N/A</v>
      </c>
      <c r="G9368" t="e">
        <f t="shared" si="1574"/>
        <v>#N/A</v>
      </c>
    </row>
    <row r="9369" spans="1:7" x14ac:dyDescent="0.25">
      <c r="A9369" s="1">
        <f t="shared" si="1573"/>
        <v>45488</v>
      </c>
      <c r="B9369" s="36"/>
      <c r="E9369" s="5" t="e">
        <f>Table4[[#This Row],[qty]]*(VLOOKUP(Table4[[#This Row],[item_sold]],Table1[],5,FALSE))</f>
        <v>#N/A</v>
      </c>
      <c r="F9369" s="5" t="e">
        <f>(VLOOKUP(Table4[[#This Row],[item_sold]],Table1[],4,FALSE))*Table4[[#This Row],[qty]]</f>
        <v>#N/A</v>
      </c>
      <c r="G9369" t="e">
        <f t="shared" si="1574"/>
        <v>#N/A</v>
      </c>
    </row>
    <row r="9370" spans="1:7" x14ac:dyDescent="0.25">
      <c r="A9370" s="1">
        <f t="shared" si="1573"/>
        <v>45488</v>
      </c>
      <c r="B9370" s="36"/>
      <c r="E9370" s="5" t="e">
        <f>Table4[[#This Row],[qty]]*(VLOOKUP(Table4[[#This Row],[item_sold]],Table1[],5,FALSE))</f>
        <v>#N/A</v>
      </c>
      <c r="F9370" s="5" t="e">
        <f>(VLOOKUP(Table4[[#This Row],[item_sold]],Table1[],4,FALSE))*Table4[[#This Row],[qty]]</f>
        <v>#N/A</v>
      </c>
      <c r="G9370" t="e">
        <f t="shared" si="1574"/>
        <v>#N/A</v>
      </c>
    </row>
    <row r="9371" spans="1:7" x14ac:dyDescent="0.25">
      <c r="A9371" s="1">
        <f t="shared" si="1573"/>
        <v>45488</v>
      </c>
      <c r="B9371" s="36"/>
      <c r="E9371" s="5" t="e">
        <f>Table4[[#This Row],[qty]]*(VLOOKUP(Table4[[#This Row],[item_sold]],Table1[],5,FALSE))</f>
        <v>#N/A</v>
      </c>
      <c r="F9371" s="5" t="e">
        <f>(VLOOKUP(Table4[[#This Row],[item_sold]],Table1[],4,FALSE))*Table4[[#This Row],[qty]]</f>
        <v>#N/A</v>
      </c>
      <c r="G9371" t="e">
        <f t="shared" si="1574"/>
        <v>#N/A</v>
      </c>
    </row>
    <row r="9372" spans="1:7" x14ac:dyDescent="0.25">
      <c r="A9372" s="1">
        <f t="shared" si="1573"/>
        <v>45488</v>
      </c>
      <c r="B9372" s="36"/>
      <c r="E9372" s="5" t="e">
        <f>Table4[[#This Row],[qty]]*(VLOOKUP(Table4[[#This Row],[item_sold]],Table1[],5,FALSE))</f>
        <v>#N/A</v>
      </c>
      <c r="F9372" s="5" t="e">
        <f>(VLOOKUP(Table4[[#This Row],[item_sold]],Table1[],4,FALSE))*Table4[[#This Row],[qty]]</f>
        <v>#N/A</v>
      </c>
      <c r="G9372" t="e">
        <f t="shared" si="1574"/>
        <v>#N/A</v>
      </c>
    </row>
    <row r="9373" spans="1:7" x14ac:dyDescent="0.25">
      <c r="A9373" s="1">
        <f t="shared" si="1573"/>
        <v>45488</v>
      </c>
      <c r="B9373" s="36"/>
      <c r="E9373" s="5" t="e">
        <f>Table4[[#This Row],[qty]]*(VLOOKUP(Table4[[#This Row],[item_sold]],Table1[],5,FALSE))</f>
        <v>#N/A</v>
      </c>
      <c r="F9373" s="5" t="e">
        <f>(VLOOKUP(Table4[[#This Row],[item_sold]],Table1[],4,FALSE))*Table4[[#This Row],[qty]]</f>
        <v>#N/A</v>
      </c>
      <c r="G9373" t="e">
        <f t="shared" si="1574"/>
        <v>#N/A</v>
      </c>
    </row>
    <row r="9374" spans="1:7" x14ac:dyDescent="0.25">
      <c r="A9374" s="1">
        <f t="shared" si="1573"/>
        <v>45488</v>
      </c>
      <c r="B9374" s="36"/>
      <c r="E9374" s="5" t="e">
        <f>Table4[[#This Row],[qty]]*(VLOOKUP(Table4[[#This Row],[item_sold]],Table1[],5,FALSE))</f>
        <v>#N/A</v>
      </c>
      <c r="F9374" s="5" t="e">
        <f>(VLOOKUP(Table4[[#This Row],[item_sold]],Table1[],4,FALSE))*Table4[[#This Row],[qty]]</f>
        <v>#N/A</v>
      </c>
      <c r="G9374" t="e">
        <f t="shared" si="1574"/>
        <v>#N/A</v>
      </c>
    </row>
    <row r="9375" spans="1:7" x14ac:dyDescent="0.25">
      <c r="A9375" s="1">
        <f t="shared" si="1573"/>
        <v>45488</v>
      </c>
      <c r="B9375" s="36"/>
      <c r="E9375" s="5" t="e">
        <f>Table4[[#This Row],[qty]]*(VLOOKUP(Table4[[#This Row],[item_sold]],Table1[],5,FALSE))</f>
        <v>#N/A</v>
      </c>
      <c r="F9375" s="5" t="e">
        <f>(VLOOKUP(Table4[[#This Row],[item_sold]],Table1[],4,FALSE))*Table4[[#This Row],[qty]]</f>
        <v>#N/A</v>
      </c>
      <c r="G9375" t="e">
        <f t="shared" si="1574"/>
        <v>#N/A</v>
      </c>
    </row>
    <row r="9376" spans="1:7" x14ac:dyDescent="0.25">
      <c r="A9376" s="1">
        <f t="shared" si="1573"/>
        <v>45488</v>
      </c>
      <c r="B9376" s="36"/>
      <c r="E9376" s="5" t="e">
        <f>Table4[[#This Row],[qty]]*(VLOOKUP(Table4[[#This Row],[item_sold]],Table1[],5,FALSE))</f>
        <v>#N/A</v>
      </c>
      <c r="F9376" s="5" t="e">
        <f>(VLOOKUP(Table4[[#This Row],[item_sold]],Table1[],4,FALSE))*Table4[[#This Row],[qty]]</f>
        <v>#N/A</v>
      </c>
      <c r="G9376" t="e">
        <f t="shared" si="1574"/>
        <v>#N/A</v>
      </c>
    </row>
    <row r="9377" spans="1:7" x14ac:dyDescent="0.25">
      <c r="A9377" s="1">
        <f t="shared" si="1573"/>
        <v>45488</v>
      </c>
      <c r="B9377" s="36"/>
      <c r="E9377" s="5" t="e">
        <f>Table4[[#This Row],[qty]]*(VLOOKUP(Table4[[#This Row],[item_sold]],Table1[],5,FALSE))</f>
        <v>#N/A</v>
      </c>
      <c r="F9377" s="5" t="e">
        <f>(VLOOKUP(Table4[[#This Row],[item_sold]],Table1[],4,FALSE))*Table4[[#This Row],[qty]]</f>
        <v>#N/A</v>
      </c>
      <c r="G9377" t="e">
        <f t="shared" si="1574"/>
        <v>#N/A</v>
      </c>
    </row>
    <row r="9378" spans="1:7" x14ac:dyDescent="0.25">
      <c r="A9378" s="1">
        <f t="shared" si="1573"/>
        <v>45488</v>
      </c>
      <c r="B9378" s="36"/>
      <c r="E9378" s="5" t="e">
        <f>Table4[[#This Row],[qty]]*(VLOOKUP(Table4[[#This Row],[item_sold]],Table1[],5,FALSE))</f>
        <v>#N/A</v>
      </c>
      <c r="F9378" s="5" t="e">
        <f>(VLOOKUP(Table4[[#This Row],[item_sold]],Table1[],4,FALSE))*Table4[[#This Row],[qty]]</f>
        <v>#N/A</v>
      </c>
      <c r="G9378" t="e">
        <f t="shared" si="1574"/>
        <v>#N/A</v>
      </c>
    </row>
    <row r="9379" spans="1:7" x14ac:dyDescent="0.25">
      <c r="A9379" s="1">
        <f t="shared" si="1573"/>
        <v>45488</v>
      </c>
      <c r="B9379" s="36"/>
      <c r="E9379" s="5" t="e">
        <f>Table4[[#This Row],[qty]]*(VLOOKUP(Table4[[#This Row],[item_sold]],Table1[],5,FALSE))</f>
        <v>#N/A</v>
      </c>
      <c r="F9379" s="5" t="e">
        <f>(VLOOKUP(Table4[[#This Row],[item_sold]],Table1[],4,FALSE))*Table4[[#This Row],[qty]]</f>
        <v>#N/A</v>
      </c>
      <c r="G9379" t="e">
        <f t="shared" si="1574"/>
        <v>#N/A</v>
      </c>
    </row>
    <row r="9380" spans="1:7" x14ac:dyDescent="0.25">
      <c r="A9380" s="1">
        <f t="shared" si="1573"/>
        <v>45488</v>
      </c>
      <c r="B9380" s="36"/>
      <c r="E9380" s="5" t="e">
        <f>Table4[[#This Row],[qty]]*(VLOOKUP(Table4[[#This Row],[item_sold]],Table1[],5,FALSE))</f>
        <v>#N/A</v>
      </c>
      <c r="F9380" s="5" t="e">
        <f>(VLOOKUP(Table4[[#This Row],[item_sold]],Table1[],4,FALSE))*Table4[[#This Row],[qty]]</f>
        <v>#N/A</v>
      </c>
      <c r="G9380" t="e">
        <f t="shared" si="1574"/>
        <v>#N/A</v>
      </c>
    </row>
    <row r="9381" spans="1:7" x14ac:dyDescent="0.25">
      <c r="A9381" s="1">
        <f t="shared" si="1573"/>
        <v>45488</v>
      </c>
      <c r="B9381" s="36"/>
      <c r="E9381" s="5" t="e">
        <f>Table4[[#This Row],[qty]]*(VLOOKUP(Table4[[#This Row],[item_sold]],Table1[],5,FALSE))</f>
        <v>#N/A</v>
      </c>
      <c r="F9381" s="5" t="e">
        <f>(VLOOKUP(Table4[[#This Row],[item_sold]],Table1[],4,FALSE))*Table4[[#This Row],[qty]]</f>
        <v>#N/A</v>
      </c>
      <c r="G9381" t="e">
        <f t="shared" si="1574"/>
        <v>#N/A</v>
      </c>
    </row>
    <row r="9382" spans="1:7" x14ac:dyDescent="0.25">
      <c r="A9382" s="1">
        <f t="shared" si="1573"/>
        <v>45488</v>
      </c>
      <c r="B9382" s="36"/>
      <c r="E9382" s="5" t="e">
        <f>Table4[[#This Row],[qty]]*(VLOOKUP(Table4[[#This Row],[item_sold]],Table1[],5,FALSE))</f>
        <v>#N/A</v>
      </c>
      <c r="F9382" s="5" t="e">
        <f>(VLOOKUP(Table4[[#This Row],[item_sold]],Table1[],4,FALSE))*Table4[[#This Row],[qty]]</f>
        <v>#N/A</v>
      </c>
      <c r="G9382" t="e">
        <f t="shared" si="1574"/>
        <v>#N/A</v>
      </c>
    </row>
    <row r="9383" spans="1:7" x14ac:dyDescent="0.25">
      <c r="A9383" s="1">
        <f t="shared" si="1573"/>
        <v>45488</v>
      </c>
      <c r="B9383" s="36"/>
      <c r="E9383" s="5" t="e">
        <f>Table4[[#This Row],[qty]]*(VLOOKUP(Table4[[#This Row],[item_sold]],Table1[],5,FALSE))</f>
        <v>#N/A</v>
      </c>
      <c r="F9383" s="5" t="e">
        <f>(VLOOKUP(Table4[[#This Row],[item_sold]],Table1[],4,FALSE))*Table4[[#This Row],[qty]]</f>
        <v>#N/A</v>
      </c>
      <c r="G9383" t="e">
        <f t="shared" si="1574"/>
        <v>#N/A</v>
      </c>
    </row>
    <row r="9384" spans="1:7" x14ac:dyDescent="0.25">
      <c r="A9384" s="1">
        <f t="shared" si="1573"/>
        <v>45488</v>
      </c>
      <c r="B9384" s="36"/>
      <c r="E9384" s="5" t="e">
        <f>Table4[[#This Row],[qty]]*(VLOOKUP(Table4[[#This Row],[item_sold]],Table1[],5,FALSE))</f>
        <v>#N/A</v>
      </c>
      <c r="F9384" s="5" t="e">
        <f>(VLOOKUP(Table4[[#This Row],[item_sold]],Table1[],4,FALSE))*Table4[[#This Row],[qty]]</f>
        <v>#N/A</v>
      </c>
      <c r="G9384" t="e">
        <f t="shared" si="1574"/>
        <v>#N/A</v>
      </c>
    </row>
    <row r="9385" spans="1:7" x14ac:dyDescent="0.25">
      <c r="A9385" s="1">
        <f t="shared" si="1573"/>
        <v>45488</v>
      </c>
      <c r="B9385" s="36"/>
      <c r="E9385" s="5" t="e">
        <f>Table4[[#This Row],[qty]]*(VLOOKUP(Table4[[#This Row],[item_sold]],Table1[],5,FALSE))</f>
        <v>#N/A</v>
      </c>
      <c r="F9385" s="5" t="e">
        <f>(VLOOKUP(Table4[[#This Row],[item_sold]],Table1[],4,FALSE))*Table4[[#This Row],[qty]]</f>
        <v>#N/A</v>
      </c>
      <c r="G9385" t="e">
        <f t="shared" si="1574"/>
        <v>#N/A</v>
      </c>
    </row>
    <row r="9386" spans="1:7" x14ac:dyDescent="0.25">
      <c r="A9386" s="1">
        <f t="shared" si="1573"/>
        <v>45488</v>
      </c>
      <c r="B9386" s="36"/>
      <c r="E9386" s="5" t="e">
        <f>Table4[[#This Row],[qty]]*(VLOOKUP(Table4[[#This Row],[item_sold]],Table1[],5,FALSE))</f>
        <v>#N/A</v>
      </c>
      <c r="F9386" s="5" t="e">
        <f>(VLOOKUP(Table4[[#This Row],[item_sold]],Table1[],4,FALSE))*Table4[[#This Row],[qty]]</f>
        <v>#N/A</v>
      </c>
      <c r="G9386" t="e">
        <f t="shared" si="1574"/>
        <v>#N/A</v>
      </c>
    </row>
    <row r="9387" spans="1:7" x14ac:dyDescent="0.25">
      <c r="A9387" s="1">
        <f t="shared" si="1573"/>
        <v>45488</v>
      </c>
      <c r="B9387" s="36"/>
      <c r="E9387" s="5" t="e">
        <f>Table4[[#This Row],[qty]]*(VLOOKUP(Table4[[#This Row],[item_sold]],Table1[],5,FALSE))</f>
        <v>#N/A</v>
      </c>
      <c r="F9387" s="5" t="e">
        <f>(VLOOKUP(Table4[[#This Row],[item_sold]],Table1[],4,FALSE))*Table4[[#This Row],[qty]]</f>
        <v>#N/A</v>
      </c>
      <c r="G9387" t="e">
        <f t="shared" si="1574"/>
        <v>#N/A</v>
      </c>
    </row>
    <row r="9388" spans="1:7" x14ac:dyDescent="0.25">
      <c r="A9388" s="1">
        <f t="shared" si="1573"/>
        <v>45488</v>
      </c>
      <c r="B9388" s="36"/>
      <c r="E9388" s="5" t="e">
        <f>Table4[[#This Row],[qty]]*(VLOOKUP(Table4[[#This Row],[item_sold]],Table1[],5,FALSE))</f>
        <v>#N/A</v>
      </c>
      <c r="F9388" s="5" t="e">
        <f>(VLOOKUP(Table4[[#This Row],[item_sold]],Table1[],4,FALSE))*Table4[[#This Row],[qty]]</f>
        <v>#N/A</v>
      </c>
      <c r="G9388" t="e">
        <f t="shared" si="1574"/>
        <v>#N/A</v>
      </c>
    </row>
    <row r="9389" spans="1:7" x14ac:dyDescent="0.25">
      <c r="A9389" s="1">
        <f t="shared" si="1573"/>
        <v>45488</v>
      </c>
      <c r="B9389" s="36"/>
      <c r="E9389" s="5" t="e">
        <f>Table4[[#This Row],[qty]]*(VLOOKUP(Table4[[#This Row],[item_sold]],Table1[],5,FALSE))</f>
        <v>#N/A</v>
      </c>
      <c r="F9389" s="5" t="e">
        <f>(VLOOKUP(Table4[[#This Row],[item_sold]],Table1[],4,FALSE))*Table4[[#This Row],[qty]]</f>
        <v>#N/A</v>
      </c>
      <c r="G9389" t="e">
        <f t="shared" si="1574"/>
        <v>#N/A</v>
      </c>
    </row>
    <row r="9390" spans="1:7" x14ac:dyDescent="0.25">
      <c r="A9390" s="1">
        <f t="shared" si="1573"/>
        <v>45488</v>
      </c>
      <c r="B9390" s="36"/>
      <c r="E9390" s="5" t="e">
        <f>Table4[[#This Row],[qty]]*(VLOOKUP(Table4[[#This Row],[item_sold]],Table1[],5,FALSE))</f>
        <v>#N/A</v>
      </c>
      <c r="F9390" s="5" t="e">
        <f>(VLOOKUP(Table4[[#This Row],[item_sold]],Table1[],4,FALSE))*Table4[[#This Row],[qty]]</f>
        <v>#N/A</v>
      </c>
      <c r="G9390" t="e">
        <f t="shared" si="1574"/>
        <v>#N/A</v>
      </c>
    </row>
    <row r="9391" spans="1:7" x14ac:dyDescent="0.25">
      <c r="A9391" s="1">
        <f t="shared" si="1573"/>
        <v>45488</v>
      </c>
      <c r="B9391" s="36"/>
      <c r="E9391" s="5" t="e">
        <f>Table4[[#This Row],[qty]]*(VLOOKUP(Table4[[#This Row],[item_sold]],Table1[],5,FALSE))</f>
        <v>#N/A</v>
      </c>
      <c r="F9391" s="5" t="e">
        <f>(VLOOKUP(Table4[[#This Row],[item_sold]],Table1[],4,FALSE))*Table4[[#This Row],[qty]]</f>
        <v>#N/A</v>
      </c>
      <c r="G9391" t="e">
        <f t="shared" si="1574"/>
        <v>#N/A</v>
      </c>
    </row>
    <row r="9392" spans="1:7" x14ac:dyDescent="0.25">
      <c r="A9392" s="1">
        <f t="shared" si="1573"/>
        <v>45488</v>
      </c>
      <c r="B9392" s="36"/>
      <c r="E9392" s="5" t="e">
        <f>Table4[[#This Row],[qty]]*(VLOOKUP(Table4[[#This Row],[item_sold]],Table1[],5,FALSE))</f>
        <v>#N/A</v>
      </c>
      <c r="F9392" s="5" t="e">
        <f>(VLOOKUP(Table4[[#This Row],[item_sold]],Table1[],4,FALSE))*Table4[[#This Row],[qty]]</f>
        <v>#N/A</v>
      </c>
      <c r="G9392" t="e">
        <f t="shared" si="1574"/>
        <v>#N/A</v>
      </c>
    </row>
    <row r="9393" spans="1:7" x14ac:dyDescent="0.25">
      <c r="A9393" s="1">
        <f t="shared" si="1573"/>
        <v>45488</v>
      </c>
      <c r="B9393" s="36"/>
      <c r="E9393" s="5" t="e">
        <f>Table4[[#This Row],[qty]]*(VLOOKUP(Table4[[#This Row],[item_sold]],Table1[],5,FALSE))</f>
        <v>#N/A</v>
      </c>
      <c r="F9393" s="5" t="e">
        <f>(VLOOKUP(Table4[[#This Row],[item_sold]],Table1[],4,FALSE))*Table4[[#This Row],[qty]]</f>
        <v>#N/A</v>
      </c>
      <c r="G9393" t="e">
        <f t="shared" si="1574"/>
        <v>#N/A</v>
      </c>
    </row>
    <row r="9394" spans="1:7" x14ac:dyDescent="0.25">
      <c r="A9394" s="1">
        <f t="shared" si="1573"/>
        <v>45488</v>
      </c>
      <c r="B9394" s="36"/>
      <c r="E9394" s="5" t="e">
        <f>Table4[[#This Row],[qty]]*(VLOOKUP(Table4[[#This Row],[item_sold]],Table1[],5,FALSE))</f>
        <v>#N/A</v>
      </c>
      <c r="F9394" s="5" t="e">
        <f>(VLOOKUP(Table4[[#This Row],[item_sold]],Table1[],4,FALSE))*Table4[[#This Row],[qty]]</f>
        <v>#N/A</v>
      </c>
      <c r="G9394" t="e">
        <f t="shared" si="1574"/>
        <v>#N/A</v>
      </c>
    </row>
    <row r="9395" spans="1:7" x14ac:dyDescent="0.25">
      <c r="A9395" s="1">
        <f t="shared" si="1573"/>
        <v>45488</v>
      </c>
      <c r="B9395" s="36"/>
      <c r="E9395" s="5" t="e">
        <f>Table4[[#This Row],[qty]]*(VLOOKUP(Table4[[#This Row],[item_sold]],Table1[],5,FALSE))</f>
        <v>#N/A</v>
      </c>
      <c r="F9395" s="5" t="e">
        <f>(VLOOKUP(Table4[[#This Row],[item_sold]],Table1[],4,FALSE))*Table4[[#This Row],[qty]]</f>
        <v>#N/A</v>
      </c>
      <c r="G9395" t="e">
        <f t="shared" si="1574"/>
        <v>#N/A</v>
      </c>
    </row>
    <row r="9396" spans="1:7" x14ac:dyDescent="0.25">
      <c r="A9396" s="1">
        <f t="shared" si="1573"/>
        <v>45488</v>
      </c>
      <c r="B9396" s="36"/>
      <c r="E9396" s="5" t="e">
        <f>Table4[[#This Row],[qty]]*(VLOOKUP(Table4[[#This Row],[item_sold]],Table1[],5,FALSE))</f>
        <v>#N/A</v>
      </c>
      <c r="F9396" s="5" t="e">
        <f>(VLOOKUP(Table4[[#This Row],[item_sold]],Table1[],4,FALSE))*Table4[[#This Row],[qty]]</f>
        <v>#N/A</v>
      </c>
      <c r="G9396" t="e">
        <f t="shared" si="1574"/>
        <v>#N/A</v>
      </c>
    </row>
    <row r="9397" spans="1:7" x14ac:dyDescent="0.25">
      <c r="A9397" s="1">
        <f t="shared" si="1573"/>
        <v>45488</v>
      </c>
      <c r="B9397" s="36"/>
      <c r="E9397" s="5" t="e">
        <f>Table4[[#This Row],[qty]]*(VLOOKUP(Table4[[#This Row],[item_sold]],Table1[],5,FALSE))</f>
        <v>#N/A</v>
      </c>
      <c r="F9397" s="5" t="e">
        <f>(VLOOKUP(Table4[[#This Row],[item_sold]],Table1[],4,FALSE))*Table4[[#This Row],[qty]]</f>
        <v>#N/A</v>
      </c>
      <c r="G9397" t="e">
        <f t="shared" si="1574"/>
        <v>#N/A</v>
      </c>
    </row>
    <row r="9398" spans="1:7" x14ac:dyDescent="0.25">
      <c r="A9398" s="1">
        <f t="shared" si="1573"/>
        <v>45488</v>
      </c>
      <c r="B9398" s="36"/>
      <c r="E9398" s="5" t="e">
        <f>Table4[[#This Row],[qty]]*(VLOOKUP(Table4[[#This Row],[item_sold]],Table1[],5,FALSE))</f>
        <v>#N/A</v>
      </c>
      <c r="F9398" s="5" t="e">
        <f>(VLOOKUP(Table4[[#This Row],[item_sold]],Table1[],4,FALSE))*Table4[[#This Row],[qty]]</f>
        <v>#N/A</v>
      </c>
      <c r="G9398" t="e">
        <f t="shared" si="1574"/>
        <v>#N/A</v>
      </c>
    </row>
    <row r="9399" spans="1:7" x14ac:dyDescent="0.25">
      <c r="A9399" s="1">
        <f t="shared" si="1573"/>
        <v>45488</v>
      </c>
      <c r="B9399" s="36"/>
      <c r="E9399" s="5" t="e">
        <f>Table4[[#This Row],[qty]]*(VLOOKUP(Table4[[#This Row],[item_sold]],Table1[],5,FALSE))</f>
        <v>#N/A</v>
      </c>
      <c r="F9399" s="5" t="e">
        <f>(VLOOKUP(Table4[[#This Row],[item_sold]],Table1[],4,FALSE))*Table4[[#This Row],[qty]]</f>
        <v>#N/A</v>
      </c>
      <c r="G9399" t="e">
        <f t="shared" si="1574"/>
        <v>#N/A</v>
      </c>
    </row>
    <row r="9400" spans="1:7" x14ac:dyDescent="0.25">
      <c r="A9400" s="1">
        <f t="shared" si="1573"/>
        <v>45488</v>
      </c>
      <c r="B9400" s="36"/>
      <c r="E9400" s="5" t="e">
        <f>Table4[[#This Row],[qty]]*(VLOOKUP(Table4[[#This Row],[item_sold]],Table1[],5,FALSE))</f>
        <v>#N/A</v>
      </c>
      <c r="F9400" s="5" t="e">
        <f>(VLOOKUP(Table4[[#This Row],[item_sold]],Table1[],4,FALSE))*Table4[[#This Row],[qty]]</f>
        <v>#N/A</v>
      </c>
      <c r="G9400" t="e">
        <f t="shared" si="1574"/>
        <v>#N/A</v>
      </c>
    </row>
    <row r="9401" spans="1:7" x14ac:dyDescent="0.25">
      <c r="A9401" s="1">
        <f t="shared" si="1573"/>
        <v>45488</v>
      </c>
      <c r="B9401" s="36"/>
      <c r="E9401" s="5" t="e">
        <f>Table4[[#This Row],[qty]]*(VLOOKUP(Table4[[#This Row],[item_sold]],Table1[],5,FALSE))</f>
        <v>#N/A</v>
      </c>
      <c r="F9401" s="5" t="e">
        <f>(VLOOKUP(Table4[[#This Row],[item_sold]],Table1[],4,FALSE))*Table4[[#This Row],[qty]]</f>
        <v>#N/A</v>
      </c>
      <c r="G9401" t="e">
        <f t="shared" si="1574"/>
        <v>#N/A</v>
      </c>
    </row>
    <row r="9402" spans="1:7" x14ac:dyDescent="0.25">
      <c r="A9402" s="1">
        <f t="shared" si="1573"/>
        <v>45488</v>
      </c>
      <c r="B9402" s="36"/>
      <c r="E9402" s="5" t="e">
        <f>Table4[[#This Row],[qty]]*(VLOOKUP(Table4[[#This Row],[item_sold]],Table1[],5,FALSE))</f>
        <v>#N/A</v>
      </c>
      <c r="F9402" s="5" t="e">
        <f>(VLOOKUP(Table4[[#This Row],[item_sold]],Table1[],4,FALSE))*Table4[[#This Row],[qty]]</f>
        <v>#N/A</v>
      </c>
      <c r="G9402" t="e">
        <f t="shared" si="1574"/>
        <v>#N/A</v>
      </c>
    </row>
    <row r="9403" spans="1:7" x14ac:dyDescent="0.25">
      <c r="A9403" s="1">
        <f t="shared" si="1573"/>
        <v>45488</v>
      </c>
      <c r="B9403" s="36"/>
      <c r="E9403" s="5" t="e">
        <f>Table4[[#This Row],[qty]]*(VLOOKUP(Table4[[#This Row],[item_sold]],Table1[],5,FALSE))</f>
        <v>#N/A</v>
      </c>
      <c r="F9403" s="5" t="e">
        <f>(VLOOKUP(Table4[[#This Row],[item_sold]],Table1[],4,FALSE))*Table4[[#This Row],[qty]]</f>
        <v>#N/A</v>
      </c>
      <c r="G9403" t="e">
        <f t="shared" si="1574"/>
        <v>#N/A</v>
      </c>
    </row>
    <row r="9404" spans="1:7" x14ac:dyDescent="0.25">
      <c r="A9404" s="1">
        <f t="shared" si="1573"/>
        <v>45488</v>
      </c>
      <c r="B9404" s="36"/>
      <c r="E9404" s="5" t="e">
        <f>Table4[[#This Row],[qty]]*(VLOOKUP(Table4[[#This Row],[item_sold]],Table1[],5,FALSE))</f>
        <v>#N/A</v>
      </c>
      <c r="F9404" s="5" t="e">
        <f>(VLOOKUP(Table4[[#This Row],[item_sold]],Table1[],4,FALSE))*Table4[[#This Row],[qty]]</f>
        <v>#N/A</v>
      </c>
      <c r="G9404" t="e">
        <f t="shared" si="1574"/>
        <v>#N/A</v>
      </c>
    </row>
    <row r="9405" spans="1:7" x14ac:dyDescent="0.25">
      <c r="A9405" s="1">
        <f t="shared" si="1573"/>
        <v>45488</v>
      </c>
      <c r="B9405" s="36"/>
      <c r="E9405" s="5" t="e">
        <f>Table4[[#This Row],[qty]]*(VLOOKUP(Table4[[#This Row],[item_sold]],Table1[],5,FALSE))</f>
        <v>#N/A</v>
      </c>
      <c r="F9405" s="5" t="e">
        <f>(VLOOKUP(Table4[[#This Row],[item_sold]],Table1[],4,FALSE))*Table4[[#This Row],[qty]]</f>
        <v>#N/A</v>
      </c>
      <c r="G9405" t="e">
        <f t="shared" si="1574"/>
        <v>#N/A</v>
      </c>
    </row>
    <row r="9406" spans="1:7" x14ac:dyDescent="0.25">
      <c r="A9406" s="1">
        <f t="shared" si="1573"/>
        <v>45488</v>
      </c>
      <c r="B9406" s="36"/>
      <c r="E9406" s="5" t="e">
        <f>Table4[[#This Row],[qty]]*(VLOOKUP(Table4[[#This Row],[item_sold]],Table1[],5,FALSE))</f>
        <v>#N/A</v>
      </c>
      <c r="F9406" s="5" t="e">
        <f>(VLOOKUP(Table4[[#This Row],[item_sold]],Table1[],4,FALSE))*Table4[[#This Row],[qty]]</f>
        <v>#N/A</v>
      </c>
      <c r="G9406" t="e">
        <f t="shared" si="1574"/>
        <v>#N/A</v>
      </c>
    </row>
    <row r="9407" spans="1:7" x14ac:dyDescent="0.25">
      <c r="A9407" s="1">
        <f t="shared" si="1573"/>
        <v>45488</v>
      </c>
      <c r="B9407" s="36"/>
      <c r="E9407" s="5" t="e">
        <f>Table4[[#This Row],[qty]]*(VLOOKUP(Table4[[#This Row],[item_sold]],Table1[],5,FALSE))</f>
        <v>#N/A</v>
      </c>
      <c r="F9407" s="5" t="e">
        <f>(VLOOKUP(Table4[[#This Row],[item_sold]],Table1[],4,FALSE))*Table4[[#This Row],[qty]]</f>
        <v>#N/A</v>
      </c>
      <c r="G9407" t="e">
        <f t="shared" si="1574"/>
        <v>#N/A</v>
      </c>
    </row>
    <row r="9408" spans="1:7" x14ac:dyDescent="0.25">
      <c r="A9408" s="1">
        <f t="shared" si="1573"/>
        <v>45488</v>
      </c>
      <c r="B9408" s="36"/>
      <c r="E9408" s="5" t="e">
        <f>Table4[[#This Row],[qty]]*(VLOOKUP(Table4[[#This Row],[item_sold]],Table1[],5,FALSE))</f>
        <v>#N/A</v>
      </c>
      <c r="F9408" s="5" t="e">
        <f>(VLOOKUP(Table4[[#This Row],[item_sold]],Table1[],4,FALSE))*Table4[[#This Row],[qty]]</f>
        <v>#N/A</v>
      </c>
      <c r="G9408" t="e">
        <f t="shared" si="1574"/>
        <v>#N/A</v>
      </c>
    </row>
    <row r="9409" spans="1:7" x14ac:dyDescent="0.25">
      <c r="A9409" s="1">
        <f t="shared" si="1573"/>
        <v>45488</v>
      </c>
      <c r="B9409" s="36"/>
      <c r="E9409" s="5" t="e">
        <f>Table4[[#This Row],[qty]]*(VLOOKUP(Table4[[#This Row],[item_sold]],Table1[],5,FALSE))</f>
        <v>#N/A</v>
      </c>
      <c r="F9409" s="5" t="e">
        <f>(VLOOKUP(Table4[[#This Row],[item_sold]],Table1[],4,FALSE))*Table4[[#This Row],[qty]]</f>
        <v>#N/A</v>
      </c>
      <c r="G9409" t="e">
        <f t="shared" si="1574"/>
        <v>#N/A</v>
      </c>
    </row>
    <row r="9410" spans="1:7" x14ac:dyDescent="0.25">
      <c r="A9410" s="1">
        <f t="shared" si="1573"/>
        <v>45488</v>
      </c>
      <c r="B9410" s="36"/>
      <c r="E9410" s="5" t="e">
        <f>Table4[[#This Row],[qty]]*(VLOOKUP(Table4[[#This Row],[item_sold]],Table1[],5,FALSE))</f>
        <v>#N/A</v>
      </c>
      <c r="F9410" s="5" t="e">
        <f>(VLOOKUP(Table4[[#This Row],[item_sold]],Table1[],4,FALSE))*Table4[[#This Row],[qty]]</f>
        <v>#N/A</v>
      </c>
      <c r="G9410" t="e">
        <f t="shared" si="1574"/>
        <v>#N/A</v>
      </c>
    </row>
    <row r="9411" spans="1:7" x14ac:dyDescent="0.25">
      <c r="A9411" s="1">
        <f t="shared" si="1573"/>
        <v>45488</v>
      </c>
      <c r="B9411" s="36"/>
      <c r="E9411" s="5" t="e">
        <f>Table4[[#This Row],[qty]]*(VLOOKUP(Table4[[#This Row],[item_sold]],Table1[],5,FALSE))</f>
        <v>#N/A</v>
      </c>
      <c r="F9411" s="5" t="e">
        <f>(VLOOKUP(Table4[[#This Row],[item_sold]],Table1[],4,FALSE))*Table4[[#This Row],[qty]]</f>
        <v>#N/A</v>
      </c>
      <c r="G9411" t="e">
        <f t="shared" si="1574"/>
        <v>#N/A</v>
      </c>
    </row>
    <row r="9412" spans="1:7" x14ac:dyDescent="0.25">
      <c r="A9412" s="1">
        <f t="shared" si="1573"/>
        <v>45488</v>
      </c>
      <c r="B9412" s="36"/>
      <c r="E9412" s="5" t="e">
        <f>Table4[[#This Row],[qty]]*(VLOOKUP(Table4[[#This Row],[item_sold]],Table1[],5,FALSE))</f>
        <v>#N/A</v>
      </c>
      <c r="F9412" s="5" t="e">
        <f>(VLOOKUP(Table4[[#This Row],[item_sold]],Table1[],4,FALSE))*Table4[[#This Row],[qty]]</f>
        <v>#N/A</v>
      </c>
      <c r="G9412" t="e">
        <f t="shared" si="1574"/>
        <v>#N/A</v>
      </c>
    </row>
    <row r="9413" spans="1:7" x14ac:dyDescent="0.25">
      <c r="A9413" s="1">
        <f t="shared" si="1573"/>
        <v>45488</v>
      </c>
      <c r="B9413" s="36"/>
      <c r="E9413" s="5" t="e">
        <f>Table4[[#This Row],[qty]]*(VLOOKUP(Table4[[#This Row],[item_sold]],Table1[],5,FALSE))</f>
        <v>#N/A</v>
      </c>
      <c r="F9413" s="5" t="e">
        <f>(VLOOKUP(Table4[[#This Row],[item_sold]],Table1[],4,FALSE))*Table4[[#This Row],[qty]]</f>
        <v>#N/A</v>
      </c>
      <c r="G9413" t="e">
        <f t="shared" si="1574"/>
        <v>#N/A</v>
      </c>
    </row>
    <row r="9414" spans="1:7" x14ac:dyDescent="0.25">
      <c r="A9414" s="1">
        <f t="shared" si="1573"/>
        <v>45488</v>
      </c>
      <c r="B9414" s="36"/>
      <c r="E9414" s="5" t="e">
        <f>Table4[[#This Row],[qty]]*(VLOOKUP(Table4[[#This Row],[item_sold]],Table1[],5,FALSE))</f>
        <v>#N/A</v>
      </c>
      <c r="F9414" s="5" t="e">
        <f>(VLOOKUP(Table4[[#This Row],[item_sold]],Table1[],4,FALSE))*Table4[[#This Row],[qty]]</f>
        <v>#N/A</v>
      </c>
      <c r="G9414" t="e">
        <f t="shared" si="1574"/>
        <v>#N/A</v>
      </c>
    </row>
    <row r="9415" spans="1:7" x14ac:dyDescent="0.25">
      <c r="A9415" s="1">
        <f t="shared" si="1573"/>
        <v>45488</v>
      </c>
      <c r="B9415" s="36"/>
      <c r="E9415" s="5" t="e">
        <f>Table4[[#This Row],[qty]]*(VLOOKUP(Table4[[#This Row],[item_sold]],Table1[],5,FALSE))</f>
        <v>#N/A</v>
      </c>
      <c r="F9415" s="5" t="e">
        <f>(VLOOKUP(Table4[[#This Row],[item_sold]],Table1[],4,FALSE))*Table4[[#This Row],[qty]]</f>
        <v>#N/A</v>
      </c>
      <c r="G9415" t="e">
        <f t="shared" si="1574"/>
        <v>#N/A</v>
      </c>
    </row>
    <row r="9416" spans="1:7" x14ac:dyDescent="0.25">
      <c r="A9416" s="1">
        <f t="shared" si="1573"/>
        <v>45488</v>
      </c>
      <c r="B9416" s="36"/>
      <c r="E9416" s="5" t="e">
        <f>Table4[[#This Row],[qty]]*(VLOOKUP(Table4[[#This Row],[item_sold]],Table1[],5,FALSE))</f>
        <v>#N/A</v>
      </c>
      <c r="F9416" s="5" t="e">
        <f>(VLOOKUP(Table4[[#This Row],[item_sold]],Table1[],4,FALSE))*Table4[[#This Row],[qty]]</f>
        <v>#N/A</v>
      </c>
      <c r="G9416" t="e">
        <f t="shared" si="1574"/>
        <v>#N/A</v>
      </c>
    </row>
    <row r="9417" spans="1:7" x14ac:dyDescent="0.25">
      <c r="A9417" s="1">
        <f t="shared" si="1573"/>
        <v>45488</v>
      </c>
      <c r="B9417" s="36"/>
      <c r="E9417" s="5" t="e">
        <f>Table4[[#This Row],[qty]]*(VLOOKUP(Table4[[#This Row],[item_sold]],Table1[],5,FALSE))</f>
        <v>#N/A</v>
      </c>
      <c r="F9417" s="5" t="e">
        <f>(VLOOKUP(Table4[[#This Row],[item_sold]],Table1[],4,FALSE))*Table4[[#This Row],[qty]]</f>
        <v>#N/A</v>
      </c>
      <c r="G9417" t="e">
        <f t="shared" si="1574"/>
        <v>#N/A</v>
      </c>
    </row>
    <row r="9418" spans="1:7" x14ac:dyDescent="0.25">
      <c r="A9418" s="1">
        <f t="shared" si="1573"/>
        <v>45488</v>
      </c>
      <c r="B9418" s="36"/>
      <c r="E9418" s="5" t="e">
        <f>Table4[[#This Row],[qty]]*(VLOOKUP(Table4[[#This Row],[item_sold]],Table1[],5,FALSE))</f>
        <v>#N/A</v>
      </c>
      <c r="F9418" s="5" t="e">
        <f>(VLOOKUP(Table4[[#This Row],[item_sold]],Table1[],4,FALSE))*Table4[[#This Row],[qty]]</f>
        <v>#N/A</v>
      </c>
      <c r="G9418" t="e">
        <f t="shared" si="1574"/>
        <v>#N/A</v>
      </c>
    </row>
    <row r="9419" spans="1:7" x14ac:dyDescent="0.25">
      <c r="A9419" s="1">
        <f t="shared" si="1573"/>
        <v>45488</v>
      </c>
      <c r="B9419" s="36"/>
      <c r="E9419" s="5" t="e">
        <f>Table4[[#This Row],[qty]]*(VLOOKUP(Table4[[#This Row],[item_sold]],Table1[],5,FALSE))</f>
        <v>#N/A</v>
      </c>
      <c r="F9419" s="5" t="e">
        <f>(VLOOKUP(Table4[[#This Row],[item_sold]],Table1[],4,FALSE))*Table4[[#This Row],[qty]]</f>
        <v>#N/A</v>
      </c>
      <c r="G9419" t="e">
        <f t="shared" si="1574"/>
        <v>#N/A</v>
      </c>
    </row>
    <row r="9420" spans="1:7" x14ac:dyDescent="0.25">
      <c r="A9420" s="1">
        <f t="shared" si="1573"/>
        <v>45488</v>
      </c>
      <c r="B9420" s="36"/>
      <c r="E9420" s="5" t="e">
        <f>Table4[[#This Row],[qty]]*(VLOOKUP(Table4[[#This Row],[item_sold]],Table1[],5,FALSE))</f>
        <v>#N/A</v>
      </c>
      <c r="F9420" s="5" t="e">
        <f>(VLOOKUP(Table4[[#This Row],[item_sold]],Table1[],4,FALSE))*Table4[[#This Row],[qty]]</f>
        <v>#N/A</v>
      </c>
      <c r="G9420" t="e">
        <f t="shared" si="1574"/>
        <v>#N/A</v>
      </c>
    </row>
    <row r="9421" spans="1:7" x14ac:dyDescent="0.25">
      <c r="A9421" s="1">
        <f t="shared" si="1573"/>
        <v>45488</v>
      </c>
      <c r="B9421" s="36"/>
      <c r="E9421" s="5" t="e">
        <f>Table4[[#This Row],[qty]]*(VLOOKUP(Table4[[#This Row],[item_sold]],Table1[],5,FALSE))</f>
        <v>#N/A</v>
      </c>
      <c r="F9421" s="5" t="e">
        <f>(VLOOKUP(Table4[[#This Row],[item_sold]],Table1[],4,FALSE))*Table4[[#This Row],[qty]]</f>
        <v>#N/A</v>
      </c>
      <c r="G9421" t="e">
        <f t="shared" si="1574"/>
        <v>#N/A</v>
      </c>
    </row>
    <row r="9422" spans="1:7" x14ac:dyDescent="0.25">
      <c r="A9422" s="1">
        <f t="shared" si="1573"/>
        <v>45488</v>
      </c>
      <c r="B9422" s="36"/>
      <c r="E9422" s="5" t="e">
        <f>Table4[[#This Row],[qty]]*(VLOOKUP(Table4[[#This Row],[item_sold]],Table1[],5,FALSE))</f>
        <v>#N/A</v>
      </c>
      <c r="F9422" s="5" t="e">
        <f>(VLOOKUP(Table4[[#This Row],[item_sold]],Table1[],4,FALSE))*Table4[[#This Row],[qty]]</f>
        <v>#N/A</v>
      </c>
      <c r="G9422" t="e">
        <f t="shared" si="1574"/>
        <v>#N/A</v>
      </c>
    </row>
    <row r="9423" spans="1:7" x14ac:dyDescent="0.25">
      <c r="A9423" s="1">
        <f t="shared" si="1573"/>
        <v>45488</v>
      </c>
      <c r="B9423" s="36"/>
      <c r="E9423" s="5" t="e">
        <f>Table4[[#This Row],[qty]]*(VLOOKUP(Table4[[#This Row],[item_sold]],Table1[],5,FALSE))</f>
        <v>#N/A</v>
      </c>
      <c r="F9423" s="5" t="e">
        <f>(VLOOKUP(Table4[[#This Row],[item_sold]],Table1[],4,FALSE))*Table4[[#This Row],[qty]]</f>
        <v>#N/A</v>
      </c>
      <c r="G9423" t="e">
        <f t="shared" si="1574"/>
        <v>#N/A</v>
      </c>
    </row>
    <row r="9424" spans="1:7" x14ac:dyDescent="0.25">
      <c r="A9424" s="1">
        <f t="shared" si="1573"/>
        <v>45488</v>
      </c>
      <c r="B9424" s="36"/>
      <c r="E9424" s="5" t="e">
        <f>Table4[[#This Row],[qty]]*(VLOOKUP(Table4[[#This Row],[item_sold]],Table1[],5,FALSE))</f>
        <v>#N/A</v>
      </c>
      <c r="F9424" s="5" t="e">
        <f>(VLOOKUP(Table4[[#This Row],[item_sold]],Table1[],4,FALSE))*Table4[[#This Row],[qty]]</f>
        <v>#N/A</v>
      </c>
      <c r="G9424" t="e">
        <f t="shared" si="1574"/>
        <v>#N/A</v>
      </c>
    </row>
    <row r="9425" spans="1:7" x14ac:dyDescent="0.25">
      <c r="A9425" s="1">
        <f t="shared" si="1573"/>
        <v>45488</v>
      </c>
      <c r="B9425" s="36"/>
      <c r="E9425" s="5" t="e">
        <f>Table4[[#This Row],[qty]]*(VLOOKUP(Table4[[#This Row],[item_sold]],Table1[],5,FALSE))</f>
        <v>#N/A</v>
      </c>
      <c r="F9425" s="5" t="e">
        <f>(VLOOKUP(Table4[[#This Row],[item_sold]],Table1[],4,FALSE))*Table4[[#This Row],[qty]]</f>
        <v>#N/A</v>
      </c>
      <c r="G9425" t="e">
        <f t="shared" si="1574"/>
        <v>#N/A</v>
      </c>
    </row>
    <row r="9426" spans="1:7" x14ac:dyDescent="0.25">
      <c r="A9426" s="1">
        <f t="shared" si="1573"/>
        <v>45488</v>
      </c>
      <c r="B9426" s="36"/>
      <c r="E9426" s="5" t="e">
        <f>Table4[[#This Row],[qty]]*(VLOOKUP(Table4[[#This Row],[item_sold]],Table1[],5,FALSE))</f>
        <v>#N/A</v>
      </c>
      <c r="F9426" s="5" t="e">
        <f>(VLOOKUP(Table4[[#This Row],[item_sold]],Table1[],4,FALSE))*Table4[[#This Row],[qty]]</f>
        <v>#N/A</v>
      </c>
      <c r="G9426" t="e">
        <f t="shared" si="1574"/>
        <v>#N/A</v>
      </c>
    </row>
    <row r="9427" spans="1:7" x14ac:dyDescent="0.25">
      <c r="A9427" s="1">
        <f t="shared" si="1573"/>
        <v>45488</v>
      </c>
      <c r="B9427" s="36"/>
      <c r="E9427" s="5" t="e">
        <f>Table4[[#This Row],[qty]]*(VLOOKUP(Table4[[#This Row],[item_sold]],Table1[],5,FALSE))</f>
        <v>#N/A</v>
      </c>
      <c r="F9427" s="5" t="e">
        <f>(VLOOKUP(Table4[[#This Row],[item_sold]],Table1[],4,FALSE))*Table4[[#This Row],[qty]]</f>
        <v>#N/A</v>
      </c>
      <c r="G9427" t="e">
        <f t="shared" si="1574"/>
        <v>#N/A</v>
      </c>
    </row>
    <row r="9428" spans="1:7" x14ac:dyDescent="0.25">
      <c r="A9428" s="1">
        <f t="shared" ref="A9428:A9491" si="1575">DATE(2024,7,15)</f>
        <v>45488</v>
      </c>
      <c r="B9428" s="36"/>
      <c r="E9428" s="5" t="e">
        <f>Table4[[#This Row],[qty]]*(VLOOKUP(Table4[[#This Row],[item_sold]],Table1[],5,FALSE))</f>
        <v>#N/A</v>
      </c>
      <c r="F9428" s="5" t="e">
        <f>(VLOOKUP(Table4[[#This Row],[item_sold]],Table1[],4,FALSE))*Table4[[#This Row],[qty]]</f>
        <v>#N/A</v>
      </c>
      <c r="G9428" t="e">
        <f t="shared" ref="G9428:G9491" si="1576">E9428-F9428</f>
        <v>#N/A</v>
      </c>
    </row>
    <row r="9429" spans="1:7" x14ac:dyDescent="0.25">
      <c r="A9429" s="1">
        <f t="shared" si="1575"/>
        <v>45488</v>
      </c>
      <c r="B9429" s="36"/>
      <c r="E9429" s="5" t="e">
        <f>Table4[[#This Row],[qty]]*(VLOOKUP(Table4[[#This Row],[item_sold]],Table1[],5,FALSE))</f>
        <v>#N/A</v>
      </c>
      <c r="F9429" s="5" t="e">
        <f>(VLOOKUP(Table4[[#This Row],[item_sold]],Table1[],4,FALSE))*Table4[[#This Row],[qty]]</f>
        <v>#N/A</v>
      </c>
      <c r="G9429" t="e">
        <f t="shared" si="1576"/>
        <v>#N/A</v>
      </c>
    </row>
    <row r="9430" spans="1:7" x14ac:dyDescent="0.25">
      <c r="A9430" s="1">
        <f t="shared" si="1575"/>
        <v>45488</v>
      </c>
      <c r="B9430" s="36"/>
      <c r="E9430" s="5" t="e">
        <f>Table4[[#This Row],[qty]]*(VLOOKUP(Table4[[#This Row],[item_sold]],Table1[],5,FALSE))</f>
        <v>#N/A</v>
      </c>
      <c r="F9430" s="5" t="e">
        <f>(VLOOKUP(Table4[[#This Row],[item_sold]],Table1[],4,FALSE))*Table4[[#This Row],[qty]]</f>
        <v>#N/A</v>
      </c>
      <c r="G9430" t="e">
        <f t="shared" si="1576"/>
        <v>#N/A</v>
      </c>
    </row>
    <row r="9431" spans="1:7" x14ac:dyDescent="0.25">
      <c r="A9431" s="1">
        <f t="shared" si="1575"/>
        <v>45488</v>
      </c>
      <c r="B9431" s="36"/>
      <c r="E9431" s="5" t="e">
        <f>Table4[[#This Row],[qty]]*(VLOOKUP(Table4[[#This Row],[item_sold]],Table1[],5,FALSE))</f>
        <v>#N/A</v>
      </c>
      <c r="F9431" s="5" t="e">
        <f>(VLOOKUP(Table4[[#This Row],[item_sold]],Table1[],4,FALSE))*Table4[[#This Row],[qty]]</f>
        <v>#N/A</v>
      </c>
      <c r="G9431" t="e">
        <f t="shared" si="1576"/>
        <v>#N/A</v>
      </c>
    </row>
    <row r="9432" spans="1:7" x14ac:dyDescent="0.25">
      <c r="A9432" s="1">
        <f t="shared" si="1575"/>
        <v>45488</v>
      </c>
      <c r="B9432" s="36"/>
      <c r="E9432" s="5" t="e">
        <f>Table4[[#This Row],[qty]]*(VLOOKUP(Table4[[#This Row],[item_sold]],Table1[],5,FALSE))</f>
        <v>#N/A</v>
      </c>
      <c r="F9432" s="5" t="e">
        <f>(VLOOKUP(Table4[[#This Row],[item_sold]],Table1[],4,FALSE))*Table4[[#This Row],[qty]]</f>
        <v>#N/A</v>
      </c>
      <c r="G9432" t="e">
        <f t="shared" si="1576"/>
        <v>#N/A</v>
      </c>
    </row>
    <row r="9433" spans="1:7" x14ac:dyDescent="0.25">
      <c r="A9433" s="1">
        <f t="shared" si="1575"/>
        <v>45488</v>
      </c>
      <c r="B9433" s="36"/>
      <c r="E9433" s="5" t="e">
        <f>Table4[[#This Row],[qty]]*(VLOOKUP(Table4[[#This Row],[item_sold]],Table1[],5,FALSE))</f>
        <v>#N/A</v>
      </c>
      <c r="F9433" s="5" t="e">
        <f>(VLOOKUP(Table4[[#This Row],[item_sold]],Table1[],4,FALSE))*Table4[[#This Row],[qty]]</f>
        <v>#N/A</v>
      </c>
      <c r="G9433" t="e">
        <f t="shared" si="1576"/>
        <v>#N/A</v>
      </c>
    </row>
    <row r="9434" spans="1:7" x14ac:dyDescent="0.25">
      <c r="A9434" s="1">
        <f t="shared" si="1575"/>
        <v>45488</v>
      </c>
      <c r="B9434" s="36"/>
      <c r="E9434" s="5" t="e">
        <f>Table4[[#This Row],[qty]]*(VLOOKUP(Table4[[#This Row],[item_sold]],Table1[],5,FALSE))</f>
        <v>#N/A</v>
      </c>
      <c r="F9434" s="5" t="e">
        <f>(VLOOKUP(Table4[[#This Row],[item_sold]],Table1[],4,FALSE))*Table4[[#This Row],[qty]]</f>
        <v>#N/A</v>
      </c>
      <c r="G9434" t="e">
        <f t="shared" si="1576"/>
        <v>#N/A</v>
      </c>
    </row>
    <row r="9435" spans="1:7" x14ac:dyDescent="0.25">
      <c r="A9435" s="1">
        <f t="shared" si="1575"/>
        <v>45488</v>
      </c>
      <c r="B9435" s="36"/>
      <c r="E9435" s="5" t="e">
        <f>Table4[[#This Row],[qty]]*(VLOOKUP(Table4[[#This Row],[item_sold]],Table1[],5,FALSE))</f>
        <v>#N/A</v>
      </c>
      <c r="F9435" s="5" t="e">
        <f>(VLOOKUP(Table4[[#This Row],[item_sold]],Table1[],4,FALSE))*Table4[[#This Row],[qty]]</f>
        <v>#N/A</v>
      </c>
      <c r="G9435" t="e">
        <f t="shared" si="1576"/>
        <v>#N/A</v>
      </c>
    </row>
    <row r="9436" spans="1:7" x14ac:dyDescent="0.25">
      <c r="A9436" s="1">
        <f t="shared" si="1575"/>
        <v>45488</v>
      </c>
      <c r="B9436" s="36"/>
      <c r="E9436" s="5" t="e">
        <f>Table4[[#This Row],[qty]]*(VLOOKUP(Table4[[#This Row],[item_sold]],Table1[],5,FALSE))</f>
        <v>#N/A</v>
      </c>
      <c r="F9436" s="5" t="e">
        <f>(VLOOKUP(Table4[[#This Row],[item_sold]],Table1[],4,FALSE))*Table4[[#This Row],[qty]]</f>
        <v>#N/A</v>
      </c>
      <c r="G9436" t="e">
        <f t="shared" si="1576"/>
        <v>#N/A</v>
      </c>
    </row>
    <row r="9437" spans="1:7" x14ac:dyDescent="0.25">
      <c r="A9437" s="1">
        <f t="shared" si="1575"/>
        <v>45488</v>
      </c>
      <c r="B9437" s="36"/>
      <c r="E9437" s="5" t="e">
        <f>Table4[[#This Row],[qty]]*(VLOOKUP(Table4[[#This Row],[item_sold]],Table1[],5,FALSE))</f>
        <v>#N/A</v>
      </c>
      <c r="F9437" s="5" t="e">
        <f>(VLOOKUP(Table4[[#This Row],[item_sold]],Table1[],4,FALSE))*Table4[[#This Row],[qty]]</f>
        <v>#N/A</v>
      </c>
      <c r="G9437" t="e">
        <f t="shared" si="1576"/>
        <v>#N/A</v>
      </c>
    </row>
    <row r="9438" spans="1:7" x14ac:dyDescent="0.25">
      <c r="A9438" s="1">
        <f t="shared" si="1575"/>
        <v>45488</v>
      </c>
      <c r="B9438" s="36"/>
      <c r="E9438" s="5" t="e">
        <f>Table4[[#This Row],[qty]]*(VLOOKUP(Table4[[#This Row],[item_sold]],Table1[],5,FALSE))</f>
        <v>#N/A</v>
      </c>
      <c r="F9438" s="5" t="e">
        <f>(VLOOKUP(Table4[[#This Row],[item_sold]],Table1[],4,FALSE))*Table4[[#This Row],[qty]]</f>
        <v>#N/A</v>
      </c>
      <c r="G9438" t="e">
        <f t="shared" si="1576"/>
        <v>#N/A</v>
      </c>
    </row>
    <row r="9439" spans="1:7" x14ac:dyDescent="0.25">
      <c r="A9439" s="1">
        <f t="shared" si="1575"/>
        <v>45488</v>
      </c>
      <c r="B9439" s="36"/>
      <c r="E9439" s="5" t="e">
        <f>Table4[[#This Row],[qty]]*(VLOOKUP(Table4[[#This Row],[item_sold]],Table1[],5,FALSE))</f>
        <v>#N/A</v>
      </c>
      <c r="F9439" s="5" t="e">
        <f>(VLOOKUP(Table4[[#This Row],[item_sold]],Table1[],4,FALSE))*Table4[[#This Row],[qty]]</f>
        <v>#N/A</v>
      </c>
      <c r="G9439" t="e">
        <f t="shared" si="1576"/>
        <v>#N/A</v>
      </c>
    </row>
    <row r="9440" spans="1:7" x14ac:dyDescent="0.25">
      <c r="A9440" s="1">
        <f t="shared" si="1575"/>
        <v>45488</v>
      </c>
      <c r="B9440" s="36"/>
      <c r="E9440" s="5" t="e">
        <f>Table4[[#This Row],[qty]]*(VLOOKUP(Table4[[#This Row],[item_sold]],Table1[],5,FALSE))</f>
        <v>#N/A</v>
      </c>
      <c r="F9440" s="5" t="e">
        <f>(VLOOKUP(Table4[[#This Row],[item_sold]],Table1[],4,FALSE))*Table4[[#This Row],[qty]]</f>
        <v>#N/A</v>
      </c>
      <c r="G9440" t="e">
        <f t="shared" si="1576"/>
        <v>#N/A</v>
      </c>
    </row>
    <row r="9441" spans="1:7" x14ac:dyDescent="0.25">
      <c r="A9441" s="1">
        <f t="shared" si="1575"/>
        <v>45488</v>
      </c>
      <c r="B9441" s="36"/>
      <c r="E9441" s="5" t="e">
        <f>Table4[[#This Row],[qty]]*(VLOOKUP(Table4[[#This Row],[item_sold]],Table1[],5,FALSE))</f>
        <v>#N/A</v>
      </c>
      <c r="F9441" s="5" t="e">
        <f>(VLOOKUP(Table4[[#This Row],[item_sold]],Table1[],4,FALSE))*Table4[[#This Row],[qty]]</f>
        <v>#N/A</v>
      </c>
      <c r="G9441" t="e">
        <f t="shared" si="1576"/>
        <v>#N/A</v>
      </c>
    </row>
    <row r="9442" spans="1:7" x14ac:dyDescent="0.25">
      <c r="A9442" s="1">
        <f t="shared" si="1575"/>
        <v>45488</v>
      </c>
      <c r="B9442" s="36"/>
      <c r="E9442" s="5" t="e">
        <f>Table4[[#This Row],[qty]]*(VLOOKUP(Table4[[#This Row],[item_sold]],Table1[],5,FALSE))</f>
        <v>#N/A</v>
      </c>
      <c r="F9442" s="5" t="e">
        <f>(VLOOKUP(Table4[[#This Row],[item_sold]],Table1[],4,FALSE))*Table4[[#This Row],[qty]]</f>
        <v>#N/A</v>
      </c>
      <c r="G9442" t="e">
        <f t="shared" si="1576"/>
        <v>#N/A</v>
      </c>
    </row>
    <row r="9443" spans="1:7" x14ac:dyDescent="0.25">
      <c r="A9443" s="1">
        <f t="shared" si="1575"/>
        <v>45488</v>
      </c>
      <c r="B9443" s="36"/>
      <c r="E9443" s="5" t="e">
        <f>Table4[[#This Row],[qty]]*(VLOOKUP(Table4[[#This Row],[item_sold]],Table1[],5,FALSE))</f>
        <v>#N/A</v>
      </c>
      <c r="F9443" s="5" t="e">
        <f>(VLOOKUP(Table4[[#This Row],[item_sold]],Table1[],4,FALSE))*Table4[[#This Row],[qty]]</f>
        <v>#N/A</v>
      </c>
      <c r="G9443" t="e">
        <f t="shared" si="1576"/>
        <v>#N/A</v>
      </c>
    </row>
    <row r="9444" spans="1:7" x14ac:dyDescent="0.25">
      <c r="A9444" s="1">
        <f t="shared" si="1575"/>
        <v>45488</v>
      </c>
      <c r="B9444" s="36"/>
      <c r="E9444" s="5" t="e">
        <f>Table4[[#This Row],[qty]]*(VLOOKUP(Table4[[#This Row],[item_sold]],Table1[],5,FALSE))</f>
        <v>#N/A</v>
      </c>
      <c r="F9444" s="5" t="e">
        <f>(VLOOKUP(Table4[[#This Row],[item_sold]],Table1[],4,FALSE))*Table4[[#This Row],[qty]]</f>
        <v>#N/A</v>
      </c>
      <c r="G9444" t="e">
        <f t="shared" si="1576"/>
        <v>#N/A</v>
      </c>
    </row>
    <row r="9445" spans="1:7" x14ac:dyDescent="0.25">
      <c r="A9445" s="1">
        <f t="shared" si="1575"/>
        <v>45488</v>
      </c>
      <c r="B9445" s="36"/>
      <c r="E9445" s="5" t="e">
        <f>Table4[[#This Row],[qty]]*(VLOOKUP(Table4[[#This Row],[item_sold]],Table1[],5,FALSE))</f>
        <v>#N/A</v>
      </c>
      <c r="F9445" s="5" t="e">
        <f>(VLOOKUP(Table4[[#This Row],[item_sold]],Table1[],4,FALSE))*Table4[[#This Row],[qty]]</f>
        <v>#N/A</v>
      </c>
      <c r="G9445" t="e">
        <f t="shared" si="1576"/>
        <v>#N/A</v>
      </c>
    </row>
    <row r="9446" spans="1:7" x14ac:dyDescent="0.25">
      <c r="A9446" s="1">
        <f t="shared" si="1575"/>
        <v>45488</v>
      </c>
      <c r="B9446" s="36"/>
      <c r="E9446" s="5" t="e">
        <f>Table4[[#This Row],[qty]]*(VLOOKUP(Table4[[#This Row],[item_sold]],Table1[],5,FALSE))</f>
        <v>#N/A</v>
      </c>
      <c r="F9446" s="5" t="e">
        <f>(VLOOKUP(Table4[[#This Row],[item_sold]],Table1[],4,FALSE))*Table4[[#This Row],[qty]]</f>
        <v>#N/A</v>
      </c>
      <c r="G9446" t="e">
        <f t="shared" si="1576"/>
        <v>#N/A</v>
      </c>
    </row>
    <row r="9447" spans="1:7" x14ac:dyDescent="0.25">
      <c r="A9447" s="1">
        <f t="shared" si="1575"/>
        <v>45488</v>
      </c>
      <c r="B9447" s="36"/>
      <c r="E9447" s="5" t="e">
        <f>Table4[[#This Row],[qty]]*(VLOOKUP(Table4[[#This Row],[item_sold]],Table1[],5,FALSE))</f>
        <v>#N/A</v>
      </c>
      <c r="F9447" s="5" t="e">
        <f>(VLOOKUP(Table4[[#This Row],[item_sold]],Table1[],4,FALSE))*Table4[[#This Row],[qty]]</f>
        <v>#N/A</v>
      </c>
      <c r="G9447" t="e">
        <f t="shared" si="1576"/>
        <v>#N/A</v>
      </c>
    </row>
    <row r="9448" spans="1:7" x14ac:dyDescent="0.25">
      <c r="A9448" s="1">
        <f t="shared" si="1575"/>
        <v>45488</v>
      </c>
      <c r="B9448" s="36"/>
      <c r="E9448" s="5" t="e">
        <f>Table4[[#This Row],[qty]]*(VLOOKUP(Table4[[#This Row],[item_sold]],Table1[],5,FALSE))</f>
        <v>#N/A</v>
      </c>
      <c r="F9448" s="5" t="e">
        <f>(VLOOKUP(Table4[[#This Row],[item_sold]],Table1[],4,FALSE))*Table4[[#This Row],[qty]]</f>
        <v>#N/A</v>
      </c>
      <c r="G9448" t="e">
        <f t="shared" si="1576"/>
        <v>#N/A</v>
      </c>
    </row>
    <row r="9449" spans="1:7" x14ac:dyDescent="0.25">
      <c r="A9449" s="1">
        <f t="shared" si="1575"/>
        <v>45488</v>
      </c>
      <c r="B9449" s="36"/>
      <c r="E9449" s="5" t="e">
        <f>Table4[[#This Row],[qty]]*(VLOOKUP(Table4[[#This Row],[item_sold]],Table1[],5,FALSE))</f>
        <v>#N/A</v>
      </c>
      <c r="F9449" s="5" t="e">
        <f>(VLOOKUP(Table4[[#This Row],[item_sold]],Table1[],4,FALSE))*Table4[[#This Row],[qty]]</f>
        <v>#N/A</v>
      </c>
      <c r="G9449" t="e">
        <f t="shared" si="1576"/>
        <v>#N/A</v>
      </c>
    </row>
    <row r="9450" spans="1:7" x14ac:dyDescent="0.25">
      <c r="A9450" s="1">
        <f t="shared" si="1575"/>
        <v>45488</v>
      </c>
      <c r="B9450" s="36"/>
      <c r="E9450" s="5" t="e">
        <f>Table4[[#This Row],[qty]]*(VLOOKUP(Table4[[#This Row],[item_sold]],Table1[],5,FALSE))</f>
        <v>#N/A</v>
      </c>
      <c r="F9450" s="5" t="e">
        <f>(VLOOKUP(Table4[[#This Row],[item_sold]],Table1[],4,FALSE))*Table4[[#This Row],[qty]]</f>
        <v>#N/A</v>
      </c>
      <c r="G9450" t="e">
        <f t="shared" si="1576"/>
        <v>#N/A</v>
      </c>
    </row>
    <row r="9451" spans="1:7" x14ac:dyDescent="0.25">
      <c r="A9451" s="1">
        <f t="shared" si="1575"/>
        <v>45488</v>
      </c>
      <c r="B9451" s="36"/>
      <c r="E9451" s="5" t="e">
        <f>Table4[[#This Row],[qty]]*(VLOOKUP(Table4[[#This Row],[item_sold]],Table1[],5,FALSE))</f>
        <v>#N/A</v>
      </c>
      <c r="F9451" s="5" t="e">
        <f>(VLOOKUP(Table4[[#This Row],[item_sold]],Table1[],4,FALSE))*Table4[[#This Row],[qty]]</f>
        <v>#N/A</v>
      </c>
      <c r="G9451" t="e">
        <f t="shared" si="1576"/>
        <v>#N/A</v>
      </c>
    </row>
    <row r="9452" spans="1:7" x14ac:dyDescent="0.25">
      <c r="A9452" s="1">
        <f t="shared" si="1575"/>
        <v>45488</v>
      </c>
      <c r="B9452" s="36"/>
      <c r="E9452" s="5" t="e">
        <f>Table4[[#This Row],[qty]]*(VLOOKUP(Table4[[#This Row],[item_sold]],Table1[],5,FALSE))</f>
        <v>#N/A</v>
      </c>
      <c r="F9452" s="5" t="e">
        <f>(VLOOKUP(Table4[[#This Row],[item_sold]],Table1[],4,FALSE))*Table4[[#This Row],[qty]]</f>
        <v>#N/A</v>
      </c>
      <c r="G9452" t="e">
        <f t="shared" si="1576"/>
        <v>#N/A</v>
      </c>
    </row>
    <row r="9453" spans="1:7" x14ac:dyDescent="0.25">
      <c r="A9453" s="1">
        <f t="shared" si="1575"/>
        <v>45488</v>
      </c>
      <c r="B9453" s="36"/>
      <c r="E9453" s="5" t="e">
        <f>Table4[[#This Row],[qty]]*(VLOOKUP(Table4[[#This Row],[item_sold]],Table1[],5,FALSE))</f>
        <v>#N/A</v>
      </c>
      <c r="F9453" s="5" t="e">
        <f>(VLOOKUP(Table4[[#This Row],[item_sold]],Table1[],4,FALSE))*Table4[[#This Row],[qty]]</f>
        <v>#N/A</v>
      </c>
      <c r="G9453" t="e">
        <f t="shared" si="1576"/>
        <v>#N/A</v>
      </c>
    </row>
    <row r="9454" spans="1:7" x14ac:dyDescent="0.25">
      <c r="A9454" s="1">
        <f t="shared" si="1575"/>
        <v>45488</v>
      </c>
      <c r="B9454" s="36"/>
      <c r="E9454" s="5" t="e">
        <f>Table4[[#This Row],[qty]]*(VLOOKUP(Table4[[#This Row],[item_sold]],Table1[],5,FALSE))</f>
        <v>#N/A</v>
      </c>
      <c r="F9454" s="5" t="e">
        <f>(VLOOKUP(Table4[[#This Row],[item_sold]],Table1[],4,FALSE))*Table4[[#This Row],[qty]]</f>
        <v>#N/A</v>
      </c>
      <c r="G9454" t="e">
        <f t="shared" si="1576"/>
        <v>#N/A</v>
      </c>
    </row>
    <row r="9455" spans="1:7" x14ac:dyDescent="0.25">
      <c r="A9455" s="1">
        <f t="shared" si="1575"/>
        <v>45488</v>
      </c>
      <c r="B9455" s="36"/>
      <c r="E9455" s="5" t="e">
        <f>Table4[[#This Row],[qty]]*(VLOOKUP(Table4[[#This Row],[item_sold]],Table1[],5,FALSE))</f>
        <v>#N/A</v>
      </c>
      <c r="F9455" s="5" t="e">
        <f>(VLOOKUP(Table4[[#This Row],[item_sold]],Table1[],4,FALSE))*Table4[[#This Row],[qty]]</f>
        <v>#N/A</v>
      </c>
      <c r="G9455" t="e">
        <f t="shared" si="1576"/>
        <v>#N/A</v>
      </c>
    </row>
    <row r="9456" spans="1:7" x14ac:dyDescent="0.25">
      <c r="A9456" s="1">
        <f t="shared" si="1575"/>
        <v>45488</v>
      </c>
      <c r="B9456" s="36"/>
      <c r="E9456" s="5" t="e">
        <f>Table4[[#This Row],[qty]]*(VLOOKUP(Table4[[#This Row],[item_sold]],Table1[],5,FALSE))</f>
        <v>#N/A</v>
      </c>
      <c r="F9456" s="5" t="e">
        <f>(VLOOKUP(Table4[[#This Row],[item_sold]],Table1[],4,FALSE))*Table4[[#This Row],[qty]]</f>
        <v>#N/A</v>
      </c>
      <c r="G9456" t="e">
        <f t="shared" si="1576"/>
        <v>#N/A</v>
      </c>
    </row>
    <row r="9457" spans="1:7" x14ac:dyDescent="0.25">
      <c r="A9457" s="1">
        <f t="shared" si="1575"/>
        <v>45488</v>
      </c>
      <c r="B9457" s="36"/>
      <c r="E9457" s="5" t="e">
        <f>Table4[[#This Row],[qty]]*(VLOOKUP(Table4[[#This Row],[item_sold]],Table1[],5,FALSE))</f>
        <v>#N/A</v>
      </c>
      <c r="F9457" s="5" t="e">
        <f>(VLOOKUP(Table4[[#This Row],[item_sold]],Table1[],4,FALSE))*Table4[[#This Row],[qty]]</f>
        <v>#N/A</v>
      </c>
      <c r="G9457" t="e">
        <f t="shared" si="1576"/>
        <v>#N/A</v>
      </c>
    </row>
    <row r="9458" spans="1:7" x14ac:dyDescent="0.25">
      <c r="A9458" s="1">
        <f t="shared" si="1575"/>
        <v>45488</v>
      </c>
      <c r="B9458" s="36"/>
      <c r="E9458" s="5" t="e">
        <f>Table4[[#This Row],[qty]]*(VLOOKUP(Table4[[#This Row],[item_sold]],Table1[],5,FALSE))</f>
        <v>#N/A</v>
      </c>
      <c r="F9458" s="5" t="e">
        <f>(VLOOKUP(Table4[[#This Row],[item_sold]],Table1[],4,FALSE))*Table4[[#This Row],[qty]]</f>
        <v>#N/A</v>
      </c>
      <c r="G9458" t="e">
        <f t="shared" si="1576"/>
        <v>#N/A</v>
      </c>
    </row>
    <row r="9459" spans="1:7" x14ac:dyDescent="0.25">
      <c r="A9459" s="1">
        <f t="shared" si="1575"/>
        <v>45488</v>
      </c>
      <c r="B9459" s="36"/>
      <c r="E9459" s="5" t="e">
        <f>Table4[[#This Row],[qty]]*(VLOOKUP(Table4[[#This Row],[item_sold]],Table1[],5,FALSE))</f>
        <v>#N/A</v>
      </c>
      <c r="F9459" s="5" t="e">
        <f>(VLOOKUP(Table4[[#This Row],[item_sold]],Table1[],4,FALSE))*Table4[[#This Row],[qty]]</f>
        <v>#N/A</v>
      </c>
      <c r="G9459" t="e">
        <f t="shared" si="1576"/>
        <v>#N/A</v>
      </c>
    </row>
    <row r="9460" spans="1:7" x14ac:dyDescent="0.25">
      <c r="A9460" s="1">
        <f t="shared" si="1575"/>
        <v>45488</v>
      </c>
      <c r="B9460" s="36"/>
      <c r="E9460" s="5" t="e">
        <f>Table4[[#This Row],[qty]]*(VLOOKUP(Table4[[#This Row],[item_sold]],Table1[],5,FALSE))</f>
        <v>#N/A</v>
      </c>
      <c r="F9460" s="5" t="e">
        <f>(VLOOKUP(Table4[[#This Row],[item_sold]],Table1[],4,FALSE))*Table4[[#This Row],[qty]]</f>
        <v>#N/A</v>
      </c>
      <c r="G9460" t="e">
        <f t="shared" si="1576"/>
        <v>#N/A</v>
      </c>
    </row>
    <row r="9461" spans="1:7" x14ac:dyDescent="0.25">
      <c r="A9461" s="1">
        <f t="shared" si="1575"/>
        <v>45488</v>
      </c>
      <c r="B9461" s="36"/>
      <c r="E9461" s="5" t="e">
        <f>Table4[[#This Row],[qty]]*(VLOOKUP(Table4[[#This Row],[item_sold]],Table1[],5,FALSE))</f>
        <v>#N/A</v>
      </c>
      <c r="F9461" s="5" t="e">
        <f>(VLOOKUP(Table4[[#This Row],[item_sold]],Table1[],4,FALSE))*Table4[[#This Row],[qty]]</f>
        <v>#N/A</v>
      </c>
      <c r="G9461" t="e">
        <f t="shared" si="1576"/>
        <v>#N/A</v>
      </c>
    </row>
    <row r="9462" spans="1:7" x14ac:dyDescent="0.25">
      <c r="A9462" s="1">
        <f t="shared" si="1575"/>
        <v>45488</v>
      </c>
      <c r="B9462" s="36"/>
      <c r="E9462" s="5" t="e">
        <f>Table4[[#This Row],[qty]]*(VLOOKUP(Table4[[#This Row],[item_sold]],Table1[],5,FALSE))</f>
        <v>#N/A</v>
      </c>
      <c r="F9462" s="5" t="e">
        <f>(VLOOKUP(Table4[[#This Row],[item_sold]],Table1[],4,FALSE))*Table4[[#This Row],[qty]]</f>
        <v>#N/A</v>
      </c>
      <c r="G9462" t="e">
        <f t="shared" si="1576"/>
        <v>#N/A</v>
      </c>
    </row>
    <row r="9463" spans="1:7" x14ac:dyDescent="0.25">
      <c r="A9463" s="1">
        <f t="shared" si="1575"/>
        <v>45488</v>
      </c>
      <c r="B9463" s="36"/>
      <c r="E9463" s="5" t="e">
        <f>Table4[[#This Row],[qty]]*(VLOOKUP(Table4[[#This Row],[item_sold]],Table1[],5,FALSE))</f>
        <v>#N/A</v>
      </c>
      <c r="F9463" s="5" t="e">
        <f>(VLOOKUP(Table4[[#This Row],[item_sold]],Table1[],4,FALSE))*Table4[[#This Row],[qty]]</f>
        <v>#N/A</v>
      </c>
      <c r="G9463" t="e">
        <f t="shared" si="1576"/>
        <v>#N/A</v>
      </c>
    </row>
    <row r="9464" spans="1:7" x14ac:dyDescent="0.25">
      <c r="A9464" s="1">
        <f t="shared" si="1575"/>
        <v>45488</v>
      </c>
      <c r="B9464" s="36"/>
      <c r="E9464" s="5" t="e">
        <f>Table4[[#This Row],[qty]]*(VLOOKUP(Table4[[#This Row],[item_sold]],Table1[],5,FALSE))</f>
        <v>#N/A</v>
      </c>
      <c r="F9464" s="5" t="e">
        <f>(VLOOKUP(Table4[[#This Row],[item_sold]],Table1[],4,FALSE))*Table4[[#This Row],[qty]]</f>
        <v>#N/A</v>
      </c>
      <c r="G9464" t="e">
        <f t="shared" si="1576"/>
        <v>#N/A</v>
      </c>
    </row>
    <row r="9465" spans="1:7" x14ac:dyDescent="0.25">
      <c r="A9465" s="1">
        <f t="shared" si="1575"/>
        <v>45488</v>
      </c>
      <c r="B9465" s="36"/>
      <c r="E9465" s="5" t="e">
        <f>Table4[[#This Row],[qty]]*(VLOOKUP(Table4[[#This Row],[item_sold]],Table1[],5,FALSE))</f>
        <v>#N/A</v>
      </c>
      <c r="F9465" s="5" t="e">
        <f>(VLOOKUP(Table4[[#This Row],[item_sold]],Table1[],4,FALSE))*Table4[[#This Row],[qty]]</f>
        <v>#N/A</v>
      </c>
      <c r="G9465" t="e">
        <f t="shared" si="1576"/>
        <v>#N/A</v>
      </c>
    </row>
    <row r="9466" spans="1:7" x14ac:dyDescent="0.25">
      <c r="A9466" s="1">
        <f t="shared" si="1575"/>
        <v>45488</v>
      </c>
      <c r="B9466" s="36"/>
      <c r="E9466" s="5" t="e">
        <f>Table4[[#This Row],[qty]]*(VLOOKUP(Table4[[#This Row],[item_sold]],Table1[],5,FALSE))</f>
        <v>#N/A</v>
      </c>
      <c r="F9466" s="5" t="e">
        <f>(VLOOKUP(Table4[[#This Row],[item_sold]],Table1[],4,FALSE))*Table4[[#This Row],[qty]]</f>
        <v>#N/A</v>
      </c>
      <c r="G9466" t="e">
        <f t="shared" si="1576"/>
        <v>#N/A</v>
      </c>
    </row>
    <row r="9467" spans="1:7" x14ac:dyDescent="0.25">
      <c r="A9467" s="1">
        <f t="shared" si="1575"/>
        <v>45488</v>
      </c>
      <c r="B9467" s="36"/>
      <c r="E9467" s="5" t="e">
        <f>Table4[[#This Row],[qty]]*(VLOOKUP(Table4[[#This Row],[item_sold]],Table1[],5,FALSE))</f>
        <v>#N/A</v>
      </c>
      <c r="F9467" s="5" t="e">
        <f>(VLOOKUP(Table4[[#This Row],[item_sold]],Table1[],4,FALSE))*Table4[[#This Row],[qty]]</f>
        <v>#N/A</v>
      </c>
      <c r="G9467" t="e">
        <f t="shared" si="1576"/>
        <v>#N/A</v>
      </c>
    </row>
    <row r="9468" spans="1:7" x14ac:dyDescent="0.25">
      <c r="A9468" s="1">
        <f t="shared" si="1575"/>
        <v>45488</v>
      </c>
      <c r="B9468" s="36"/>
      <c r="E9468" s="5" t="e">
        <f>Table4[[#This Row],[qty]]*(VLOOKUP(Table4[[#This Row],[item_sold]],Table1[],5,FALSE))</f>
        <v>#N/A</v>
      </c>
      <c r="F9468" s="5" t="e">
        <f>(VLOOKUP(Table4[[#This Row],[item_sold]],Table1[],4,FALSE))*Table4[[#This Row],[qty]]</f>
        <v>#N/A</v>
      </c>
      <c r="G9468" t="e">
        <f t="shared" si="1576"/>
        <v>#N/A</v>
      </c>
    </row>
    <row r="9469" spans="1:7" x14ac:dyDescent="0.25">
      <c r="A9469" s="1">
        <f t="shared" si="1575"/>
        <v>45488</v>
      </c>
      <c r="B9469" s="36"/>
      <c r="E9469" s="5" t="e">
        <f>Table4[[#This Row],[qty]]*(VLOOKUP(Table4[[#This Row],[item_sold]],Table1[],5,FALSE))</f>
        <v>#N/A</v>
      </c>
      <c r="F9469" s="5" t="e">
        <f>(VLOOKUP(Table4[[#This Row],[item_sold]],Table1[],4,FALSE))*Table4[[#This Row],[qty]]</f>
        <v>#N/A</v>
      </c>
      <c r="G9469" t="e">
        <f t="shared" si="1576"/>
        <v>#N/A</v>
      </c>
    </row>
    <row r="9470" spans="1:7" x14ac:dyDescent="0.25">
      <c r="A9470" s="1">
        <f t="shared" si="1575"/>
        <v>45488</v>
      </c>
      <c r="B9470" s="36"/>
      <c r="E9470" s="5" t="e">
        <f>Table4[[#This Row],[qty]]*(VLOOKUP(Table4[[#This Row],[item_sold]],Table1[],5,FALSE))</f>
        <v>#N/A</v>
      </c>
      <c r="F9470" s="5" t="e">
        <f>(VLOOKUP(Table4[[#This Row],[item_sold]],Table1[],4,FALSE))*Table4[[#This Row],[qty]]</f>
        <v>#N/A</v>
      </c>
      <c r="G9470" t="e">
        <f t="shared" si="1576"/>
        <v>#N/A</v>
      </c>
    </row>
    <row r="9471" spans="1:7" x14ac:dyDescent="0.25">
      <c r="A9471" s="1">
        <f t="shared" si="1575"/>
        <v>45488</v>
      </c>
      <c r="B9471" s="36"/>
      <c r="E9471" s="5" t="e">
        <f>Table4[[#This Row],[qty]]*(VLOOKUP(Table4[[#This Row],[item_sold]],Table1[],5,FALSE))</f>
        <v>#N/A</v>
      </c>
      <c r="F9471" s="5" t="e">
        <f>(VLOOKUP(Table4[[#This Row],[item_sold]],Table1[],4,FALSE))*Table4[[#This Row],[qty]]</f>
        <v>#N/A</v>
      </c>
      <c r="G9471" t="e">
        <f t="shared" si="1576"/>
        <v>#N/A</v>
      </c>
    </row>
    <row r="9472" spans="1:7" x14ac:dyDescent="0.25">
      <c r="A9472" s="1">
        <f t="shared" si="1575"/>
        <v>45488</v>
      </c>
      <c r="B9472" s="36"/>
      <c r="E9472" s="5" t="e">
        <f>Table4[[#This Row],[qty]]*(VLOOKUP(Table4[[#This Row],[item_sold]],Table1[],5,FALSE))</f>
        <v>#N/A</v>
      </c>
      <c r="F9472" s="5" t="e">
        <f>(VLOOKUP(Table4[[#This Row],[item_sold]],Table1[],4,FALSE))*Table4[[#This Row],[qty]]</f>
        <v>#N/A</v>
      </c>
      <c r="G9472" t="e">
        <f t="shared" si="1576"/>
        <v>#N/A</v>
      </c>
    </row>
    <row r="9473" spans="1:7" x14ac:dyDescent="0.25">
      <c r="A9473" s="1">
        <f t="shared" si="1575"/>
        <v>45488</v>
      </c>
      <c r="B9473" s="36"/>
      <c r="E9473" s="5" t="e">
        <f>Table4[[#This Row],[qty]]*(VLOOKUP(Table4[[#This Row],[item_sold]],Table1[],5,FALSE))</f>
        <v>#N/A</v>
      </c>
      <c r="F9473" s="5" t="e">
        <f>(VLOOKUP(Table4[[#This Row],[item_sold]],Table1[],4,FALSE))*Table4[[#This Row],[qty]]</f>
        <v>#N/A</v>
      </c>
      <c r="G9473" t="e">
        <f t="shared" si="1576"/>
        <v>#N/A</v>
      </c>
    </row>
    <row r="9474" spans="1:7" x14ac:dyDescent="0.25">
      <c r="A9474" s="1">
        <f t="shared" si="1575"/>
        <v>45488</v>
      </c>
      <c r="B9474" s="36"/>
      <c r="E9474" s="5" t="e">
        <f>Table4[[#This Row],[qty]]*(VLOOKUP(Table4[[#This Row],[item_sold]],Table1[],5,FALSE))</f>
        <v>#N/A</v>
      </c>
      <c r="F9474" s="5" t="e">
        <f>(VLOOKUP(Table4[[#This Row],[item_sold]],Table1[],4,FALSE))*Table4[[#This Row],[qty]]</f>
        <v>#N/A</v>
      </c>
      <c r="G9474" t="e">
        <f t="shared" si="1576"/>
        <v>#N/A</v>
      </c>
    </row>
    <row r="9475" spans="1:7" x14ac:dyDescent="0.25">
      <c r="A9475" s="1">
        <f t="shared" si="1575"/>
        <v>45488</v>
      </c>
      <c r="B9475" s="36"/>
      <c r="E9475" s="5" t="e">
        <f>Table4[[#This Row],[qty]]*(VLOOKUP(Table4[[#This Row],[item_sold]],Table1[],5,FALSE))</f>
        <v>#N/A</v>
      </c>
      <c r="F9475" s="5" t="e">
        <f>(VLOOKUP(Table4[[#This Row],[item_sold]],Table1[],4,FALSE))*Table4[[#This Row],[qty]]</f>
        <v>#N/A</v>
      </c>
      <c r="G9475" t="e">
        <f t="shared" si="1576"/>
        <v>#N/A</v>
      </c>
    </row>
    <row r="9476" spans="1:7" x14ac:dyDescent="0.25">
      <c r="A9476" s="1">
        <f t="shared" si="1575"/>
        <v>45488</v>
      </c>
      <c r="B9476" s="36"/>
      <c r="E9476" s="5" t="e">
        <f>Table4[[#This Row],[qty]]*(VLOOKUP(Table4[[#This Row],[item_sold]],Table1[],5,FALSE))</f>
        <v>#N/A</v>
      </c>
      <c r="F9476" s="5" t="e">
        <f>(VLOOKUP(Table4[[#This Row],[item_sold]],Table1[],4,FALSE))*Table4[[#This Row],[qty]]</f>
        <v>#N/A</v>
      </c>
      <c r="G9476" t="e">
        <f t="shared" si="1576"/>
        <v>#N/A</v>
      </c>
    </row>
    <row r="9477" spans="1:7" x14ac:dyDescent="0.25">
      <c r="A9477" s="1">
        <f t="shared" si="1575"/>
        <v>45488</v>
      </c>
      <c r="B9477" s="36"/>
      <c r="E9477" s="5" t="e">
        <f>Table4[[#This Row],[qty]]*(VLOOKUP(Table4[[#This Row],[item_sold]],Table1[],5,FALSE))</f>
        <v>#N/A</v>
      </c>
      <c r="F9477" s="5" t="e">
        <f>(VLOOKUP(Table4[[#This Row],[item_sold]],Table1[],4,FALSE))*Table4[[#This Row],[qty]]</f>
        <v>#N/A</v>
      </c>
      <c r="G9477" t="e">
        <f t="shared" si="1576"/>
        <v>#N/A</v>
      </c>
    </row>
    <row r="9478" spans="1:7" x14ac:dyDescent="0.25">
      <c r="A9478" s="1">
        <f t="shared" si="1575"/>
        <v>45488</v>
      </c>
      <c r="B9478" s="36"/>
      <c r="E9478" s="5" t="e">
        <f>Table4[[#This Row],[qty]]*(VLOOKUP(Table4[[#This Row],[item_sold]],Table1[],5,FALSE))</f>
        <v>#N/A</v>
      </c>
      <c r="F9478" s="5" t="e">
        <f>(VLOOKUP(Table4[[#This Row],[item_sold]],Table1[],4,FALSE))*Table4[[#This Row],[qty]]</f>
        <v>#N/A</v>
      </c>
      <c r="G9478" t="e">
        <f t="shared" si="1576"/>
        <v>#N/A</v>
      </c>
    </row>
    <row r="9479" spans="1:7" x14ac:dyDescent="0.25">
      <c r="A9479" s="1">
        <f t="shared" si="1575"/>
        <v>45488</v>
      </c>
      <c r="B9479" s="36"/>
      <c r="E9479" s="5" t="e">
        <f>Table4[[#This Row],[qty]]*(VLOOKUP(Table4[[#This Row],[item_sold]],Table1[],5,FALSE))</f>
        <v>#N/A</v>
      </c>
      <c r="F9479" s="5" t="e">
        <f>(VLOOKUP(Table4[[#This Row],[item_sold]],Table1[],4,FALSE))*Table4[[#This Row],[qty]]</f>
        <v>#N/A</v>
      </c>
      <c r="G9479" t="e">
        <f t="shared" si="1576"/>
        <v>#N/A</v>
      </c>
    </row>
    <row r="9480" spans="1:7" x14ac:dyDescent="0.25">
      <c r="A9480" s="1">
        <f t="shared" si="1575"/>
        <v>45488</v>
      </c>
      <c r="B9480" s="36"/>
      <c r="E9480" s="5" t="e">
        <f>Table4[[#This Row],[qty]]*(VLOOKUP(Table4[[#This Row],[item_sold]],Table1[],5,FALSE))</f>
        <v>#N/A</v>
      </c>
      <c r="F9480" s="5" t="e">
        <f>(VLOOKUP(Table4[[#This Row],[item_sold]],Table1[],4,FALSE))*Table4[[#This Row],[qty]]</f>
        <v>#N/A</v>
      </c>
      <c r="G9480" t="e">
        <f t="shared" si="1576"/>
        <v>#N/A</v>
      </c>
    </row>
    <row r="9481" spans="1:7" x14ac:dyDescent="0.25">
      <c r="A9481" s="1">
        <f t="shared" si="1575"/>
        <v>45488</v>
      </c>
      <c r="B9481" s="36"/>
      <c r="E9481" s="5" t="e">
        <f>Table4[[#This Row],[qty]]*(VLOOKUP(Table4[[#This Row],[item_sold]],Table1[],5,FALSE))</f>
        <v>#N/A</v>
      </c>
      <c r="F9481" s="5" t="e">
        <f>(VLOOKUP(Table4[[#This Row],[item_sold]],Table1[],4,FALSE))*Table4[[#This Row],[qty]]</f>
        <v>#N/A</v>
      </c>
      <c r="G9481" t="e">
        <f t="shared" si="1576"/>
        <v>#N/A</v>
      </c>
    </row>
    <row r="9482" spans="1:7" x14ac:dyDescent="0.25">
      <c r="A9482" s="1">
        <f t="shared" si="1575"/>
        <v>45488</v>
      </c>
      <c r="B9482" s="36"/>
      <c r="E9482" s="5" t="e">
        <f>Table4[[#This Row],[qty]]*(VLOOKUP(Table4[[#This Row],[item_sold]],Table1[],5,FALSE))</f>
        <v>#N/A</v>
      </c>
      <c r="F9482" s="5" t="e">
        <f>(VLOOKUP(Table4[[#This Row],[item_sold]],Table1[],4,FALSE))*Table4[[#This Row],[qty]]</f>
        <v>#N/A</v>
      </c>
      <c r="G9482" t="e">
        <f t="shared" si="1576"/>
        <v>#N/A</v>
      </c>
    </row>
    <row r="9483" spans="1:7" x14ac:dyDescent="0.25">
      <c r="A9483" s="1">
        <f t="shared" si="1575"/>
        <v>45488</v>
      </c>
      <c r="B9483" s="36"/>
      <c r="E9483" s="5" t="e">
        <f>Table4[[#This Row],[qty]]*(VLOOKUP(Table4[[#This Row],[item_sold]],Table1[],5,FALSE))</f>
        <v>#N/A</v>
      </c>
      <c r="F9483" s="5" t="e">
        <f>(VLOOKUP(Table4[[#This Row],[item_sold]],Table1[],4,FALSE))*Table4[[#This Row],[qty]]</f>
        <v>#N/A</v>
      </c>
      <c r="G9483" t="e">
        <f t="shared" si="1576"/>
        <v>#N/A</v>
      </c>
    </row>
    <row r="9484" spans="1:7" x14ac:dyDescent="0.25">
      <c r="A9484" s="1">
        <f t="shared" si="1575"/>
        <v>45488</v>
      </c>
      <c r="B9484" s="36"/>
      <c r="E9484" s="5" t="e">
        <f>Table4[[#This Row],[qty]]*(VLOOKUP(Table4[[#This Row],[item_sold]],Table1[],5,FALSE))</f>
        <v>#N/A</v>
      </c>
      <c r="F9484" s="5" t="e">
        <f>(VLOOKUP(Table4[[#This Row],[item_sold]],Table1[],4,FALSE))*Table4[[#This Row],[qty]]</f>
        <v>#N/A</v>
      </c>
      <c r="G9484" t="e">
        <f t="shared" si="1576"/>
        <v>#N/A</v>
      </c>
    </row>
    <row r="9485" spans="1:7" x14ac:dyDescent="0.25">
      <c r="A9485" s="1">
        <f t="shared" si="1575"/>
        <v>45488</v>
      </c>
      <c r="B9485" s="36"/>
      <c r="E9485" s="5" t="e">
        <f>Table4[[#This Row],[qty]]*(VLOOKUP(Table4[[#This Row],[item_sold]],Table1[],5,FALSE))</f>
        <v>#N/A</v>
      </c>
      <c r="F9485" s="5" t="e">
        <f>(VLOOKUP(Table4[[#This Row],[item_sold]],Table1[],4,FALSE))*Table4[[#This Row],[qty]]</f>
        <v>#N/A</v>
      </c>
      <c r="G9485" t="e">
        <f t="shared" si="1576"/>
        <v>#N/A</v>
      </c>
    </row>
    <row r="9486" spans="1:7" x14ac:dyDescent="0.25">
      <c r="A9486" s="1">
        <f t="shared" si="1575"/>
        <v>45488</v>
      </c>
      <c r="B9486" s="36"/>
      <c r="E9486" s="5" t="e">
        <f>Table4[[#This Row],[qty]]*(VLOOKUP(Table4[[#This Row],[item_sold]],Table1[],5,FALSE))</f>
        <v>#N/A</v>
      </c>
      <c r="F9486" s="5" t="e">
        <f>(VLOOKUP(Table4[[#This Row],[item_sold]],Table1[],4,FALSE))*Table4[[#This Row],[qty]]</f>
        <v>#N/A</v>
      </c>
      <c r="G9486" t="e">
        <f t="shared" si="1576"/>
        <v>#N/A</v>
      </c>
    </row>
    <row r="9487" spans="1:7" x14ac:dyDescent="0.25">
      <c r="A9487" s="1">
        <f t="shared" si="1575"/>
        <v>45488</v>
      </c>
      <c r="B9487" s="36"/>
      <c r="E9487" s="5" t="e">
        <f>Table4[[#This Row],[qty]]*(VLOOKUP(Table4[[#This Row],[item_sold]],Table1[],5,FALSE))</f>
        <v>#N/A</v>
      </c>
      <c r="F9487" s="5" t="e">
        <f>(VLOOKUP(Table4[[#This Row],[item_sold]],Table1[],4,FALSE))*Table4[[#This Row],[qty]]</f>
        <v>#N/A</v>
      </c>
      <c r="G9487" t="e">
        <f t="shared" si="1576"/>
        <v>#N/A</v>
      </c>
    </row>
    <row r="9488" spans="1:7" x14ac:dyDescent="0.25">
      <c r="A9488" s="1">
        <f t="shared" si="1575"/>
        <v>45488</v>
      </c>
      <c r="B9488" s="36"/>
      <c r="E9488" s="5" t="e">
        <f>Table4[[#This Row],[qty]]*(VLOOKUP(Table4[[#This Row],[item_sold]],Table1[],5,FALSE))</f>
        <v>#N/A</v>
      </c>
      <c r="F9488" s="5" t="e">
        <f>(VLOOKUP(Table4[[#This Row],[item_sold]],Table1[],4,FALSE))*Table4[[#This Row],[qty]]</f>
        <v>#N/A</v>
      </c>
      <c r="G9488" t="e">
        <f t="shared" si="1576"/>
        <v>#N/A</v>
      </c>
    </row>
    <row r="9489" spans="1:7" x14ac:dyDescent="0.25">
      <c r="A9489" s="1">
        <f t="shared" si="1575"/>
        <v>45488</v>
      </c>
      <c r="B9489" s="36"/>
      <c r="E9489" s="5" t="e">
        <f>Table4[[#This Row],[qty]]*(VLOOKUP(Table4[[#This Row],[item_sold]],Table1[],5,FALSE))</f>
        <v>#N/A</v>
      </c>
      <c r="F9489" s="5" t="e">
        <f>(VLOOKUP(Table4[[#This Row],[item_sold]],Table1[],4,FALSE))*Table4[[#This Row],[qty]]</f>
        <v>#N/A</v>
      </c>
      <c r="G9489" t="e">
        <f t="shared" si="1576"/>
        <v>#N/A</v>
      </c>
    </row>
    <row r="9490" spans="1:7" x14ac:dyDescent="0.25">
      <c r="A9490" s="1">
        <f t="shared" si="1575"/>
        <v>45488</v>
      </c>
      <c r="B9490" s="36"/>
      <c r="E9490" s="5" t="e">
        <f>Table4[[#This Row],[qty]]*(VLOOKUP(Table4[[#This Row],[item_sold]],Table1[],5,FALSE))</f>
        <v>#N/A</v>
      </c>
      <c r="F9490" s="5" t="e">
        <f>(VLOOKUP(Table4[[#This Row],[item_sold]],Table1[],4,FALSE))*Table4[[#This Row],[qty]]</f>
        <v>#N/A</v>
      </c>
      <c r="G9490" t="e">
        <f t="shared" si="1576"/>
        <v>#N/A</v>
      </c>
    </row>
    <row r="9491" spans="1:7" x14ac:dyDescent="0.25">
      <c r="A9491" s="1">
        <f t="shared" si="1575"/>
        <v>45488</v>
      </c>
      <c r="B9491" s="36"/>
      <c r="E9491" s="5" t="e">
        <f>Table4[[#This Row],[qty]]*(VLOOKUP(Table4[[#This Row],[item_sold]],Table1[],5,FALSE))</f>
        <v>#N/A</v>
      </c>
      <c r="F9491" s="5" t="e">
        <f>(VLOOKUP(Table4[[#This Row],[item_sold]],Table1[],4,FALSE))*Table4[[#This Row],[qty]]</f>
        <v>#N/A</v>
      </c>
      <c r="G9491" t="e">
        <f t="shared" si="1576"/>
        <v>#N/A</v>
      </c>
    </row>
    <row r="9492" spans="1:7" x14ac:dyDescent="0.25">
      <c r="A9492" s="1">
        <f t="shared" ref="A9492:A9555" si="1577">DATE(2024,7,15)</f>
        <v>45488</v>
      </c>
      <c r="B9492" s="36"/>
      <c r="E9492" s="5" t="e">
        <f>Table4[[#This Row],[qty]]*(VLOOKUP(Table4[[#This Row],[item_sold]],Table1[],5,FALSE))</f>
        <v>#N/A</v>
      </c>
      <c r="F9492" s="5" t="e">
        <f>(VLOOKUP(Table4[[#This Row],[item_sold]],Table1[],4,FALSE))*Table4[[#This Row],[qty]]</f>
        <v>#N/A</v>
      </c>
      <c r="G9492" t="e">
        <f t="shared" ref="G9492:G9555" si="1578">E9492-F9492</f>
        <v>#N/A</v>
      </c>
    </row>
    <row r="9493" spans="1:7" x14ac:dyDescent="0.25">
      <c r="A9493" s="1">
        <f t="shared" si="1577"/>
        <v>45488</v>
      </c>
      <c r="B9493" s="36"/>
      <c r="E9493" s="5" t="e">
        <f>Table4[[#This Row],[qty]]*(VLOOKUP(Table4[[#This Row],[item_sold]],Table1[],5,FALSE))</f>
        <v>#N/A</v>
      </c>
      <c r="F9493" s="5" t="e">
        <f>(VLOOKUP(Table4[[#This Row],[item_sold]],Table1[],4,FALSE))*Table4[[#This Row],[qty]]</f>
        <v>#N/A</v>
      </c>
      <c r="G9493" t="e">
        <f t="shared" si="1578"/>
        <v>#N/A</v>
      </c>
    </row>
    <row r="9494" spans="1:7" x14ac:dyDescent="0.25">
      <c r="A9494" s="1">
        <f t="shared" si="1577"/>
        <v>45488</v>
      </c>
      <c r="B9494" s="36"/>
      <c r="E9494" s="5" t="e">
        <f>Table4[[#This Row],[qty]]*(VLOOKUP(Table4[[#This Row],[item_sold]],Table1[],5,FALSE))</f>
        <v>#N/A</v>
      </c>
      <c r="F9494" s="5" t="e">
        <f>(VLOOKUP(Table4[[#This Row],[item_sold]],Table1[],4,FALSE))*Table4[[#This Row],[qty]]</f>
        <v>#N/A</v>
      </c>
      <c r="G9494" t="e">
        <f t="shared" si="1578"/>
        <v>#N/A</v>
      </c>
    </row>
    <row r="9495" spans="1:7" x14ac:dyDescent="0.25">
      <c r="A9495" s="1">
        <f t="shared" si="1577"/>
        <v>45488</v>
      </c>
      <c r="B9495" s="36"/>
      <c r="E9495" s="5" t="e">
        <f>Table4[[#This Row],[qty]]*(VLOOKUP(Table4[[#This Row],[item_sold]],Table1[],5,FALSE))</f>
        <v>#N/A</v>
      </c>
      <c r="F9495" s="5" t="e">
        <f>(VLOOKUP(Table4[[#This Row],[item_sold]],Table1[],4,FALSE))*Table4[[#This Row],[qty]]</f>
        <v>#N/A</v>
      </c>
      <c r="G9495" t="e">
        <f t="shared" si="1578"/>
        <v>#N/A</v>
      </c>
    </row>
    <row r="9496" spans="1:7" x14ac:dyDescent="0.25">
      <c r="A9496" s="1">
        <f t="shared" si="1577"/>
        <v>45488</v>
      </c>
      <c r="B9496" s="36"/>
      <c r="E9496" s="5" t="e">
        <f>Table4[[#This Row],[qty]]*(VLOOKUP(Table4[[#This Row],[item_sold]],Table1[],5,FALSE))</f>
        <v>#N/A</v>
      </c>
      <c r="F9496" s="5" t="e">
        <f>(VLOOKUP(Table4[[#This Row],[item_sold]],Table1[],4,FALSE))*Table4[[#This Row],[qty]]</f>
        <v>#N/A</v>
      </c>
      <c r="G9496" t="e">
        <f t="shared" si="1578"/>
        <v>#N/A</v>
      </c>
    </row>
    <row r="9497" spans="1:7" x14ac:dyDescent="0.25">
      <c r="A9497" s="1">
        <f t="shared" si="1577"/>
        <v>45488</v>
      </c>
      <c r="B9497" s="36"/>
      <c r="E9497" s="5" t="e">
        <f>Table4[[#This Row],[qty]]*(VLOOKUP(Table4[[#This Row],[item_sold]],Table1[],5,FALSE))</f>
        <v>#N/A</v>
      </c>
      <c r="F9497" s="5" t="e">
        <f>(VLOOKUP(Table4[[#This Row],[item_sold]],Table1[],4,FALSE))*Table4[[#This Row],[qty]]</f>
        <v>#N/A</v>
      </c>
      <c r="G9497" t="e">
        <f t="shared" si="1578"/>
        <v>#N/A</v>
      </c>
    </row>
    <row r="9498" spans="1:7" x14ac:dyDescent="0.25">
      <c r="A9498" s="1">
        <f t="shared" si="1577"/>
        <v>45488</v>
      </c>
      <c r="B9498" s="36"/>
      <c r="E9498" s="5" t="e">
        <f>Table4[[#This Row],[qty]]*(VLOOKUP(Table4[[#This Row],[item_sold]],Table1[],5,FALSE))</f>
        <v>#N/A</v>
      </c>
      <c r="F9498" s="5" t="e">
        <f>(VLOOKUP(Table4[[#This Row],[item_sold]],Table1[],4,FALSE))*Table4[[#This Row],[qty]]</f>
        <v>#N/A</v>
      </c>
      <c r="G9498" t="e">
        <f t="shared" si="1578"/>
        <v>#N/A</v>
      </c>
    </row>
    <row r="9499" spans="1:7" x14ac:dyDescent="0.25">
      <c r="A9499" s="1">
        <f t="shared" si="1577"/>
        <v>45488</v>
      </c>
      <c r="B9499" s="36"/>
      <c r="E9499" s="5" t="e">
        <f>Table4[[#This Row],[qty]]*(VLOOKUP(Table4[[#This Row],[item_sold]],Table1[],5,FALSE))</f>
        <v>#N/A</v>
      </c>
      <c r="F9499" s="5" t="e">
        <f>(VLOOKUP(Table4[[#This Row],[item_sold]],Table1[],4,FALSE))*Table4[[#This Row],[qty]]</f>
        <v>#N/A</v>
      </c>
      <c r="G9499" t="e">
        <f t="shared" si="1578"/>
        <v>#N/A</v>
      </c>
    </row>
    <row r="9500" spans="1:7" x14ac:dyDescent="0.25">
      <c r="A9500" s="1">
        <f t="shared" si="1577"/>
        <v>45488</v>
      </c>
      <c r="B9500" s="36"/>
      <c r="E9500" s="5" t="e">
        <f>Table4[[#This Row],[qty]]*(VLOOKUP(Table4[[#This Row],[item_sold]],Table1[],5,FALSE))</f>
        <v>#N/A</v>
      </c>
      <c r="F9500" s="5" t="e">
        <f>(VLOOKUP(Table4[[#This Row],[item_sold]],Table1[],4,FALSE))*Table4[[#This Row],[qty]]</f>
        <v>#N/A</v>
      </c>
      <c r="G9500" t="e">
        <f t="shared" si="1578"/>
        <v>#N/A</v>
      </c>
    </row>
    <row r="9501" spans="1:7" x14ac:dyDescent="0.25">
      <c r="A9501" s="1">
        <f t="shared" si="1577"/>
        <v>45488</v>
      </c>
      <c r="B9501" s="36"/>
      <c r="E9501" s="5" t="e">
        <f>Table4[[#This Row],[qty]]*(VLOOKUP(Table4[[#This Row],[item_sold]],Table1[],5,FALSE))</f>
        <v>#N/A</v>
      </c>
      <c r="F9501" s="5" t="e">
        <f>(VLOOKUP(Table4[[#This Row],[item_sold]],Table1[],4,FALSE))*Table4[[#This Row],[qty]]</f>
        <v>#N/A</v>
      </c>
      <c r="G9501" t="e">
        <f t="shared" si="1578"/>
        <v>#N/A</v>
      </c>
    </row>
    <row r="9502" spans="1:7" x14ac:dyDescent="0.25">
      <c r="A9502" s="1">
        <f t="shared" si="1577"/>
        <v>45488</v>
      </c>
      <c r="B9502" s="36"/>
      <c r="E9502" s="5" t="e">
        <f>Table4[[#This Row],[qty]]*(VLOOKUP(Table4[[#This Row],[item_sold]],Table1[],5,FALSE))</f>
        <v>#N/A</v>
      </c>
      <c r="F9502" s="5" t="e">
        <f>(VLOOKUP(Table4[[#This Row],[item_sold]],Table1[],4,FALSE))*Table4[[#This Row],[qty]]</f>
        <v>#N/A</v>
      </c>
      <c r="G9502" t="e">
        <f t="shared" si="1578"/>
        <v>#N/A</v>
      </c>
    </row>
    <row r="9503" spans="1:7" x14ac:dyDescent="0.25">
      <c r="A9503" s="1">
        <f t="shared" si="1577"/>
        <v>45488</v>
      </c>
      <c r="B9503" s="36"/>
      <c r="E9503" s="5" t="e">
        <f>Table4[[#This Row],[qty]]*(VLOOKUP(Table4[[#This Row],[item_sold]],Table1[],5,FALSE))</f>
        <v>#N/A</v>
      </c>
      <c r="F9503" s="5" t="e">
        <f>(VLOOKUP(Table4[[#This Row],[item_sold]],Table1[],4,FALSE))*Table4[[#This Row],[qty]]</f>
        <v>#N/A</v>
      </c>
      <c r="G9503" t="e">
        <f t="shared" si="1578"/>
        <v>#N/A</v>
      </c>
    </row>
    <row r="9504" spans="1:7" x14ac:dyDescent="0.25">
      <c r="A9504" s="1">
        <f t="shared" si="1577"/>
        <v>45488</v>
      </c>
      <c r="B9504" s="36"/>
      <c r="E9504" s="5" t="e">
        <f>Table4[[#This Row],[qty]]*(VLOOKUP(Table4[[#This Row],[item_sold]],Table1[],5,FALSE))</f>
        <v>#N/A</v>
      </c>
      <c r="F9504" s="5" t="e">
        <f>(VLOOKUP(Table4[[#This Row],[item_sold]],Table1[],4,FALSE))*Table4[[#This Row],[qty]]</f>
        <v>#N/A</v>
      </c>
      <c r="G9504" t="e">
        <f t="shared" si="1578"/>
        <v>#N/A</v>
      </c>
    </row>
    <row r="9505" spans="1:7" x14ac:dyDescent="0.25">
      <c r="A9505" s="1">
        <f t="shared" si="1577"/>
        <v>45488</v>
      </c>
      <c r="B9505" s="36"/>
      <c r="E9505" s="5" t="e">
        <f>Table4[[#This Row],[qty]]*(VLOOKUP(Table4[[#This Row],[item_sold]],Table1[],5,FALSE))</f>
        <v>#N/A</v>
      </c>
      <c r="F9505" s="5" t="e">
        <f>(VLOOKUP(Table4[[#This Row],[item_sold]],Table1[],4,FALSE))*Table4[[#This Row],[qty]]</f>
        <v>#N/A</v>
      </c>
      <c r="G9505" t="e">
        <f t="shared" si="1578"/>
        <v>#N/A</v>
      </c>
    </row>
    <row r="9506" spans="1:7" x14ac:dyDescent="0.25">
      <c r="A9506" s="1">
        <f t="shared" si="1577"/>
        <v>45488</v>
      </c>
      <c r="B9506" s="36"/>
      <c r="E9506" s="5" t="e">
        <f>Table4[[#This Row],[qty]]*(VLOOKUP(Table4[[#This Row],[item_sold]],Table1[],5,FALSE))</f>
        <v>#N/A</v>
      </c>
      <c r="F9506" s="5" t="e">
        <f>(VLOOKUP(Table4[[#This Row],[item_sold]],Table1[],4,FALSE))*Table4[[#This Row],[qty]]</f>
        <v>#N/A</v>
      </c>
      <c r="G9506" t="e">
        <f t="shared" si="1578"/>
        <v>#N/A</v>
      </c>
    </row>
    <row r="9507" spans="1:7" x14ac:dyDescent="0.25">
      <c r="A9507" s="1">
        <f t="shared" si="1577"/>
        <v>45488</v>
      </c>
      <c r="B9507" s="36"/>
      <c r="E9507" s="5" t="e">
        <f>Table4[[#This Row],[qty]]*(VLOOKUP(Table4[[#This Row],[item_sold]],Table1[],5,FALSE))</f>
        <v>#N/A</v>
      </c>
      <c r="F9507" s="5" t="e">
        <f>(VLOOKUP(Table4[[#This Row],[item_sold]],Table1[],4,FALSE))*Table4[[#This Row],[qty]]</f>
        <v>#N/A</v>
      </c>
      <c r="G9507" t="e">
        <f t="shared" si="1578"/>
        <v>#N/A</v>
      </c>
    </row>
    <row r="9508" spans="1:7" x14ac:dyDescent="0.25">
      <c r="A9508" s="1">
        <f t="shared" si="1577"/>
        <v>45488</v>
      </c>
      <c r="B9508" s="36"/>
      <c r="E9508" s="5" t="e">
        <f>Table4[[#This Row],[qty]]*(VLOOKUP(Table4[[#This Row],[item_sold]],Table1[],5,FALSE))</f>
        <v>#N/A</v>
      </c>
      <c r="F9508" s="5" t="e">
        <f>(VLOOKUP(Table4[[#This Row],[item_sold]],Table1[],4,FALSE))*Table4[[#This Row],[qty]]</f>
        <v>#N/A</v>
      </c>
      <c r="G9508" t="e">
        <f t="shared" si="1578"/>
        <v>#N/A</v>
      </c>
    </row>
    <row r="9509" spans="1:7" x14ac:dyDescent="0.25">
      <c r="A9509" s="1">
        <f t="shared" si="1577"/>
        <v>45488</v>
      </c>
      <c r="B9509" s="36"/>
      <c r="E9509" s="5" t="e">
        <f>Table4[[#This Row],[qty]]*(VLOOKUP(Table4[[#This Row],[item_sold]],Table1[],5,FALSE))</f>
        <v>#N/A</v>
      </c>
      <c r="F9509" s="5" t="e">
        <f>(VLOOKUP(Table4[[#This Row],[item_sold]],Table1[],4,FALSE))*Table4[[#This Row],[qty]]</f>
        <v>#N/A</v>
      </c>
      <c r="G9509" t="e">
        <f t="shared" si="1578"/>
        <v>#N/A</v>
      </c>
    </row>
    <row r="9510" spans="1:7" x14ac:dyDescent="0.25">
      <c r="A9510" s="1">
        <f t="shared" si="1577"/>
        <v>45488</v>
      </c>
      <c r="B9510" s="36"/>
      <c r="E9510" s="5" t="e">
        <f>Table4[[#This Row],[qty]]*(VLOOKUP(Table4[[#This Row],[item_sold]],Table1[],5,FALSE))</f>
        <v>#N/A</v>
      </c>
      <c r="F9510" s="5" t="e">
        <f>(VLOOKUP(Table4[[#This Row],[item_sold]],Table1[],4,FALSE))*Table4[[#This Row],[qty]]</f>
        <v>#N/A</v>
      </c>
      <c r="G9510" t="e">
        <f t="shared" si="1578"/>
        <v>#N/A</v>
      </c>
    </row>
    <row r="9511" spans="1:7" x14ac:dyDescent="0.25">
      <c r="A9511" s="1">
        <f t="shared" si="1577"/>
        <v>45488</v>
      </c>
      <c r="B9511" s="36"/>
      <c r="E9511" s="5" t="e">
        <f>Table4[[#This Row],[qty]]*(VLOOKUP(Table4[[#This Row],[item_sold]],Table1[],5,FALSE))</f>
        <v>#N/A</v>
      </c>
      <c r="F9511" s="5" t="e">
        <f>(VLOOKUP(Table4[[#This Row],[item_sold]],Table1[],4,FALSE))*Table4[[#This Row],[qty]]</f>
        <v>#N/A</v>
      </c>
      <c r="G9511" t="e">
        <f t="shared" si="1578"/>
        <v>#N/A</v>
      </c>
    </row>
    <row r="9512" spans="1:7" x14ac:dyDescent="0.25">
      <c r="A9512" s="1">
        <f t="shared" si="1577"/>
        <v>45488</v>
      </c>
      <c r="B9512" s="36"/>
      <c r="E9512" s="5" t="e">
        <f>Table4[[#This Row],[qty]]*(VLOOKUP(Table4[[#This Row],[item_sold]],Table1[],5,FALSE))</f>
        <v>#N/A</v>
      </c>
      <c r="F9512" s="5" t="e">
        <f>(VLOOKUP(Table4[[#This Row],[item_sold]],Table1[],4,FALSE))*Table4[[#This Row],[qty]]</f>
        <v>#N/A</v>
      </c>
      <c r="G9512" t="e">
        <f t="shared" si="1578"/>
        <v>#N/A</v>
      </c>
    </row>
    <row r="9513" spans="1:7" x14ac:dyDescent="0.25">
      <c r="A9513" s="1">
        <f t="shared" si="1577"/>
        <v>45488</v>
      </c>
      <c r="B9513" s="36"/>
      <c r="E9513" s="5" t="e">
        <f>Table4[[#This Row],[qty]]*(VLOOKUP(Table4[[#This Row],[item_sold]],Table1[],5,FALSE))</f>
        <v>#N/A</v>
      </c>
      <c r="F9513" s="5" t="e">
        <f>(VLOOKUP(Table4[[#This Row],[item_sold]],Table1[],4,FALSE))*Table4[[#This Row],[qty]]</f>
        <v>#N/A</v>
      </c>
      <c r="G9513" t="e">
        <f t="shared" si="1578"/>
        <v>#N/A</v>
      </c>
    </row>
    <row r="9514" spans="1:7" x14ac:dyDescent="0.25">
      <c r="A9514" s="1">
        <f t="shared" si="1577"/>
        <v>45488</v>
      </c>
      <c r="B9514" s="36"/>
      <c r="E9514" s="5" t="e">
        <f>Table4[[#This Row],[qty]]*(VLOOKUP(Table4[[#This Row],[item_sold]],Table1[],5,FALSE))</f>
        <v>#N/A</v>
      </c>
      <c r="F9514" s="5" t="e">
        <f>(VLOOKUP(Table4[[#This Row],[item_sold]],Table1[],4,FALSE))*Table4[[#This Row],[qty]]</f>
        <v>#N/A</v>
      </c>
      <c r="G9514" t="e">
        <f t="shared" si="1578"/>
        <v>#N/A</v>
      </c>
    </row>
    <row r="9515" spans="1:7" x14ac:dyDescent="0.25">
      <c r="A9515" s="1">
        <f t="shared" si="1577"/>
        <v>45488</v>
      </c>
      <c r="B9515" s="36"/>
      <c r="E9515" s="5" t="e">
        <f>Table4[[#This Row],[qty]]*(VLOOKUP(Table4[[#This Row],[item_sold]],Table1[],5,FALSE))</f>
        <v>#N/A</v>
      </c>
      <c r="F9515" s="5" t="e">
        <f>(VLOOKUP(Table4[[#This Row],[item_sold]],Table1[],4,FALSE))*Table4[[#This Row],[qty]]</f>
        <v>#N/A</v>
      </c>
      <c r="G9515" t="e">
        <f t="shared" si="1578"/>
        <v>#N/A</v>
      </c>
    </row>
    <row r="9516" spans="1:7" x14ac:dyDescent="0.25">
      <c r="A9516" s="1">
        <f t="shared" si="1577"/>
        <v>45488</v>
      </c>
      <c r="B9516" s="36"/>
      <c r="E9516" s="5" t="e">
        <f>Table4[[#This Row],[qty]]*(VLOOKUP(Table4[[#This Row],[item_sold]],Table1[],5,FALSE))</f>
        <v>#N/A</v>
      </c>
      <c r="F9516" s="5" t="e">
        <f>(VLOOKUP(Table4[[#This Row],[item_sold]],Table1[],4,FALSE))*Table4[[#This Row],[qty]]</f>
        <v>#N/A</v>
      </c>
      <c r="G9516" t="e">
        <f t="shared" si="1578"/>
        <v>#N/A</v>
      </c>
    </row>
    <row r="9517" spans="1:7" x14ac:dyDescent="0.25">
      <c r="A9517" s="1">
        <f t="shared" si="1577"/>
        <v>45488</v>
      </c>
      <c r="B9517" s="36"/>
      <c r="E9517" s="5" t="e">
        <f>Table4[[#This Row],[qty]]*(VLOOKUP(Table4[[#This Row],[item_sold]],Table1[],5,FALSE))</f>
        <v>#N/A</v>
      </c>
      <c r="F9517" s="5" t="e">
        <f>(VLOOKUP(Table4[[#This Row],[item_sold]],Table1[],4,FALSE))*Table4[[#This Row],[qty]]</f>
        <v>#N/A</v>
      </c>
      <c r="G9517" t="e">
        <f t="shared" si="1578"/>
        <v>#N/A</v>
      </c>
    </row>
    <row r="9518" spans="1:7" x14ac:dyDescent="0.25">
      <c r="A9518" s="1">
        <f t="shared" si="1577"/>
        <v>45488</v>
      </c>
      <c r="B9518" s="36"/>
      <c r="E9518" s="5" t="e">
        <f>Table4[[#This Row],[qty]]*(VLOOKUP(Table4[[#This Row],[item_sold]],Table1[],5,FALSE))</f>
        <v>#N/A</v>
      </c>
      <c r="F9518" s="5" t="e">
        <f>(VLOOKUP(Table4[[#This Row],[item_sold]],Table1[],4,FALSE))*Table4[[#This Row],[qty]]</f>
        <v>#N/A</v>
      </c>
      <c r="G9518" t="e">
        <f t="shared" si="1578"/>
        <v>#N/A</v>
      </c>
    </row>
    <row r="9519" spans="1:7" x14ac:dyDescent="0.25">
      <c r="A9519" s="1">
        <f t="shared" si="1577"/>
        <v>45488</v>
      </c>
      <c r="B9519" s="36"/>
      <c r="E9519" s="5" t="e">
        <f>Table4[[#This Row],[qty]]*(VLOOKUP(Table4[[#This Row],[item_sold]],Table1[],5,FALSE))</f>
        <v>#N/A</v>
      </c>
      <c r="F9519" s="5" t="e">
        <f>(VLOOKUP(Table4[[#This Row],[item_sold]],Table1[],4,FALSE))*Table4[[#This Row],[qty]]</f>
        <v>#N/A</v>
      </c>
      <c r="G9519" t="e">
        <f t="shared" si="1578"/>
        <v>#N/A</v>
      </c>
    </row>
    <row r="9520" spans="1:7" x14ac:dyDescent="0.25">
      <c r="A9520" s="1">
        <f t="shared" si="1577"/>
        <v>45488</v>
      </c>
      <c r="B9520" s="36"/>
      <c r="E9520" s="5" t="e">
        <f>Table4[[#This Row],[qty]]*(VLOOKUP(Table4[[#This Row],[item_sold]],Table1[],5,FALSE))</f>
        <v>#N/A</v>
      </c>
      <c r="F9520" s="5" t="e">
        <f>(VLOOKUP(Table4[[#This Row],[item_sold]],Table1[],4,FALSE))*Table4[[#This Row],[qty]]</f>
        <v>#N/A</v>
      </c>
      <c r="G9520" t="e">
        <f t="shared" si="1578"/>
        <v>#N/A</v>
      </c>
    </row>
    <row r="9521" spans="1:7" x14ac:dyDescent="0.25">
      <c r="A9521" s="1">
        <f t="shared" si="1577"/>
        <v>45488</v>
      </c>
      <c r="B9521" s="36"/>
      <c r="E9521" s="5" t="e">
        <f>Table4[[#This Row],[qty]]*(VLOOKUP(Table4[[#This Row],[item_sold]],Table1[],5,FALSE))</f>
        <v>#N/A</v>
      </c>
      <c r="F9521" s="5" t="e">
        <f>(VLOOKUP(Table4[[#This Row],[item_sold]],Table1[],4,FALSE))*Table4[[#This Row],[qty]]</f>
        <v>#N/A</v>
      </c>
      <c r="G9521" t="e">
        <f t="shared" si="1578"/>
        <v>#N/A</v>
      </c>
    </row>
    <row r="9522" spans="1:7" x14ac:dyDescent="0.25">
      <c r="A9522" s="1">
        <f t="shared" si="1577"/>
        <v>45488</v>
      </c>
      <c r="B9522" s="36"/>
      <c r="E9522" s="5" t="e">
        <f>Table4[[#This Row],[qty]]*(VLOOKUP(Table4[[#This Row],[item_sold]],Table1[],5,FALSE))</f>
        <v>#N/A</v>
      </c>
      <c r="F9522" s="5" t="e">
        <f>(VLOOKUP(Table4[[#This Row],[item_sold]],Table1[],4,FALSE))*Table4[[#This Row],[qty]]</f>
        <v>#N/A</v>
      </c>
      <c r="G9522" t="e">
        <f t="shared" si="1578"/>
        <v>#N/A</v>
      </c>
    </row>
    <row r="9523" spans="1:7" x14ac:dyDescent="0.25">
      <c r="A9523" s="1">
        <f t="shared" si="1577"/>
        <v>45488</v>
      </c>
      <c r="B9523" s="36"/>
      <c r="E9523" s="5" t="e">
        <f>Table4[[#This Row],[qty]]*(VLOOKUP(Table4[[#This Row],[item_sold]],Table1[],5,FALSE))</f>
        <v>#N/A</v>
      </c>
      <c r="F9523" s="5" t="e">
        <f>(VLOOKUP(Table4[[#This Row],[item_sold]],Table1[],4,FALSE))*Table4[[#This Row],[qty]]</f>
        <v>#N/A</v>
      </c>
      <c r="G9523" t="e">
        <f t="shared" si="1578"/>
        <v>#N/A</v>
      </c>
    </row>
    <row r="9524" spans="1:7" x14ac:dyDescent="0.25">
      <c r="A9524" s="1">
        <f t="shared" si="1577"/>
        <v>45488</v>
      </c>
      <c r="B9524" s="36"/>
      <c r="E9524" s="5" t="e">
        <f>Table4[[#This Row],[qty]]*(VLOOKUP(Table4[[#This Row],[item_sold]],Table1[],5,FALSE))</f>
        <v>#N/A</v>
      </c>
      <c r="F9524" s="5" t="e">
        <f>(VLOOKUP(Table4[[#This Row],[item_sold]],Table1[],4,FALSE))*Table4[[#This Row],[qty]]</f>
        <v>#N/A</v>
      </c>
      <c r="G9524" t="e">
        <f t="shared" si="1578"/>
        <v>#N/A</v>
      </c>
    </row>
    <row r="9525" spans="1:7" x14ac:dyDescent="0.25">
      <c r="A9525" s="1">
        <f t="shared" si="1577"/>
        <v>45488</v>
      </c>
      <c r="B9525" s="36"/>
      <c r="E9525" s="5" t="e">
        <f>Table4[[#This Row],[qty]]*(VLOOKUP(Table4[[#This Row],[item_sold]],Table1[],5,FALSE))</f>
        <v>#N/A</v>
      </c>
      <c r="F9525" s="5" t="e">
        <f>(VLOOKUP(Table4[[#This Row],[item_sold]],Table1[],4,FALSE))*Table4[[#This Row],[qty]]</f>
        <v>#N/A</v>
      </c>
      <c r="G9525" t="e">
        <f t="shared" si="1578"/>
        <v>#N/A</v>
      </c>
    </row>
    <row r="9526" spans="1:7" x14ac:dyDescent="0.25">
      <c r="A9526" s="1">
        <f t="shared" si="1577"/>
        <v>45488</v>
      </c>
      <c r="B9526" s="36"/>
      <c r="E9526" s="5" t="e">
        <f>Table4[[#This Row],[qty]]*(VLOOKUP(Table4[[#This Row],[item_sold]],Table1[],5,FALSE))</f>
        <v>#N/A</v>
      </c>
      <c r="F9526" s="5" t="e">
        <f>(VLOOKUP(Table4[[#This Row],[item_sold]],Table1[],4,FALSE))*Table4[[#This Row],[qty]]</f>
        <v>#N/A</v>
      </c>
      <c r="G9526" t="e">
        <f t="shared" si="1578"/>
        <v>#N/A</v>
      </c>
    </row>
    <row r="9527" spans="1:7" x14ac:dyDescent="0.25">
      <c r="A9527" s="1">
        <f t="shared" si="1577"/>
        <v>45488</v>
      </c>
      <c r="B9527" s="36"/>
      <c r="E9527" s="5" t="e">
        <f>Table4[[#This Row],[qty]]*(VLOOKUP(Table4[[#This Row],[item_sold]],Table1[],5,FALSE))</f>
        <v>#N/A</v>
      </c>
      <c r="F9527" s="5" t="e">
        <f>(VLOOKUP(Table4[[#This Row],[item_sold]],Table1[],4,FALSE))*Table4[[#This Row],[qty]]</f>
        <v>#N/A</v>
      </c>
      <c r="G9527" t="e">
        <f t="shared" si="1578"/>
        <v>#N/A</v>
      </c>
    </row>
    <row r="9528" spans="1:7" x14ac:dyDescent="0.25">
      <c r="A9528" s="1">
        <f t="shared" si="1577"/>
        <v>45488</v>
      </c>
      <c r="B9528" s="36"/>
      <c r="E9528" s="5" t="e">
        <f>Table4[[#This Row],[qty]]*(VLOOKUP(Table4[[#This Row],[item_sold]],Table1[],5,FALSE))</f>
        <v>#N/A</v>
      </c>
      <c r="F9528" s="5" t="e">
        <f>(VLOOKUP(Table4[[#This Row],[item_sold]],Table1[],4,FALSE))*Table4[[#This Row],[qty]]</f>
        <v>#N/A</v>
      </c>
      <c r="G9528" t="e">
        <f t="shared" si="1578"/>
        <v>#N/A</v>
      </c>
    </row>
    <row r="9529" spans="1:7" x14ac:dyDescent="0.25">
      <c r="A9529" s="1">
        <f t="shared" si="1577"/>
        <v>45488</v>
      </c>
      <c r="B9529" s="36"/>
      <c r="E9529" s="5" t="e">
        <f>Table4[[#This Row],[qty]]*(VLOOKUP(Table4[[#This Row],[item_sold]],Table1[],5,FALSE))</f>
        <v>#N/A</v>
      </c>
      <c r="F9529" s="5" t="e">
        <f>(VLOOKUP(Table4[[#This Row],[item_sold]],Table1[],4,FALSE))*Table4[[#This Row],[qty]]</f>
        <v>#N/A</v>
      </c>
      <c r="G9529" t="e">
        <f t="shared" si="1578"/>
        <v>#N/A</v>
      </c>
    </row>
    <row r="9530" spans="1:7" x14ac:dyDescent="0.25">
      <c r="A9530" s="1">
        <f t="shared" si="1577"/>
        <v>45488</v>
      </c>
      <c r="B9530" s="36"/>
      <c r="E9530" s="5" t="e">
        <f>Table4[[#This Row],[qty]]*(VLOOKUP(Table4[[#This Row],[item_sold]],Table1[],5,FALSE))</f>
        <v>#N/A</v>
      </c>
      <c r="F9530" s="5" t="e">
        <f>(VLOOKUP(Table4[[#This Row],[item_sold]],Table1[],4,FALSE))*Table4[[#This Row],[qty]]</f>
        <v>#N/A</v>
      </c>
      <c r="G9530" t="e">
        <f t="shared" si="1578"/>
        <v>#N/A</v>
      </c>
    </row>
    <row r="9531" spans="1:7" x14ac:dyDescent="0.25">
      <c r="A9531" s="1">
        <f t="shared" si="1577"/>
        <v>45488</v>
      </c>
      <c r="B9531" s="36"/>
      <c r="E9531" s="5" t="e">
        <f>Table4[[#This Row],[qty]]*(VLOOKUP(Table4[[#This Row],[item_sold]],Table1[],5,FALSE))</f>
        <v>#N/A</v>
      </c>
      <c r="F9531" s="5" t="e">
        <f>(VLOOKUP(Table4[[#This Row],[item_sold]],Table1[],4,FALSE))*Table4[[#This Row],[qty]]</f>
        <v>#N/A</v>
      </c>
      <c r="G9531" t="e">
        <f t="shared" si="1578"/>
        <v>#N/A</v>
      </c>
    </row>
    <row r="9532" spans="1:7" x14ac:dyDescent="0.25">
      <c r="A9532" s="1">
        <f t="shared" si="1577"/>
        <v>45488</v>
      </c>
      <c r="B9532" s="36"/>
      <c r="E9532" s="5" t="e">
        <f>Table4[[#This Row],[qty]]*(VLOOKUP(Table4[[#This Row],[item_sold]],Table1[],5,FALSE))</f>
        <v>#N/A</v>
      </c>
      <c r="F9532" s="5" t="e">
        <f>(VLOOKUP(Table4[[#This Row],[item_sold]],Table1[],4,FALSE))*Table4[[#This Row],[qty]]</f>
        <v>#N/A</v>
      </c>
      <c r="G9532" t="e">
        <f t="shared" si="1578"/>
        <v>#N/A</v>
      </c>
    </row>
    <row r="9533" spans="1:7" x14ac:dyDescent="0.25">
      <c r="A9533" s="1">
        <f t="shared" si="1577"/>
        <v>45488</v>
      </c>
      <c r="B9533" s="36"/>
      <c r="E9533" s="5" t="e">
        <f>Table4[[#This Row],[qty]]*(VLOOKUP(Table4[[#This Row],[item_sold]],Table1[],5,FALSE))</f>
        <v>#N/A</v>
      </c>
      <c r="F9533" s="5" t="e">
        <f>(VLOOKUP(Table4[[#This Row],[item_sold]],Table1[],4,FALSE))*Table4[[#This Row],[qty]]</f>
        <v>#N/A</v>
      </c>
      <c r="G9533" t="e">
        <f t="shared" si="1578"/>
        <v>#N/A</v>
      </c>
    </row>
    <row r="9534" spans="1:7" x14ac:dyDescent="0.25">
      <c r="A9534" s="1">
        <f t="shared" si="1577"/>
        <v>45488</v>
      </c>
      <c r="B9534" s="36"/>
      <c r="E9534" s="5" t="e">
        <f>Table4[[#This Row],[qty]]*(VLOOKUP(Table4[[#This Row],[item_sold]],Table1[],5,FALSE))</f>
        <v>#N/A</v>
      </c>
      <c r="F9534" s="5" t="e">
        <f>(VLOOKUP(Table4[[#This Row],[item_sold]],Table1[],4,FALSE))*Table4[[#This Row],[qty]]</f>
        <v>#N/A</v>
      </c>
      <c r="G9534" t="e">
        <f t="shared" si="1578"/>
        <v>#N/A</v>
      </c>
    </row>
    <row r="9535" spans="1:7" x14ac:dyDescent="0.25">
      <c r="A9535" s="1">
        <f t="shared" si="1577"/>
        <v>45488</v>
      </c>
      <c r="B9535" s="36"/>
      <c r="E9535" s="5" t="e">
        <f>Table4[[#This Row],[qty]]*(VLOOKUP(Table4[[#This Row],[item_sold]],Table1[],5,FALSE))</f>
        <v>#N/A</v>
      </c>
      <c r="F9535" s="5" t="e">
        <f>(VLOOKUP(Table4[[#This Row],[item_sold]],Table1[],4,FALSE))*Table4[[#This Row],[qty]]</f>
        <v>#N/A</v>
      </c>
      <c r="G9535" t="e">
        <f t="shared" si="1578"/>
        <v>#N/A</v>
      </c>
    </row>
    <row r="9536" spans="1:7" x14ac:dyDescent="0.25">
      <c r="A9536" s="1">
        <f t="shared" si="1577"/>
        <v>45488</v>
      </c>
      <c r="B9536" s="36"/>
      <c r="E9536" s="5" t="e">
        <f>Table4[[#This Row],[qty]]*(VLOOKUP(Table4[[#This Row],[item_sold]],Table1[],5,FALSE))</f>
        <v>#N/A</v>
      </c>
      <c r="F9536" s="5" t="e">
        <f>(VLOOKUP(Table4[[#This Row],[item_sold]],Table1[],4,FALSE))*Table4[[#This Row],[qty]]</f>
        <v>#N/A</v>
      </c>
      <c r="G9536" t="e">
        <f t="shared" si="1578"/>
        <v>#N/A</v>
      </c>
    </row>
    <row r="9537" spans="1:7" x14ac:dyDescent="0.25">
      <c r="A9537" s="1">
        <f t="shared" si="1577"/>
        <v>45488</v>
      </c>
      <c r="B9537" s="36"/>
      <c r="E9537" s="5" t="e">
        <f>Table4[[#This Row],[qty]]*(VLOOKUP(Table4[[#This Row],[item_sold]],Table1[],5,FALSE))</f>
        <v>#N/A</v>
      </c>
      <c r="F9537" s="5" t="e">
        <f>(VLOOKUP(Table4[[#This Row],[item_sold]],Table1[],4,FALSE))*Table4[[#This Row],[qty]]</f>
        <v>#N/A</v>
      </c>
      <c r="G9537" t="e">
        <f t="shared" si="1578"/>
        <v>#N/A</v>
      </c>
    </row>
    <row r="9538" spans="1:7" x14ac:dyDescent="0.25">
      <c r="A9538" s="1">
        <f t="shared" si="1577"/>
        <v>45488</v>
      </c>
      <c r="B9538" s="36"/>
      <c r="E9538" s="5" t="e">
        <f>Table4[[#This Row],[qty]]*(VLOOKUP(Table4[[#This Row],[item_sold]],Table1[],5,FALSE))</f>
        <v>#N/A</v>
      </c>
      <c r="F9538" s="5" t="e">
        <f>(VLOOKUP(Table4[[#This Row],[item_sold]],Table1[],4,FALSE))*Table4[[#This Row],[qty]]</f>
        <v>#N/A</v>
      </c>
      <c r="G9538" t="e">
        <f t="shared" si="1578"/>
        <v>#N/A</v>
      </c>
    </row>
    <row r="9539" spans="1:7" x14ac:dyDescent="0.25">
      <c r="A9539" s="1">
        <f t="shared" si="1577"/>
        <v>45488</v>
      </c>
      <c r="B9539" s="36"/>
      <c r="E9539" s="5" t="e">
        <f>Table4[[#This Row],[qty]]*(VLOOKUP(Table4[[#This Row],[item_sold]],Table1[],5,FALSE))</f>
        <v>#N/A</v>
      </c>
      <c r="F9539" s="5" t="e">
        <f>(VLOOKUP(Table4[[#This Row],[item_sold]],Table1[],4,FALSE))*Table4[[#This Row],[qty]]</f>
        <v>#N/A</v>
      </c>
      <c r="G9539" t="e">
        <f t="shared" si="1578"/>
        <v>#N/A</v>
      </c>
    </row>
    <row r="9540" spans="1:7" x14ac:dyDescent="0.25">
      <c r="A9540" s="1">
        <f t="shared" si="1577"/>
        <v>45488</v>
      </c>
      <c r="B9540" s="36"/>
      <c r="E9540" s="5" t="e">
        <f>Table4[[#This Row],[qty]]*(VLOOKUP(Table4[[#This Row],[item_sold]],Table1[],5,FALSE))</f>
        <v>#N/A</v>
      </c>
      <c r="F9540" s="5" t="e">
        <f>(VLOOKUP(Table4[[#This Row],[item_sold]],Table1[],4,FALSE))*Table4[[#This Row],[qty]]</f>
        <v>#N/A</v>
      </c>
      <c r="G9540" t="e">
        <f t="shared" si="1578"/>
        <v>#N/A</v>
      </c>
    </row>
    <row r="9541" spans="1:7" x14ac:dyDescent="0.25">
      <c r="A9541" s="1">
        <f t="shared" si="1577"/>
        <v>45488</v>
      </c>
      <c r="B9541" s="36"/>
      <c r="E9541" s="5" t="e">
        <f>Table4[[#This Row],[qty]]*(VLOOKUP(Table4[[#This Row],[item_sold]],Table1[],5,FALSE))</f>
        <v>#N/A</v>
      </c>
      <c r="F9541" s="5" t="e">
        <f>(VLOOKUP(Table4[[#This Row],[item_sold]],Table1[],4,FALSE))*Table4[[#This Row],[qty]]</f>
        <v>#N/A</v>
      </c>
      <c r="G9541" t="e">
        <f t="shared" si="1578"/>
        <v>#N/A</v>
      </c>
    </row>
    <row r="9542" spans="1:7" x14ac:dyDescent="0.25">
      <c r="A9542" s="1">
        <f t="shared" si="1577"/>
        <v>45488</v>
      </c>
      <c r="B9542" s="36"/>
      <c r="E9542" s="5" t="e">
        <f>Table4[[#This Row],[qty]]*(VLOOKUP(Table4[[#This Row],[item_sold]],Table1[],5,FALSE))</f>
        <v>#N/A</v>
      </c>
      <c r="F9542" s="5" t="e">
        <f>(VLOOKUP(Table4[[#This Row],[item_sold]],Table1[],4,FALSE))*Table4[[#This Row],[qty]]</f>
        <v>#N/A</v>
      </c>
      <c r="G9542" t="e">
        <f t="shared" si="1578"/>
        <v>#N/A</v>
      </c>
    </row>
    <row r="9543" spans="1:7" x14ac:dyDescent="0.25">
      <c r="A9543" s="1">
        <f t="shared" si="1577"/>
        <v>45488</v>
      </c>
      <c r="B9543" s="36"/>
      <c r="E9543" s="5" t="e">
        <f>Table4[[#This Row],[qty]]*(VLOOKUP(Table4[[#This Row],[item_sold]],Table1[],5,FALSE))</f>
        <v>#N/A</v>
      </c>
      <c r="F9543" s="5" t="e">
        <f>(VLOOKUP(Table4[[#This Row],[item_sold]],Table1[],4,FALSE))*Table4[[#This Row],[qty]]</f>
        <v>#N/A</v>
      </c>
      <c r="G9543" t="e">
        <f t="shared" si="1578"/>
        <v>#N/A</v>
      </c>
    </row>
    <row r="9544" spans="1:7" x14ac:dyDescent="0.25">
      <c r="A9544" s="1">
        <f t="shared" si="1577"/>
        <v>45488</v>
      </c>
      <c r="B9544" s="36"/>
      <c r="E9544" s="5" t="e">
        <f>Table4[[#This Row],[qty]]*(VLOOKUP(Table4[[#This Row],[item_sold]],Table1[],5,FALSE))</f>
        <v>#N/A</v>
      </c>
      <c r="F9544" s="5" t="e">
        <f>(VLOOKUP(Table4[[#This Row],[item_sold]],Table1[],4,FALSE))*Table4[[#This Row],[qty]]</f>
        <v>#N/A</v>
      </c>
      <c r="G9544" t="e">
        <f t="shared" si="1578"/>
        <v>#N/A</v>
      </c>
    </row>
    <row r="9545" spans="1:7" x14ac:dyDescent="0.25">
      <c r="A9545" s="1">
        <f t="shared" si="1577"/>
        <v>45488</v>
      </c>
      <c r="B9545" s="36"/>
      <c r="E9545" s="5" t="e">
        <f>Table4[[#This Row],[qty]]*(VLOOKUP(Table4[[#This Row],[item_sold]],Table1[],5,FALSE))</f>
        <v>#N/A</v>
      </c>
      <c r="F9545" s="5" t="e">
        <f>(VLOOKUP(Table4[[#This Row],[item_sold]],Table1[],4,FALSE))*Table4[[#This Row],[qty]]</f>
        <v>#N/A</v>
      </c>
      <c r="G9545" t="e">
        <f t="shared" si="1578"/>
        <v>#N/A</v>
      </c>
    </row>
    <row r="9546" spans="1:7" x14ac:dyDescent="0.25">
      <c r="A9546" s="1">
        <f t="shared" si="1577"/>
        <v>45488</v>
      </c>
      <c r="B9546" s="36"/>
      <c r="E9546" s="5" t="e">
        <f>Table4[[#This Row],[qty]]*(VLOOKUP(Table4[[#This Row],[item_sold]],Table1[],5,FALSE))</f>
        <v>#N/A</v>
      </c>
      <c r="F9546" s="5" t="e">
        <f>(VLOOKUP(Table4[[#This Row],[item_sold]],Table1[],4,FALSE))*Table4[[#This Row],[qty]]</f>
        <v>#N/A</v>
      </c>
      <c r="G9546" t="e">
        <f t="shared" si="1578"/>
        <v>#N/A</v>
      </c>
    </row>
    <row r="9547" spans="1:7" x14ac:dyDescent="0.25">
      <c r="A9547" s="1">
        <f t="shared" si="1577"/>
        <v>45488</v>
      </c>
      <c r="B9547" s="36"/>
      <c r="E9547" s="5" t="e">
        <f>Table4[[#This Row],[qty]]*(VLOOKUP(Table4[[#This Row],[item_sold]],Table1[],5,FALSE))</f>
        <v>#N/A</v>
      </c>
      <c r="F9547" s="5" t="e">
        <f>(VLOOKUP(Table4[[#This Row],[item_sold]],Table1[],4,FALSE))*Table4[[#This Row],[qty]]</f>
        <v>#N/A</v>
      </c>
      <c r="G9547" t="e">
        <f t="shared" si="1578"/>
        <v>#N/A</v>
      </c>
    </row>
    <row r="9548" spans="1:7" x14ac:dyDescent="0.25">
      <c r="A9548" s="1">
        <f t="shared" si="1577"/>
        <v>45488</v>
      </c>
      <c r="B9548" s="36"/>
      <c r="E9548" s="5" t="e">
        <f>Table4[[#This Row],[qty]]*(VLOOKUP(Table4[[#This Row],[item_sold]],Table1[],5,FALSE))</f>
        <v>#N/A</v>
      </c>
      <c r="F9548" s="5" t="e">
        <f>(VLOOKUP(Table4[[#This Row],[item_sold]],Table1[],4,FALSE))*Table4[[#This Row],[qty]]</f>
        <v>#N/A</v>
      </c>
      <c r="G9548" t="e">
        <f t="shared" si="1578"/>
        <v>#N/A</v>
      </c>
    </row>
    <row r="9549" spans="1:7" x14ac:dyDescent="0.25">
      <c r="A9549" s="1">
        <f t="shared" si="1577"/>
        <v>45488</v>
      </c>
      <c r="B9549" s="36"/>
      <c r="E9549" s="5" t="e">
        <f>Table4[[#This Row],[qty]]*(VLOOKUP(Table4[[#This Row],[item_sold]],Table1[],5,FALSE))</f>
        <v>#N/A</v>
      </c>
      <c r="F9549" s="5" t="e">
        <f>(VLOOKUP(Table4[[#This Row],[item_sold]],Table1[],4,FALSE))*Table4[[#This Row],[qty]]</f>
        <v>#N/A</v>
      </c>
      <c r="G9549" t="e">
        <f t="shared" si="1578"/>
        <v>#N/A</v>
      </c>
    </row>
    <row r="9550" spans="1:7" x14ac:dyDescent="0.25">
      <c r="A9550" s="1">
        <f t="shared" si="1577"/>
        <v>45488</v>
      </c>
      <c r="B9550" s="36"/>
      <c r="E9550" s="5" t="e">
        <f>Table4[[#This Row],[qty]]*(VLOOKUP(Table4[[#This Row],[item_sold]],Table1[],5,FALSE))</f>
        <v>#N/A</v>
      </c>
      <c r="F9550" s="5" t="e">
        <f>(VLOOKUP(Table4[[#This Row],[item_sold]],Table1[],4,FALSE))*Table4[[#This Row],[qty]]</f>
        <v>#N/A</v>
      </c>
      <c r="G9550" t="e">
        <f t="shared" si="1578"/>
        <v>#N/A</v>
      </c>
    </row>
    <row r="9551" spans="1:7" x14ac:dyDescent="0.25">
      <c r="A9551" s="1">
        <f t="shared" si="1577"/>
        <v>45488</v>
      </c>
      <c r="B9551" s="36"/>
      <c r="E9551" s="5" t="e">
        <f>Table4[[#This Row],[qty]]*(VLOOKUP(Table4[[#This Row],[item_sold]],Table1[],5,FALSE))</f>
        <v>#N/A</v>
      </c>
      <c r="F9551" s="5" t="e">
        <f>(VLOOKUP(Table4[[#This Row],[item_sold]],Table1[],4,FALSE))*Table4[[#This Row],[qty]]</f>
        <v>#N/A</v>
      </c>
      <c r="G9551" t="e">
        <f t="shared" si="1578"/>
        <v>#N/A</v>
      </c>
    </row>
    <row r="9552" spans="1:7" x14ac:dyDescent="0.25">
      <c r="A9552" s="1">
        <f t="shared" si="1577"/>
        <v>45488</v>
      </c>
      <c r="B9552" s="36"/>
      <c r="E9552" s="5" t="e">
        <f>Table4[[#This Row],[qty]]*(VLOOKUP(Table4[[#This Row],[item_sold]],Table1[],5,FALSE))</f>
        <v>#N/A</v>
      </c>
      <c r="F9552" s="5" t="e">
        <f>(VLOOKUP(Table4[[#This Row],[item_sold]],Table1[],4,FALSE))*Table4[[#This Row],[qty]]</f>
        <v>#N/A</v>
      </c>
      <c r="G9552" t="e">
        <f t="shared" si="1578"/>
        <v>#N/A</v>
      </c>
    </row>
    <row r="9553" spans="1:7" x14ac:dyDescent="0.25">
      <c r="A9553" s="1">
        <f t="shared" si="1577"/>
        <v>45488</v>
      </c>
      <c r="B9553" s="36"/>
      <c r="E9553" s="5" t="e">
        <f>Table4[[#This Row],[qty]]*(VLOOKUP(Table4[[#This Row],[item_sold]],Table1[],5,FALSE))</f>
        <v>#N/A</v>
      </c>
      <c r="F9553" s="5" t="e">
        <f>(VLOOKUP(Table4[[#This Row],[item_sold]],Table1[],4,FALSE))*Table4[[#This Row],[qty]]</f>
        <v>#N/A</v>
      </c>
      <c r="G9553" t="e">
        <f t="shared" si="1578"/>
        <v>#N/A</v>
      </c>
    </row>
    <row r="9554" spans="1:7" x14ac:dyDescent="0.25">
      <c r="A9554" s="1">
        <f t="shared" si="1577"/>
        <v>45488</v>
      </c>
      <c r="B9554" s="36"/>
      <c r="E9554" s="5" t="e">
        <f>Table4[[#This Row],[qty]]*(VLOOKUP(Table4[[#This Row],[item_sold]],Table1[],5,FALSE))</f>
        <v>#N/A</v>
      </c>
      <c r="F9554" s="5" t="e">
        <f>(VLOOKUP(Table4[[#This Row],[item_sold]],Table1[],4,FALSE))*Table4[[#This Row],[qty]]</f>
        <v>#N/A</v>
      </c>
      <c r="G9554" t="e">
        <f t="shared" si="1578"/>
        <v>#N/A</v>
      </c>
    </row>
    <row r="9555" spans="1:7" x14ac:dyDescent="0.25">
      <c r="A9555" s="1">
        <f t="shared" si="1577"/>
        <v>45488</v>
      </c>
      <c r="B9555" s="36"/>
      <c r="E9555" s="5" t="e">
        <f>Table4[[#This Row],[qty]]*(VLOOKUP(Table4[[#This Row],[item_sold]],Table1[],5,FALSE))</f>
        <v>#N/A</v>
      </c>
      <c r="F9555" s="5" t="e">
        <f>(VLOOKUP(Table4[[#This Row],[item_sold]],Table1[],4,FALSE))*Table4[[#This Row],[qty]]</f>
        <v>#N/A</v>
      </c>
      <c r="G9555" t="e">
        <f t="shared" si="1578"/>
        <v>#N/A</v>
      </c>
    </row>
    <row r="9556" spans="1:7" x14ac:dyDescent="0.25">
      <c r="A9556" s="1">
        <f t="shared" ref="A9556:A9618" si="1579">DATE(2024,7,15)</f>
        <v>45488</v>
      </c>
      <c r="B9556" s="36"/>
      <c r="E9556" s="5" t="e">
        <f>Table4[[#This Row],[qty]]*(VLOOKUP(Table4[[#This Row],[item_sold]],Table1[],5,FALSE))</f>
        <v>#N/A</v>
      </c>
      <c r="F9556" s="5" t="e">
        <f>(VLOOKUP(Table4[[#This Row],[item_sold]],Table1[],4,FALSE))*Table4[[#This Row],[qty]]</f>
        <v>#N/A</v>
      </c>
      <c r="G9556" t="e">
        <f t="shared" ref="G9556:G9618" si="1580">E9556-F9556</f>
        <v>#N/A</v>
      </c>
    </row>
    <row r="9557" spans="1:7" x14ac:dyDescent="0.25">
      <c r="A9557" s="1">
        <f t="shared" si="1579"/>
        <v>45488</v>
      </c>
      <c r="B9557" s="36"/>
      <c r="E9557" s="5" t="e">
        <f>Table4[[#This Row],[qty]]*(VLOOKUP(Table4[[#This Row],[item_sold]],Table1[],5,FALSE))</f>
        <v>#N/A</v>
      </c>
      <c r="F9557" s="5" t="e">
        <f>(VLOOKUP(Table4[[#This Row],[item_sold]],Table1[],4,FALSE))*Table4[[#This Row],[qty]]</f>
        <v>#N/A</v>
      </c>
      <c r="G9557" t="e">
        <f t="shared" si="1580"/>
        <v>#N/A</v>
      </c>
    </row>
    <row r="9558" spans="1:7" x14ac:dyDescent="0.25">
      <c r="A9558" s="1">
        <f t="shared" si="1579"/>
        <v>45488</v>
      </c>
      <c r="B9558" s="36"/>
      <c r="E9558" s="5" t="e">
        <f>Table4[[#This Row],[qty]]*(VLOOKUP(Table4[[#This Row],[item_sold]],Table1[],5,FALSE))</f>
        <v>#N/A</v>
      </c>
      <c r="F9558" s="5" t="e">
        <f>(VLOOKUP(Table4[[#This Row],[item_sold]],Table1[],4,FALSE))*Table4[[#This Row],[qty]]</f>
        <v>#N/A</v>
      </c>
      <c r="G9558" t="e">
        <f t="shared" si="1580"/>
        <v>#N/A</v>
      </c>
    </row>
    <row r="9559" spans="1:7" x14ac:dyDescent="0.25">
      <c r="A9559" s="1">
        <f t="shared" si="1579"/>
        <v>45488</v>
      </c>
      <c r="B9559" s="36"/>
      <c r="E9559" s="5" t="e">
        <f>Table4[[#This Row],[qty]]*(VLOOKUP(Table4[[#This Row],[item_sold]],Table1[],5,FALSE))</f>
        <v>#N/A</v>
      </c>
      <c r="F9559" s="5" t="e">
        <f>(VLOOKUP(Table4[[#This Row],[item_sold]],Table1[],4,FALSE))*Table4[[#This Row],[qty]]</f>
        <v>#N/A</v>
      </c>
      <c r="G9559" t="e">
        <f t="shared" si="1580"/>
        <v>#N/A</v>
      </c>
    </row>
    <row r="9560" spans="1:7" x14ac:dyDescent="0.25">
      <c r="A9560" s="1">
        <f t="shared" si="1579"/>
        <v>45488</v>
      </c>
      <c r="B9560" s="36"/>
      <c r="E9560" s="5" t="e">
        <f>Table4[[#This Row],[qty]]*(VLOOKUP(Table4[[#This Row],[item_sold]],Table1[],5,FALSE))</f>
        <v>#N/A</v>
      </c>
      <c r="F9560" s="5" t="e">
        <f>(VLOOKUP(Table4[[#This Row],[item_sold]],Table1[],4,FALSE))*Table4[[#This Row],[qty]]</f>
        <v>#N/A</v>
      </c>
      <c r="G9560" t="e">
        <f t="shared" si="1580"/>
        <v>#N/A</v>
      </c>
    </row>
    <row r="9561" spans="1:7" x14ac:dyDescent="0.25">
      <c r="A9561" s="1">
        <f t="shared" si="1579"/>
        <v>45488</v>
      </c>
      <c r="B9561" s="36"/>
      <c r="E9561" s="5" t="e">
        <f>Table4[[#This Row],[qty]]*(VLOOKUP(Table4[[#This Row],[item_sold]],Table1[],5,FALSE))</f>
        <v>#N/A</v>
      </c>
      <c r="F9561" s="5" t="e">
        <f>(VLOOKUP(Table4[[#This Row],[item_sold]],Table1[],4,FALSE))*Table4[[#This Row],[qty]]</f>
        <v>#N/A</v>
      </c>
      <c r="G9561" t="e">
        <f t="shared" si="1580"/>
        <v>#N/A</v>
      </c>
    </row>
    <row r="9562" spans="1:7" x14ac:dyDescent="0.25">
      <c r="A9562" s="1">
        <f t="shared" si="1579"/>
        <v>45488</v>
      </c>
      <c r="B9562" s="36"/>
      <c r="E9562" s="5" t="e">
        <f>Table4[[#This Row],[qty]]*(VLOOKUP(Table4[[#This Row],[item_sold]],Table1[],5,FALSE))</f>
        <v>#N/A</v>
      </c>
      <c r="F9562" s="5" t="e">
        <f>(VLOOKUP(Table4[[#This Row],[item_sold]],Table1[],4,FALSE))*Table4[[#This Row],[qty]]</f>
        <v>#N/A</v>
      </c>
      <c r="G9562" t="e">
        <f t="shared" si="1580"/>
        <v>#N/A</v>
      </c>
    </row>
    <row r="9563" spans="1:7" x14ac:dyDescent="0.25">
      <c r="A9563" s="1">
        <f t="shared" si="1579"/>
        <v>45488</v>
      </c>
      <c r="B9563" s="36"/>
      <c r="E9563" s="5" t="e">
        <f>Table4[[#This Row],[qty]]*(VLOOKUP(Table4[[#This Row],[item_sold]],Table1[],5,FALSE))</f>
        <v>#N/A</v>
      </c>
      <c r="F9563" s="5" t="e">
        <f>(VLOOKUP(Table4[[#This Row],[item_sold]],Table1[],4,FALSE))*Table4[[#This Row],[qty]]</f>
        <v>#N/A</v>
      </c>
      <c r="G9563" t="e">
        <f t="shared" si="1580"/>
        <v>#N/A</v>
      </c>
    </row>
    <row r="9564" spans="1:7" x14ac:dyDescent="0.25">
      <c r="A9564" s="1">
        <f t="shared" si="1579"/>
        <v>45488</v>
      </c>
      <c r="B9564" s="36"/>
      <c r="E9564" s="5" t="e">
        <f>Table4[[#This Row],[qty]]*(VLOOKUP(Table4[[#This Row],[item_sold]],Table1[],5,FALSE))</f>
        <v>#N/A</v>
      </c>
      <c r="F9564" s="5" t="e">
        <f>(VLOOKUP(Table4[[#This Row],[item_sold]],Table1[],4,FALSE))*Table4[[#This Row],[qty]]</f>
        <v>#N/A</v>
      </c>
      <c r="G9564" t="e">
        <f t="shared" si="1580"/>
        <v>#N/A</v>
      </c>
    </row>
    <row r="9565" spans="1:7" x14ac:dyDescent="0.25">
      <c r="A9565" s="1">
        <f t="shared" si="1579"/>
        <v>45488</v>
      </c>
      <c r="B9565" s="36"/>
      <c r="E9565" s="5" t="e">
        <f>Table4[[#This Row],[qty]]*(VLOOKUP(Table4[[#This Row],[item_sold]],Table1[],5,FALSE))</f>
        <v>#N/A</v>
      </c>
      <c r="F9565" s="5" t="e">
        <f>(VLOOKUP(Table4[[#This Row],[item_sold]],Table1[],4,FALSE))*Table4[[#This Row],[qty]]</f>
        <v>#N/A</v>
      </c>
      <c r="G9565" t="e">
        <f t="shared" si="1580"/>
        <v>#N/A</v>
      </c>
    </row>
    <row r="9566" spans="1:7" x14ac:dyDescent="0.25">
      <c r="A9566" s="1">
        <f t="shared" si="1579"/>
        <v>45488</v>
      </c>
      <c r="B9566" s="36"/>
      <c r="E9566" s="5" t="e">
        <f>Table4[[#This Row],[qty]]*(VLOOKUP(Table4[[#This Row],[item_sold]],Table1[],5,FALSE))</f>
        <v>#N/A</v>
      </c>
      <c r="F9566" s="5" t="e">
        <f>(VLOOKUP(Table4[[#This Row],[item_sold]],Table1[],4,FALSE))*Table4[[#This Row],[qty]]</f>
        <v>#N/A</v>
      </c>
      <c r="G9566" t="e">
        <f t="shared" si="1580"/>
        <v>#N/A</v>
      </c>
    </row>
    <row r="9567" spans="1:7" x14ac:dyDescent="0.25">
      <c r="A9567" s="1">
        <f t="shared" si="1579"/>
        <v>45488</v>
      </c>
      <c r="B9567" s="36"/>
      <c r="E9567" s="5" t="e">
        <f>Table4[[#This Row],[qty]]*(VLOOKUP(Table4[[#This Row],[item_sold]],Table1[],5,FALSE))</f>
        <v>#N/A</v>
      </c>
      <c r="F9567" s="5" t="e">
        <f>(VLOOKUP(Table4[[#This Row],[item_sold]],Table1[],4,FALSE))*Table4[[#This Row],[qty]]</f>
        <v>#N/A</v>
      </c>
      <c r="G9567" t="e">
        <f t="shared" si="1580"/>
        <v>#N/A</v>
      </c>
    </row>
    <row r="9568" spans="1:7" x14ac:dyDescent="0.25">
      <c r="A9568" s="1">
        <f t="shared" si="1579"/>
        <v>45488</v>
      </c>
      <c r="B9568" s="36"/>
      <c r="E9568" s="5" t="e">
        <f>Table4[[#This Row],[qty]]*(VLOOKUP(Table4[[#This Row],[item_sold]],Table1[],5,FALSE))</f>
        <v>#N/A</v>
      </c>
      <c r="F9568" s="5" t="e">
        <f>(VLOOKUP(Table4[[#This Row],[item_sold]],Table1[],4,FALSE))*Table4[[#This Row],[qty]]</f>
        <v>#N/A</v>
      </c>
      <c r="G9568" t="e">
        <f t="shared" si="1580"/>
        <v>#N/A</v>
      </c>
    </row>
    <row r="9569" spans="1:7" x14ac:dyDescent="0.25">
      <c r="A9569" s="1">
        <f t="shared" si="1579"/>
        <v>45488</v>
      </c>
      <c r="B9569" s="36"/>
      <c r="E9569" s="5" t="e">
        <f>Table4[[#This Row],[qty]]*(VLOOKUP(Table4[[#This Row],[item_sold]],Table1[],5,FALSE))</f>
        <v>#N/A</v>
      </c>
      <c r="F9569" s="5" t="e">
        <f>(VLOOKUP(Table4[[#This Row],[item_sold]],Table1[],4,FALSE))*Table4[[#This Row],[qty]]</f>
        <v>#N/A</v>
      </c>
      <c r="G9569" t="e">
        <f t="shared" si="1580"/>
        <v>#N/A</v>
      </c>
    </row>
    <row r="9570" spans="1:7" x14ac:dyDescent="0.25">
      <c r="A9570" s="1">
        <f t="shared" si="1579"/>
        <v>45488</v>
      </c>
      <c r="B9570" s="36"/>
      <c r="E9570" s="5" t="e">
        <f>Table4[[#This Row],[qty]]*(VLOOKUP(Table4[[#This Row],[item_sold]],Table1[],5,FALSE))</f>
        <v>#N/A</v>
      </c>
      <c r="F9570" s="5" t="e">
        <f>(VLOOKUP(Table4[[#This Row],[item_sold]],Table1[],4,FALSE))*Table4[[#This Row],[qty]]</f>
        <v>#N/A</v>
      </c>
      <c r="G9570" t="e">
        <f t="shared" si="1580"/>
        <v>#N/A</v>
      </c>
    </row>
    <row r="9571" spans="1:7" x14ac:dyDescent="0.25">
      <c r="A9571" s="1">
        <f t="shared" si="1579"/>
        <v>45488</v>
      </c>
      <c r="B9571" s="36"/>
      <c r="E9571" s="5" t="e">
        <f>Table4[[#This Row],[qty]]*(VLOOKUP(Table4[[#This Row],[item_sold]],Table1[],5,FALSE))</f>
        <v>#N/A</v>
      </c>
      <c r="F9571" s="5" t="e">
        <f>(VLOOKUP(Table4[[#This Row],[item_sold]],Table1[],4,FALSE))*Table4[[#This Row],[qty]]</f>
        <v>#N/A</v>
      </c>
      <c r="G9571" t="e">
        <f t="shared" si="1580"/>
        <v>#N/A</v>
      </c>
    </row>
    <row r="9572" spans="1:7" x14ac:dyDescent="0.25">
      <c r="A9572" s="1">
        <f t="shared" si="1579"/>
        <v>45488</v>
      </c>
      <c r="B9572" s="36"/>
      <c r="E9572" s="5" t="e">
        <f>Table4[[#This Row],[qty]]*(VLOOKUP(Table4[[#This Row],[item_sold]],Table1[],5,FALSE))</f>
        <v>#N/A</v>
      </c>
      <c r="F9572" s="5" t="e">
        <f>(VLOOKUP(Table4[[#This Row],[item_sold]],Table1[],4,FALSE))*Table4[[#This Row],[qty]]</f>
        <v>#N/A</v>
      </c>
      <c r="G9572" t="e">
        <f t="shared" si="1580"/>
        <v>#N/A</v>
      </c>
    </row>
    <row r="9573" spans="1:7" x14ac:dyDescent="0.25">
      <c r="A9573" s="1">
        <f t="shared" si="1579"/>
        <v>45488</v>
      </c>
      <c r="B9573" s="36"/>
      <c r="E9573" s="5" t="e">
        <f>Table4[[#This Row],[qty]]*(VLOOKUP(Table4[[#This Row],[item_sold]],Table1[],5,FALSE))</f>
        <v>#N/A</v>
      </c>
      <c r="F9573" s="5" t="e">
        <f>(VLOOKUP(Table4[[#This Row],[item_sold]],Table1[],4,FALSE))*Table4[[#This Row],[qty]]</f>
        <v>#N/A</v>
      </c>
      <c r="G9573" t="e">
        <f t="shared" si="1580"/>
        <v>#N/A</v>
      </c>
    </row>
    <row r="9574" spans="1:7" x14ac:dyDescent="0.25">
      <c r="A9574" s="1">
        <f t="shared" si="1579"/>
        <v>45488</v>
      </c>
      <c r="B9574" s="36"/>
      <c r="E9574" s="5" t="e">
        <f>Table4[[#This Row],[qty]]*(VLOOKUP(Table4[[#This Row],[item_sold]],Table1[],5,FALSE))</f>
        <v>#N/A</v>
      </c>
      <c r="F9574" s="5" t="e">
        <f>(VLOOKUP(Table4[[#This Row],[item_sold]],Table1[],4,FALSE))*Table4[[#This Row],[qty]]</f>
        <v>#N/A</v>
      </c>
      <c r="G9574" t="e">
        <f t="shared" si="1580"/>
        <v>#N/A</v>
      </c>
    </row>
    <row r="9575" spans="1:7" x14ac:dyDescent="0.25">
      <c r="A9575" s="1">
        <f t="shared" si="1579"/>
        <v>45488</v>
      </c>
      <c r="B9575" s="36"/>
      <c r="E9575" s="5" t="e">
        <f>Table4[[#This Row],[qty]]*(VLOOKUP(Table4[[#This Row],[item_sold]],Table1[],5,FALSE))</f>
        <v>#N/A</v>
      </c>
      <c r="F9575" s="5" t="e">
        <f>(VLOOKUP(Table4[[#This Row],[item_sold]],Table1[],4,FALSE))*Table4[[#This Row],[qty]]</f>
        <v>#N/A</v>
      </c>
      <c r="G9575" t="e">
        <f t="shared" si="1580"/>
        <v>#N/A</v>
      </c>
    </row>
    <row r="9576" spans="1:7" x14ac:dyDescent="0.25">
      <c r="A9576" s="1">
        <f t="shared" si="1579"/>
        <v>45488</v>
      </c>
      <c r="B9576" s="36"/>
      <c r="E9576" s="5" t="e">
        <f>Table4[[#This Row],[qty]]*(VLOOKUP(Table4[[#This Row],[item_sold]],Table1[],5,FALSE))</f>
        <v>#N/A</v>
      </c>
      <c r="F9576" s="5" t="e">
        <f>(VLOOKUP(Table4[[#This Row],[item_sold]],Table1[],4,FALSE))*Table4[[#This Row],[qty]]</f>
        <v>#N/A</v>
      </c>
      <c r="G9576" t="e">
        <f t="shared" si="1580"/>
        <v>#N/A</v>
      </c>
    </row>
    <row r="9577" spans="1:7" x14ac:dyDescent="0.25">
      <c r="A9577" s="1">
        <f t="shared" si="1579"/>
        <v>45488</v>
      </c>
      <c r="B9577" s="36"/>
      <c r="E9577" s="5" t="e">
        <f>Table4[[#This Row],[qty]]*(VLOOKUP(Table4[[#This Row],[item_sold]],Table1[],5,FALSE))</f>
        <v>#N/A</v>
      </c>
      <c r="F9577" s="5" t="e">
        <f>(VLOOKUP(Table4[[#This Row],[item_sold]],Table1[],4,FALSE))*Table4[[#This Row],[qty]]</f>
        <v>#N/A</v>
      </c>
      <c r="G9577" t="e">
        <f t="shared" si="1580"/>
        <v>#N/A</v>
      </c>
    </row>
    <row r="9578" spans="1:7" x14ac:dyDescent="0.25">
      <c r="A9578" s="1">
        <f t="shared" si="1579"/>
        <v>45488</v>
      </c>
      <c r="B9578" s="36"/>
      <c r="E9578" s="5" t="e">
        <f>Table4[[#This Row],[qty]]*(VLOOKUP(Table4[[#This Row],[item_sold]],Table1[],5,FALSE))</f>
        <v>#N/A</v>
      </c>
      <c r="F9578" s="5" t="e">
        <f>(VLOOKUP(Table4[[#This Row],[item_sold]],Table1[],4,FALSE))*Table4[[#This Row],[qty]]</f>
        <v>#N/A</v>
      </c>
      <c r="G9578" t="e">
        <f t="shared" si="1580"/>
        <v>#N/A</v>
      </c>
    </row>
    <row r="9579" spans="1:7" x14ac:dyDescent="0.25">
      <c r="A9579" s="1">
        <f t="shared" si="1579"/>
        <v>45488</v>
      </c>
      <c r="B9579" s="36"/>
      <c r="E9579" s="5" t="e">
        <f>Table4[[#This Row],[qty]]*(VLOOKUP(Table4[[#This Row],[item_sold]],Table1[],5,FALSE))</f>
        <v>#N/A</v>
      </c>
      <c r="F9579" s="5" t="e">
        <f>(VLOOKUP(Table4[[#This Row],[item_sold]],Table1[],4,FALSE))*Table4[[#This Row],[qty]]</f>
        <v>#N/A</v>
      </c>
      <c r="G9579" t="e">
        <f t="shared" si="1580"/>
        <v>#N/A</v>
      </c>
    </row>
    <row r="9580" spans="1:7" x14ac:dyDescent="0.25">
      <c r="A9580" s="1">
        <f t="shared" si="1579"/>
        <v>45488</v>
      </c>
      <c r="B9580" s="36"/>
      <c r="E9580" s="5" t="e">
        <f>Table4[[#This Row],[qty]]*(VLOOKUP(Table4[[#This Row],[item_sold]],Table1[],5,FALSE))</f>
        <v>#N/A</v>
      </c>
      <c r="F9580" s="5" t="e">
        <f>(VLOOKUP(Table4[[#This Row],[item_sold]],Table1[],4,FALSE))*Table4[[#This Row],[qty]]</f>
        <v>#N/A</v>
      </c>
      <c r="G9580" t="e">
        <f t="shared" si="1580"/>
        <v>#N/A</v>
      </c>
    </row>
    <row r="9581" spans="1:7" x14ac:dyDescent="0.25">
      <c r="A9581" s="1">
        <f t="shared" si="1579"/>
        <v>45488</v>
      </c>
      <c r="B9581" s="36"/>
      <c r="E9581" s="5" t="e">
        <f>Table4[[#This Row],[qty]]*(VLOOKUP(Table4[[#This Row],[item_sold]],Table1[],5,FALSE))</f>
        <v>#N/A</v>
      </c>
      <c r="F9581" s="5" t="e">
        <f>(VLOOKUP(Table4[[#This Row],[item_sold]],Table1[],4,FALSE))*Table4[[#This Row],[qty]]</f>
        <v>#N/A</v>
      </c>
      <c r="G9581" t="e">
        <f t="shared" si="1580"/>
        <v>#N/A</v>
      </c>
    </row>
    <row r="9582" spans="1:7" x14ac:dyDescent="0.25">
      <c r="A9582" s="1">
        <f t="shared" si="1579"/>
        <v>45488</v>
      </c>
      <c r="B9582" s="36"/>
      <c r="E9582" s="5" t="e">
        <f>Table4[[#This Row],[qty]]*(VLOOKUP(Table4[[#This Row],[item_sold]],Table1[],5,FALSE))</f>
        <v>#N/A</v>
      </c>
      <c r="F9582" s="5" t="e">
        <f>(VLOOKUP(Table4[[#This Row],[item_sold]],Table1[],4,FALSE))*Table4[[#This Row],[qty]]</f>
        <v>#N/A</v>
      </c>
      <c r="G9582" t="e">
        <f t="shared" si="1580"/>
        <v>#N/A</v>
      </c>
    </row>
    <row r="9583" spans="1:7" x14ac:dyDescent="0.25">
      <c r="A9583" s="1">
        <f t="shared" si="1579"/>
        <v>45488</v>
      </c>
      <c r="B9583" s="36"/>
      <c r="E9583" s="5" t="e">
        <f>Table4[[#This Row],[qty]]*(VLOOKUP(Table4[[#This Row],[item_sold]],Table1[],5,FALSE))</f>
        <v>#N/A</v>
      </c>
      <c r="F9583" s="5" t="e">
        <f>(VLOOKUP(Table4[[#This Row],[item_sold]],Table1[],4,FALSE))*Table4[[#This Row],[qty]]</f>
        <v>#N/A</v>
      </c>
      <c r="G9583" t="e">
        <f t="shared" si="1580"/>
        <v>#N/A</v>
      </c>
    </row>
    <row r="9584" spans="1:7" x14ac:dyDescent="0.25">
      <c r="A9584" s="1">
        <f t="shared" si="1579"/>
        <v>45488</v>
      </c>
      <c r="B9584" s="36"/>
      <c r="E9584" s="5" t="e">
        <f>Table4[[#This Row],[qty]]*(VLOOKUP(Table4[[#This Row],[item_sold]],Table1[],5,FALSE))</f>
        <v>#N/A</v>
      </c>
      <c r="F9584" s="5" t="e">
        <f>(VLOOKUP(Table4[[#This Row],[item_sold]],Table1[],4,FALSE))*Table4[[#This Row],[qty]]</f>
        <v>#N/A</v>
      </c>
      <c r="G9584" t="e">
        <f t="shared" si="1580"/>
        <v>#N/A</v>
      </c>
    </row>
    <row r="9585" spans="1:7" x14ac:dyDescent="0.25">
      <c r="A9585" s="1">
        <f t="shared" si="1579"/>
        <v>45488</v>
      </c>
      <c r="B9585" s="36"/>
      <c r="E9585" s="5" t="e">
        <f>Table4[[#This Row],[qty]]*(VLOOKUP(Table4[[#This Row],[item_sold]],Table1[],5,FALSE))</f>
        <v>#N/A</v>
      </c>
      <c r="F9585" s="5" t="e">
        <f>(VLOOKUP(Table4[[#This Row],[item_sold]],Table1[],4,FALSE))*Table4[[#This Row],[qty]]</f>
        <v>#N/A</v>
      </c>
      <c r="G9585" t="e">
        <f t="shared" si="1580"/>
        <v>#N/A</v>
      </c>
    </row>
    <row r="9586" spans="1:7" x14ac:dyDescent="0.25">
      <c r="A9586" s="1">
        <f t="shared" si="1579"/>
        <v>45488</v>
      </c>
      <c r="B9586" s="36"/>
      <c r="E9586" s="5" t="e">
        <f>Table4[[#This Row],[qty]]*(VLOOKUP(Table4[[#This Row],[item_sold]],Table1[],5,FALSE))</f>
        <v>#N/A</v>
      </c>
      <c r="F9586" s="5" t="e">
        <f>(VLOOKUP(Table4[[#This Row],[item_sold]],Table1[],4,FALSE))*Table4[[#This Row],[qty]]</f>
        <v>#N/A</v>
      </c>
      <c r="G9586" t="e">
        <f t="shared" si="1580"/>
        <v>#N/A</v>
      </c>
    </row>
    <row r="9587" spans="1:7" x14ac:dyDescent="0.25">
      <c r="A9587" s="1">
        <f t="shared" si="1579"/>
        <v>45488</v>
      </c>
      <c r="B9587" s="36"/>
      <c r="E9587" s="5" t="e">
        <f>Table4[[#This Row],[qty]]*(VLOOKUP(Table4[[#This Row],[item_sold]],Table1[],5,FALSE))</f>
        <v>#N/A</v>
      </c>
      <c r="F9587" s="5" t="e">
        <f>(VLOOKUP(Table4[[#This Row],[item_sold]],Table1[],4,FALSE))*Table4[[#This Row],[qty]]</f>
        <v>#N/A</v>
      </c>
      <c r="G9587" t="e">
        <f t="shared" si="1580"/>
        <v>#N/A</v>
      </c>
    </row>
    <row r="9588" spans="1:7" x14ac:dyDescent="0.25">
      <c r="A9588" s="1">
        <f t="shared" si="1579"/>
        <v>45488</v>
      </c>
      <c r="B9588" s="36"/>
      <c r="E9588" s="5" t="e">
        <f>Table4[[#This Row],[qty]]*(VLOOKUP(Table4[[#This Row],[item_sold]],Table1[],5,FALSE))</f>
        <v>#N/A</v>
      </c>
      <c r="F9588" s="5" t="e">
        <f>(VLOOKUP(Table4[[#This Row],[item_sold]],Table1[],4,FALSE))*Table4[[#This Row],[qty]]</f>
        <v>#N/A</v>
      </c>
      <c r="G9588" t="e">
        <f t="shared" si="1580"/>
        <v>#N/A</v>
      </c>
    </row>
    <row r="9589" spans="1:7" x14ac:dyDescent="0.25">
      <c r="A9589" s="1">
        <f t="shared" si="1579"/>
        <v>45488</v>
      </c>
      <c r="B9589" s="36"/>
      <c r="E9589" s="5" t="e">
        <f>Table4[[#This Row],[qty]]*(VLOOKUP(Table4[[#This Row],[item_sold]],Table1[],5,FALSE))</f>
        <v>#N/A</v>
      </c>
      <c r="F9589" s="5" t="e">
        <f>(VLOOKUP(Table4[[#This Row],[item_sold]],Table1[],4,FALSE))*Table4[[#This Row],[qty]]</f>
        <v>#N/A</v>
      </c>
      <c r="G9589" t="e">
        <f t="shared" si="1580"/>
        <v>#N/A</v>
      </c>
    </row>
    <row r="9590" spans="1:7" x14ac:dyDescent="0.25">
      <c r="A9590" s="1">
        <f t="shared" si="1579"/>
        <v>45488</v>
      </c>
      <c r="B9590" s="36"/>
      <c r="E9590" s="5" t="e">
        <f>Table4[[#This Row],[qty]]*(VLOOKUP(Table4[[#This Row],[item_sold]],Table1[],5,FALSE))</f>
        <v>#N/A</v>
      </c>
      <c r="F9590" s="5" t="e">
        <f>(VLOOKUP(Table4[[#This Row],[item_sold]],Table1[],4,FALSE))*Table4[[#This Row],[qty]]</f>
        <v>#N/A</v>
      </c>
      <c r="G9590" t="e">
        <f t="shared" si="1580"/>
        <v>#N/A</v>
      </c>
    </row>
    <row r="9591" spans="1:7" x14ac:dyDescent="0.25">
      <c r="A9591" s="1">
        <f t="shared" si="1579"/>
        <v>45488</v>
      </c>
      <c r="B9591" s="36"/>
      <c r="E9591" s="5" t="e">
        <f>Table4[[#This Row],[qty]]*(VLOOKUP(Table4[[#This Row],[item_sold]],Table1[],5,FALSE))</f>
        <v>#N/A</v>
      </c>
      <c r="F9591" s="5" t="e">
        <f>(VLOOKUP(Table4[[#This Row],[item_sold]],Table1[],4,FALSE))*Table4[[#This Row],[qty]]</f>
        <v>#N/A</v>
      </c>
      <c r="G9591" t="e">
        <f t="shared" si="1580"/>
        <v>#N/A</v>
      </c>
    </row>
    <row r="9592" spans="1:7" x14ac:dyDescent="0.25">
      <c r="A9592" s="1">
        <f t="shared" si="1579"/>
        <v>45488</v>
      </c>
      <c r="B9592" s="36"/>
      <c r="E9592" s="5" t="e">
        <f>Table4[[#This Row],[qty]]*(VLOOKUP(Table4[[#This Row],[item_sold]],Table1[],5,FALSE))</f>
        <v>#N/A</v>
      </c>
      <c r="F9592" s="5" t="e">
        <f>(VLOOKUP(Table4[[#This Row],[item_sold]],Table1[],4,FALSE))*Table4[[#This Row],[qty]]</f>
        <v>#N/A</v>
      </c>
      <c r="G9592" t="e">
        <f t="shared" si="1580"/>
        <v>#N/A</v>
      </c>
    </row>
    <row r="9593" spans="1:7" x14ac:dyDescent="0.25">
      <c r="A9593" s="1">
        <f t="shared" si="1579"/>
        <v>45488</v>
      </c>
      <c r="B9593" s="36"/>
      <c r="E9593" s="5" t="e">
        <f>Table4[[#This Row],[qty]]*(VLOOKUP(Table4[[#This Row],[item_sold]],Table1[],5,FALSE))</f>
        <v>#N/A</v>
      </c>
      <c r="F9593" s="5" t="e">
        <f>(VLOOKUP(Table4[[#This Row],[item_sold]],Table1[],4,FALSE))*Table4[[#This Row],[qty]]</f>
        <v>#N/A</v>
      </c>
      <c r="G9593" t="e">
        <f t="shared" si="1580"/>
        <v>#N/A</v>
      </c>
    </row>
    <row r="9594" spans="1:7" x14ac:dyDescent="0.25">
      <c r="A9594" s="1">
        <f t="shared" si="1579"/>
        <v>45488</v>
      </c>
      <c r="B9594" s="36"/>
      <c r="E9594" s="5" t="e">
        <f>Table4[[#This Row],[qty]]*(VLOOKUP(Table4[[#This Row],[item_sold]],Table1[],5,FALSE))</f>
        <v>#N/A</v>
      </c>
      <c r="F9594" s="5" t="e">
        <f>(VLOOKUP(Table4[[#This Row],[item_sold]],Table1[],4,FALSE))*Table4[[#This Row],[qty]]</f>
        <v>#N/A</v>
      </c>
      <c r="G9594" t="e">
        <f t="shared" si="1580"/>
        <v>#N/A</v>
      </c>
    </row>
    <row r="9595" spans="1:7" x14ac:dyDescent="0.25">
      <c r="A9595" s="1">
        <f t="shared" si="1579"/>
        <v>45488</v>
      </c>
      <c r="B9595" s="36"/>
      <c r="E9595" s="5" t="e">
        <f>Table4[[#This Row],[qty]]*(VLOOKUP(Table4[[#This Row],[item_sold]],Table1[],5,FALSE))</f>
        <v>#N/A</v>
      </c>
      <c r="F9595" s="5" t="e">
        <f>(VLOOKUP(Table4[[#This Row],[item_sold]],Table1[],4,FALSE))*Table4[[#This Row],[qty]]</f>
        <v>#N/A</v>
      </c>
      <c r="G9595" t="e">
        <f t="shared" si="1580"/>
        <v>#N/A</v>
      </c>
    </row>
    <row r="9596" spans="1:7" x14ac:dyDescent="0.25">
      <c r="A9596" s="1">
        <f t="shared" si="1579"/>
        <v>45488</v>
      </c>
      <c r="B9596" s="36"/>
      <c r="E9596" s="5" t="e">
        <f>Table4[[#This Row],[qty]]*(VLOOKUP(Table4[[#This Row],[item_sold]],Table1[],5,FALSE))</f>
        <v>#N/A</v>
      </c>
      <c r="F9596" s="5" t="e">
        <f>(VLOOKUP(Table4[[#This Row],[item_sold]],Table1[],4,FALSE))*Table4[[#This Row],[qty]]</f>
        <v>#N/A</v>
      </c>
      <c r="G9596" t="e">
        <f t="shared" si="1580"/>
        <v>#N/A</v>
      </c>
    </row>
    <row r="9597" spans="1:7" x14ac:dyDescent="0.25">
      <c r="A9597" s="1">
        <f t="shared" si="1579"/>
        <v>45488</v>
      </c>
      <c r="B9597" s="36"/>
      <c r="E9597" s="5" t="e">
        <f>Table4[[#This Row],[qty]]*(VLOOKUP(Table4[[#This Row],[item_sold]],Table1[],5,FALSE))</f>
        <v>#N/A</v>
      </c>
      <c r="F9597" s="5" t="e">
        <f>(VLOOKUP(Table4[[#This Row],[item_sold]],Table1[],4,FALSE))*Table4[[#This Row],[qty]]</f>
        <v>#N/A</v>
      </c>
      <c r="G9597" t="e">
        <f t="shared" si="1580"/>
        <v>#N/A</v>
      </c>
    </row>
    <row r="9598" spans="1:7" x14ac:dyDescent="0.25">
      <c r="A9598" s="1">
        <f t="shared" si="1579"/>
        <v>45488</v>
      </c>
      <c r="B9598" s="36"/>
      <c r="E9598" s="5" t="e">
        <f>Table4[[#This Row],[qty]]*(VLOOKUP(Table4[[#This Row],[item_sold]],Table1[],5,FALSE))</f>
        <v>#N/A</v>
      </c>
      <c r="F9598" s="5" t="e">
        <f>(VLOOKUP(Table4[[#This Row],[item_sold]],Table1[],4,FALSE))*Table4[[#This Row],[qty]]</f>
        <v>#N/A</v>
      </c>
      <c r="G9598" t="e">
        <f t="shared" si="1580"/>
        <v>#N/A</v>
      </c>
    </row>
    <row r="9599" spans="1:7" x14ac:dyDescent="0.25">
      <c r="A9599" s="1">
        <f t="shared" si="1579"/>
        <v>45488</v>
      </c>
      <c r="B9599" s="36"/>
      <c r="E9599" s="5" t="e">
        <f>Table4[[#This Row],[qty]]*(VLOOKUP(Table4[[#This Row],[item_sold]],Table1[],5,FALSE))</f>
        <v>#N/A</v>
      </c>
      <c r="F9599" s="5" t="e">
        <f>(VLOOKUP(Table4[[#This Row],[item_sold]],Table1[],4,FALSE))*Table4[[#This Row],[qty]]</f>
        <v>#N/A</v>
      </c>
      <c r="G9599" t="e">
        <f t="shared" si="1580"/>
        <v>#N/A</v>
      </c>
    </row>
    <row r="9600" spans="1:7" x14ac:dyDescent="0.25">
      <c r="A9600" s="1">
        <f t="shared" si="1579"/>
        <v>45488</v>
      </c>
      <c r="B9600" s="36"/>
      <c r="E9600" s="5" t="e">
        <f>Table4[[#This Row],[qty]]*(VLOOKUP(Table4[[#This Row],[item_sold]],Table1[],5,FALSE))</f>
        <v>#N/A</v>
      </c>
      <c r="F9600" s="5" t="e">
        <f>(VLOOKUP(Table4[[#This Row],[item_sold]],Table1[],4,FALSE))*Table4[[#This Row],[qty]]</f>
        <v>#N/A</v>
      </c>
      <c r="G9600" t="e">
        <f t="shared" si="1580"/>
        <v>#N/A</v>
      </c>
    </row>
    <row r="9601" spans="1:7" x14ac:dyDescent="0.25">
      <c r="A9601" s="1">
        <f t="shared" si="1579"/>
        <v>45488</v>
      </c>
      <c r="B9601" s="36"/>
      <c r="E9601" s="5" t="e">
        <f>Table4[[#This Row],[qty]]*(VLOOKUP(Table4[[#This Row],[item_sold]],Table1[],5,FALSE))</f>
        <v>#N/A</v>
      </c>
      <c r="F9601" s="5" t="e">
        <f>(VLOOKUP(Table4[[#This Row],[item_sold]],Table1[],4,FALSE))*Table4[[#This Row],[qty]]</f>
        <v>#N/A</v>
      </c>
      <c r="G9601" t="e">
        <f t="shared" si="1580"/>
        <v>#N/A</v>
      </c>
    </row>
    <row r="9602" spans="1:7" x14ac:dyDescent="0.25">
      <c r="A9602" s="1">
        <f t="shared" si="1579"/>
        <v>45488</v>
      </c>
      <c r="B9602" s="36"/>
      <c r="E9602" s="5" t="e">
        <f>Table4[[#This Row],[qty]]*(VLOOKUP(Table4[[#This Row],[item_sold]],Table1[],5,FALSE))</f>
        <v>#N/A</v>
      </c>
      <c r="F9602" s="5" t="e">
        <f>(VLOOKUP(Table4[[#This Row],[item_sold]],Table1[],4,FALSE))*Table4[[#This Row],[qty]]</f>
        <v>#N/A</v>
      </c>
      <c r="G9602" t="e">
        <f t="shared" si="1580"/>
        <v>#N/A</v>
      </c>
    </row>
    <row r="9603" spans="1:7" x14ac:dyDescent="0.25">
      <c r="A9603" s="1">
        <f t="shared" si="1579"/>
        <v>45488</v>
      </c>
      <c r="B9603" s="36"/>
      <c r="E9603" s="5" t="e">
        <f>Table4[[#This Row],[qty]]*(VLOOKUP(Table4[[#This Row],[item_sold]],Table1[],5,FALSE))</f>
        <v>#N/A</v>
      </c>
      <c r="F9603" s="5" t="e">
        <f>(VLOOKUP(Table4[[#This Row],[item_sold]],Table1[],4,FALSE))*Table4[[#This Row],[qty]]</f>
        <v>#N/A</v>
      </c>
      <c r="G9603" t="e">
        <f t="shared" si="1580"/>
        <v>#N/A</v>
      </c>
    </row>
    <row r="9604" spans="1:7" x14ac:dyDescent="0.25">
      <c r="A9604" s="1">
        <f t="shared" si="1579"/>
        <v>45488</v>
      </c>
      <c r="B9604" s="36"/>
      <c r="E9604" s="5" t="e">
        <f>Table4[[#This Row],[qty]]*(VLOOKUP(Table4[[#This Row],[item_sold]],Table1[],5,FALSE))</f>
        <v>#N/A</v>
      </c>
      <c r="F9604" s="5" t="e">
        <f>(VLOOKUP(Table4[[#This Row],[item_sold]],Table1[],4,FALSE))*Table4[[#This Row],[qty]]</f>
        <v>#N/A</v>
      </c>
      <c r="G9604" t="e">
        <f t="shared" si="1580"/>
        <v>#N/A</v>
      </c>
    </row>
    <row r="9605" spans="1:7" x14ac:dyDescent="0.25">
      <c r="A9605" s="1">
        <f t="shared" si="1579"/>
        <v>45488</v>
      </c>
      <c r="B9605" s="36"/>
      <c r="E9605" s="5" t="e">
        <f>Table4[[#This Row],[qty]]*(VLOOKUP(Table4[[#This Row],[item_sold]],Table1[],5,FALSE))</f>
        <v>#N/A</v>
      </c>
      <c r="F9605" s="5" t="e">
        <f>(VLOOKUP(Table4[[#This Row],[item_sold]],Table1[],4,FALSE))*Table4[[#This Row],[qty]]</f>
        <v>#N/A</v>
      </c>
      <c r="G9605" t="e">
        <f t="shared" si="1580"/>
        <v>#N/A</v>
      </c>
    </row>
    <row r="9606" spans="1:7" x14ac:dyDescent="0.25">
      <c r="A9606" s="1">
        <f t="shared" si="1579"/>
        <v>45488</v>
      </c>
      <c r="B9606" s="36"/>
      <c r="E9606" s="5" t="e">
        <f>Table4[[#This Row],[qty]]*(VLOOKUP(Table4[[#This Row],[item_sold]],Table1[],5,FALSE))</f>
        <v>#N/A</v>
      </c>
      <c r="F9606" s="5" t="e">
        <f>(VLOOKUP(Table4[[#This Row],[item_sold]],Table1[],4,FALSE))*Table4[[#This Row],[qty]]</f>
        <v>#N/A</v>
      </c>
      <c r="G9606" t="e">
        <f t="shared" si="1580"/>
        <v>#N/A</v>
      </c>
    </row>
    <row r="9607" spans="1:7" x14ac:dyDescent="0.25">
      <c r="A9607" s="1">
        <f t="shared" si="1579"/>
        <v>45488</v>
      </c>
      <c r="B9607" s="36"/>
      <c r="E9607" s="5" t="e">
        <f>Table4[[#This Row],[qty]]*(VLOOKUP(Table4[[#This Row],[item_sold]],Table1[],5,FALSE))</f>
        <v>#N/A</v>
      </c>
      <c r="F9607" s="5" t="e">
        <f>(VLOOKUP(Table4[[#This Row],[item_sold]],Table1[],4,FALSE))*Table4[[#This Row],[qty]]</f>
        <v>#N/A</v>
      </c>
      <c r="G9607" t="e">
        <f t="shared" si="1580"/>
        <v>#N/A</v>
      </c>
    </row>
    <row r="9608" spans="1:7" x14ac:dyDescent="0.25">
      <c r="A9608" s="1">
        <f t="shared" si="1579"/>
        <v>45488</v>
      </c>
      <c r="B9608" s="36"/>
      <c r="E9608" s="5" t="e">
        <f>Table4[[#This Row],[qty]]*(VLOOKUP(Table4[[#This Row],[item_sold]],Table1[],5,FALSE))</f>
        <v>#N/A</v>
      </c>
      <c r="F9608" s="5" t="e">
        <f>(VLOOKUP(Table4[[#This Row],[item_sold]],Table1[],4,FALSE))*Table4[[#This Row],[qty]]</f>
        <v>#N/A</v>
      </c>
      <c r="G9608" t="e">
        <f t="shared" si="1580"/>
        <v>#N/A</v>
      </c>
    </row>
    <row r="9609" spans="1:7" x14ac:dyDescent="0.25">
      <c r="A9609" s="1">
        <f t="shared" si="1579"/>
        <v>45488</v>
      </c>
      <c r="B9609" s="36"/>
      <c r="E9609" s="5" t="e">
        <f>Table4[[#This Row],[qty]]*(VLOOKUP(Table4[[#This Row],[item_sold]],Table1[],5,FALSE))</f>
        <v>#N/A</v>
      </c>
      <c r="F9609" s="5" t="e">
        <f>(VLOOKUP(Table4[[#This Row],[item_sold]],Table1[],4,FALSE))*Table4[[#This Row],[qty]]</f>
        <v>#N/A</v>
      </c>
      <c r="G9609" t="e">
        <f t="shared" si="1580"/>
        <v>#N/A</v>
      </c>
    </row>
    <row r="9610" spans="1:7" x14ac:dyDescent="0.25">
      <c r="A9610" s="1">
        <f t="shared" si="1579"/>
        <v>45488</v>
      </c>
      <c r="B9610" s="36"/>
      <c r="E9610" s="5" t="e">
        <f>Table4[[#This Row],[qty]]*(VLOOKUP(Table4[[#This Row],[item_sold]],Table1[],5,FALSE))</f>
        <v>#N/A</v>
      </c>
      <c r="F9610" s="5" t="e">
        <f>(VLOOKUP(Table4[[#This Row],[item_sold]],Table1[],4,FALSE))*Table4[[#This Row],[qty]]</f>
        <v>#N/A</v>
      </c>
      <c r="G9610" t="e">
        <f t="shared" si="1580"/>
        <v>#N/A</v>
      </c>
    </row>
    <row r="9611" spans="1:7" x14ac:dyDescent="0.25">
      <c r="A9611" s="1">
        <f t="shared" si="1579"/>
        <v>45488</v>
      </c>
      <c r="B9611" s="36"/>
      <c r="E9611" s="5" t="e">
        <f>Table4[[#This Row],[qty]]*(VLOOKUP(Table4[[#This Row],[item_sold]],Table1[],5,FALSE))</f>
        <v>#N/A</v>
      </c>
      <c r="F9611" s="5" t="e">
        <f>(VLOOKUP(Table4[[#This Row],[item_sold]],Table1[],4,FALSE))*Table4[[#This Row],[qty]]</f>
        <v>#N/A</v>
      </c>
      <c r="G9611" t="e">
        <f t="shared" si="1580"/>
        <v>#N/A</v>
      </c>
    </row>
    <row r="9612" spans="1:7" x14ac:dyDescent="0.25">
      <c r="A9612" s="1">
        <f t="shared" si="1579"/>
        <v>45488</v>
      </c>
      <c r="B9612" s="36"/>
      <c r="E9612" s="5" t="e">
        <f>Table4[[#This Row],[qty]]*(VLOOKUP(Table4[[#This Row],[item_sold]],Table1[],5,FALSE))</f>
        <v>#N/A</v>
      </c>
      <c r="F9612" s="5" t="e">
        <f>(VLOOKUP(Table4[[#This Row],[item_sold]],Table1[],4,FALSE))*Table4[[#This Row],[qty]]</f>
        <v>#N/A</v>
      </c>
      <c r="G9612" t="e">
        <f t="shared" si="1580"/>
        <v>#N/A</v>
      </c>
    </row>
    <row r="9613" spans="1:7" x14ac:dyDescent="0.25">
      <c r="A9613" s="1">
        <f t="shared" si="1579"/>
        <v>45488</v>
      </c>
      <c r="B9613" s="36"/>
      <c r="E9613" s="5" t="e">
        <f>Table4[[#This Row],[qty]]*(VLOOKUP(Table4[[#This Row],[item_sold]],Table1[],5,FALSE))</f>
        <v>#N/A</v>
      </c>
      <c r="F9613" s="5" t="e">
        <f>(VLOOKUP(Table4[[#This Row],[item_sold]],Table1[],4,FALSE))*Table4[[#This Row],[qty]]</f>
        <v>#N/A</v>
      </c>
      <c r="G9613" t="e">
        <f t="shared" si="1580"/>
        <v>#N/A</v>
      </c>
    </row>
    <row r="9614" spans="1:7" x14ac:dyDescent="0.25">
      <c r="A9614" s="1">
        <f t="shared" si="1579"/>
        <v>45488</v>
      </c>
      <c r="B9614" s="36"/>
      <c r="E9614" s="5" t="e">
        <f>Table4[[#This Row],[qty]]*(VLOOKUP(Table4[[#This Row],[item_sold]],Table1[],5,FALSE))</f>
        <v>#N/A</v>
      </c>
      <c r="F9614" s="5" t="e">
        <f>(VLOOKUP(Table4[[#This Row],[item_sold]],Table1[],4,FALSE))*Table4[[#This Row],[qty]]</f>
        <v>#N/A</v>
      </c>
      <c r="G9614" t="e">
        <f t="shared" si="1580"/>
        <v>#N/A</v>
      </c>
    </row>
    <row r="9615" spans="1:7" x14ac:dyDescent="0.25">
      <c r="A9615" s="1">
        <f t="shared" si="1579"/>
        <v>45488</v>
      </c>
      <c r="B9615" s="36"/>
      <c r="E9615" s="5" t="e">
        <f>Table4[[#This Row],[qty]]*(VLOOKUP(Table4[[#This Row],[item_sold]],Table1[],5,FALSE))</f>
        <v>#N/A</v>
      </c>
      <c r="F9615" s="5" t="e">
        <f>(VLOOKUP(Table4[[#This Row],[item_sold]],Table1[],4,FALSE))*Table4[[#This Row],[qty]]</f>
        <v>#N/A</v>
      </c>
      <c r="G9615" t="e">
        <f t="shared" si="1580"/>
        <v>#N/A</v>
      </c>
    </row>
    <row r="9616" spans="1:7" x14ac:dyDescent="0.25">
      <c r="A9616" s="1">
        <f t="shared" si="1579"/>
        <v>45488</v>
      </c>
      <c r="B9616" s="36"/>
      <c r="E9616" s="5" t="e">
        <f>Table4[[#This Row],[qty]]*(VLOOKUP(Table4[[#This Row],[item_sold]],Table1[],5,FALSE))</f>
        <v>#N/A</v>
      </c>
      <c r="F9616" s="5" t="e">
        <f>(VLOOKUP(Table4[[#This Row],[item_sold]],Table1[],4,FALSE))*Table4[[#This Row],[qty]]</f>
        <v>#N/A</v>
      </c>
      <c r="G9616" t="e">
        <f t="shared" si="1580"/>
        <v>#N/A</v>
      </c>
    </row>
    <row r="9617" spans="1:7" x14ac:dyDescent="0.25">
      <c r="A9617" s="1">
        <f t="shared" si="1579"/>
        <v>45488</v>
      </c>
      <c r="B9617" s="36"/>
      <c r="E9617" s="5" t="e">
        <f>Table4[[#This Row],[qty]]*(VLOOKUP(Table4[[#This Row],[item_sold]],Table1[],5,FALSE))</f>
        <v>#N/A</v>
      </c>
      <c r="F9617" s="5" t="e">
        <f>(VLOOKUP(Table4[[#This Row],[item_sold]],Table1[],4,FALSE))*Table4[[#This Row],[qty]]</f>
        <v>#N/A</v>
      </c>
      <c r="G9617" t="e">
        <f t="shared" si="1580"/>
        <v>#N/A</v>
      </c>
    </row>
    <row r="9618" spans="1:7" x14ac:dyDescent="0.25">
      <c r="A9618" s="1">
        <f t="shared" si="1579"/>
        <v>45488</v>
      </c>
      <c r="B9618" s="36"/>
      <c r="E9618" s="5" t="e">
        <f>Table4[[#This Row],[qty]]*(VLOOKUP(Table4[[#This Row],[item_sold]],Table1[],5,FALSE))</f>
        <v>#N/A</v>
      </c>
      <c r="F9618" s="5" t="e">
        <f>(VLOOKUP(Table4[[#This Row],[item_sold]],Table1[],4,FALSE))*Table4[[#This Row],[qty]]</f>
        <v>#N/A</v>
      </c>
      <c r="G9618" t="e">
        <f t="shared" si="1580"/>
        <v>#N/A</v>
      </c>
    </row>
  </sheetData>
  <phoneticPr fontId="1" type="noConversion"/>
  <conditionalFormatting sqref="G1352">
    <cfRule type="containsBlanks" priority="1">
      <formula>LEN(TRIM(G1352))=0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3F615-C8D4-4925-9950-AACFCF0A1B29}">
  <dimension ref="A1:D18"/>
  <sheetViews>
    <sheetView workbookViewId="0">
      <selection activeCell="H14" sqref="H14"/>
    </sheetView>
  </sheetViews>
  <sheetFormatPr defaultRowHeight="15" x14ac:dyDescent="0.25"/>
  <cols>
    <col min="1" max="1" width="10.7109375" style="1" bestFit="1" customWidth="1"/>
    <col min="2" max="2" width="12" customWidth="1"/>
    <col min="3" max="3" width="13.42578125" customWidth="1"/>
    <col min="4" max="4" width="12.7109375" style="5" bestFit="1" customWidth="1"/>
  </cols>
  <sheetData>
    <row r="1" spans="1:4" x14ac:dyDescent="0.25">
      <c r="A1" s="1" t="s">
        <v>347</v>
      </c>
      <c r="B1" t="s">
        <v>463</v>
      </c>
      <c r="C1" t="s">
        <v>464</v>
      </c>
      <c r="D1" s="5" t="s">
        <v>465</v>
      </c>
    </row>
    <row r="2" spans="1:4" x14ac:dyDescent="0.25">
      <c r="A2" s="10">
        <f>DATE(2024,8,18)</f>
        <v>45522</v>
      </c>
      <c r="B2" s="9" t="str">
        <f>'Inventory as of 12th Aug 2024'!A199</f>
        <v>Kdf</v>
      </c>
      <c r="C2" s="9">
        <v>5</v>
      </c>
      <c r="D2" s="11">
        <f>50/6*5</f>
        <v>41.666666666666671</v>
      </c>
    </row>
    <row r="3" spans="1:4" x14ac:dyDescent="0.25">
      <c r="A3" s="10">
        <f>DATE(2024,8,18)</f>
        <v>45522</v>
      </c>
      <c r="B3" t="s">
        <v>466</v>
      </c>
      <c r="D3" s="5">
        <v>3000</v>
      </c>
    </row>
    <row r="4" spans="1:4" x14ac:dyDescent="0.25">
      <c r="A4" s="10">
        <f t="shared" ref="A4:A6" si="0">DATE(2024,8,18)</f>
        <v>45522</v>
      </c>
      <c r="B4" t="s">
        <v>467</v>
      </c>
      <c r="D4" s="5">
        <v>3000</v>
      </c>
    </row>
    <row r="5" spans="1:4" x14ac:dyDescent="0.25">
      <c r="A5" s="10">
        <f t="shared" si="0"/>
        <v>45522</v>
      </c>
      <c r="B5" t="s">
        <v>468</v>
      </c>
      <c r="D5" s="5">
        <v>3000</v>
      </c>
    </row>
    <row r="6" spans="1:4" x14ac:dyDescent="0.25">
      <c r="A6" s="10">
        <f t="shared" si="0"/>
        <v>45522</v>
      </c>
      <c r="B6" t="s">
        <v>469</v>
      </c>
      <c r="D6" s="5">
        <v>300</v>
      </c>
    </row>
    <row r="7" spans="1:4" x14ac:dyDescent="0.25">
      <c r="A7" s="10">
        <f>DATE(2024,9,7)</f>
        <v>45542</v>
      </c>
      <c r="B7" t="s">
        <v>470</v>
      </c>
      <c r="D7" s="5">
        <v>7000</v>
      </c>
    </row>
    <row r="8" spans="1:4" x14ac:dyDescent="0.25">
      <c r="A8" s="10">
        <f t="shared" ref="A8" si="1">DATE(2024,9,7)</f>
        <v>45542</v>
      </c>
      <c r="B8" t="str">
        <f>'Inventory as of 12th Aug 2024'!A34</f>
        <v>BB Bread 200g</v>
      </c>
      <c r="C8">
        <v>2</v>
      </c>
      <c r="D8" s="5">
        <v>65</v>
      </c>
    </row>
    <row r="9" spans="1:4" x14ac:dyDescent="0.25">
      <c r="A9" s="10">
        <f>DATE(2024,8,21)</f>
        <v>45525</v>
      </c>
      <c r="B9" t="s">
        <v>471</v>
      </c>
    </row>
    <row r="10" spans="1:4" x14ac:dyDescent="0.25">
      <c r="A10" s="10">
        <f>DATE(2024,8,23)</f>
        <v>45527</v>
      </c>
      <c r="B10" t="s">
        <v>472</v>
      </c>
      <c r="D10" s="5">
        <v>300</v>
      </c>
    </row>
    <row r="11" spans="1:4" x14ac:dyDescent="0.25">
      <c r="A11" s="10">
        <f t="shared" ref="A11:A18" si="2">DATE(2024,8,21)</f>
        <v>45525</v>
      </c>
      <c r="B11" t="s">
        <v>473</v>
      </c>
      <c r="D11" s="5">
        <v>500</v>
      </c>
    </row>
    <row r="12" spans="1:4" x14ac:dyDescent="0.25">
      <c r="A12" s="10">
        <f>DATE(2024,8,23)</f>
        <v>45527</v>
      </c>
      <c r="B12" t="s">
        <v>474</v>
      </c>
      <c r="D12" s="5">
        <v>3000</v>
      </c>
    </row>
    <row r="13" spans="1:4" x14ac:dyDescent="0.25">
      <c r="A13" s="10">
        <f>DATE(2024,8,23)</f>
        <v>45527</v>
      </c>
      <c r="B13" t="s">
        <v>475</v>
      </c>
      <c r="D13" s="5">
        <v>650</v>
      </c>
    </row>
    <row r="14" spans="1:4" x14ac:dyDescent="0.25">
      <c r="A14" s="10">
        <f>DATE(2024,8,27)</f>
        <v>45531</v>
      </c>
      <c r="B14" t="str">
        <f>'Inventory as of 12th Aug 2024'!A23</f>
        <v>kinangop 500g youghurt</v>
      </c>
      <c r="C14">
        <v>3</v>
      </c>
      <c r="D14" s="5">
        <f>Table7[[#This Row],[qty_if_item]]*'Inventory as of 12th Aug 2024'!D23</f>
        <v>277.5</v>
      </c>
    </row>
    <row r="15" spans="1:4" x14ac:dyDescent="0.25">
      <c r="A15" s="10">
        <f t="shared" si="2"/>
        <v>45525</v>
      </c>
    </row>
    <row r="16" spans="1:4" x14ac:dyDescent="0.25">
      <c r="A16" s="10">
        <f t="shared" si="2"/>
        <v>45525</v>
      </c>
    </row>
    <row r="17" spans="1:1" x14ac:dyDescent="0.25">
      <c r="A17" s="10">
        <f t="shared" si="2"/>
        <v>45525</v>
      </c>
    </row>
    <row r="18" spans="1:1" x14ac:dyDescent="0.25">
      <c r="A18" s="10">
        <f t="shared" si="2"/>
        <v>45525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6CFD7-4F2A-4F4E-845E-32694088B1FA}">
  <sheetPr codeName="Sheet5"/>
  <dimension ref="A3:B68"/>
  <sheetViews>
    <sheetView topLeftCell="A16" workbookViewId="0">
      <selection activeCell="D17" sqref="D17"/>
    </sheetView>
  </sheetViews>
  <sheetFormatPr defaultRowHeight="15" x14ac:dyDescent="0.25"/>
  <cols>
    <col min="1" max="1" width="16.85546875" bestFit="1" customWidth="1"/>
    <col min="2" max="2" width="12.5703125" bestFit="1" customWidth="1"/>
  </cols>
  <sheetData>
    <row r="3" spans="1:2" x14ac:dyDescent="0.25">
      <c r="A3" s="2" t="s">
        <v>476</v>
      </c>
      <c r="B3" s="4" t="s">
        <v>477</v>
      </c>
    </row>
    <row r="4" spans="1:2" x14ac:dyDescent="0.25">
      <c r="A4" s="3" t="s">
        <v>396</v>
      </c>
      <c r="B4">
        <f>(SUMIF(Table4[person_if_credit],Creditors_and_amt!A4,Table4[Total_sold]))-(SUMIF(Table4[person_paid_if_credit],Creditors_and_amt!A4,Table4[how_much_paid_if_credit]))</f>
        <v>60</v>
      </c>
    </row>
    <row r="5" spans="1:2" x14ac:dyDescent="0.25">
      <c r="A5" s="3" t="s">
        <v>385</v>
      </c>
      <c r="B5" t="e">
        <f>(SUMIF(Table4[person_if_credit],Creditors_and_amt!A5,Table4[Total_sold]))-(SUMIF(Table4[person_paid_if_credit],Creditors_and_amt!A5,Table4[how_much_paid_if_credit]))</f>
        <v>#N/A</v>
      </c>
    </row>
    <row r="6" spans="1:2" x14ac:dyDescent="0.25">
      <c r="A6" s="3" t="s">
        <v>404</v>
      </c>
      <c r="B6">
        <f>(SUMIF(Table4[person_if_credit],Creditors_and_amt!A6,Table4[Total_sold]))-(SUMIF(Table4[person_paid_if_credit],Creditors_and_amt!A6,Table4[how_much_paid_if_credit]))</f>
        <v>4995</v>
      </c>
    </row>
    <row r="7" spans="1:2" x14ac:dyDescent="0.25">
      <c r="A7" s="3" t="s">
        <v>393</v>
      </c>
      <c r="B7" t="e">
        <f>(SUMIF(Table4[person_if_credit],Creditors_and_amt!A7,Table4[Total_sold]))-(SUMIF(Table4[person_paid_if_credit],Creditors_and_amt!A7,Table4[how_much_paid_if_credit]))</f>
        <v>#N/A</v>
      </c>
    </row>
    <row r="8" spans="1:2" x14ac:dyDescent="0.25">
      <c r="A8" s="3" t="s">
        <v>387</v>
      </c>
      <c r="B8">
        <f>(SUMIF(Table4[person_if_credit],Creditors_and_amt!A8,Table4[Total_sold]))-(SUMIF(Table4[person_paid_if_credit],Creditors_and_amt!A8,Table4[how_much_paid_if_credit]))</f>
        <v>2125</v>
      </c>
    </row>
    <row r="9" spans="1:2" x14ac:dyDescent="0.25">
      <c r="A9" s="3" t="s">
        <v>409</v>
      </c>
      <c r="B9">
        <f>(SUMIF(Table4[person_if_credit],Creditors_and_amt!A9,Table4[Total_sold]))-(SUMIF(Table4[person_paid_if_credit],Creditors_and_amt!A9,Table4[how_much_paid_if_credit]))</f>
        <v>120</v>
      </c>
    </row>
    <row r="10" spans="1:2" x14ac:dyDescent="0.25">
      <c r="A10" s="3" t="s">
        <v>384</v>
      </c>
      <c r="B10">
        <f>(SUMIF(Table4[person_if_credit],Creditors_and_amt!A10,Table4[Total_sold]))-(SUMIF(Table4[person_paid_if_credit],Creditors_and_amt!A10,Table4[how_much_paid_if_credit]))</f>
        <v>-97.5</v>
      </c>
    </row>
    <row r="11" spans="1:2" x14ac:dyDescent="0.25">
      <c r="A11" s="3" t="s">
        <v>408</v>
      </c>
      <c r="B11">
        <f>(SUMIF(Table4[person_if_credit],Creditors_and_amt!A11,Table4[Total_sold]))-(SUMIF(Table4[person_paid_if_credit],Creditors_and_amt!A11,Table4[how_much_paid_if_credit]))</f>
        <v>875</v>
      </c>
    </row>
    <row r="12" spans="1:2" x14ac:dyDescent="0.25">
      <c r="A12" s="3" t="s">
        <v>403</v>
      </c>
      <c r="B12">
        <f>(SUMIF(Table4[person_if_credit],Creditors_and_amt!A12,Table4[Total_sold]))-(SUMIF(Table4[person_paid_if_credit],Creditors_and_amt!A12,Table4[how_much_paid_if_credit]))</f>
        <v>805</v>
      </c>
    </row>
    <row r="13" spans="1:2" x14ac:dyDescent="0.25">
      <c r="A13" s="3" t="s">
        <v>411</v>
      </c>
      <c r="B13">
        <f>(SUMIF(Table4[person_if_credit],Creditors_and_amt!A13,Table4[Total_sold]))-(SUMIF(Table4[person_paid_if_credit],Creditors_and_amt!A13,Table4[how_much_paid_if_credit]))</f>
        <v>55</v>
      </c>
    </row>
    <row r="14" spans="1:2" x14ac:dyDescent="0.25">
      <c r="A14" s="3" t="s">
        <v>406</v>
      </c>
      <c r="B14">
        <f>(SUMIF(Table4[person_if_credit],Creditors_and_amt!A14,Table4[Total_sold]))-(SUMIF(Table4[person_paid_if_credit],Creditors_and_amt!A14,Table4[how_much_paid_if_credit]))</f>
        <v>40</v>
      </c>
    </row>
    <row r="15" spans="1:2" x14ac:dyDescent="0.25">
      <c r="A15" s="3" t="s">
        <v>392</v>
      </c>
      <c r="B15">
        <f>(SUMIF(Table4[person_if_credit],Creditors_and_amt!A15,Table4[Total_sold]))-(SUMIF(Table4[person_paid_if_credit],Creditors_and_amt!A15,Table4[how_much_paid_if_credit]))</f>
        <v>1525</v>
      </c>
    </row>
    <row r="16" spans="1:2" x14ac:dyDescent="0.25">
      <c r="A16" s="3" t="s">
        <v>395</v>
      </c>
      <c r="B16">
        <f>(SUMIF(Table4[person_if_credit],Creditors_and_amt!A16,Table4[Total_sold]))-(SUMIF(Table4[person_paid_if_credit],Creditors_and_amt!A16,Table4[how_much_paid_if_credit]))</f>
        <v>1220</v>
      </c>
    </row>
    <row r="17" spans="1:2" x14ac:dyDescent="0.25">
      <c r="A17" s="3" t="s">
        <v>391</v>
      </c>
      <c r="B17">
        <f>(SUMIF(Table4[person_if_credit],Creditors_and_amt!A17,Table4[Total_sold]))-(SUMIF(Table4[person_paid_if_credit],Creditors_and_amt!A17,Table4[how_much_paid_if_credit]))</f>
        <v>1990</v>
      </c>
    </row>
    <row r="18" spans="1:2" x14ac:dyDescent="0.25">
      <c r="A18" s="3" t="s">
        <v>398</v>
      </c>
      <c r="B18" t="e">
        <f>(SUMIF(Table4[person_if_credit],Creditors_and_amt!A18,Table4[Total_sold]))-(SUMIF(Table4[person_paid_if_credit],Creditors_and_amt!A18,Table4[how_much_paid_if_credit]))</f>
        <v>#N/A</v>
      </c>
    </row>
    <row r="19" spans="1:2" x14ac:dyDescent="0.25">
      <c r="A19" s="3" t="s">
        <v>405</v>
      </c>
      <c r="B19">
        <f>(SUMIF(Table4[person_if_credit],Creditors_and_amt!A19,Table4[Total_sold]))-(SUMIF(Table4[person_paid_if_credit],Creditors_and_amt!A19,Table4[how_much_paid_if_credit]))</f>
        <v>192.5</v>
      </c>
    </row>
    <row r="20" spans="1:2" x14ac:dyDescent="0.25">
      <c r="A20" s="3" t="s">
        <v>389</v>
      </c>
      <c r="B20">
        <f>(SUMIF(Table4[person_if_credit],Creditors_and_amt!A20,Table4[Total_sold]))-(SUMIF(Table4[person_paid_if_credit],Creditors_and_amt!A20,Table4[how_much_paid_if_credit]))</f>
        <v>1840</v>
      </c>
    </row>
    <row r="21" spans="1:2" x14ac:dyDescent="0.25">
      <c r="A21" s="3" t="s">
        <v>397</v>
      </c>
      <c r="B21">
        <f>(SUMIF(Table4[person_if_credit],Creditors_and_amt!A21,Table4[Total_sold]))-(SUMIF(Table4[person_paid_if_credit],Creditors_and_amt!A21,Table4[how_much_paid_if_credit]))</f>
        <v>-215</v>
      </c>
    </row>
    <row r="22" spans="1:2" x14ac:dyDescent="0.25">
      <c r="A22" s="3" t="s">
        <v>399</v>
      </c>
      <c r="B22">
        <f>(SUMIF(Table4[person_if_credit],Creditors_and_amt!A22,Table4[Total_sold]))-(SUMIF(Table4[person_paid_if_credit],Creditors_and_amt!A22,Table4[how_much_paid_if_credit]))</f>
        <v>-120</v>
      </c>
    </row>
    <row r="23" spans="1:2" x14ac:dyDescent="0.25">
      <c r="A23" s="3" t="s">
        <v>394</v>
      </c>
      <c r="B23">
        <f>(SUMIF(Table4[person_if_credit],Creditors_and_amt!A23,Table4[Total_sold]))-(SUMIF(Table4[person_paid_if_credit],Creditors_and_amt!A23,Table4[how_much_paid_if_credit]))</f>
        <v>1140</v>
      </c>
    </row>
    <row r="24" spans="1:2" x14ac:dyDescent="0.25">
      <c r="A24" s="3" t="s">
        <v>407</v>
      </c>
      <c r="B24">
        <f>(SUMIF(Table4[person_if_credit],Creditors_and_amt!A24,Table4[Total_sold]))-(SUMIF(Table4[person_paid_if_credit],Creditors_and_amt!A24,Table4[how_much_paid_if_credit]))</f>
        <v>160</v>
      </c>
    </row>
    <row r="25" spans="1:2" x14ac:dyDescent="0.25">
      <c r="A25" s="3" t="s">
        <v>390</v>
      </c>
      <c r="B25">
        <f>(SUMIF(Table4[person_if_credit],Creditors_and_amt!A25,Table4[Total_sold]))-(SUMIF(Table4[person_paid_if_credit],Creditors_and_amt!A25,Table4[how_much_paid_if_credit]))</f>
        <v>1735</v>
      </c>
    </row>
    <row r="26" spans="1:2" x14ac:dyDescent="0.25">
      <c r="A26" s="3" t="s">
        <v>386</v>
      </c>
      <c r="B26">
        <f>(SUMIF(Table4[person_if_credit],Creditors_and_amt!A26,Table4[Total_sold]))-(SUMIF(Table4[person_paid_if_credit],Creditors_and_amt!A26,Table4[how_much_paid_if_credit]))</f>
        <v>-745</v>
      </c>
    </row>
    <row r="27" spans="1:2" x14ac:dyDescent="0.25">
      <c r="A27" s="3" t="s">
        <v>401</v>
      </c>
      <c r="B27">
        <f>(SUMIF(Table4[person_if_credit],Creditors_and_amt!A27,Table4[Total_sold]))-(SUMIF(Table4[person_paid_if_credit],Creditors_and_amt!A27,Table4[how_much_paid_if_credit]))</f>
        <v>675</v>
      </c>
    </row>
    <row r="28" spans="1:2" x14ac:dyDescent="0.25">
      <c r="A28" s="3" t="s">
        <v>400</v>
      </c>
      <c r="B28">
        <f>(SUMIF(Table4[person_if_credit],Creditors_and_amt!A28,Table4[Total_sold]))-(SUMIF(Table4[person_paid_if_credit],Creditors_and_amt!A28,Table4[how_much_paid_if_credit]))</f>
        <v>265</v>
      </c>
    </row>
    <row r="29" spans="1:2" x14ac:dyDescent="0.25">
      <c r="A29" s="3" t="s">
        <v>388</v>
      </c>
      <c r="B29">
        <f>(SUMIF(Table4[person_if_credit],Creditors_and_amt!A29,Table4[Total_sold]))-(SUMIF(Table4[person_paid_if_credit],Creditors_and_amt!A29,Table4[how_much_paid_if_credit]))</f>
        <v>315</v>
      </c>
    </row>
    <row r="30" spans="1:2" x14ac:dyDescent="0.25">
      <c r="A30" s="3" t="s">
        <v>383</v>
      </c>
      <c r="B30">
        <f>(SUMIF(Table4[person_if_credit],Creditors_and_amt!A30,Table4[Total_sold]))-(SUMIF(Table4[person_paid_if_credit],Creditors_and_amt!A30,Table4[how_much_paid_if_credit]))</f>
        <v>265</v>
      </c>
    </row>
    <row r="31" spans="1:2" x14ac:dyDescent="0.25">
      <c r="A31" s="3" t="s">
        <v>478</v>
      </c>
      <c r="B31">
        <f>(SUMIF(Table4[person_if_credit],Creditors_and_amt!A31,Table4[Total_sold]))-(SUMIF(Table4[person_paid_if_credit],Creditors_and_amt!A31,Table4[how_much_paid_if_credit]))</f>
        <v>0</v>
      </c>
    </row>
    <row r="32" spans="1:2" x14ac:dyDescent="0.25">
      <c r="A32" s="3" t="s">
        <v>413</v>
      </c>
      <c r="B32">
        <f>(SUMIF(Table4[person_if_credit],Creditors_and_amt!A32,Table4[Total_sold]))-(SUMIF(Table4[person_paid_if_credit],Creditors_and_amt!A32,Table4[how_much_paid_if_credit]))</f>
        <v>180</v>
      </c>
    </row>
    <row r="33" spans="1:2" x14ac:dyDescent="0.25">
      <c r="A33" s="3" t="s">
        <v>414</v>
      </c>
      <c r="B33">
        <f>(SUMIF(Table4[person_if_credit],Creditors_and_amt!A33,Table4[Total_sold]))-(SUMIF(Table4[person_paid_if_credit],Creditors_and_amt!A33,Table4[how_much_paid_if_credit]))</f>
        <v>65</v>
      </c>
    </row>
    <row r="34" spans="1:2" x14ac:dyDescent="0.25">
      <c r="A34" s="3" t="s">
        <v>416</v>
      </c>
      <c r="B34">
        <f>(SUMIF(Table4[person_if_credit],Creditors_and_amt!A34,Table4[Total_sold]))-(SUMIF(Table4[person_paid_if_credit],Creditors_and_amt!A34,Table4[how_much_paid_if_credit]))</f>
        <v>20</v>
      </c>
    </row>
    <row r="35" spans="1:2" x14ac:dyDescent="0.25">
      <c r="A35" s="3" t="s">
        <v>417</v>
      </c>
      <c r="B35">
        <f>(SUMIF(Table4[person_if_credit],Creditors_and_amt!A35,Table4[Total_sold]))-(SUMIF(Table4[person_paid_if_credit],Creditors_and_amt!A35,Table4[how_much_paid_if_credit]))</f>
        <v>281</v>
      </c>
    </row>
    <row r="36" spans="1:2" x14ac:dyDescent="0.25">
      <c r="A36" s="3" t="s">
        <v>418</v>
      </c>
      <c r="B36">
        <f>(SUMIF(Table4[person_if_credit],Creditors_and_amt!A36,Table4[Total_sold]))-(SUMIF(Table4[person_paid_if_credit],Creditors_and_amt!A36,Table4[how_much_paid_if_credit]))</f>
        <v>45</v>
      </c>
    </row>
    <row r="37" spans="1:2" x14ac:dyDescent="0.25">
      <c r="A37" s="3" t="s">
        <v>412</v>
      </c>
      <c r="B37">
        <f>(SUMIF(Table4[person_if_credit],Creditors_and_amt!A37,Table4[Total_sold]))-(SUMIF(Table4[person_paid_if_credit],Creditors_and_amt!A37,Table4[how_much_paid_if_credit]))</f>
        <v>-280</v>
      </c>
    </row>
    <row r="38" spans="1:2" x14ac:dyDescent="0.25">
      <c r="A38" s="3" t="s">
        <v>419</v>
      </c>
      <c r="B38">
        <f>(SUMIF(Table4[person_if_credit],Creditors_and_amt!A38,Table4[Total_sold]))-(SUMIF(Table4[person_paid_if_credit],Creditors_and_amt!A38,Table4[how_much_paid_if_credit]))</f>
        <v>345</v>
      </c>
    </row>
    <row r="39" spans="1:2" x14ac:dyDescent="0.25">
      <c r="A39" s="3" t="s">
        <v>420</v>
      </c>
      <c r="B39">
        <f>(SUMIF(Table4[person_if_credit],Creditors_and_amt!A39,Table4[Total_sold]))-(SUMIF(Table4[person_paid_if_credit],Creditors_and_amt!A39,Table4[how_much_paid_if_credit]))</f>
        <v>85</v>
      </c>
    </row>
    <row r="40" spans="1:2" x14ac:dyDescent="0.25">
      <c r="A40" s="3" t="s">
        <v>421</v>
      </c>
      <c r="B40">
        <f>(SUMIF(Table4[person_if_credit],Creditors_and_amt!A40,Table4[Total_sold]))-(SUMIF(Table4[person_paid_if_credit],Creditors_and_amt!A40,Table4[how_much_paid_if_credit]))</f>
        <v>-95</v>
      </c>
    </row>
    <row r="41" spans="1:2" x14ac:dyDescent="0.25">
      <c r="A41" s="3" t="s">
        <v>423</v>
      </c>
      <c r="B41">
        <f>(SUMIF(Table4[person_if_credit],Creditors_and_amt!A41,Table4[Total_sold]))-(SUMIF(Table4[person_paid_if_credit],Creditors_and_amt!A41,Table4[how_much_paid_if_credit]))</f>
        <v>-185</v>
      </c>
    </row>
    <row r="42" spans="1:2" x14ac:dyDescent="0.25">
      <c r="A42" s="3" t="s">
        <v>425</v>
      </c>
      <c r="B42">
        <f>(SUMIF(Table4[person_if_credit],Creditors_and_amt!A42,Table4[Total_sold]))-(SUMIF(Table4[person_paid_if_credit],Creditors_and_amt!A42,Table4[how_much_paid_if_credit]))</f>
        <v>160</v>
      </c>
    </row>
    <row r="43" spans="1:2" x14ac:dyDescent="0.25">
      <c r="A43" s="3" t="s">
        <v>427</v>
      </c>
      <c r="B43" t="e">
        <f>(SUMIF(Table4[person_if_credit],Creditors_and_amt!A43,Table4[Total_sold]))-(SUMIF(Table4[person_paid_if_credit],Creditors_and_amt!A43,Table4[how_much_paid_if_credit]))</f>
        <v>#N/A</v>
      </c>
    </row>
    <row r="44" spans="1:2" x14ac:dyDescent="0.25">
      <c r="A44" s="3" t="s">
        <v>428</v>
      </c>
      <c r="B44">
        <f>(SUMIF(Table4[person_if_credit],Creditors_and_amt!A44,Table4[Total_sold]))-(SUMIF(Table4[person_paid_if_credit],Creditors_and_amt!A44,Table4[how_much_paid_if_credit]))</f>
        <v>-5</v>
      </c>
    </row>
    <row r="45" spans="1:2" x14ac:dyDescent="0.25">
      <c r="A45" s="3" t="s">
        <v>429</v>
      </c>
      <c r="B45">
        <f>(SUMIF(Table4[person_if_credit],Creditors_and_amt!A45,Table4[Total_sold]))-(SUMIF(Table4[person_paid_if_credit],Creditors_and_amt!A45,Table4[how_much_paid_if_credit]))</f>
        <v>195</v>
      </c>
    </row>
    <row r="46" spans="1:2" x14ac:dyDescent="0.25">
      <c r="A46" s="3" t="s">
        <v>431</v>
      </c>
      <c r="B46">
        <f>(SUMIF(Table4[person_if_credit],Creditors_and_amt!A46,Table4[Total_sold]))-(SUMIF(Table4[person_paid_if_credit],Creditors_and_amt!A46,Table4[how_much_paid_if_credit]))</f>
        <v>635</v>
      </c>
    </row>
    <row r="47" spans="1:2" x14ac:dyDescent="0.25">
      <c r="A47" s="3" t="s">
        <v>435</v>
      </c>
      <c r="B47">
        <f>(SUMIF(Table4[person_if_credit],Creditors_and_amt!A47,Table4[Total_sold]))-(SUMIF(Table4[person_paid_if_credit],Creditors_and_amt!A47,Table4[how_much_paid_if_credit]))</f>
        <v>490</v>
      </c>
    </row>
    <row r="48" spans="1:2" x14ac:dyDescent="0.25">
      <c r="A48" s="3" t="s">
        <v>437</v>
      </c>
      <c r="B48">
        <f>(SUMIF(Table4[person_if_credit],Creditors_and_amt!A48,Table4[Total_sold]))-(SUMIF(Table4[person_paid_if_credit],Creditors_and_amt!A48,Table4[how_much_paid_if_credit]))</f>
        <v>0</v>
      </c>
    </row>
    <row r="49" spans="1:2" x14ac:dyDescent="0.25">
      <c r="A49" s="3" t="s">
        <v>438</v>
      </c>
      <c r="B49">
        <f>(SUMIF(Table4[person_if_credit],Creditors_and_amt!A49,Table4[Total_sold]))-(SUMIF(Table4[person_paid_if_credit],Creditors_and_amt!A49,Table4[how_much_paid_if_credit]))</f>
        <v>555</v>
      </c>
    </row>
    <row r="50" spans="1:2" x14ac:dyDescent="0.25">
      <c r="A50" s="3" t="s">
        <v>439</v>
      </c>
      <c r="B50">
        <f>(SUMIF(Table4[person_if_credit],Creditors_and_amt!A50,Table4[Total_sold]))-(SUMIF(Table4[person_paid_if_credit],Creditors_and_amt!A50,Table4[how_much_paid_if_credit]))</f>
        <v>10</v>
      </c>
    </row>
    <row r="51" spans="1:2" x14ac:dyDescent="0.25">
      <c r="A51" s="3" t="s">
        <v>442</v>
      </c>
      <c r="B51">
        <f>(SUMIF(Table4[person_if_credit],Creditors_and_amt!A51,Table4[Total_sold]))-(SUMIF(Table4[person_paid_if_credit],Creditors_and_amt!A51,Table4[how_much_paid_if_credit]))</f>
        <v>65</v>
      </c>
    </row>
    <row r="52" spans="1:2" x14ac:dyDescent="0.25">
      <c r="A52" s="3" t="s">
        <v>443</v>
      </c>
      <c r="B52">
        <f>(SUMIF(Table4[person_if_credit],Creditors_and_amt!A52,Table4[Total_sold]))-(SUMIF(Table4[person_paid_if_credit],Creditors_and_amt!A52,Table4[how_much_paid_if_credit]))</f>
        <v>265</v>
      </c>
    </row>
    <row r="53" spans="1:2" x14ac:dyDescent="0.25">
      <c r="A53" s="3" t="s">
        <v>445</v>
      </c>
      <c r="B53">
        <f>(SUMIF(Table4[person_if_credit],Creditors_and_amt!A53,Table4[Total_sold]))-(SUMIF(Table4[person_paid_if_credit],Creditors_and_amt!A53,Table4[how_much_paid_if_credit]))</f>
        <v>85</v>
      </c>
    </row>
    <row r="54" spans="1:2" x14ac:dyDescent="0.25">
      <c r="A54" s="3" t="s">
        <v>446</v>
      </c>
      <c r="B54">
        <f>(SUMIF(Table4[person_if_credit],Creditors_and_amt!A54,Table4[Total_sold]))-(SUMIF(Table4[person_paid_if_credit],Creditors_and_amt!A54,Table4[how_much_paid_if_credit]))</f>
        <v>0</v>
      </c>
    </row>
    <row r="55" spans="1:2" x14ac:dyDescent="0.25">
      <c r="A55" s="3" t="s">
        <v>447</v>
      </c>
      <c r="B55">
        <f>(SUMIF(Table4[person_if_credit],Creditors_and_amt!A55,Table4[Total_sold]))-(SUMIF(Table4[person_paid_if_credit],Creditors_and_amt!A55,Table4[how_much_paid_if_credit]))</f>
        <v>175</v>
      </c>
    </row>
    <row r="56" spans="1:2" x14ac:dyDescent="0.25">
      <c r="A56" s="3" t="s">
        <v>448</v>
      </c>
      <c r="B56">
        <f>(SUMIF(Table4[person_if_credit],Creditors_and_amt!A56,Table4[Total_sold]))-(SUMIF(Table4[person_paid_if_credit],Creditors_and_amt!A56,Table4[how_much_paid_if_credit]))</f>
        <v>0</v>
      </c>
    </row>
    <row r="57" spans="1:2" x14ac:dyDescent="0.25">
      <c r="A57" s="3" t="s">
        <v>449</v>
      </c>
      <c r="B57">
        <f>(SUMIF(Table4[person_if_credit],Creditors_and_amt!A57,Table4[Total_sold]))-(SUMIF(Table4[person_paid_if_credit],Creditors_and_amt!A57,Table4[how_much_paid_if_credit]))</f>
        <v>65</v>
      </c>
    </row>
    <row r="58" spans="1:2" x14ac:dyDescent="0.25">
      <c r="A58" s="3" t="s">
        <v>451</v>
      </c>
      <c r="B58">
        <f>(SUMIF(Table4[person_if_credit],Creditors_and_amt!A58,Table4[Total_sold]))-(SUMIF(Table4[person_paid_if_credit],Creditors_and_amt!A58,Table4[how_much_paid_if_credit]))</f>
        <v>1680</v>
      </c>
    </row>
    <row r="59" spans="1:2" x14ac:dyDescent="0.25">
      <c r="A59" s="3" t="s">
        <v>452</v>
      </c>
      <c r="B59">
        <f>(SUMIF(Table4[person_if_credit],Creditors_and_amt!A59,Table4[Total_sold]))-(SUMIF(Table4[person_paid_if_credit],Creditors_and_amt!A59,Table4[how_much_paid_if_credit]))</f>
        <v>270</v>
      </c>
    </row>
    <row r="60" spans="1:2" x14ac:dyDescent="0.25">
      <c r="A60" s="3" t="s">
        <v>453</v>
      </c>
      <c r="B60">
        <f>(SUMIF(Table4[person_if_credit],Creditors_and_amt!A60,Table4[Total_sold]))-(SUMIF(Table4[person_paid_if_credit],Creditors_and_amt!A60,Table4[how_much_paid_if_credit]))</f>
        <v>130</v>
      </c>
    </row>
    <row r="61" spans="1:2" x14ac:dyDescent="0.25">
      <c r="A61" s="3" t="s">
        <v>454</v>
      </c>
      <c r="B61">
        <f>(SUMIF(Table4[person_if_credit],Creditors_and_amt!A61,Table4[Total_sold]))-(SUMIF(Table4[person_paid_if_credit],Creditors_and_amt!A61,Table4[how_much_paid_if_credit]))</f>
        <v>75</v>
      </c>
    </row>
    <row r="62" spans="1:2" x14ac:dyDescent="0.25">
      <c r="A62" s="3" t="s">
        <v>456</v>
      </c>
      <c r="B62">
        <f>(SUMIF(Table4[person_if_credit],Creditors_and_amt!A62,Table4[Total_sold]))-(SUMIF(Table4[person_paid_if_credit],Creditors_and_amt!A62,Table4[how_much_paid_if_credit]))</f>
        <v>2965</v>
      </c>
    </row>
    <row r="63" spans="1:2" x14ac:dyDescent="0.25">
      <c r="A63" s="3" t="s">
        <v>458</v>
      </c>
      <c r="B63">
        <f>(SUMIF(Table4[person_if_credit],Creditors_and_amt!A63,Table4[Total_sold]))-(SUMIF(Table4[person_paid_if_credit],Creditors_and_amt!A63,Table4[how_much_paid_if_credit]))</f>
        <v>20</v>
      </c>
    </row>
    <row r="64" spans="1:2" x14ac:dyDescent="0.25">
      <c r="A64" s="3" t="s">
        <v>459</v>
      </c>
      <c r="B64">
        <f>(SUMIF(Table4[person_if_credit],Creditors_and_amt!A64,Table4[Total_sold]))-(SUMIF(Table4[person_paid_if_credit],Creditors_and_amt!A64,Table4[how_much_paid_if_credit]))</f>
        <v>360</v>
      </c>
    </row>
    <row r="65" spans="1:2" x14ac:dyDescent="0.25">
      <c r="A65" s="3" t="s">
        <v>460</v>
      </c>
      <c r="B65">
        <f>(SUMIF(Table4[person_if_credit],Creditors_and_amt!A65,Table4[Total_sold]))-(SUMIF(Table4[person_paid_if_credit],Creditors_and_amt!A65,Table4[how_much_paid_if_credit]))</f>
        <v>45</v>
      </c>
    </row>
    <row r="66" spans="1:2" x14ac:dyDescent="0.25">
      <c r="A66" s="3" t="s">
        <v>450</v>
      </c>
      <c r="B66">
        <f>(SUMIF(Table4[person_if_credit],Creditors_and_amt!A66,Table4[Total_sold]))-(SUMIF(Table4[person_paid_if_credit],Creditors_and_amt!A66,Table4[how_much_paid_if_credit]))</f>
        <v>135</v>
      </c>
    </row>
    <row r="67" spans="1:2" x14ac:dyDescent="0.25">
      <c r="A67" s="3" t="s">
        <v>580</v>
      </c>
      <c r="B67">
        <f>(SUMIF(Table4[person_if_credit],Creditors_and_amt!A67,Table4[Total_sold]))-(SUMIF(Table4[person_paid_if_credit],Creditors_and_amt!A67,Table4[how_much_paid_if_credit]))</f>
        <v>20</v>
      </c>
    </row>
    <row r="68" spans="1:2" x14ac:dyDescent="0.25">
      <c r="A68" s="3" t="s">
        <v>479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8B05D-8793-4FE5-97A5-40DDC957CF86}">
  <sheetPr codeName="Sheet4"/>
  <dimension ref="A1:I135"/>
  <sheetViews>
    <sheetView workbookViewId="0">
      <selection activeCell="D10" sqref="D10"/>
    </sheetView>
  </sheetViews>
  <sheetFormatPr defaultRowHeight="15" x14ac:dyDescent="0.25"/>
  <cols>
    <col min="1" max="1" width="29.85546875" style="39" bestFit="1" customWidth="1"/>
    <col min="2" max="2" width="12.140625" style="8" bestFit="1" customWidth="1"/>
    <col min="3" max="3" width="7.85546875" bestFit="1" customWidth="1"/>
    <col min="4" max="4" width="12" style="6" bestFit="1" customWidth="1"/>
    <col min="5" max="5" width="14.85546875" bestFit="1" customWidth="1"/>
    <col min="6" max="6" width="13" bestFit="1" customWidth="1"/>
    <col min="7" max="7" width="14.28515625" bestFit="1" customWidth="1"/>
    <col min="8" max="8" width="12.28515625" bestFit="1" customWidth="1"/>
    <col min="9" max="9" width="13.28515625" bestFit="1" customWidth="1"/>
  </cols>
  <sheetData>
    <row r="1" spans="1:9" x14ac:dyDescent="0.25">
      <c r="A1" s="39" t="s">
        <v>347</v>
      </c>
      <c r="B1" s="27" t="s">
        <v>480</v>
      </c>
      <c r="C1" t="s">
        <v>481</v>
      </c>
      <c r="D1" s="24" t="s">
        <v>482</v>
      </c>
      <c r="E1" t="s">
        <v>483</v>
      </c>
      <c r="F1" t="s">
        <v>484</v>
      </c>
      <c r="G1" t="s">
        <v>485</v>
      </c>
      <c r="H1" t="s">
        <v>486</v>
      </c>
      <c r="I1" t="s">
        <v>487</v>
      </c>
    </row>
    <row r="2" spans="1:9" x14ac:dyDescent="0.25">
      <c r="A2" s="39">
        <f>DATE(2024,7,15)</f>
        <v>45488</v>
      </c>
      <c r="B2" s="8">
        <f>SUMIF(Table5[date_of_purchase],'Summary Per Day'!A2,Table5[total_spent])</f>
        <v>2200</v>
      </c>
      <c r="C2" s="23" t="e">
        <f>SUMIF(Table4[date],Table3[[#This Row],[Date]],Table4[Total_sold])</f>
        <v>#N/A</v>
      </c>
      <c r="D2" s="6" t="e">
        <f>SUMIF(Table4[date],'Summary Per Day'!A2,Table4[profit])</f>
        <v>#N/A</v>
      </c>
      <c r="E2">
        <f>SUMIFS(Table4[Total_sold],Table4[date],'Summary Per Day'!A2,Table4[Transaction_mode],Sales!H6)</f>
        <v>605</v>
      </c>
      <c r="F2">
        <f>SUMIFS(Table4[Total_sold],Table4[date],'Summary Per Day'!A2,Table4[Transaction_mode],Sales!H11)</f>
        <v>325</v>
      </c>
      <c r="G2">
        <f>SUMIFS(Table4[Total_sold],Table4[date],'Summary Per Day'!A2,Table4[Transaction_mode],Sales!H3)</f>
        <v>1050</v>
      </c>
      <c r="H2" t="e">
        <f t="shared" ref="H2:H9" si="0">0.45*D2</f>
        <v>#N/A</v>
      </c>
      <c r="I2" t="e">
        <f t="shared" ref="I2:I9" si="1">0.55*D2</f>
        <v>#N/A</v>
      </c>
    </row>
    <row r="3" spans="1:9" x14ac:dyDescent="0.25">
      <c r="A3" s="39">
        <f>DATE(2024,7,16)</f>
        <v>45489</v>
      </c>
      <c r="B3" s="8">
        <f>SUMIF(Table5[date_of_purchase],'Summary Per Day'!A3,Table5[total_spent])</f>
        <v>7010</v>
      </c>
      <c r="C3" s="23">
        <f>SUMIF(Table4[date],Table3[[#This Row],[Date]],Table4[Total_sold])</f>
        <v>4775</v>
      </c>
      <c r="D3" s="6">
        <f>SUMIF(Table4[date],'Summary Per Day'!A3,Table4[profit])</f>
        <v>1116.0714285714287</v>
      </c>
      <c r="E3">
        <f>SUMIFS(Table4[Total_sold],Table4[date],'Summary Per Day'!A3,Table4[Transaction_mode],Sales!H6)</f>
        <v>2235</v>
      </c>
      <c r="F3">
        <f>SUMIFS(Table4[Total_sold],Table4[date],'Summary Per Day'!A3,Table4[Transaction_mode],Sales!H11)</f>
        <v>1720</v>
      </c>
      <c r="G3">
        <f>SUMIFS(Table4[Total_sold],Table4[date],'Summary Per Day'!A3,Table4[Transaction_mode],Sales!H3)</f>
        <v>820</v>
      </c>
      <c r="H3">
        <f t="shared" si="0"/>
        <v>502.23214285714289</v>
      </c>
      <c r="I3">
        <f t="shared" si="1"/>
        <v>613.83928571428578</v>
      </c>
    </row>
    <row r="4" spans="1:9" x14ac:dyDescent="0.25">
      <c r="A4" s="39">
        <f>DATE(2024,7,17)</f>
        <v>45490</v>
      </c>
      <c r="B4" s="8">
        <f>SUMIF(Table5[date_of_purchase],'Summary Per Day'!A4,Table5[total_spent])</f>
        <v>815</v>
      </c>
      <c r="C4" s="23">
        <f>SUMIF(Table4[date],Table3[[#This Row],[Date]],Table4[Total_sold])</f>
        <v>1710</v>
      </c>
      <c r="D4" s="6">
        <f>SUMIF(Table4[date],'Summary Per Day'!A4,Table4[profit])</f>
        <v>428</v>
      </c>
      <c r="E4">
        <f>SUMIFS(Table4[Total_sold],Table4[date],'Summary Per Day'!A4,Table4[Transaction_mode],Sales!H6)</f>
        <v>435</v>
      </c>
      <c r="F4">
        <f>SUMIFS(Table4[Total_sold],Table4[date],'Summary Per Day'!A4,Table4[Transaction_mode],Sales!H11)</f>
        <v>595</v>
      </c>
      <c r="G4">
        <f>SUMIFS(Table4[Total_sold],Table4[date],'Summary Per Day'!A4,Table4[Transaction_mode],Sales!H3)</f>
        <v>680</v>
      </c>
      <c r="H4">
        <f t="shared" si="0"/>
        <v>192.6</v>
      </c>
      <c r="I4">
        <f t="shared" si="1"/>
        <v>235.4</v>
      </c>
    </row>
    <row r="5" spans="1:9" x14ac:dyDescent="0.25">
      <c r="A5" s="39">
        <f>DATE(2024,7,18)</f>
        <v>45491</v>
      </c>
      <c r="B5" s="8">
        <f>SUMIF(Table5[date_of_purchase],'Summary Per Day'!A5,Table5[total_spent])</f>
        <v>210</v>
      </c>
      <c r="C5" s="23">
        <f>SUMIF(Table4[date],Table3[[#This Row],[Date]],Table4[Total_sold])</f>
        <v>2855</v>
      </c>
      <c r="D5" s="6">
        <f>SUMIF(Table4[date],'Summary Per Day'!A5,Table4[profit])</f>
        <v>642.86190476190473</v>
      </c>
      <c r="E5">
        <f>SUMIFS(Table4[Total_sold],Table4[date],'Summary Per Day'!A5,Table4[Transaction_mode],Sales!H6)</f>
        <v>870</v>
      </c>
      <c r="F5">
        <f>SUMIFS(Table4[Total_sold],Table4[date],'Summary Per Day'!A5,Table4[Transaction_mode],Sales!H11)</f>
        <v>480</v>
      </c>
      <c r="G5">
        <f>SUMIFS(Table4[Total_sold],Table4[date],'Summary Per Day'!A5,Table4[Transaction_mode],Sales!H3)</f>
        <v>1505</v>
      </c>
      <c r="H5">
        <f t="shared" si="0"/>
        <v>289.28785714285715</v>
      </c>
      <c r="I5">
        <f t="shared" si="1"/>
        <v>353.57404761904763</v>
      </c>
    </row>
    <row r="6" spans="1:9" x14ac:dyDescent="0.25">
      <c r="A6" s="39">
        <f>DATE(2024,7,19)</f>
        <v>45492</v>
      </c>
      <c r="B6" s="8">
        <f>SUMIF(Table5[date_of_purchase],'Summary Per Day'!A6,Table5[total_spent])</f>
        <v>6039</v>
      </c>
      <c r="C6" s="23">
        <f>SUMIF(Table4[date],Table3[[#This Row],[Date]],Table4[Total_sold])</f>
        <v>2810</v>
      </c>
      <c r="D6" s="6">
        <f>SUMIF(Table4[date],'Summary Per Day'!A6,Table4[profit])</f>
        <v>532.82500000000005</v>
      </c>
      <c r="E6">
        <f>SUMIFS(Table4[Total_sold],Table4[date],'Summary Per Day'!A6,Table4[Transaction_mode],Sales!H6)</f>
        <v>1365</v>
      </c>
      <c r="F6">
        <f>SUMIFS(Table4[Total_sold],Table4[date],'Summary Per Day'!A6,Table4[Transaction_mode],Sales!H11)</f>
        <v>815</v>
      </c>
      <c r="G6">
        <f>SUMIFS(Table4[Total_sold],Table4[date],'Summary Per Day'!A6,Table4[Transaction_mode],Sales!H3)</f>
        <v>630</v>
      </c>
      <c r="H6">
        <f t="shared" si="0"/>
        <v>239.77125000000004</v>
      </c>
      <c r="I6">
        <f t="shared" si="1"/>
        <v>293.05375000000004</v>
      </c>
    </row>
    <row r="7" spans="1:9" x14ac:dyDescent="0.25">
      <c r="A7" s="39">
        <f>DATE(2024,7,20)</f>
        <v>45493</v>
      </c>
      <c r="B7" s="8">
        <f>SUMIF(Table5[date_of_purchase],'Summary Per Day'!A7,Table5[total_spent])</f>
        <v>2000</v>
      </c>
      <c r="C7" s="23">
        <f>SUMIF(Table4[date],Table3[[#This Row],[Date]],Table4[Total_sold])</f>
        <v>5525</v>
      </c>
      <c r="D7" s="6">
        <f>SUMIF(Table4[date],'Summary Per Day'!A7,Table4[profit])</f>
        <v>1181.666666666667</v>
      </c>
      <c r="E7">
        <f>SUMIFS(Table4[Total_sold],Table4[date],'Summary Per Day'!A7,Table4[Transaction_mode],Sales!H6)</f>
        <v>2560</v>
      </c>
      <c r="F7">
        <f>SUMIFS(Table4[Total_sold],Table4[date],'Summary Per Day'!A7,Table4[Transaction_mode],Sales!H11)</f>
        <v>675</v>
      </c>
      <c r="G7">
        <f>SUMIFS(Table4[Total_sold],Table4[date],'Summary Per Day'!A7,Table4[Transaction_mode],Sales!H3)</f>
        <v>2290</v>
      </c>
      <c r="H7">
        <f t="shared" si="0"/>
        <v>531.75000000000011</v>
      </c>
      <c r="I7">
        <f t="shared" si="1"/>
        <v>649.91666666666686</v>
      </c>
    </row>
    <row r="8" spans="1:9" x14ac:dyDescent="0.25">
      <c r="A8" s="39">
        <f>DATE(2024,7,21)</f>
        <v>45494</v>
      </c>
      <c r="B8" s="8">
        <f>SUMIF(Table5[date_of_purchase],'Summary Per Day'!A8,Table5[total_spent])</f>
        <v>0</v>
      </c>
      <c r="C8" s="23">
        <f>SUMIF(Table4[date],Table3[[#This Row],[Date]],Table4[Total_sold])</f>
        <v>2915</v>
      </c>
      <c r="D8" s="6">
        <f>SUMIF(Table4[date],'Summary Per Day'!A8,Table4[profit])</f>
        <v>720.62539682539682</v>
      </c>
      <c r="E8">
        <f>SUMIFS(Table4[Total_sold],Table4[date],'Summary Per Day'!A8,Table4[Transaction_mode],Sales!H6)</f>
        <v>1100</v>
      </c>
      <c r="F8">
        <f>SUMIFS(Table4[Total_sold],Table4[date],'Summary Per Day'!A8,Table4[Transaction_mode],Sales!H11)</f>
        <v>495</v>
      </c>
      <c r="G8">
        <f>SUMIFS(Table4[Total_sold],Table4[date],'Summary Per Day'!A8,Table4[Transaction_mode],Sales!H3)</f>
        <v>1320</v>
      </c>
      <c r="H8">
        <f t="shared" si="0"/>
        <v>324.28142857142859</v>
      </c>
      <c r="I8">
        <f t="shared" si="1"/>
        <v>396.34396825396828</v>
      </c>
    </row>
    <row r="9" spans="1:9" x14ac:dyDescent="0.25">
      <c r="A9" s="39">
        <f>DATE(2024,7,22)</f>
        <v>45495</v>
      </c>
      <c r="B9" s="8">
        <f>SUMIF(Table5[date_of_purchase],'Summary Per Day'!A9,Table5[total_spent])</f>
        <v>3130</v>
      </c>
      <c r="C9" s="23">
        <f>SUMIF(Table4[date],Table3[[#This Row],[Date]],Table4[Total_sold])</f>
        <v>3415</v>
      </c>
      <c r="D9" s="6">
        <f>SUMIF(Table4[date],'Summary Per Day'!A9,Table4[profit])</f>
        <v>803.96428571428567</v>
      </c>
      <c r="E9">
        <f>SUMIFS(Table4[Total_sold],Table4[date],'Summary Per Day'!A9,Table4[Transaction_mode],Sales!H6)</f>
        <v>860</v>
      </c>
      <c r="F9">
        <f>SUMIFS(Table4[Total_sold],Table4[date],'Summary Per Day'!A9,Table4[Transaction_mode],Sales!H11)</f>
        <v>1015</v>
      </c>
      <c r="G9">
        <f>SUMIFS(Table4[Total_sold],Table4[date],'Summary Per Day'!A9,Table4[Transaction_mode],Sales!H3)</f>
        <v>1540</v>
      </c>
      <c r="H9">
        <f t="shared" si="0"/>
        <v>361.78392857142853</v>
      </c>
      <c r="I9">
        <f t="shared" si="1"/>
        <v>442.18035714285713</v>
      </c>
    </row>
    <row r="10" spans="1:9" x14ac:dyDescent="0.25">
      <c r="A10" s="39">
        <f>DATE(2024,7,23)</f>
        <v>45496</v>
      </c>
      <c r="B10" s="8">
        <f>SUMIF(Table5[date_of_purchase],'Summary Per Day'!A10,Table5[total_spent])</f>
        <v>0</v>
      </c>
      <c r="C10" s="23">
        <f>SUMIF(Table4[date],Table3[[#This Row],[Date]],Table4[Total_sold])</f>
        <v>3720</v>
      </c>
      <c r="D10" s="6">
        <f>SUMIF(Table4[date],'Summary Per Day'!A10,Table4[profit])</f>
        <v>825.9595238095236</v>
      </c>
      <c r="E10">
        <f>SUMIFS(Table4[Total_sold],Table4[date],'Summary Per Day'!A10,Table4[Transaction_mode],Sales!H6)</f>
        <v>1510</v>
      </c>
      <c r="F10">
        <f>SUMIFS(Table4[Total_sold],Table4[date],'Summary Per Day'!A10,Table4[Transaction_mode],Sales!H11)</f>
        <v>1190</v>
      </c>
      <c r="G10">
        <f>SUMIFS(Table4[Total_sold],Table4[date],'Summary Per Day'!A10,Table4[Transaction_mode],Sales!H3)</f>
        <v>1020</v>
      </c>
      <c r="H10">
        <f t="shared" ref="H10:H15" si="2">0.45*D10</f>
        <v>371.68178571428564</v>
      </c>
      <c r="I10">
        <f t="shared" ref="I10:I15" si="3">0.55*D10</f>
        <v>454.27773809523802</v>
      </c>
    </row>
    <row r="11" spans="1:9" x14ac:dyDescent="0.25">
      <c r="A11" s="39">
        <f>DATE(2024,7,24)</f>
        <v>45497</v>
      </c>
      <c r="B11" s="8">
        <f>SUMIF(Table5[date_of_purchase],'Summary Per Day'!A11,Table5[total_spent])</f>
        <v>865</v>
      </c>
      <c r="C11" s="23">
        <f>SUMIF(Table4[date],Table3[[#This Row],[Date]],Table4[Total_sold])</f>
        <v>3760</v>
      </c>
      <c r="D11" s="6">
        <f>SUMIF(Table4[date],'Summary Per Day'!A11,Table4[profit])</f>
        <v>875.80079365079359</v>
      </c>
      <c r="E11">
        <f>SUMIFS(Table4[Total_sold],Table4[date],'Summary Per Day'!A11,Table4[Transaction_mode],Sales!H6)</f>
        <v>2090</v>
      </c>
      <c r="F11">
        <f>SUMIFS(Table4[Total_sold],Table4[date],'Summary Per Day'!A11,Table4[Transaction_mode],Sales!H11)</f>
        <v>945</v>
      </c>
      <c r="G11">
        <f>SUMIFS(Table4[Total_sold],Table4[date],'Summary Per Day'!A11,Table4[Transaction_mode],Sales!H3)</f>
        <v>725</v>
      </c>
      <c r="H11">
        <f t="shared" si="2"/>
        <v>394.11035714285714</v>
      </c>
      <c r="I11">
        <f t="shared" si="3"/>
        <v>481.69043650793651</v>
      </c>
    </row>
    <row r="12" spans="1:9" x14ac:dyDescent="0.25">
      <c r="A12" s="39">
        <f>DATE(2024,7,25)</f>
        <v>45498</v>
      </c>
      <c r="B12" s="8">
        <f>SUMIF(Table5[date_of_purchase],'Summary Per Day'!A12,Table5[total_spent])</f>
        <v>9938</v>
      </c>
      <c r="C12" s="23">
        <f>SUMIF(Table4[date],Table3[[#This Row],[Date]],Table4[Total_sold])</f>
        <v>3235</v>
      </c>
      <c r="D12" s="6">
        <f>SUMIF(Table4[date],'Summary Per Day'!A12,Table4[profit])</f>
        <v>706.71111111111111</v>
      </c>
      <c r="E12">
        <f>SUMIFS(Table4[Total_sold],Table4[date],'Summary Per Day'!A12,Table4[Transaction_mode],Sales!H6)</f>
        <v>1095</v>
      </c>
      <c r="F12">
        <f>SUMIFS(Table4[Total_sold],Table4[date],'Summary Per Day'!A12,Table4[Transaction_mode],Sales!H11)</f>
        <v>905</v>
      </c>
      <c r="G12">
        <f>SUMIFS(Table4[Total_sold],Table4[date],'Summary Per Day'!A12,Table4[Transaction_mode],Sales!H3)</f>
        <v>1235</v>
      </c>
      <c r="H12">
        <f t="shared" si="2"/>
        <v>318.02</v>
      </c>
      <c r="I12">
        <f t="shared" si="3"/>
        <v>388.69111111111113</v>
      </c>
    </row>
    <row r="13" spans="1:9" x14ac:dyDescent="0.25">
      <c r="A13" s="39">
        <f>DATE(2024,7,26)</f>
        <v>45499</v>
      </c>
      <c r="B13" s="8">
        <f>SUMIF(Table5[date_of_purchase],'Summary Per Day'!A13,Table5[total_spent])</f>
        <v>580</v>
      </c>
      <c r="C13" s="23">
        <f>SUMIF(Table4[date],Table3[[#This Row],[Date]],Table4[Total_sold])</f>
        <v>2365</v>
      </c>
      <c r="D13" s="6">
        <f>SUMIF(Table4[date],'Summary Per Day'!A13,Table4[profit])</f>
        <v>545.12222222222215</v>
      </c>
      <c r="E13">
        <f>SUMIFS(Table4[Total_sold],Table4[date],'Summary Per Day'!A13,Table4[Transaction_mode],Sales!H6)</f>
        <v>1190</v>
      </c>
      <c r="F13">
        <f>SUMIFS(Table4[Total_sold],Table4[date],'Summary Per Day'!A13,Table4[Transaction_mode],Sales!H11)</f>
        <v>945</v>
      </c>
      <c r="G13">
        <f>SUMIFS(Table4[Total_sold],Table4[date],'Summary Per Day'!A13,Table4[Transaction_mode],Sales!H3)</f>
        <v>230</v>
      </c>
      <c r="H13">
        <f t="shared" si="2"/>
        <v>245.30499999999998</v>
      </c>
      <c r="I13">
        <f t="shared" si="3"/>
        <v>299.8172222222222</v>
      </c>
    </row>
    <row r="14" spans="1:9" x14ac:dyDescent="0.25">
      <c r="A14" s="39">
        <f>DATE(2024,7,27)</f>
        <v>45500</v>
      </c>
      <c r="B14" s="8">
        <f>SUMIF(Table5[date_of_purchase],'Summary Per Day'!A14,Table5[total_spent])</f>
        <v>3310</v>
      </c>
      <c r="C14" s="23">
        <f>SUMIF(Table4[date],Table3[[#This Row],[Date]],Table4[Total_sold])</f>
        <v>3995</v>
      </c>
      <c r="D14" s="6">
        <f>SUMIF(Table4[date],'Summary Per Day'!A14,Table4[profit])</f>
        <v>881.05000000000007</v>
      </c>
      <c r="E14">
        <f>SUMIFS(Table4[Total_sold],Table4[date],'Summary Per Day'!A14,Table4[Transaction_mode],Sales!H6)</f>
        <v>1965</v>
      </c>
      <c r="F14">
        <f>SUMIFS(Table4[Total_sold],Table4[date],'Summary Per Day'!A14,Table4[Transaction_mode],Sales!H11)</f>
        <v>1405</v>
      </c>
      <c r="G14">
        <f>SUMIFS(Table4[Total_sold],Table4[date],'Summary Per Day'!A14,Table4[Transaction_mode],Sales!H3)</f>
        <v>625</v>
      </c>
      <c r="H14">
        <f t="shared" si="2"/>
        <v>396.47250000000003</v>
      </c>
      <c r="I14">
        <f t="shared" si="3"/>
        <v>484.5775000000001</v>
      </c>
    </row>
    <row r="15" spans="1:9" x14ac:dyDescent="0.25">
      <c r="A15" s="39">
        <f>DATE(2024,7,28)</f>
        <v>45501</v>
      </c>
      <c r="B15" s="8">
        <f>SUMIF(Table5[date_of_purchase],'Summary Per Day'!A15,Table5[total_spent])</f>
        <v>0</v>
      </c>
      <c r="C15" s="23">
        <f>SUMIF(Table4[date],Table3[[#This Row],[Date]],Table4[Total_sold])</f>
        <v>3680</v>
      </c>
      <c r="D15" s="6">
        <f>SUMIF(Table4[date],'Summary Per Day'!A15,Table4[profit])</f>
        <v>956.6055555555555</v>
      </c>
      <c r="E15">
        <f>SUMIFS(Table4[Total_sold],Table4[date],'Summary Per Day'!A15,Table4[Transaction_mode],Sales!H6)</f>
        <v>1495</v>
      </c>
      <c r="F15">
        <f>SUMIFS(Table4[Total_sold],Table4[date],'Summary Per Day'!A15,Table4[Transaction_mode],Sales!H11)</f>
        <v>1165</v>
      </c>
      <c r="G15">
        <f>SUMIFS(Table4[Total_sold],Table4[date],'Summary Per Day'!A15,Table4[Transaction_mode],Sales!H3)</f>
        <v>1020</v>
      </c>
      <c r="H15">
        <f t="shared" si="2"/>
        <v>430.47249999999997</v>
      </c>
      <c r="I15">
        <f t="shared" si="3"/>
        <v>526.13305555555553</v>
      </c>
    </row>
    <row r="16" spans="1:9" x14ac:dyDescent="0.25">
      <c r="A16" s="39">
        <f>DATE(2024,7,29)</f>
        <v>45502</v>
      </c>
      <c r="B16" s="8">
        <f>SUMIF(Table5[date_of_purchase],'Summary Per Day'!A16,Table5[total_spent])</f>
        <v>10908</v>
      </c>
      <c r="C16" s="23">
        <f>SUMIF(Table4[date],Table3[[#This Row],[Date]],Table4[Total_sold])</f>
        <v>3120</v>
      </c>
      <c r="D16" s="6">
        <f>SUMIF(Table4[date],'Summary Per Day'!A16,Table4[profit])</f>
        <v>660.83333333333326</v>
      </c>
      <c r="E16">
        <f>SUMIFS(Table4[Total_sold],Table4[date],'Summary Per Day'!A16,Table4[Transaction_mode],Sales!H6)</f>
        <v>1895</v>
      </c>
      <c r="F16">
        <f>SUMIFS(Table4[Total_sold],Table4[date],'Summary Per Day'!A16,Table4[Transaction_mode],Sales!H11)</f>
        <v>260</v>
      </c>
      <c r="G16">
        <f>SUMIFS(Table4[Total_sold],Table4[date],'Summary Per Day'!A16,Table4[Transaction_mode],Sales!H3)</f>
        <v>965</v>
      </c>
      <c r="H16">
        <f t="shared" ref="H16:H21" si="4">0.45*D16</f>
        <v>297.375</v>
      </c>
      <c r="I16">
        <f t="shared" ref="I16:I21" si="5">0.55*D16</f>
        <v>363.45833333333331</v>
      </c>
    </row>
    <row r="17" spans="1:9" x14ac:dyDescent="0.25">
      <c r="A17" s="39">
        <f>DATE(2024,7,30)</f>
        <v>45503</v>
      </c>
      <c r="B17" s="8">
        <f>SUMIF(Table5[date_of_purchase],'Summary Per Day'!A17,Table5[total_spent])</f>
        <v>325</v>
      </c>
      <c r="C17" s="23">
        <f>SUMIF(Table4[date],Table3[[#This Row],[Date]],Table4[Total_sold])</f>
        <v>3470</v>
      </c>
      <c r="D17" s="6">
        <f>SUMIF(Table4[date],'Summary Per Day'!A17,Table4[profit])</f>
        <v>812.95873015872996</v>
      </c>
      <c r="E17">
        <f>SUMIFS(Table4[Total_sold],Table4[date],'Summary Per Day'!A17,Table4[Transaction_mode],Sales!H6)</f>
        <v>1630</v>
      </c>
      <c r="F17">
        <f>SUMIFS(Table4[Total_sold],Table4[date],'Summary Per Day'!A17,Table4[Transaction_mode],Sales!H11)</f>
        <v>635</v>
      </c>
      <c r="G17">
        <f>SUMIFS(Table4[Total_sold],Table4[date],'Summary Per Day'!A17,Table4[Transaction_mode],Sales!H3)</f>
        <v>1205</v>
      </c>
      <c r="H17">
        <f t="shared" si="4"/>
        <v>365.83142857142849</v>
      </c>
      <c r="I17">
        <f t="shared" si="5"/>
        <v>447.12730158730153</v>
      </c>
    </row>
    <row r="18" spans="1:9" x14ac:dyDescent="0.25">
      <c r="A18" s="39">
        <f>DATE(2024,7,31)</f>
        <v>45504</v>
      </c>
      <c r="B18" s="8">
        <f>SUMIF(Table5[date_of_purchase],'Summary Per Day'!A18,Table5[total_spent])</f>
        <v>2155</v>
      </c>
      <c r="C18" s="23">
        <f>SUMIF(Table4[date],Table3[[#This Row],[Date]],Table4[Total_sold])</f>
        <v>4540</v>
      </c>
      <c r="D18" s="6">
        <f>SUMIF(Table4[date],'Summary Per Day'!A18,Table4[profit])</f>
        <v>1045.0809523809523</v>
      </c>
      <c r="E18">
        <f>SUMIFS(Table4[Total_sold],Table4[date],'Summary Per Day'!A18,Table4[Transaction_mode],Sales!H6)</f>
        <v>2590</v>
      </c>
      <c r="F18">
        <f>SUMIFS(Table4[Total_sold],Table4[date],'Summary Per Day'!A18,Table4[Transaction_mode],Sales!H11)</f>
        <v>960</v>
      </c>
      <c r="G18">
        <f>SUMIFS(Table4[Total_sold],Table4[date],'Summary Per Day'!A18,Table4[Transaction_mode],Sales!H3)</f>
        <v>990</v>
      </c>
      <c r="H18">
        <f t="shared" si="4"/>
        <v>470.28642857142859</v>
      </c>
      <c r="I18">
        <f t="shared" si="5"/>
        <v>574.79452380952387</v>
      </c>
    </row>
    <row r="19" spans="1:9" x14ac:dyDescent="0.25">
      <c r="A19" s="39">
        <f>DATE(2024,8,1)</f>
        <v>45505</v>
      </c>
      <c r="B19" s="8">
        <f>SUMIF(Table5[date_of_purchase],'Summary Per Day'!A19,Table5[total_spent])</f>
        <v>5270</v>
      </c>
      <c r="C19" s="23">
        <f>SUMIF(Table4[date],Table3[[#This Row],[Date]],Table4[Total_sold])</f>
        <v>6665</v>
      </c>
      <c r="D19" s="6">
        <f>SUMIF(Table4[date],'Summary Per Day'!A19,Table4[profit])</f>
        <v>1605.6698412698415</v>
      </c>
      <c r="E19">
        <f>SUMIFS(Table4[Total_sold],Table4[date],'Summary Per Day'!A19,Table4[Transaction_mode],Sales!H6)</f>
        <v>3585</v>
      </c>
      <c r="F19">
        <f>SUMIFS(Table4[Total_sold],Table4[date],'Summary Per Day'!A19,Table4[Transaction_mode],Sales!H11)</f>
        <v>1170</v>
      </c>
      <c r="G19">
        <f>SUMIFS(Table4[Total_sold],Table4[date],'Summary Per Day'!A19,Table4[Transaction_mode],Sales!H3)</f>
        <v>1910</v>
      </c>
      <c r="H19">
        <f t="shared" si="4"/>
        <v>722.55142857142869</v>
      </c>
      <c r="I19">
        <f t="shared" si="5"/>
        <v>883.11841269841295</v>
      </c>
    </row>
    <row r="20" spans="1:9" x14ac:dyDescent="0.25">
      <c r="A20" s="39">
        <f>DATE(2024,8,2)</f>
        <v>45506</v>
      </c>
      <c r="B20" s="8">
        <f>SUMIF(Table5[date_of_purchase],'Summary Per Day'!A20,Table5[total_spent])</f>
        <v>4555</v>
      </c>
      <c r="C20" s="23">
        <f>SUMIF(Table4[date],Table3[[#This Row],[Date]],Table4[Total_sold])</f>
        <v>2895</v>
      </c>
      <c r="D20" s="6">
        <f>SUMIF(Table4[date],'Summary Per Day'!A20,Table4[profit])</f>
        <v>692.03888888888901</v>
      </c>
      <c r="E20">
        <f>SUMIFS(Table4[Total_sold],Table4[date],'Summary Per Day'!A20,Table4[Transaction_mode],Sales!H6)</f>
        <v>1410</v>
      </c>
      <c r="F20">
        <f>SUMIFS(Table4[Total_sold],Table4[date],'Summary Per Day'!A20,Table4[Transaction_mode],Sales!H11)</f>
        <v>970</v>
      </c>
      <c r="G20">
        <f>SUMIFS(Table4[Total_sold],Table4[date],'Summary Per Day'!A20,Table4[Transaction_mode],Sales!H3)</f>
        <v>515</v>
      </c>
      <c r="H20">
        <f t="shared" si="4"/>
        <v>311.41750000000008</v>
      </c>
      <c r="I20">
        <f t="shared" si="5"/>
        <v>380.62138888888899</v>
      </c>
    </row>
    <row r="21" spans="1:9" x14ac:dyDescent="0.25">
      <c r="A21" s="39">
        <f>DATE(2024,8,3)</f>
        <v>45507</v>
      </c>
      <c r="B21" s="8">
        <f>SUMIF(Table5[date_of_purchase],'Summary Per Day'!A21,Table5[total_spent])</f>
        <v>3360</v>
      </c>
      <c r="C21" s="23">
        <f>SUMIF(Table4[date],Table3[[#This Row],[Date]],Table4[Total_sold])</f>
        <v>5785</v>
      </c>
      <c r="D21" s="6">
        <f>SUMIF(Table4[date],'Summary Per Day'!A21,Table4[profit])</f>
        <v>1087.6119047619047</v>
      </c>
      <c r="E21">
        <f>SUMIFS(Table4[Total_sold],Table4[date],'Summary Per Day'!A21,Table4[Transaction_mode],Sales!H6)</f>
        <v>2650</v>
      </c>
      <c r="F21">
        <f>SUMIFS(Table4[Total_sold],Table4[date],'Summary Per Day'!A21,Table4[Transaction_mode],Sales!H11)</f>
        <v>1790</v>
      </c>
      <c r="G21">
        <f>SUMIFS(Table4[Total_sold],Table4[date],'Summary Per Day'!A21,Table4[Transaction_mode],Sales!H3)</f>
        <v>1345</v>
      </c>
      <c r="H21">
        <f t="shared" si="4"/>
        <v>489.42535714285714</v>
      </c>
      <c r="I21">
        <f t="shared" si="5"/>
        <v>598.1865476190477</v>
      </c>
    </row>
    <row r="22" spans="1:9" x14ac:dyDescent="0.25">
      <c r="A22" s="39">
        <f>DATE(2024,8,4)</f>
        <v>45508</v>
      </c>
      <c r="B22" s="8">
        <f>SUMIF(Table5[date_of_purchase],'Summary Per Day'!A22,Table5[total_spent])</f>
        <v>0</v>
      </c>
      <c r="C22" s="23">
        <f>SUMIF(Table4[date],Table3[[#This Row],[Date]],Table4[Total_sold])</f>
        <v>4070</v>
      </c>
      <c r="D22" s="6">
        <f>SUMIF(Table4[date],'Summary Per Day'!A22,Table4[profit])</f>
        <v>1030.7841269841269</v>
      </c>
      <c r="E22">
        <f>SUMIFS(Table4[Total_sold],Table4[date],'Summary Per Day'!A22,Table4[Transaction_mode],Sales!H6)</f>
        <v>1525</v>
      </c>
      <c r="F22">
        <f>SUMIFS(Table4[Total_sold],Table4[date],'Summary Per Day'!A22,Table4[Transaction_mode],Sales!H11)</f>
        <v>1170</v>
      </c>
      <c r="G22">
        <f>SUMIFS(Table4[Total_sold],Table4[date],'Summary Per Day'!A22,Table4[Transaction_mode],Sales!H3)</f>
        <v>1375</v>
      </c>
      <c r="H22">
        <f t="shared" ref="H22:H28" si="6">0.45*D22</f>
        <v>463.85285714285715</v>
      </c>
      <c r="I22">
        <f t="shared" ref="I22:I28" si="7">0.55*D22</f>
        <v>566.93126984126991</v>
      </c>
    </row>
    <row r="23" spans="1:9" x14ac:dyDescent="0.25">
      <c r="A23" s="39">
        <f>DATE(2024,8,5)</f>
        <v>45509</v>
      </c>
      <c r="B23" s="8">
        <f>SUMIF(Table5[date_of_purchase],'Summary Per Day'!A23,Table5[total_spent])</f>
        <v>5219</v>
      </c>
      <c r="C23" s="23">
        <f>SUMIF(Table4[date],Table3[[#This Row],[Date]],Table4[Total_sold])</f>
        <v>3757.5</v>
      </c>
      <c r="D23" s="6">
        <f>SUMIF(Table4[date],'Summary Per Day'!A23,Table4[profit])</f>
        <v>875.50555555555547</v>
      </c>
      <c r="E23">
        <f>SUMIFS(Table4[Total_sold],Table4[date],'Summary Per Day'!A23,Table4[Transaction_mode],Sales!H6)</f>
        <v>1465</v>
      </c>
      <c r="F23">
        <f>SUMIFS(Table4[Total_sold],Table4[date],'Summary Per Day'!A23,Table4[Transaction_mode],Sales!H11)</f>
        <v>570</v>
      </c>
      <c r="G23">
        <f>SUMIFS(Table4[Total_sold],Table4[date],'Summary Per Day'!A23,Table4[Transaction_mode],Sales!H3)</f>
        <v>1722.5</v>
      </c>
      <c r="H23">
        <f t="shared" si="6"/>
        <v>393.97749999999996</v>
      </c>
      <c r="I23">
        <f t="shared" si="7"/>
        <v>481.52805555555557</v>
      </c>
    </row>
    <row r="24" spans="1:9" x14ac:dyDescent="0.25">
      <c r="A24" s="39">
        <f>DATE(2024,8,6)</f>
        <v>45510</v>
      </c>
      <c r="B24" s="8">
        <f>SUMIF(Table5[date_of_purchase],'Summary Per Day'!A24,Table5[total_spent])</f>
        <v>4205</v>
      </c>
      <c r="C24" s="23">
        <f>SUMIF(Table4[date],Table3[[#This Row],[Date]],Table4[Total_sold])</f>
        <v>2260</v>
      </c>
      <c r="D24" s="6">
        <f>SUMIF(Table4[date],'Summary Per Day'!A24,Table4[profit])</f>
        <v>564.4198412698413</v>
      </c>
      <c r="E24">
        <f>SUMIFS(Table4[Total_sold],Table4[date],'Summary Per Day'!A24,Table4[Transaction_mode],Sales!H6)</f>
        <v>590</v>
      </c>
      <c r="F24">
        <f>SUMIFS(Table4[Total_sold],Table4[date],'Summary Per Day'!A24,Table4[Transaction_mode],Sales!H11)</f>
        <v>415</v>
      </c>
      <c r="G24">
        <f>SUMIFS(Table4[Total_sold],Table4[date],'Summary Per Day'!A24,Table4[Transaction_mode],Sales!H3)</f>
        <v>1255</v>
      </c>
      <c r="H24">
        <f t="shared" si="6"/>
        <v>253.9889285714286</v>
      </c>
      <c r="I24">
        <f t="shared" si="7"/>
        <v>310.43091269841273</v>
      </c>
    </row>
    <row r="25" spans="1:9" x14ac:dyDescent="0.25">
      <c r="A25" s="39">
        <f>DATE(2024,8,7)</f>
        <v>45511</v>
      </c>
      <c r="B25" s="8">
        <f>SUMIF(Table5[date_of_purchase],'Summary Per Day'!A25,Table5[total_spent])</f>
        <v>0</v>
      </c>
      <c r="C25" s="23">
        <f>SUMIF(Table4[date],Table3[[#This Row],[Date]],Table4[Total_sold])</f>
        <v>4955</v>
      </c>
      <c r="D25" s="6">
        <f>SUMIF(Table4[date],'Summary Per Day'!A25,Table4[profit])</f>
        <v>1091.1365079365085</v>
      </c>
      <c r="E25">
        <f>SUMIFS(Table4[Total_sold],Table4[date],'Summary Per Day'!A25,Table4[Transaction_mode],Sales!H6)</f>
        <v>1770</v>
      </c>
      <c r="F25">
        <f>SUMIFS(Table4[Total_sold],Table4[date],'Summary Per Day'!A25,Table4[Transaction_mode],Sales!H11)</f>
        <v>1415</v>
      </c>
      <c r="G25">
        <f>SUMIFS(Table4[Total_sold],Table4[date],'Summary Per Day'!A25,Table4[Transaction_mode],Sales!H3)</f>
        <v>1770</v>
      </c>
      <c r="H25">
        <f t="shared" si="6"/>
        <v>491.01142857142884</v>
      </c>
      <c r="I25">
        <f t="shared" si="7"/>
        <v>600.12507936507973</v>
      </c>
    </row>
    <row r="26" spans="1:9" x14ac:dyDescent="0.25">
      <c r="A26" s="39">
        <f>DATE(2024,8,8)</f>
        <v>45512</v>
      </c>
      <c r="B26" s="8">
        <f>SUMIF(Table5[date_of_purchase],'Summary Per Day'!A26,Table5[total_spent])</f>
        <v>1191.6666666666667</v>
      </c>
      <c r="C26" s="23">
        <f>SUMIF(Table4[date],Table3[[#This Row],[Date]],Table4[Total_sold])</f>
        <v>4655</v>
      </c>
      <c r="D26" s="6">
        <f>SUMIF(Table4[date],'Summary Per Day'!A26,Table4[profit])</f>
        <v>1017.8484126984126</v>
      </c>
      <c r="E26">
        <f>SUMIFS(Table4[Total_sold],Table4[date],'Summary Per Day'!A26,Table4[Transaction_mode],Sales!H6)</f>
        <v>2550</v>
      </c>
      <c r="F26">
        <f>SUMIFS(Table4[Total_sold],Table4[date],'Summary Per Day'!A26,Table4[Transaction_mode],Sales!H11)</f>
        <v>785</v>
      </c>
      <c r="G26">
        <f>SUMIFS(Table4[Total_sold],Table4[date],'Summary Per Day'!A26,Table4[Transaction_mode],Sales!H3)</f>
        <v>1300</v>
      </c>
      <c r="H26">
        <f t="shared" si="6"/>
        <v>458.03178571428572</v>
      </c>
      <c r="I26">
        <f t="shared" si="7"/>
        <v>559.81662698412697</v>
      </c>
    </row>
    <row r="27" spans="1:9" x14ac:dyDescent="0.25">
      <c r="A27" s="39">
        <f>DATE(2024,8,9)</f>
        <v>45513</v>
      </c>
      <c r="B27" s="8">
        <f>SUMIF(Table5[date_of_purchase],'Summary Per Day'!A27,Table5[total_spent])</f>
        <v>5215</v>
      </c>
      <c r="C27" s="23">
        <f>SUMIF(Table4[date],Table3[[#This Row],[Date]],Table4[Total_sold])</f>
        <v>6490</v>
      </c>
      <c r="D27" s="6">
        <f>SUMIF(Table4[date],'Summary Per Day'!A27,Table4[profit])</f>
        <v>1381.5642857142866</v>
      </c>
      <c r="E27">
        <f>SUMIFS(Table4[Total_sold],Table4[date],'Summary Per Day'!A27,Table4[Transaction_mode],Sales!H6)</f>
        <v>1695</v>
      </c>
      <c r="F27">
        <f>SUMIFS(Table4[Total_sold],Table4[date],'Summary Per Day'!A27,Table4[Transaction_mode],Sales!H11)</f>
        <v>927.5</v>
      </c>
      <c r="G27">
        <f>SUMIFS(Table4[Total_sold],Table4[date],'Summary Per Day'!A27,Table4[Transaction_mode],Sales!H3)</f>
        <v>3867.5</v>
      </c>
      <c r="H27">
        <f t="shared" si="6"/>
        <v>621.70392857142895</v>
      </c>
      <c r="I27">
        <f t="shared" si="7"/>
        <v>759.86035714285765</v>
      </c>
    </row>
    <row r="28" spans="1:9" x14ac:dyDescent="0.25">
      <c r="A28" s="39">
        <f>DATE(2024,8,10)</f>
        <v>45514</v>
      </c>
      <c r="B28" s="8">
        <f>SUMIF(Table5[date_of_purchase],'Summary Per Day'!A28,Table5[total_spent])</f>
        <v>11288.333333333332</v>
      </c>
      <c r="C28" s="23">
        <f>SUMIF(Table4[date],Table3[[#This Row],[Date]],Table4[Total_sold])</f>
        <v>3850</v>
      </c>
      <c r="D28" s="6">
        <f>SUMIF(Table4[date],'Summary Per Day'!A28,Table4[profit])</f>
        <v>775.16666666666663</v>
      </c>
      <c r="E28">
        <f>SUMIFS(Table4[Total_sold],Table4[date],'Summary Per Day'!A28,Table4[Transaction_mode],Sales!H6)</f>
        <v>1720</v>
      </c>
      <c r="F28">
        <f>SUMIFS(Table4[Total_sold],Table4[date],'Summary Per Day'!A28,Table4[Transaction_mode],Sales!H11)</f>
        <v>955</v>
      </c>
      <c r="G28">
        <f>SUMIFS(Table4[Total_sold],Table4[date],'Summary Per Day'!A28,Table4[Transaction_mode],Sales!H3)</f>
        <v>1175</v>
      </c>
      <c r="H28">
        <f t="shared" si="6"/>
        <v>348.82499999999999</v>
      </c>
      <c r="I28">
        <f t="shared" si="7"/>
        <v>426.3416666666667</v>
      </c>
    </row>
    <row r="29" spans="1:9" x14ac:dyDescent="0.25">
      <c r="A29" s="39">
        <f>DATE(2024,8,11)</f>
        <v>45515</v>
      </c>
      <c r="B29" s="8">
        <f>SUMIF(Table5[date_of_purchase],'Summary Per Day'!A29,Table5[total_spent])</f>
        <v>270</v>
      </c>
      <c r="C29" s="23">
        <f>SUMIF(Table4[date],Table3[[#This Row],[Date]],Table4[Total_sold])</f>
        <v>2735</v>
      </c>
      <c r="D29" s="6">
        <f>SUMIF(Table4[date],'Summary Per Day'!A29,Table4[profit])</f>
        <v>603</v>
      </c>
      <c r="E29">
        <f>SUMIFS(Table4[Total_sold],Table4[date],'Summary Per Day'!A29,Table4[Transaction_mode],Sales!$H$6)</f>
        <v>720</v>
      </c>
      <c r="F29">
        <f>SUMIFS(Table4[Total_sold],Table4[date],'Summary Per Day'!A29,Table4[Transaction_mode],Sales!$H$11)</f>
        <v>740</v>
      </c>
      <c r="G29">
        <f>SUMIFS(Table4[Total_sold],Table4[date],'Summary Per Day'!A29,Table4[Transaction_mode],Sales!$H$3)</f>
        <v>1275</v>
      </c>
      <c r="H29">
        <f>0.45*D29</f>
        <v>271.35000000000002</v>
      </c>
      <c r="I29">
        <f>0.55*D29</f>
        <v>331.65000000000003</v>
      </c>
    </row>
    <row r="30" spans="1:9" x14ac:dyDescent="0.25">
      <c r="A30" s="39">
        <f>DATE(2024,8,12)</f>
        <v>45516</v>
      </c>
      <c r="B30" s="8">
        <f>SUMIF(Table5[date_of_purchase],'Summary Per Day'!A30,Table5[total_spent])</f>
        <v>4585</v>
      </c>
      <c r="C30" s="23">
        <f>SUMIF(Table4[date],Table3[[#This Row],[Date]],Table4[Total_sold])</f>
        <v>3420</v>
      </c>
      <c r="D30" s="6">
        <f>SUMIF(Table4[date],'Summary Per Day'!A30,Table4[profit])</f>
        <v>753.85317460317458</v>
      </c>
      <c r="E30">
        <f>SUMIFS(Table4[Total_sold],Table4[date],'Summary Per Day'!A30,Table4[Transaction_mode],Sales!$H$6)</f>
        <v>1155</v>
      </c>
      <c r="F30">
        <f>SUMIFS(Table4[Total_sold],Table4[date],'Summary Per Day'!A30,Table4[Transaction_mode],Sales!$H$11)</f>
        <v>1465</v>
      </c>
      <c r="G30">
        <f>SUMIFS(Table4[Total_sold],Table4[date],'Summary Per Day'!A30,Table4[Transaction_mode],Sales!$H$3)</f>
        <v>800</v>
      </c>
      <c r="H30">
        <f>0.45*D30</f>
        <v>339.23392857142858</v>
      </c>
      <c r="I30">
        <f>0.55*D30</f>
        <v>414.61924603174606</v>
      </c>
    </row>
    <row r="31" spans="1:9" x14ac:dyDescent="0.25">
      <c r="A31" s="39">
        <f>DATE(2024,8,13)</f>
        <v>45517</v>
      </c>
      <c r="B31">
        <f>SUMIF('Purchases from 13th Aug 2024'!$A$2:$A$462,'Summary Per Day'!A31,'Purchases from 13th Aug 2024'!$E$2:$E$462)</f>
        <v>5035</v>
      </c>
      <c r="C31" s="23">
        <f>SUMIF(Table4[date],Table3[[#This Row],[Date]],Table4[Total_sold])</f>
        <v>4870</v>
      </c>
      <c r="D31" s="6">
        <f>SUMIF(Table4[date],'Summary Per Day'!A31,Table4[profit])</f>
        <v>1071.8007936507934</v>
      </c>
      <c r="E31">
        <f>SUMIFS(Table4[Total_sold],Table4[date],'Summary Per Day'!A31,Table4[Transaction_mode],Sales!$H$6)</f>
        <v>920</v>
      </c>
      <c r="F31">
        <f>SUMIFS(Table4[Total_sold],Table4[date],'Summary Per Day'!A31,Table4[Transaction_mode],Sales!$H$11)</f>
        <v>1870</v>
      </c>
      <c r="G31">
        <f>SUMIFS(Table4[Total_sold],Table4[date],'Summary Per Day'!A31,Table4[Transaction_mode],Sales!$H$3)</f>
        <v>2080</v>
      </c>
      <c r="H31">
        <f>0.45*D31</f>
        <v>482.31035714285701</v>
      </c>
      <c r="I31">
        <f>0.55*D31</f>
        <v>589.49043650793635</v>
      </c>
    </row>
    <row r="32" spans="1:9" x14ac:dyDescent="0.25">
      <c r="A32" s="39">
        <f>DATE(2024,8,14)</f>
        <v>45518</v>
      </c>
      <c r="B32">
        <f>SUMIF('Purchases from 13th Aug 2024'!$A$2:$A$462,'Summary Per Day'!A32,'Purchases from 13th Aug 2024'!$E$2:$E$462)</f>
        <v>2035</v>
      </c>
      <c r="C32" s="23">
        <f>SUMIF(Table4[date],Table3[[#This Row],[Date]],Table4[Total_sold])</f>
        <v>3370</v>
      </c>
      <c r="D32" s="6">
        <f>SUMIF(Table4[date],'Summary Per Day'!A32,Table4[profit])</f>
        <v>865.95952380952406</v>
      </c>
      <c r="E32">
        <f>SUMIFS(Table4[Total_sold],Table4[date],'Summary Per Day'!A32,Table4[Transaction_mode],Sales!$H$6)</f>
        <v>1520</v>
      </c>
      <c r="F32">
        <f>SUMIFS(Table4[Total_sold],Table4[date],'Summary Per Day'!A32,Table4[Transaction_mode],Sales!$H$11)</f>
        <v>1290</v>
      </c>
      <c r="G32">
        <f>SUMIFS(Table4[Total_sold],Table4[date],'Summary Per Day'!A32,Table4[Transaction_mode],Sales!$H$3)</f>
        <v>560</v>
      </c>
      <c r="H32">
        <f>0.45*D32</f>
        <v>389.68178571428581</v>
      </c>
      <c r="I32">
        <f>0.55*D32</f>
        <v>476.27773809523825</v>
      </c>
    </row>
    <row r="33" spans="1:9" x14ac:dyDescent="0.25">
      <c r="A33" s="39">
        <f>DATE(2024,8,15)</f>
        <v>45519</v>
      </c>
      <c r="B33">
        <f>SUMIF('Purchases from 13th Aug 2024'!$A$2:$A$462,'Summary Per Day'!A33,'Purchases from 13th Aug 2024'!$E$2:$E$462)</f>
        <v>3234</v>
      </c>
      <c r="C33" s="23">
        <f>SUMIF(Table4[date],Table3[[#This Row],[Date]],Table4[Total_sold])</f>
        <v>2775</v>
      </c>
      <c r="D33" s="6">
        <f>SUMIF(Table4[date],'Summary Per Day'!A33,Table4[profit])</f>
        <v>695.63333333333344</v>
      </c>
      <c r="E33">
        <f>SUMIFS(Table4[Total_sold],Table4[date],'Summary Per Day'!A33,Table4[Transaction_mode],Sales!$H$6)</f>
        <v>1855</v>
      </c>
      <c r="F33">
        <f>SUMIFS(Table4[Total_sold],Table4[date],'Summary Per Day'!A33,Table4[Transaction_mode],Sales!$H$11)</f>
        <v>860</v>
      </c>
      <c r="G33">
        <f>SUMIFS(Table4[Total_sold],Table4[date],'Summary Per Day'!A33,Table4[Transaction_mode],Sales!$H$3)</f>
        <v>60</v>
      </c>
      <c r="H33">
        <f t="shared" ref="H33:H34" si="8">0.45*D33</f>
        <v>313.03500000000008</v>
      </c>
      <c r="I33">
        <f t="shared" ref="I33:I34" si="9">0.55*D33</f>
        <v>382.59833333333341</v>
      </c>
    </row>
    <row r="34" spans="1:9" x14ac:dyDescent="0.25">
      <c r="A34" s="39">
        <f>DATE(2024,8,16)</f>
        <v>45520</v>
      </c>
      <c r="B34">
        <f>SUMIF('Purchases from 13th Aug 2024'!$A$2:$A$462,'Summary Per Day'!A34,'Purchases from 13th Aug 2024'!$E$2:$E$462)</f>
        <v>1075</v>
      </c>
      <c r="C34" s="23">
        <f>SUMIF(Table4[date],Table3[[#This Row],[Date]],Table4[Total_sold])</f>
        <v>3635</v>
      </c>
      <c r="D34" s="6">
        <f>SUMIF(Table4[date],'Summary Per Day'!A34,Table4[profit])</f>
        <v>856.20634920634927</v>
      </c>
      <c r="E34">
        <f>SUMIFS(Table4[Total_sold],Table4[date],'Summary Per Day'!A34,Table4[Transaction_mode],Sales!$H$6)</f>
        <v>1560</v>
      </c>
      <c r="F34">
        <f>SUMIFS(Table4[Total_sold],Table4[date],'Summary Per Day'!A34,Table4[Transaction_mode],Sales!$H$11)</f>
        <v>1250</v>
      </c>
      <c r="G34">
        <f>SUMIFS(Table4[Total_sold],Table4[date],'Summary Per Day'!A34,Table4[Transaction_mode],Sales!$H$3)</f>
        <v>825</v>
      </c>
      <c r="H34">
        <f t="shared" si="8"/>
        <v>385.2928571428572</v>
      </c>
      <c r="I34">
        <f t="shared" si="9"/>
        <v>470.91349206349213</v>
      </c>
    </row>
    <row r="35" spans="1:9" x14ac:dyDescent="0.25">
      <c r="A35" s="39">
        <f>DATE(2024,8,17)</f>
        <v>45521</v>
      </c>
      <c r="B35">
        <f>SUMIF('Purchases from 13th Aug 2024'!$A$2:$A$462,'Summary Per Day'!A35,'Purchases from 13th Aug 2024'!$E$2:$E$462)</f>
        <v>6104</v>
      </c>
      <c r="C35" s="23">
        <f>SUMIF(Table4[date],Table3[[#This Row],[Date]],Table4[Total_sold])</f>
        <v>2099.5</v>
      </c>
      <c r="D35" s="6">
        <f>SUMIF(Table4[date],'Summary Per Day'!A35,Table4[profit])</f>
        <v>462.26428571428568</v>
      </c>
      <c r="E35">
        <f>SUMIFS(Table4[Total_sold],Table4[date],'Summary Per Day'!A35,Table4[Transaction_mode],Sales!$H$6)</f>
        <v>705</v>
      </c>
      <c r="F35">
        <f>SUMIFS(Table4[Total_sold],Table4[date],'Summary Per Day'!A35,Table4[Transaction_mode],Sales!$H$11)</f>
        <v>584.5</v>
      </c>
      <c r="G35">
        <f>SUMIFS(Table4[Total_sold],Table4[date],'Summary Per Day'!A35,Table4[Transaction_mode],Sales!$H$3)</f>
        <v>810</v>
      </c>
      <c r="H35">
        <f>0.45*D35</f>
        <v>208.01892857142855</v>
      </c>
      <c r="I35">
        <f>0.55*D35</f>
        <v>254.24535714285713</v>
      </c>
    </row>
    <row r="36" spans="1:9" x14ac:dyDescent="0.25">
      <c r="A36" s="39">
        <f>DATE(2024,8,18)</f>
        <v>45522</v>
      </c>
      <c r="B36">
        <f>SUMIF('Purchases from 13th Aug 2024'!$A$2:$A$462,'Summary Per Day'!A36,'Purchases from 13th Aug 2024'!$E$2:$E$462)</f>
        <v>0</v>
      </c>
      <c r="C36" s="23">
        <f>SUMIF(Table4[date],Table3[[#This Row],[Date]],Table4[Total_sold])</f>
        <v>3685</v>
      </c>
      <c r="D36" s="6">
        <f>SUMIF(Table4[date],'Summary Per Day'!A36,Table4[profit])</f>
        <v>746.09999999999991</v>
      </c>
      <c r="E36">
        <f>SUMIFS(Table4[Total_sold],Table4[date],'Summary Per Day'!A36,Table4[Transaction_mode],Sales!$H$6)</f>
        <v>2260</v>
      </c>
      <c r="F36">
        <f>SUMIFS(Table4[Total_sold],Table4[date],'Summary Per Day'!A36,Table4[Transaction_mode],Sales!$H$11)</f>
        <v>210</v>
      </c>
      <c r="G36">
        <f>SUMIFS(Table4[Total_sold],Table4[date],'Summary Per Day'!A36,Table4[Transaction_mode],Sales!$H$3)</f>
        <v>1215</v>
      </c>
      <c r="H36">
        <f>0.45*D36</f>
        <v>335.74499999999995</v>
      </c>
      <c r="I36">
        <f>0.55*D36</f>
        <v>410.35499999999996</v>
      </c>
    </row>
    <row r="37" spans="1:9" x14ac:dyDescent="0.25">
      <c r="A37" s="39">
        <f>DATE(2024,8,19)</f>
        <v>45523</v>
      </c>
      <c r="B37">
        <f>SUMIF('Purchases from 13th Aug 2024'!$A$2:$A$462,'Summary Per Day'!A37,'Purchases from 13th Aug 2024'!$E$2:$E$462)</f>
        <v>5346</v>
      </c>
      <c r="C37" s="23">
        <f>SUMIF(Table4[date],Table3[[#This Row],[Date]],Table4[Total_sold])</f>
        <v>5347.5</v>
      </c>
      <c r="D37" s="6">
        <f>SUMIF(Table4[date],'Summary Per Day'!A37,Table4[profit])</f>
        <v>1240.6666666666665</v>
      </c>
      <c r="E37">
        <f>SUMIFS(Table4[Total_sold],Table4[date],'Summary Per Day'!A37,Table4[Transaction_mode],Sales!$H$6)</f>
        <v>2010</v>
      </c>
      <c r="F37">
        <f>SUMIFS(Table4[Total_sold],Table4[date],'Summary Per Day'!A37,Table4[Transaction_mode],Sales!$H$11)</f>
        <v>732.5</v>
      </c>
      <c r="G37">
        <f>SUMIFS(Table4[Total_sold],Table4[date],'Summary Per Day'!A37,Table4[Transaction_mode],Sales!$H$3)</f>
        <v>2605</v>
      </c>
      <c r="H37">
        <f>0.45*D37</f>
        <v>558.29999999999995</v>
      </c>
      <c r="I37">
        <f>0.55*D37</f>
        <v>682.36666666666667</v>
      </c>
    </row>
    <row r="38" spans="1:9" x14ac:dyDescent="0.25">
      <c r="A38" s="39">
        <f>DATE(2024,8,20)</f>
        <v>45524</v>
      </c>
      <c r="B38">
        <f>SUMIF('Purchases from 13th Aug 2024'!$A$2:$A$462,'Summary Per Day'!A38,'Purchases from 13th Aug 2024'!$E$2:$E$462)</f>
        <v>1290</v>
      </c>
      <c r="C38" s="23">
        <f>SUMIF(Table4[date],Table3[[#This Row],[Date]],Table4[Total_sold])</f>
        <v>3325</v>
      </c>
      <c r="D38" s="6">
        <f>SUMIF(Table4[date],'Summary Per Day'!A38,Table4[profit])</f>
        <v>624.08095238095245</v>
      </c>
      <c r="E38">
        <f>SUMIFS(Table4[Total_sold],Table4[date],'Summary Per Day'!A38,Table4[Transaction_mode],Sales!$H$6)</f>
        <v>2140</v>
      </c>
      <c r="F38">
        <f>SUMIFS(Table4[Total_sold],Table4[date],'Summary Per Day'!A38,Table4[Transaction_mode],Sales!$H$11)</f>
        <v>550</v>
      </c>
      <c r="G38">
        <f>SUMIFS(Table4[Total_sold],Table4[date],'Summary Per Day'!A38,Table4[Transaction_mode],Sales!$H$3)</f>
        <v>635</v>
      </c>
      <c r="H38">
        <f t="shared" ref="H38:H41" si="10">0.45*D38</f>
        <v>280.8364285714286</v>
      </c>
      <c r="I38">
        <f t="shared" ref="I38:I41" si="11">0.55*D38</f>
        <v>343.24452380952386</v>
      </c>
    </row>
    <row r="39" spans="1:9" x14ac:dyDescent="0.25">
      <c r="A39" s="39">
        <f>DATE(2024,8,21)</f>
        <v>45525</v>
      </c>
      <c r="B39">
        <f>SUMIF('Purchases from 13th Aug 2024'!$A$2:$A$462,'Summary Per Day'!A39,'Purchases from 13th Aug 2024'!$E$2:$E$462)</f>
        <v>2514</v>
      </c>
      <c r="C39" s="23">
        <f>SUMIF(Table4[date],Table3[[#This Row],[Date]],Table4[Total_sold])</f>
        <v>3710</v>
      </c>
      <c r="D39" s="6">
        <f>SUMIF(Table4[date],'Summary Per Day'!A39,Table4[profit])</f>
        <v>888.58412698412701</v>
      </c>
      <c r="E39">
        <f>SUMIFS(Table4[Total_sold],Table4[date],'Summary Per Day'!A39,Table4[Transaction_mode],Sales!$H$6)</f>
        <v>1980</v>
      </c>
      <c r="F39">
        <f>SUMIFS(Table4[Total_sold],Table4[date],'Summary Per Day'!A39,Table4[Transaction_mode],Sales!$H$11)</f>
        <v>1365</v>
      </c>
      <c r="G39">
        <f>SUMIFS(Table4[Total_sold],Table4[date],'Summary Per Day'!A39,Table4[Transaction_mode],Sales!$H$3)</f>
        <v>365</v>
      </c>
      <c r="H39">
        <f t="shared" si="10"/>
        <v>399.86285714285714</v>
      </c>
      <c r="I39">
        <f t="shared" si="11"/>
        <v>488.72126984126987</v>
      </c>
    </row>
    <row r="40" spans="1:9" x14ac:dyDescent="0.25">
      <c r="A40" s="39">
        <f>DATE(2024,8,22)</f>
        <v>45526</v>
      </c>
      <c r="B40">
        <f>SUMIF('Purchases from 13th Aug 2024'!$A$2:$A$462,'Summary Per Day'!A40,'Purchases from 13th Aug 2024'!$E$2:$E$462)</f>
        <v>0</v>
      </c>
      <c r="C40" s="23">
        <f>SUMIF(Table4[date],Table3[[#This Row],[Date]],Table4[Total_sold])</f>
        <v>4120</v>
      </c>
      <c r="D40" s="6">
        <f>SUMIF(Table4[date],'Summary Per Day'!A40,Table4[profit])</f>
        <v>960.54761904761904</v>
      </c>
      <c r="E40">
        <f>SUMIFS(Table4[Total_sold],Table4[date],'Summary Per Day'!A40,Table4[Transaction_mode],Sales!$H$6)</f>
        <v>2180</v>
      </c>
      <c r="F40">
        <f>SUMIFS(Table4[Total_sold],Table4[date],'Summary Per Day'!A40,Table4[Transaction_mode],Sales!$H$11)</f>
        <v>1075</v>
      </c>
      <c r="G40">
        <f>SUMIFS(Table4[Total_sold],Table4[date],'Summary Per Day'!A40,Table4[Transaction_mode],Sales!$H$3)</f>
        <v>865</v>
      </c>
      <c r="H40">
        <f t="shared" si="10"/>
        <v>432.24642857142857</v>
      </c>
      <c r="I40">
        <f t="shared" si="11"/>
        <v>528.30119047619053</v>
      </c>
    </row>
    <row r="41" spans="1:9" x14ac:dyDescent="0.25">
      <c r="A41" s="39">
        <f>DATE(2024,8,23)</f>
        <v>45527</v>
      </c>
      <c r="B41">
        <f>SUMIF('Purchases from 13th Aug 2024'!$A$2:$A$462,'Summary Per Day'!A41,'Purchases from 13th Aug 2024'!$E$2:$E$462)</f>
        <v>2030</v>
      </c>
      <c r="C41" s="23">
        <f>SUMIF(Table4[date],Table3[[#This Row],[Date]],Table4[Total_sold])</f>
        <v>4117.5</v>
      </c>
      <c r="D41" s="6">
        <f>SUMIF(Table4[date],'Summary Per Day'!A41,Table4[profit])</f>
        <v>915.91666666666663</v>
      </c>
      <c r="E41">
        <f>SUMIFS(Table4[Total_sold],Table4[date],'Summary Per Day'!A41,Table4[Transaction_mode],Sales!$H$6)</f>
        <v>2082.5</v>
      </c>
      <c r="F41">
        <f>SUMIFS(Table4[Total_sold],Table4[date],'Summary Per Day'!A41,Table4[Transaction_mode],Sales!$H$11)</f>
        <v>925</v>
      </c>
      <c r="G41">
        <f>SUMIFS(Table4[Total_sold],Table4[date],'Summary Per Day'!A41,Table4[Transaction_mode],Sales!$H$3)</f>
        <v>1110</v>
      </c>
      <c r="H41">
        <f t="shared" si="10"/>
        <v>412.16249999999997</v>
      </c>
      <c r="I41">
        <f t="shared" si="11"/>
        <v>503.75416666666666</v>
      </c>
    </row>
    <row r="42" spans="1:9" x14ac:dyDescent="0.25">
      <c r="A42" s="39">
        <f>DATE(2024,8,24)</f>
        <v>45528</v>
      </c>
      <c r="B42">
        <f>SUMIF('Purchases from 13th Aug 2024'!$A$2:$A$462,'Summary Per Day'!A42,'Purchases from 13th Aug 2024'!$E$2:$E$462)</f>
        <v>7409</v>
      </c>
      <c r="C42" s="23">
        <f>SUMIF(Table4[date],Table3[[#This Row],[Date]],Table4[Total_sold])</f>
        <v>5317.5</v>
      </c>
      <c r="D42" s="6">
        <f>SUMIF(Table4[date],'Summary Per Day'!A42,Table4[profit])</f>
        <v>1249.3833333333334</v>
      </c>
      <c r="E42">
        <f>SUMIFS(Table4[Total_sold],Table4[date],'Summary Per Day'!A42,Table4[Transaction_mode],Sales!$H$6)</f>
        <v>2812.5</v>
      </c>
      <c r="F42">
        <f>SUMIFS(Table4[Total_sold],Table4[date],'Summary Per Day'!A42,Table4[Transaction_mode],Sales!$H$11)</f>
        <v>1450</v>
      </c>
      <c r="G42">
        <f>SUMIFS(Table4[Total_sold],Table4[date],'Summary Per Day'!A42,Table4[Transaction_mode],Sales!$H$3)</f>
        <v>1055</v>
      </c>
      <c r="H42">
        <f t="shared" ref="H42:H44" si="12">0.45*D42</f>
        <v>562.22250000000008</v>
      </c>
      <c r="I42">
        <f t="shared" ref="I42:I44" si="13">0.55*D42</f>
        <v>687.16083333333347</v>
      </c>
    </row>
    <row r="43" spans="1:9" x14ac:dyDescent="0.25">
      <c r="A43" s="39">
        <f>DATE(2024,8,25)</f>
        <v>45529</v>
      </c>
      <c r="B43">
        <f>SUMIF('Purchases from 13th Aug 2024'!$A$2:$A$462,'Summary Per Day'!A43,'Purchases from 13th Aug 2024'!$E$2:$E$462)</f>
        <v>0</v>
      </c>
      <c r="C43" s="23">
        <f>SUMIF(Table4[date],Table3[[#This Row],[Date]],Table4[Total_sold])</f>
        <v>4950</v>
      </c>
      <c r="D43" s="6">
        <f>SUMIF(Table4[date],'Summary Per Day'!A43,Table4[profit])</f>
        <v>1150.3333333333335</v>
      </c>
      <c r="E43">
        <f>SUMIFS(Table4[Total_sold],Table4[date],'Summary Per Day'!A43,Table4[Transaction_mode],Sales!$H$6)</f>
        <v>2340</v>
      </c>
      <c r="F43">
        <f>SUMIFS(Table4[Total_sold],Table4[date],'Summary Per Day'!A43,Table4[Transaction_mode],Sales!$H$11)</f>
        <v>1125</v>
      </c>
      <c r="G43">
        <f>SUMIFS(Table4[Total_sold],Table4[date],'Summary Per Day'!A43,Table4[Transaction_mode],Sales!$H$3)</f>
        <v>1485</v>
      </c>
      <c r="H43">
        <f t="shared" si="12"/>
        <v>517.65000000000009</v>
      </c>
      <c r="I43">
        <f t="shared" si="13"/>
        <v>632.68333333333351</v>
      </c>
    </row>
    <row r="44" spans="1:9" x14ac:dyDescent="0.25">
      <c r="A44" s="39">
        <f>DATE(2024,8,26)</f>
        <v>45530</v>
      </c>
      <c r="B44">
        <f>SUMIF('Purchases from 13th Aug 2024'!$A$2:$A$462,'Summary Per Day'!A44,'Purchases from 13th Aug 2024'!$E$2:$E$462)</f>
        <v>960</v>
      </c>
      <c r="C44" s="23">
        <f>SUMIF(Table4[date],Table3[[#This Row],[Date]],Table4[Total_sold])</f>
        <v>5380</v>
      </c>
      <c r="D44" s="6">
        <f>SUMIF(Table4[date],'Summary Per Day'!A44,Table4[profit])</f>
        <v>1162.652380952381</v>
      </c>
      <c r="E44">
        <f>SUMIFS(Table4[Total_sold],Table4[date],'Summary Per Day'!A44,Table4[Transaction_mode],Sales!$H$6)</f>
        <v>2095</v>
      </c>
      <c r="F44">
        <f>SUMIFS(Table4[Total_sold],Table4[date],'Summary Per Day'!A44,Table4[Transaction_mode],Sales!$H$11)</f>
        <v>1210</v>
      </c>
      <c r="G44">
        <f>SUMIFS(Table4[Total_sold],Table4[date],'Summary Per Day'!A44,Table4[Transaction_mode],Sales!$H$3)</f>
        <v>2075</v>
      </c>
      <c r="H44">
        <f t="shared" si="12"/>
        <v>523.19357142857143</v>
      </c>
      <c r="I44">
        <f t="shared" si="13"/>
        <v>639.45880952380958</v>
      </c>
    </row>
    <row r="45" spans="1:9" x14ac:dyDescent="0.25">
      <c r="A45" s="39">
        <f>A44+1</f>
        <v>45531</v>
      </c>
      <c r="B45">
        <f>SUMIF('Purchases from 13th Aug 2024'!$A$2:$A$462,'Summary Per Day'!A45,'Purchases from 13th Aug 2024'!$E$2:$E$462)</f>
        <v>4328</v>
      </c>
      <c r="C45" s="23">
        <f>SUMIF(Table4[date],Table3[[#This Row],[Date]],Table4[Total_sold])</f>
        <v>4945</v>
      </c>
      <c r="D45" s="6">
        <f>SUMIF(Table4[date],'Summary Per Day'!A45,Table4[profit])</f>
        <v>1232.0063492063493</v>
      </c>
      <c r="E45">
        <f>SUMIFS(Table4[Total_sold],Table4[date],'Summary Per Day'!A45,Table4[Transaction_mode],Sales!$H$6)</f>
        <v>3115</v>
      </c>
      <c r="F45">
        <f>SUMIFS(Table4[Total_sold],Table4[date],'Summary Per Day'!A45,Table4[Transaction_mode],Sales!$H$11)</f>
        <v>1150</v>
      </c>
      <c r="G45">
        <f>SUMIFS(Table4[Total_sold],Table4[date],'Summary Per Day'!A45,Table4[Transaction_mode],Sales!$H$3)</f>
        <v>680</v>
      </c>
      <c r="H45">
        <f t="shared" ref="H45:H52" si="14">0.45*D45</f>
        <v>554.40285714285721</v>
      </c>
      <c r="I45">
        <f t="shared" ref="I45:I52" si="15">0.55*D45</f>
        <v>677.60349206349224</v>
      </c>
    </row>
    <row r="46" spans="1:9" x14ac:dyDescent="0.25">
      <c r="A46" s="39">
        <f>A45+1</f>
        <v>45532</v>
      </c>
      <c r="B46">
        <f>SUMIF('Purchases from 13th Aug 2024'!$A$2:$A$462,'Summary Per Day'!A46,'Purchases from 13th Aug 2024'!$E$2:$E$462)</f>
        <v>3300</v>
      </c>
      <c r="C46" s="23">
        <f>SUMIF(Table4[date],Table3[[#This Row],[Date]],Table4[Total_sold])</f>
        <v>4640</v>
      </c>
      <c r="D46" s="6">
        <f>SUMIF(Table4[date],'Summary Per Day'!A46,Table4[profit])</f>
        <v>1039.6142857142856</v>
      </c>
      <c r="E46">
        <f>SUMIFS(Table4[Total_sold],Table4[date],'Summary Per Day'!A46,Table4[Transaction_mode],Sales!$H$6)</f>
        <v>1685</v>
      </c>
      <c r="F46">
        <f>SUMIFS(Table4[Total_sold],Table4[date],'Summary Per Day'!A46,Table4[Transaction_mode],Sales!$H$11)</f>
        <v>2025</v>
      </c>
      <c r="G46">
        <f>SUMIFS(Table4[Total_sold],Table4[date],'Summary Per Day'!A46,Table4[Transaction_mode],Sales!$H$3)</f>
        <v>930</v>
      </c>
      <c r="H46">
        <f t="shared" si="14"/>
        <v>467.82642857142855</v>
      </c>
      <c r="I46">
        <f t="shared" si="15"/>
        <v>571.78785714285721</v>
      </c>
    </row>
    <row r="47" spans="1:9" x14ac:dyDescent="0.25">
      <c r="A47" s="39">
        <f t="shared" ref="A47:A110" si="16">A46+1</f>
        <v>45533</v>
      </c>
      <c r="B47">
        <f>SUMIF('Purchases from 13th Aug 2024'!$A$2:$A$462,'Summary Per Day'!A47,'Purchases from 13th Aug 2024'!$E$2:$E$462)</f>
        <v>815</v>
      </c>
      <c r="C47" s="23">
        <f>SUMIF(Table4[date],Table3[[#This Row],[Date]],Table4[Total_sold])</f>
        <v>4310</v>
      </c>
      <c r="D47" s="6">
        <f>SUMIF(Table4[date],'Summary Per Day'!A47,Table4[profit])</f>
        <v>973.48650793650802</v>
      </c>
      <c r="E47">
        <f>SUMIFS(Table4[Total_sold],Table4[date],'Summary Per Day'!A47,Table4[Transaction_mode],Sales!$H$6)</f>
        <v>2095</v>
      </c>
      <c r="F47">
        <f>SUMIFS(Table4[Total_sold],Table4[date],'Summary Per Day'!A47,Table4[Transaction_mode],Sales!$H$11)</f>
        <v>1130</v>
      </c>
      <c r="G47">
        <f>SUMIFS(Table4[Total_sold],Table4[date],'Summary Per Day'!A47,Table4[Transaction_mode],Sales!$H$3)</f>
        <v>1085</v>
      </c>
      <c r="H47">
        <f t="shared" si="14"/>
        <v>438.06892857142861</v>
      </c>
      <c r="I47">
        <f t="shared" si="15"/>
        <v>535.4175793650794</v>
      </c>
    </row>
    <row r="48" spans="1:9" x14ac:dyDescent="0.25">
      <c r="A48" s="39">
        <f t="shared" si="16"/>
        <v>45534</v>
      </c>
      <c r="B48">
        <f>SUMIF('Purchases from 13th Aug 2024'!$A$2:$A$462,'Summary Per Day'!A48,'Purchases from 13th Aug 2024'!$E$2:$E$462)</f>
        <v>1390</v>
      </c>
      <c r="C48" s="23">
        <f>SUMIF(Table4[date],Table3[[#This Row],[Date]],Table4[Total_sold])</f>
        <v>3065</v>
      </c>
      <c r="D48" s="6">
        <f>SUMIF(Table4[date],'Summary Per Day'!A48,Table4[profit])</f>
        <v>759.25</v>
      </c>
      <c r="E48">
        <f>SUMIFS(Table4[Total_sold],Table4[date],'Summary Per Day'!A48,Table4[Transaction_mode],Sales!$H$6)</f>
        <v>1915</v>
      </c>
      <c r="F48">
        <f>SUMIFS(Table4[Total_sold],Table4[date],'Summary Per Day'!A48,Table4[Transaction_mode],Sales!$H$11)</f>
        <v>640</v>
      </c>
      <c r="G48">
        <f>SUMIFS(Table4[Total_sold],Table4[date],'Summary Per Day'!A48,Table4[Transaction_mode],Sales!$H$3)</f>
        <v>510</v>
      </c>
      <c r="H48">
        <f t="shared" si="14"/>
        <v>341.66250000000002</v>
      </c>
      <c r="I48">
        <f t="shared" si="15"/>
        <v>417.58750000000003</v>
      </c>
    </row>
    <row r="49" spans="1:9" x14ac:dyDescent="0.25">
      <c r="A49" s="39">
        <f t="shared" si="16"/>
        <v>45535</v>
      </c>
      <c r="B49">
        <f>SUMIF('Purchases from 13th Aug 2024'!$A$2:$A$462,'Summary Per Day'!A49,'Purchases from 13th Aug 2024'!$E$2:$E$462)</f>
        <v>1030</v>
      </c>
      <c r="C49" s="23">
        <f>SUMIF(Table4[date],Table3[[#This Row],[Date]],Table4[Total_sold])</f>
        <v>3520</v>
      </c>
      <c r="D49" s="6">
        <f>SUMIF(Table4[date],'Summary Per Day'!A49,Table4[profit])</f>
        <v>801.90952380952365</v>
      </c>
      <c r="E49">
        <f>SUMIFS(Table4[Total_sold],Table4[date],'Summary Per Day'!A49,Table4[Transaction_mode],Sales!$H$6)</f>
        <v>2220</v>
      </c>
      <c r="F49">
        <f>SUMIFS(Table4[Total_sold],Table4[date],'Summary Per Day'!A49,Table4[Transaction_mode],Sales!$H$11)</f>
        <v>820</v>
      </c>
      <c r="G49">
        <f>SUMIFS(Table4[Total_sold],Table4[date],'Summary Per Day'!A49,Table4[Transaction_mode],Sales!$H$3)</f>
        <v>480</v>
      </c>
      <c r="H49">
        <f t="shared" si="14"/>
        <v>360.85928571428565</v>
      </c>
      <c r="I49">
        <f t="shared" si="15"/>
        <v>441.05023809523806</v>
      </c>
    </row>
    <row r="50" spans="1:9" x14ac:dyDescent="0.25">
      <c r="A50" s="39">
        <f t="shared" si="16"/>
        <v>45536</v>
      </c>
      <c r="B50">
        <f>SUMIF('Purchases from 13th Aug 2024'!$A$2:$A$462,'Summary Per Day'!A50,'Purchases from 13th Aug 2024'!$E$2:$E$462)</f>
        <v>0</v>
      </c>
      <c r="C50" s="23">
        <f>SUMIF(Table4[date],Table3[[#This Row],[Date]],Table4[Total_sold])</f>
        <v>3205</v>
      </c>
      <c r="D50" s="6">
        <f>SUMIF(Table4[date],'Summary Per Day'!A50,Table4[profit])</f>
        <v>747.59722222222217</v>
      </c>
      <c r="E50">
        <f>SUMIFS(Table4[Total_sold],Table4[date],'Summary Per Day'!A50,Table4[Transaction_mode],Sales!$H$6)</f>
        <v>1365</v>
      </c>
      <c r="F50">
        <f>SUMIFS(Table4[Total_sold],Table4[date],'Summary Per Day'!A50,Table4[Transaction_mode],Sales!$H$11)</f>
        <v>595</v>
      </c>
      <c r="G50">
        <f>SUMIFS(Table4[Total_sold],Table4[date],'Summary Per Day'!A50,Table4[Transaction_mode],Sales!$H$3)</f>
        <v>1245</v>
      </c>
      <c r="H50">
        <f t="shared" si="14"/>
        <v>336.41874999999999</v>
      </c>
      <c r="I50">
        <f t="shared" si="15"/>
        <v>411.17847222222224</v>
      </c>
    </row>
    <row r="51" spans="1:9" x14ac:dyDescent="0.25">
      <c r="A51" s="39">
        <f t="shared" si="16"/>
        <v>45537</v>
      </c>
      <c r="B51">
        <f>SUMIF('Purchases from 13th Aug 2024'!$A$2:$A$462,'Summary Per Day'!A51,'Purchases from 13th Aug 2024'!$E$2:$E$462)</f>
        <v>1055</v>
      </c>
      <c r="C51" s="23">
        <f>SUMIF(Table4[date],Table3[[#This Row],[Date]],Table4[Total_sold])</f>
        <v>3691</v>
      </c>
      <c r="D51" s="6">
        <f>SUMIF(Table4[date],'Summary Per Day'!A51,Table4[profit])</f>
        <v>941.87857142857126</v>
      </c>
      <c r="E51">
        <f>SUMIFS(Table4[Total_sold],Table4[date],'Summary Per Day'!A51,Table4[Transaction_mode],Sales!$H$6)</f>
        <v>1145</v>
      </c>
      <c r="F51">
        <f>SUMIFS(Table4[Total_sold],Table4[date],'Summary Per Day'!A51,Table4[Transaction_mode],Sales!$H$11)</f>
        <v>790</v>
      </c>
      <c r="G51">
        <f>SUMIFS(Table4[Total_sold],Table4[date],'Summary Per Day'!A51,Table4[Transaction_mode],Sales!$H$3)</f>
        <v>1756</v>
      </c>
      <c r="H51">
        <f t="shared" si="14"/>
        <v>423.8453571428571</v>
      </c>
      <c r="I51">
        <f t="shared" si="15"/>
        <v>518.03321428571428</v>
      </c>
    </row>
    <row r="52" spans="1:9" x14ac:dyDescent="0.25">
      <c r="A52" s="39">
        <f t="shared" si="16"/>
        <v>45538</v>
      </c>
      <c r="B52">
        <f>SUMIF('Purchases from 13th Aug 2024'!$A$2:$A$462,'Summary Per Day'!A52,'Purchases from 13th Aug 2024'!$E$2:$E$462)</f>
        <v>11348</v>
      </c>
      <c r="C52" s="23">
        <f>SUMIF(Table4[date],Table3[[#This Row],[Date]],Table4[Total_sold])</f>
        <v>2415</v>
      </c>
      <c r="D52" s="6">
        <f>SUMIF(Table4[date],'Summary Per Day'!A52,Table4[profit])</f>
        <v>505.85</v>
      </c>
      <c r="E52">
        <f>SUMIFS(Table4[Total_sold],Table4[date],'Summary Per Day'!A52,Table4[Transaction_mode],Sales!$H$6)</f>
        <v>1170</v>
      </c>
      <c r="F52">
        <f>SUMIFS(Table4[Total_sold],Table4[date],'Summary Per Day'!A52,Table4[Transaction_mode],Sales!$H$11)</f>
        <v>550</v>
      </c>
      <c r="G52">
        <f>SUMIFS(Table4[Total_sold],Table4[date],'Summary Per Day'!A52,Table4[Transaction_mode],Sales!$H$3)</f>
        <v>695</v>
      </c>
      <c r="H52">
        <f t="shared" si="14"/>
        <v>227.63250000000002</v>
      </c>
      <c r="I52">
        <f t="shared" si="15"/>
        <v>278.21750000000003</v>
      </c>
    </row>
    <row r="53" spans="1:9" x14ac:dyDescent="0.25">
      <c r="A53" s="39">
        <f t="shared" si="16"/>
        <v>45539</v>
      </c>
      <c r="B53">
        <f>SUMIF('Purchases from 13th Aug 2024'!$A$2:$A$462,'Summary Per Day'!A53,'Purchases from 13th Aug 2024'!$E$2:$E$462)</f>
        <v>930</v>
      </c>
      <c r="C53" s="23">
        <f>SUMIF(Table4[date],Table3[[#This Row],[Date]],Table4[Total_sold])</f>
        <v>3820</v>
      </c>
      <c r="D53" s="6">
        <f>SUMIF(Table4[date],'Summary Per Day'!A53,Table4[profit])</f>
        <v>876.7150793650793</v>
      </c>
      <c r="E53">
        <f>SUMIFS(Table4[Total_sold],Table4[date],'Summary Per Day'!A53,Table4[Transaction_mode],Sales!$H$6)</f>
        <v>1450</v>
      </c>
      <c r="F53">
        <f>SUMIFS(Table4[Total_sold],Table4[date],'Summary Per Day'!A53,Table4[Transaction_mode],Sales!$H$11)</f>
        <v>960</v>
      </c>
      <c r="G53">
        <f>SUMIFS(Table4[Total_sold],Table4[date],'Summary Per Day'!A53,Table4[Transaction_mode],Sales!$H$3)</f>
        <v>1410</v>
      </c>
      <c r="H53">
        <f t="shared" ref="H53:H55" si="17">0.45*D53</f>
        <v>394.52178571428567</v>
      </c>
      <c r="I53">
        <f t="shared" ref="I53:I55" si="18">0.55*D53</f>
        <v>482.19329365079363</v>
      </c>
    </row>
    <row r="54" spans="1:9" x14ac:dyDescent="0.25">
      <c r="A54" s="39">
        <f t="shared" si="16"/>
        <v>45540</v>
      </c>
      <c r="B54">
        <f>SUMIF('Purchases from 13th Aug 2024'!$A$2:$A$462,'Summary Per Day'!A54,'Purchases from 13th Aug 2024'!$E$2:$E$462)</f>
        <v>275</v>
      </c>
      <c r="C54" s="23">
        <f>SUMIF(Table4[date],Table3[[#This Row],[Date]],Table4[Total_sold])</f>
        <v>2770</v>
      </c>
      <c r="D54" s="6">
        <f>SUMIF(Table4[date],'Summary Per Day'!A54,Table4[profit])</f>
        <v>540.72222222222217</v>
      </c>
      <c r="E54">
        <f>SUMIFS(Table4[Total_sold],Table4[date],'Summary Per Day'!A54,Table4[Transaction_mode],Sales!$H$6)</f>
        <v>925</v>
      </c>
      <c r="F54">
        <f>SUMIFS(Table4[Total_sold],Table4[date],'Summary Per Day'!A54,Table4[Transaction_mode],Sales!$H$11)</f>
        <v>1080</v>
      </c>
      <c r="G54">
        <f>SUMIFS(Table4[Total_sold],Table4[date],'Summary Per Day'!A54,Table4[Transaction_mode],Sales!$H$3)</f>
        <v>765</v>
      </c>
      <c r="H54">
        <f t="shared" si="17"/>
        <v>243.32499999999999</v>
      </c>
      <c r="I54">
        <f t="shared" si="18"/>
        <v>297.39722222222224</v>
      </c>
    </row>
    <row r="55" spans="1:9" x14ac:dyDescent="0.25">
      <c r="A55" s="39">
        <f t="shared" si="16"/>
        <v>45541</v>
      </c>
      <c r="B55">
        <f>SUMIF('Purchases from 13th Aug 2024'!$A$2:$A$462,'Summary Per Day'!A55,'Purchases from 13th Aug 2024'!$E$2:$E$462)</f>
        <v>1020</v>
      </c>
      <c r="C55" s="23">
        <f>SUMIF(Table4[date],Table3[[#This Row],[Date]],Table4[Total_sold])</f>
        <v>3115</v>
      </c>
      <c r="D55" s="6">
        <f>SUMIF(Table4[date],'Summary Per Day'!A55,Table4[profit])</f>
        <v>626.9785714285714</v>
      </c>
      <c r="E55">
        <f>SUMIFS(Table4[Total_sold],Table4[date],'Summary Per Day'!A55,Table4[Transaction_mode],Sales!$H$6)</f>
        <v>1500</v>
      </c>
      <c r="F55">
        <f>SUMIFS(Table4[Total_sold],Table4[date],'Summary Per Day'!A55,Table4[Transaction_mode],Sales!$H$11)</f>
        <v>630</v>
      </c>
      <c r="G55">
        <f>SUMIFS(Table4[Total_sold],Table4[date],'Summary Per Day'!A55,Table4[Transaction_mode],Sales!$H$3)</f>
        <v>985</v>
      </c>
      <c r="H55">
        <f t="shared" si="17"/>
        <v>282.14035714285711</v>
      </c>
      <c r="I55">
        <f t="shared" si="18"/>
        <v>344.83821428571429</v>
      </c>
    </row>
    <row r="56" spans="1:9" x14ac:dyDescent="0.25">
      <c r="A56" s="39">
        <f t="shared" si="16"/>
        <v>45542</v>
      </c>
      <c r="B56">
        <f>SUMIF('Purchases from 13th Aug 2024'!$A$2:$A$462,'Summary Per Day'!A56,'Purchases from 13th Aug 2024'!$E$2:$E$462)</f>
        <v>1700</v>
      </c>
      <c r="C56" s="23">
        <f>SUMIF(Table4[date],Table3[[#This Row],[Date]],Table4[Total_sold])</f>
        <v>4000</v>
      </c>
      <c r="D56" s="6">
        <f>SUMIF(Table4[date],'Summary Per Day'!A56,Table4[profit])</f>
        <v>973.50000000000011</v>
      </c>
      <c r="E56">
        <f>SUMIFS(Table4[Total_sold],Table4[date],'Summary Per Day'!A56,Table4[Transaction_mode],Sales!$H$6)</f>
        <v>1195</v>
      </c>
      <c r="F56">
        <f>SUMIFS(Table4[Total_sold],Table4[date],'Summary Per Day'!A56,Table4[Transaction_mode],Sales!$H$11)</f>
        <v>515</v>
      </c>
      <c r="G56">
        <f>SUMIFS(Table4[Total_sold],Table4[date],'Summary Per Day'!A56,Table4[Transaction_mode],Sales!$H$3)</f>
        <v>2290</v>
      </c>
      <c r="H56">
        <f t="shared" ref="H56:H74" si="19">0.45*D56</f>
        <v>438.07500000000005</v>
      </c>
      <c r="I56">
        <f t="shared" ref="I56:I74" si="20">0.55*D56</f>
        <v>535.42500000000007</v>
      </c>
    </row>
    <row r="57" spans="1:9" x14ac:dyDescent="0.25">
      <c r="A57" s="39">
        <f t="shared" si="16"/>
        <v>45543</v>
      </c>
      <c r="B57">
        <f>SUMIF('Purchases from 13th Aug 2024'!$A$2:$A$462,'Summary Per Day'!A57,'Purchases from 13th Aug 2024'!$E$2:$E$462)</f>
        <v>0</v>
      </c>
      <c r="C57" s="23">
        <f>SUMIF(Table4[date],Table3[[#This Row],[Date]],Table4[Total_sold])</f>
        <v>4520</v>
      </c>
      <c r="D57" s="6">
        <f>SUMIF(Table4[date],'Summary Per Day'!A57,Table4[profit])</f>
        <v>1082.5420634920636</v>
      </c>
      <c r="E57">
        <f>SUMIFS(Table4[Total_sold],Table4[date],'Summary Per Day'!A57,Table4[Transaction_mode],Sales!$H$6)</f>
        <v>2205</v>
      </c>
      <c r="F57">
        <f>SUMIFS(Table4[Total_sold],Table4[date],'Summary Per Day'!A57,Table4[Transaction_mode],Sales!$H$11)</f>
        <v>1265</v>
      </c>
      <c r="G57">
        <f>SUMIFS(Table4[Total_sold],Table4[date],'Summary Per Day'!A57,Table4[Transaction_mode],Sales!$H$3)</f>
        <v>1050</v>
      </c>
      <c r="H57">
        <f t="shared" si="19"/>
        <v>487.1439285714286</v>
      </c>
      <c r="I57">
        <f t="shared" si="20"/>
        <v>595.39813492063502</v>
      </c>
    </row>
    <row r="58" spans="1:9" x14ac:dyDescent="0.25">
      <c r="A58" s="39">
        <f t="shared" si="16"/>
        <v>45544</v>
      </c>
      <c r="B58">
        <f>SUMIF('Purchases from 13th Aug 2024'!$A$2:$A$462,'Summary Per Day'!A58,'Purchases from 13th Aug 2024'!$E$2:$E$462)</f>
        <v>6485</v>
      </c>
      <c r="C58" s="23">
        <f>SUMIF(Table4[date],Table3[[#This Row],[Date]],Table4[Total_sold])</f>
        <v>3050</v>
      </c>
      <c r="D58" s="6">
        <f>SUMIF(Table4[date],'Summary Per Day'!A58,Table4[profit])</f>
        <v>728.78412698412683</v>
      </c>
      <c r="E58">
        <f>SUMIFS(Table4[Total_sold],Table4[date],'Summary Per Day'!A58,Table4[Transaction_mode],Sales!$H$6)</f>
        <v>1565</v>
      </c>
      <c r="F58">
        <f>SUMIFS(Table4[Total_sold],Table4[date],'Summary Per Day'!A58,Table4[Transaction_mode],Sales!$H$11)</f>
        <v>435</v>
      </c>
      <c r="G58">
        <f>SUMIFS(Table4[Total_sold],Table4[date],'Summary Per Day'!A58,Table4[Transaction_mode],Sales!$H$3)</f>
        <v>1050</v>
      </c>
      <c r="H58">
        <f t="shared" si="19"/>
        <v>327.95285714285706</v>
      </c>
      <c r="I58">
        <f t="shared" si="20"/>
        <v>400.83126984126977</v>
      </c>
    </row>
    <row r="59" spans="1:9" x14ac:dyDescent="0.25">
      <c r="A59" s="39">
        <f t="shared" si="16"/>
        <v>45545</v>
      </c>
      <c r="B59">
        <f>SUMIF('Purchases from 13th Aug 2024'!$A$2:$A$462,'Summary Per Day'!A59,'Purchases from 13th Aug 2024'!$E$2:$E$462)</f>
        <v>275</v>
      </c>
      <c r="C59" s="23">
        <f>SUMIF(Table4[date],Table3[[#This Row],[Date]],Table4[Total_sold])</f>
        <v>3240</v>
      </c>
      <c r="D59" s="6">
        <f>SUMIF(Table4[date],'Summary Per Day'!A59,Table4[profit])</f>
        <v>760.80555555555554</v>
      </c>
      <c r="E59">
        <f>SUMIFS(Table4[Total_sold],Table4[date],'Summary Per Day'!A59,Table4[Transaction_mode],Sales!$H$6)</f>
        <v>1480</v>
      </c>
      <c r="F59">
        <f>SUMIFS(Table4[Total_sold],Table4[date],'Summary Per Day'!A59,Table4[Transaction_mode],Sales!$H$11)</f>
        <v>930</v>
      </c>
      <c r="G59">
        <f>SUMIFS(Table4[Total_sold],Table4[date],'Summary Per Day'!A59,Table4[Transaction_mode],Sales!$H$3)</f>
        <v>830</v>
      </c>
      <c r="H59">
        <f t="shared" si="19"/>
        <v>342.36250000000001</v>
      </c>
      <c r="I59">
        <f t="shared" si="20"/>
        <v>418.44305555555559</v>
      </c>
    </row>
    <row r="60" spans="1:9" x14ac:dyDescent="0.25">
      <c r="A60" s="39">
        <f t="shared" si="16"/>
        <v>45546</v>
      </c>
      <c r="B60">
        <f>SUMIF('Purchases from 13th Aug 2024'!$A$2:$A$462,'Summary Per Day'!A60,'Purchases from 13th Aug 2024'!$E$2:$E$462)</f>
        <v>710</v>
      </c>
      <c r="C60" s="23">
        <f>SUMIF(Table4[date],Table3[[#This Row],[Date]],Table4[Total_sold])</f>
        <v>2260.8000000000002</v>
      </c>
      <c r="D60" s="6">
        <f>SUMIF(Table4[date],'Summary Per Day'!A60,Table4[profit])</f>
        <v>522.88888888888903</v>
      </c>
      <c r="E60">
        <f>SUMIFS(Table4[Total_sold],Table4[date],'Summary Per Day'!A60,Table4[Transaction_mode],Sales!$H$6)</f>
        <v>1585.8</v>
      </c>
      <c r="F60">
        <f>SUMIFS(Table4[Total_sold],Table4[date],'Summary Per Day'!A60,Table4[Transaction_mode],Sales!$H$11)</f>
        <v>335</v>
      </c>
      <c r="G60">
        <f>SUMIFS(Table4[Total_sold],Table4[date],'Summary Per Day'!A60,Table4[Transaction_mode],Sales!$H$3)</f>
        <v>340</v>
      </c>
      <c r="H60">
        <f t="shared" si="19"/>
        <v>235.30000000000007</v>
      </c>
      <c r="I60">
        <f t="shared" si="20"/>
        <v>287.58888888888902</v>
      </c>
    </row>
    <row r="61" spans="1:9" x14ac:dyDescent="0.25">
      <c r="A61" s="39">
        <f t="shared" si="16"/>
        <v>45547</v>
      </c>
      <c r="B61">
        <f>SUMIF('Purchases from 13th Aug 2024'!$A$2:$A$462,'Summary Per Day'!A61,'Purchases from 13th Aug 2024'!$E$2:$E$462)</f>
        <v>900</v>
      </c>
      <c r="C61" s="23">
        <f>SUMIF(Table4[date],Table3[[#This Row],[Date]],Table4[Total_sold])</f>
        <v>3140</v>
      </c>
      <c r="D61" s="6">
        <f>SUMIF(Table4[date],'Summary Per Day'!A61,Table4[profit])</f>
        <v>691.1</v>
      </c>
      <c r="E61">
        <f>SUMIFS(Table4[Total_sold],Table4[date],'Summary Per Day'!A61,Table4[Transaction_mode],Sales!$H$6)</f>
        <v>1005</v>
      </c>
      <c r="F61">
        <f>SUMIFS(Table4[Total_sold],Table4[date],'Summary Per Day'!A61,Table4[Transaction_mode],Sales!$H$11)</f>
        <v>720</v>
      </c>
      <c r="G61">
        <f>SUMIFS(Table4[Total_sold],Table4[date],'Summary Per Day'!A61,Table4[Transaction_mode],Sales!$H$3)</f>
        <v>1415</v>
      </c>
      <c r="H61">
        <f t="shared" si="19"/>
        <v>310.995</v>
      </c>
      <c r="I61">
        <f t="shared" si="20"/>
        <v>380.10500000000002</v>
      </c>
    </row>
    <row r="62" spans="1:9" x14ac:dyDescent="0.25">
      <c r="A62" s="39">
        <f t="shared" si="16"/>
        <v>45548</v>
      </c>
      <c r="B62">
        <f>SUMIF('Purchases from 13th Aug 2024'!$A$2:$A$462,'Summary Per Day'!A62,'Purchases from 13th Aug 2024'!$E$2:$E$462)</f>
        <v>1416</v>
      </c>
      <c r="C62" s="23">
        <f>SUMIF(Table4[date],Table3[[#This Row],[Date]],Table4[Total_sold])</f>
        <v>3540</v>
      </c>
      <c r="D62" s="6">
        <f>SUMIF(Table4[date],'Summary Per Day'!A62,Table4[profit])</f>
        <v>792.86190476190473</v>
      </c>
      <c r="E62">
        <f>SUMIFS(Table4[Total_sold],Table4[date],'Summary Per Day'!A62,Table4[Transaction_mode],Sales!$H$6)</f>
        <v>1895</v>
      </c>
      <c r="F62">
        <f>SUMIFS(Table4[Total_sold],Table4[date],'Summary Per Day'!A62,Table4[Transaction_mode],Sales!$H$11)</f>
        <v>1490</v>
      </c>
      <c r="G62">
        <f>SUMIFS(Table4[Total_sold],Table4[date],'Summary Per Day'!A62,Table4[Transaction_mode],Sales!$H$3)</f>
        <v>155</v>
      </c>
      <c r="H62">
        <f t="shared" si="19"/>
        <v>356.78785714285715</v>
      </c>
      <c r="I62">
        <f t="shared" si="20"/>
        <v>436.07404761904763</v>
      </c>
    </row>
    <row r="63" spans="1:9" x14ac:dyDescent="0.25">
      <c r="A63" s="39">
        <f t="shared" si="16"/>
        <v>45549</v>
      </c>
      <c r="B63">
        <f>SUMIF('Purchases from 13th Aug 2024'!$A$2:$A$462,'Summary Per Day'!A63,'Purchases from 13th Aug 2024'!$E$2:$E$462)</f>
        <v>3880</v>
      </c>
      <c r="C63" s="23">
        <f>SUMIF(Table4[date],Table3[[#This Row],[Date]],Table4[Total_sold])</f>
        <v>3265</v>
      </c>
      <c r="D63" s="6">
        <f>SUMIF(Table4[date],'Summary Per Day'!A63,Table4[profit])</f>
        <v>700.88968253968267</v>
      </c>
      <c r="E63">
        <f>SUMIFS(Table4[Total_sold],Table4[date],'Summary Per Day'!A63,Table4[Transaction_mode],Sales!$H$6)</f>
        <v>1710</v>
      </c>
      <c r="F63">
        <f>SUMIFS(Table4[Total_sold],Table4[date],'Summary Per Day'!A63,Table4[Transaction_mode],Sales!$H$11)</f>
        <v>725</v>
      </c>
      <c r="G63">
        <f>SUMIFS(Table4[Total_sold],Table4[date],'Summary Per Day'!A63,Table4[Transaction_mode],Sales!$H$3)</f>
        <v>830</v>
      </c>
      <c r="H63">
        <f t="shared" si="19"/>
        <v>315.40035714285722</v>
      </c>
      <c r="I63">
        <f t="shared" si="20"/>
        <v>385.48932539682551</v>
      </c>
    </row>
    <row r="64" spans="1:9" x14ac:dyDescent="0.25">
      <c r="A64" s="39">
        <f t="shared" si="16"/>
        <v>45550</v>
      </c>
      <c r="B64">
        <f>SUMIF('Purchases from 13th Aug 2024'!$A$2:$A$462,'Summary Per Day'!A64,'Purchases from 13th Aug 2024'!$E$2:$E$462)</f>
        <v>500</v>
      </c>
      <c r="C64" s="23">
        <f>SUMIF(Table4[date],Table3[[#This Row],[Date]],Table4[Total_sold])</f>
        <v>4675</v>
      </c>
      <c r="D64" s="6">
        <f>SUMIF(Table4[date],'Summary Per Day'!A64,Table4[profit])</f>
        <v>1244.9083333333335</v>
      </c>
      <c r="E64">
        <f>SUMIFS(Table4[Total_sold],Table4[date],'Summary Per Day'!A64,Table4[Transaction_mode],Sales!$H$6)</f>
        <v>1615</v>
      </c>
      <c r="F64">
        <f>SUMIFS(Table4[Total_sold],Table4[date],'Summary Per Day'!A64,Table4[Transaction_mode],Sales!$H$11)</f>
        <v>765</v>
      </c>
      <c r="G64">
        <f>SUMIFS(Table4[Total_sold],Table4[date],'Summary Per Day'!A64,Table4[Transaction_mode],Sales!$H$3)</f>
        <v>2295</v>
      </c>
      <c r="H64">
        <f t="shared" si="19"/>
        <v>560.20875000000012</v>
      </c>
      <c r="I64">
        <f t="shared" si="20"/>
        <v>684.69958333333352</v>
      </c>
    </row>
    <row r="65" spans="1:9" x14ac:dyDescent="0.25">
      <c r="A65" s="39">
        <f t="shared" si="16"/>
        <v>45551</v>
      </c>
      <c r="B65">
        <f>SUMIF('Purchases from 13th Aug 2024'!$A$2:$A$462,'Summary Per Day'!A65,'Purchases from 13th Aug 2024'!$E$2:$E$462)</f>
        <v>9534</v>
      </c>
      <c r="C65" s="23">
        <f>SUMIF(Table4[date],Table3[[#This Row],[Date]],Table4[Total_sold])</f>
        <v>2770</v>
      </c>
      <c r="D65" s="6">
        <f>SUMIF(Table4[date],'Summary Per Day'!A65,Table4[profit])</f>
        <v>529.76587301587313</v>
      </c>
      <c r="E65">
        <f>SUMIFS(Table4[Total_sold],Table4[date],'Summary Per Day'!A65,Table4[Transaction_mode],Sales!$H$6)</f>
        <v>1255</v>
      </c>
      <c r="F65">
        <f>SUMIFS(Table4[Total_sold],Table4[date],'Summary Per Day'!A65,Table4[Transaction_mode],Sales!$H$11)</f>
        <v>450</v>
      </c>
      <c r="G65">
        <f>SUMIFS(Table4[Total_sold],Table4[date],'Summary Per Day'!A65,Table4[Transaction_mode],Sales!$H$3)</f>
        <v>1065</v>
      </c>
      <c r="H65">
        <f t="shared" si="19"/>
        <v>238.39464285714291</v>
      </c>
      <c r="I65">
        <f t="shared" si="20"/>
        <v>291.37123015873027</v>
      </c>
    </row>
    <row r="66" spans="1:9" x14ac:dyDescent="0.25">
      <c r="A66" s="39">
        <f t="shared" si="16"/>
        <v>45552</v>
      </c>
      <c r="B66">
        <f>SUMIF('Purchases from 13th Aug 2024'!$A$2:$A$462,'Summary Per Day'!A66,'Purchases from 13th Aug 2024'!$E$2:$E$462)</f>
        <v>540</v>
      </c>
      <c r="C66" s="23">
        <f>SUMIF(Table4[date],Table3[[#This Row],[Date]],Table4[Total_sold])</f>
        <v>2175</v>
      </c>
      <c r="D66" s="6">
        <f>SUMIF(Table4[date],'Summary Per Day'!A66,Table4[profit])</f>
        <v>524.72539682539673</v>
      </c>
      <c r="E66">
        <f>SUMIFS(Table4[Total_sold],Table4[date],'Summary Per Day'!A66,Table4[Transaction_mode],Sales!$H$6)</f>
        <v>1000</v>
      </c>
      <c r="F66">
        <f>SUMIFS(Table4[Total_sold],Table4[date],'Summary Per Day'!A66,Table4[Transaction_mode],Sales!$H$11)</f>
        <v>645</v>
      </c>
      <c r="G66">
        <f>SUMIFS(Table4[Total_sold],Table4[date],'Summary Per Day'!A66,Table4[Transaction_mode],Sales!$H$3)</f>
        <v>530</v>
      </c>
      <c r="H66">
        <f t="shared" si="19"/>
        <v>236.12642857142853</v>
      </c>
      <c r="I66">
        <f t="shared" si="20"/>
        <v>288.59896825396822</v>
      </c>
    </row>
    <row r="67" spans="1:9" x14ac:dyDescent="0.25">
      <c r="A67" s="39">
        <f t="shared" si="16"/>
        <v>45553</v>
      </c>
      <c r="B67">
        <f>SUMIF('Purchases from 13th Aug 2024'!$A$2:$A$462,'Summary Per Day'!A67,'Purchases from 13th Aug 2024'!$E$2:$E$462)</f>
        <v>2140</v>
      </c>
      <c r="C67" s="23">
        <f>SUMIF(Table4[date],Table3[[#This Row],[Date]],Table4[Total_sold])</f>
        <v>2177.5</v>
      </c>
      <c r="D67" s="6">
        <f>SUMIF(Table4[date],'Summary Per Day'!A67,Table4[profit])</f>
        <v>530.73650793650791</v>
      </c>
      <c r="E67">
        <f>SUMIFS(Table4[Total_sold],Table4[date],'Summary Per Day'!A67,Table4[Transaction_mode],Sales!$H$6)</f>
        <v>1022.5</v>
      </c>
      <c r="F67">
        <f>SUMIFS(Table4[Total_sold],Table4[date],'Summary Per Day'!A67,Table4[Transaction_mode],Sales!$H$11)</f>
        <v>1045</v>
      </c>
      <c r="G67">
        <f>SUMIFS(Table4[Total_sold],Table4[date],'Summary Per Day'!A67,Table4[Transaction_mode],Sales!$H$3)</f>
        <v>110</v>
      </c>
      <c r="H67">
        <f t="shared" si="19"/>
        <v>238.83142857142857</v>
      </c>
      <c r="I67">
        <f t="shared" si="20"/>
        <v>291.90507936507936</v>
      </c>
    </row>
    <row r="68" spans="1:9" x14ac:dyDescent="0.25">
      <c r="A68" s="39">
        <f t="shared" si="16"/>
        <v>45554</v>
      </c>
      <c r="B68">
        <f>SUMIF('Purchases from 13th Aug 2024'!$A$2:$A$462,'Summary Per Day'!A68,'Purchases from 13th Aug 2024'!$E$2:$E$462)</f>
        <v>0</v>
      </c>
      <c r="C68" s="23">
        <f>SUMIF(Table4[date],Table3[[#This Row],[Date]],Table4[Total_sold])</f>
        <v>3075</v>
      </c>
      <c r="D68" s="6">
        <f>SUMIF(Table4[date],'Summary Per Day'!A68,Table4[profit])</f>
        <v>746.07857142857142</v>
      </c>
      <c r="E68">
        <f>SUMIFS(Table4[Total_sold],Table4[date],'Summary Per Day'!A68,Table4[Transaction_mode],Sales!$H$6)</f>
        <v>1170</v>
      </c>
      <c r="F68">
        <f>SUMIFS(Table4[Total_sold],Table4[date],'Summary Per Day'!A68,Table4[Transaction_mode],Sales!$H$11)</f>
        <v>1520</v>
      </c>
      <c r="G68">
        <f>SUMIFS(Table4[Total_sold],Table4[date],'Summary Per Day'!A68,Table4[Transaction_mode],Sales!$H$3)</f>
        <v>385</v>
      </c>
      <c r="H68">
        <f t="shared" si="19"/>
        <v>335.73535714285714</v>
      </c>
      <c r="I68">
        <f t="shared" si="20"/>
        <v>410.34321428571434</v>
      </c>
    </row>
    <row r="69" spans="1:9" x14ac:dyDescent="0.25">
      <c r="A69" s="39">
        <f t="shared" si="16"/>
        <v>45555</v>
      </c>
      <c r="B69">
        <f>SUMIF('Purchases from 13th Aug 2024'!$A$2:$A$462,'Summary Per Day'!A69,'Purchases from 13th Aug 2024'!$E$2:$E$462)</f>
        <v>695</v>
      </c>
      <c r="C69" s="23">
        <f>SUMIF(Table4[date],Table3[[#This Row],[Date]],Table4[Total_sold])</f>
        <v>3800</v>
      </c>
      <c r="D69" s="6">
        <f>SUMIF(Table4[date],'Summary Per Day'!A69,Table4[profit])</f>
        <v>1005.0285714285717</v>
      </c>
      <c r="E69">
        <f>SUMIFS(Table4[Total_sold],Table4[date],'Summary Per Day'!A69,Table4[Transaction_mode],Sales!$H$6)</f>
        <v>1460</v>
      </c>
      <c r="F69">
        <f>SUMIFS(Table4[Total_sold],Table4[date],'Summary Per Day'!A69,Table4[Transaction_mode],Sales!$H$11)</f>
        <v>1370</v>
      </c>
      <c r="G69">
        <f>SUMIFS(Table4[Total_sold],Table4[date],'Summary Per Day'!A69,Table4[Transaction_mode],Sales!$H$3)</f>
        <v>970</v>
      </c>
      <c r="H69">
        <f t="shared" si="19"/>
        <v>452.26285714285729</v>
      </c>
      <c r="I69">
        <f t="shared" si="20"/>
        <v>552.76571428571447</v>
      </c>
    </row>
    <row r="70" spans="1:9" x14ac:dyDescent="0.25">
      <c r="A70" s="39">
        <f t="shared" si="16"/>
        <v>45556</v>
      </c>
      <c r="B70">
        <f>SUMIF('Purchases from 13th Aug 2024'!$A$2:$A$462,'Summary Per Day'!A70,'Purchases from 13th Aug 2024'!$E$2:$E$462)</f>
        <v>960</v>
      </c>
      <c r="C70" s="23">
        <f>SUMIF(Table4[date],Table3[[#This Row],[Date]],Table4[Total_sold])</f>
        <v>2790</v>
      </c>
      <c r="D70" s="6">
        <f>SUMIF(Table4[date],'Summary Per Day'!A70,Table4[profit])</f>
        <v>685.72222222222217</v>
      </c>
      <c r="E70">
        <f>SUMIFS(Table4[Total_sold],Table4[date],'Summary Per Day'!A70,Table4[Transaction_mode],Sales!$H$6)</f>
        <v>1310</v>
      </c>
      <c r="F70">
        <f>SUMIFS(Table4[Total_sold],Table4[date],'Summary Per Day'!A70,Table4[Transaction_mode],Sales!$H$11)</f>
        <v>875</v>
      </c>
      <c r="G70">
        <f>SUMIFS(Table4[Total_sold],Table4[date],'Summary Per Day'!A70,Table4[Transaction_mode],Sales!$H$3)</f>
        <v>605</v>
      </c>
      <c r="H70">
        <f t="shared" si="19"/>
        <v>308.57499999999999</v>
      </c>
      <c r="I70">
        <f t="shared" si="20"/>
        <v>377.14722222222224</v>
      </c>
    </row>
    <row r="71" spans="1:9" x14ac:dyDescent="0.25">
      <c r="A71" s="39">
        <f t="shared" si="16"/>
        <v>45557</v>
      </c>
      <c r="B71">
        <f>SUMIF('Purchases from 13th Aug 2024'!$A$2:$A$462,'Summary Per Day'!A71,'Purchases from 13th Aug 2024'!$E$2:$E$462)</f>
        <v>0</v>
      </c>
      <c r="C71" s="23">
        <f>SUMIF(Table4[date],Table3[[#This Row],[Date]],Table4[Total_sold])</f>
        <v>4760</v>
      </c>
      <c r="D71" s="6">
        <f>SUMIF(Table4[date],'Summary Per Day'!A71,Table4[profit])</f>
        <v>1046.1833333333332</v>
      </c>
      <c r="E71">
        <f>SUMIFS(Table4[Total_sold],Table4[date],'Summary Per Day'!A71,Table4[Transaction_mode],Sales!$H$6)</f>
        <v>1070</v>
      </c>
      <c r="F71">
        <f>SUMIFS(Table4[Total_sold],Table4[date],'Summary Per Day'!A71,Table4[Transaction_mode],Sales!$H$11)</f>
        <v>1665</v>
      </c>
      <c r="G71">
        <f>SUMIFS(Table4[Total_sold],Table4[date],'Summary Per Day'!A71,Table4[Transaction_mode],Sales!$H$3)</f>
        <v>2025</v>
      </c>
      <c r="H71">
        <f t="shared" si="19"/>
        <v>470.78249999999991</v>
      </c>
      <c r="I71">
        <f t="shared" si="20"/>
        <v>575.40083333333325</v>
      </c>
    </row>
    <row r="72" spans="1:9" x14ac:dyDescent="0.25">
      <c r="A72" s="39">
        <f t="shared" si="16"/>
        <v>45558</v>
      </c>
      <c r="B72">
        <f>SUMIF('Purchases from 13th Aug 2024'!$A$2:$A$462,'Summary Per Day'!A72,'Purchases from 13th Aug 2024'!$E$2:$E$462)</f>
        <v>6846</v>
      </c>
      <c r="C72" s="23">
        <f>SUMIF(Table4[date],Table3[[#This Row],[Date]],Table4[Total_sold])</f>
        <v>3070</v>
      </c>
      <c r="D72" s="6">
        <f>SUMIF(Table4[date],'Summary Per Day'!A72,Table4[profit])</f>
        <v>679.40555555555545</v>
      </c>
      <c r="E72">
        <f>SUMIFS(Table4[Total_sold],Table4[date],'Summary Per Day'!A72,Table4[Transaction_mode],Sales!$H$6)</f>
        <v>1110</v>
      </c>
      <c r="F72">
        <f>SUMIFS(Table4[Total_sold],Table4[date],'Summary Per Day'!A72,Table4[Transaction_mode],Sales!$H$11)</f>
        <v>1040</v>
      </c>
      <c r="G72">
        <f>SUMIFS(Table4[Total_sold],Table4[date],'Summary Per Day'!A72,Table4[Transaction_mode],Sales!$H$3)</f>
        <v>920</v>
      </c>
      <c r="H72">
        <f t="shared" si="19"/>
        <v>305.73249999999996</v>
      </c>
      <c r="I72">
        <f t="shared" si="20"/>
        <v>373.67305555555555</v>
      </c>
    </row>
    <row r="73" spans="1:9" x14ac:dyDescent="0.25">
      <c r="A73" s="39">
        <f t="shared" si="16"/>
        <v>45559</v>
      </c>
      <c r="B73">
        <f>SUMIF('Purchases from 13th Aug 2024'!$A$2:$A$462,'Summary Per Day'!A73,'Purchases from 13th Aug 2024'!$E$2:$E$462)</f>
        <v>2260</v>
      </c>
      <c r="C73" s="23">
        <f>SUMIF(Table4[date],Table3[[#This Row],[Date]],Table4[Total_sold])</f>
        <v>3560</v>
      </c>
      <c r="D73" s="6">
        <f>SUMIF(Table4[date],'Summary Per Day'!A73,Table4[profit])</f>
        <v>805.73333333333346</v>
      </c>
      <c r="E73">
        <f>SUMIFS(Table4[Total_sold],Table4[date],'Summary Per Day'!A73,Table4[Transaction_mode],Sales!$H$6)</f>
        <v>2035</v>
      </c>
      <c r="F73">
        <f>SUMIFS(Table4[Total_sold],Table4[date],'Summary Per Day'!A73,Table4[Transaction_mode],Sales!$H$11)</f>
        <v>320</v>
      </c>
      <c r="G73">
        <f>SUMIFS(Table4[Total_sold],Table4[date],'Summary Per Day'!A73,Table4[Transaction_mode],Sales!$H$3)</f>
        <v>1205</v>
      </c>
      <c r="H73">
        <f t="shared" si="19"/>
        <v>362.58000000000004</v>
      </c>
      <c r="I73">
        <f t="shared" si="20"/>
        <v>443.15333333333342</v>
      </c>
    </row>
    <row r="74" spans="1:9" x14ac:dyDescent="0.25">
      <c r="A74" s="39">
        <f t="shared" si="16"/>
        <v>45560</v>
      </c>
      <c r="B74">
        <f>SUMIF('Purchases from 13th Aug 2024'!$A$2:$A$462,'Summary Per Day'!A74,'Purchases from 13th Aug 2024'!$E$2:$E$462)</f>
        <v>1020</v>
      </c>
      <c r="C74" s="23">
        <f>SUMIF(Table4[date],Table3[[#This Row],[Date]],Table4[Total_sold])</f>
        <v>2415</v>
      </c>
      <c r="D74" s="6">
        <f>SUMIF(Table4[date],'Summary Per Day'!A74,Table4[profit])</f>
        <v>613.84523809523819</v>
      </c>
      <c r="E74">
        <f>SUMIFS(Table4[Total_sold],Table4[date],'Summary Per Day'!A74,Table4[Transaction_mode],Sales!$H$6)</f>
        <v>825</v>
      </c>
      <c r="F74">
        <f>SUMIFS(Table4[Total_sold],Table4[date],'Summary Per Day'!A74,Table4[Transaction_mode],Sales!$H$11)</f>
        <v>990</v>
      </c>
      <c r="G74">
        <f>SUMIFS(Table4[Total_sold],Table4[date],'Summary Per Day'!A74,Table4[Transaction_mode],Sales!$H$3)</f>
        <v>600</v>
      </c>
      <c r="H74">
        <f t="shared" si="19"/>
        <v>276.2303571428572</v>
      </c>
      <c r="I74">
        <f t="shared" si="20"/>
        <v>337.61488095238104</v>
      </c>
    </row>
    <row r="75" spans="1:9" x14ac:dyDescent="0.25">
      <c r="A75" s="39">
        <f t="shared" si="16"/>
        <v>45561</v>
      </c>
      <c r="B75" s="8">
        <f>SUMIF(Table5[date_of_purchase],'Summary Per Day'!A75,Table5[total_spent])</f>
        <v>0</v>
      </c>
      <c r="C75" s="23">
        <f>SUMIF(Table4[date],Table3[[#This Row],[Date]],Table4[Total_sold])</f>
        <v>3770</v>
      </c>
      <c r="D75" s="6">
        <f>SUMIF(Table4[date],'Summary Per Day'!A75,Table4[profit])</f>
        <v>797.19365079365059</v>
      </c>
      <c r="E75">
        <f>SUMIFS(Table4[Total_sold],Table4[date],'Summary Per Day'!A75,Table4[Transaction_mode],Sales!$H$6)</f>
        <v>1635</v>
      </c>
      <c r="F75">
        <f>SUMIFS(Table4[Total_sold],Table4[date],'Summary Per Day'!A75,Table4[Transaction_mode],Sales!$H$11)</f>
        <v>1475</v>
      </c>
      <c r="G75">
        <f>SUMIFS(Table4[Total_sold],Table4[date],'Summary Per Day'!A75,Table4[Transaction_mode],Sales!$H$3)</f>
        <v>660</v>
      </c>
      <c r="H75">
        <f>0.45*D75</f>
        <v>358.73714285714277</v>
      </c>
      <c r="I75">
        <f>0.55*D75</f>
        <v>438.45650793650788</v>
      </c>
    </row>
    <row r="76" spans="1:9" x14ac:dyDescent="0.25">
      <c r="A76" s="39">
        <f t="shared" si="16"/>
        <v>45562</v>
      </c>
      <c r="B76" s="8">
        <f>SUMIF(Table5[date_of_purchase],'Summary Per Day'!A76,Table5[total_spent])</f>
        <v>0</v>
      </c>
      <c r="C76" s="23">
        <f>SUMIF(Table4[date],Table3[[#This Row],[Date]],Table4[Total_sold])</f>
        <v>2260</v>
      </c>
      <c r="D76" s="6">
        <f>SUMIF(Table4[date],'Summary Per Day'!A76,Table4[profit])</f>
        <v>559.23095238095232</v>
      </c>
      <c r="H76">
        <f t="shared" ref="H76:H80" si="21">0.45*D76</f>
        <v>251.65392857142854</v>
      </c>
      <c r="I76">
        <f t="shared" ref="I76:I80" si="22">0.55*D76</f>
        <v>307.57702380952378</v>
      </c>
    </row>
    <row r="77" spans="1:9" x14ac:dyDescent="0.25">
      <c r="A77" s="39">
        <f t="shared" si="16"/>
        <v>45563</v>
      </c>
      <c r="B77" s="8">
        <f>SUMIF(Table5[date_of_purchase],'Summary Per Day'!A77,Table5[total_spent])</f>
        <v>0</v>
      </c>
      <c r="C77" s="23" t="e">
        <f>SUMIF(Table4[date],Table3[[#This Row],[Date]],Table4[Total_sold])</f>
        <v>#N/A</v>
      </c>
      <c r="D77" s="6" t="e">
        <f>SUMIF(Table4[date],'Summary Per Day'!A77,Table4[profit])</f>
        <v>#N/A</v>
      </c>
      <c r="H77" t="e">
        <f t="shared" si="21"/>
        <v>#N/A</v>
      </c>
      <c r="I77" t="e">
        <f t="shared" si="22"/>
        <v>#N/A</v>
      </c>
    </row>
    <row r="78" spans="1:9" x14ac:dyDescent="0.25">
      <c r="A78" s="39">
        <f t="shared" si="16"/>
        <v>45564</v>
      </c>
      <c r="B78" s="8">
        <f>SUMIF(Table5[date_of_purchase],'Summary Per Day'!A78,Table5[total_spent])</f>
        <v>0</v>
      </c>
      <c r="C78" s="23" t="e">
        <f>SUMIF(Table4[date],Table3[[#This Row],[Date]],Table4[Total_sold])</f>
        <v>#N/A</v>
      </c>
      <c r="D78" s="6" t="e">
        <f>SUMIF(Table4[date],'Summary Per Day'!A78,Table4[profit])</f>
        <v>#N/A</v>
      </c>
      <c r="H78" t="e">
        <f t="shared" si="21"/>
        <v>#N/A</v>
      </c>
      <c r="I78" t="e">
        <f t="shared" si="22"/>
        <v>#N/A</v>
      </c>
    </row>
    <row r="79" spans="1:9" x14ac:dyDescent="0.25">
      <c r="A79" s="39">
        <f t="shared" si="16"/>
        <v>45565</v>
      </c>
      <c r="B79" s="8">
        <f>SUMIF(Table5[date_of_purchase],'Summary Per Day'!A79,Table5[total_spent])</f>
        <v>0</v>
      </c>
      <c r="C79" s="23">
        <f>SUMIF(Table4[date],Table3[[#This Row],[Date]],Table4[Total_sold])</f>
        <v>2200</v>
      </c>
      <c r="D79" s="6">
        <f>SUMIF(Table4[date],'Summary Per Day'!A79,Table4[profit])</f>
        <v>487.88095238095229</v>
      </c>
      <c r="H79">
        <f t="shared" si="21"/>
        <v>219.54642857142855</v>
      </c>
      <c r="I79">
        <f t="shared" si="22"/>
        <v>268.33452380952377</v>
      </c>
    </row>
    <row r="80" spans="1:9" x14ac:dyDescent="0.25">
      <c r="A80" s="39">
        <f t="shared" si="16"/>
        <v>45566</v>
      </c>
      <c r="B80" s="8">
        <f>SUMIF(Table5[date_of_purchase],'Summary Per Day'!A80,Table5[total_spent])</f>
        <v>0</v>
      </c>
      <c r="C80" s="23" t="e">
        <f>SUMIF(Table4[date],Table3[[#This Row],[Date]],Table4[Total_sold])</f>
        <v>#N/A</v>
      </c>
      <c r="D80" s="6" t="e">
        <f>SUMIF(Table4[date],'Summary Per Day'!A80,Table4[profit])</f>
        <v>#N/A</v>
      </c>
      <c r="H80" t="e">
        <f t="shared" si="21"/>
        <v>#N/A</v>
      </c>
      <c r="I80" t="e">
        <f t="shared" si="22"/>
        <v>#N/A</v>
      </c>
    </row>
    <row r="81" spans="1:9" x14ac:dyDescent="0.25">
      <c r="A81" s="39">
        <f t="shared" si="16"/>
        <v>45567</v>
      </c>
      <c r="B81" s="8">
        <f>SUMIF(Table5[date_of_purchase],'Summary Per Day'!A81,Table5[total_spent])</f>
        <v>0</v>
      </c>
      <c r="C81" s="23">
        <f>SUMIF(Table4[date],Table3[[#This Row],[Date]],Table4[Total_sold])</f>
        <v>2570</v>
      </c>
      <c r="D81" s="6">
        <f>SUMIF(Table4[date],'Summary Per Day'!A81,Table4[profit])</f>
        <v>543.16666666666674</v>
      </c>
      <c r="H81">
        <f t="shared" ref="H81:H112" si="23">0.45*D81</f>
        <v>244.42500000000004</v>
      </c>
      <c r="I81">
        <f t="shared" ref="I81:I112" si="24">0.55*D81</f>
        <v>298.74166666666673</v>
      </c>
    </row>
    <row r="82" spans="1:9" x14ac:dyDescent="0.25">
      <c r="A82" s="39">
        <f t="shared" si="16"/>
        <v>45568</v>
      </c>
      <c r="B82" s="8">
        <f>SUMIF(Table5[date_of_purchase],'Summary Per Day'!A82,Table5[total_spent])</f>
        <v>0</v>
      </c>
      <c r="C82" s="23" t="e">
        <f>SUMIF(Table4[date],Table3[[#This Row],[Date]],Table4[Total_sold])</f>
        <v>#N/A</v>
      </c>
      <c r="D82" s="6" t="e">
        <f>SUMIF(Table4[date],'Summary Per Day'!A82,Table4[profit])</f>
        <v>#N/A</v>
      </c>
      <c r="H82" t="e">
        <f t="shared" si="23"/>
        <v>#N/A</v>
      </c>
      <c r="I82" t="e">
        <f t="shared" si="24"/>
        <v>#N/A</v>
      </c>
    </row>
    <row r="83" spans="1:9" x14ac:dyDescent="0.25">
      <c r="A83" s="39">
        <f t="shared" si="16"/>
        <v>45569</v>
      </c>
      <c r="B83" s="8">
        <f>SUMIF(Table5[date_of_purchase],'Summary Per Day'!A83,Table5[total_spent])</f>
        <v>0</v>
      </c>
      <c r="C83" s="23" t="e">
        <f>SUMIF(Table4[date],Table3[[#This Row],[Date]],Table4[Total_sold])</f>
        <v>#N/A</v>
      </c>
      <c r="D83" s="6" t="e">
        <f>SUMIF(Table4[date],'Summary Per Day'!A83,Table4[profit])</f>
        <v>#N/A</v>
      </c>
      <c r="H83" t="e">
        <f t="shared" si="23"/>
        <v>#N/A</v>
      </c>
      <c r="I83" t="e">
        <f t="shared" si="24"/>
        <v>#N/A</v>
      </c>
    </row>
    <row r="84" spans="1:9" x14ac:dyDescent="0.25">
      <c r="A84" s="39">
        <f t="shared" si="16"/>
        <v>45570</v>
      </c>
      <c r="B84" s="8">
        <f>SUMIF(Table5[date_of_purchase],'Summary Per Day'!A84,Table5[total_spent])</f>
        <v>0</v>
      </c>
      <c r="C84" s="23">
        <f>SUMIF(Table4[date],Table3[[#This Row],[Date]],Table4[Total_sold])</f>
        <v>2815</v>
      </c>
      <c r="D84" s="6">
        <f>SUMIF(Table4[date],'Summary Per Day'!A84,Table4[profit])</f>
        <v>661.37539682539682</v>
      </c>
      <c r="H84">
        <f t="shared" si="23"/>
        <v>297.61892857142857</v>
      </c>
      <c r="I84">
        <f t="shared" si="24"/>
        <v>363.75646825396831</v>
      </c>
    </row>
    <row r="85" spans="1:9" x14ac:dyDescent="0.25">
      <c r="A85" s="39">
        <f t="shared" si="16"/>
        <v>45571</v>
      </c>
      <c r="B85" s="8">
        <f>SUMIF(Table5[date_of_purchase],'Summary Per Day'!A85,Table5[total_spent])</f>
        <v>0</v>
      </c>
      <c r="C85" s="23" t="e">
        <f>SUMIF(Table4[date],Table3[[#This Row],[Date]],Table4[Total_sold])</f>
        <v>#N/A</v>
      </c>
      <c r="D85" s="6" t="e">
        <f>SUMIF(Table4[date],'Summary Per Day'!A85,Table4[profit])</f>
        <v>#N/A</v>
      </c>
      <c r="H85" t="e">
        <f t="shared" si="23"/>
        <v>#N/A</v>
      </c>
      <c r="I85" t="e">
        <f t="shared" si="24"/>
        <v>#N/A</v>
      </c>
    </row>
    <row r="86" spans="1:9" x14ac:dyDescent="0.25">
      <c r="A86" s="39">
        <f t="shared" si="16"/>
        <v>45572</v>
      </c>
      <c r="B86" s="8">
        <f>SUMIF(Table5[date_of_purchase],'Summary Per Day'!A86,Table5[total_spent])</f>
        <v>0</v>
      </c>
      <c r="C86" s="23" t="e">
        <f>SUMIF(Table4[date],Table3[[#This Row],[Date]],Table4[Total_sold])</f>
        <v>#N/A</v>
      </c>
      <c r="D86" s="6" t="e">
        <f>SUMIF(Table4[date],'Summary Per Day'!A86,Table4[profit])</f>
        <v>#N/A</v>
      </c>
      <c r="H86" t="e">
        <f t="shared" si="23"/>
        <v>#N/A</v>
      </c>
      <c r="I86" t="e">
        <f t="shared" si="24"/>
        <v>#N/A</v>
      </c>
    </row>
    <row r="87" spans="1:9" x14ac:dyDescent="0.25">
      <c r="A87" s="39">
        <f t="shared" si="16"/>
        <v>45573</v>
      </c>
      <c r="B87" s="8">
        <f>SUMIF(Table5[date_of_purchase],'Summary Per Day'!A87,Table5[total_spent])</f>
        <v>0</v>
      </c>
      <c r="C87" s="23" t="e">
        <f>SUMIF(Table4[date],Table3[[#This Row],[Date]],Table4[Total_sold])</f>
        <v>#N/A</v>
      </c>
      <c r="D87" s="6" t="e">
        <f>SUMIF(Table4[date],'Summary Per Day'!A87,Table4[profit])</f>
        <v>#N/A</v>
      </c>
      <c r="H87" t="e">
        <f t="shared" si="23"/>
        <v>#N/A</v>
      </c>
      <c r="I87" t="e">
        <f t="shared" si="24"/>
        <v>#N/A</v>
      </c>
    </row>
    <row r="88" spans="1:9" x14ac:dyDescent="0.25">
      <c r="A88" s="39">
        <f t="shared" si="16"/>
        <v>45574</v>
      </c>
      <c r="B88" s="8">
        <f>SUMIF(Table5[date_of_purchase],'Summary Per Day'!A88,Table5[total_spent])</f>
        <v>0</v>
      </c>
      <c r="C88" s="23">
        <f>SUMIF(Table4[date],Table3[[#This Row],[Date]],Table4[Total_sold])</f>
        <v>2915</v>
      </c>
      <c r="D88" s="6">
        <f>SUMIF(Table4[date],'Summary Per Day'!A88,Table4[profit])</f>
        <v>665.01428571428562</v>
      </c>
      <c r="H88">
        <f t="shared" si="23"/>
        <v>299.25642857142856</v>
      </c>
      <c r="I88">
        <f t="shared" si="24"/>
        <v>365.75785714285712</v>
      </c>
    </row>
    <row r="89" spans="1:9" x14ac:dyDescent="0.25">
      <c r="A89" s="39">
        <f t="shared" si="16"/>
        <v>45575</v>
      </c>
      <c r="B89" s="8">
        <f>SUMIF(Table5[date_of_purchase],'Summary Per Day'!A89,Table5[total_spent])</f>
        <v>0</v>
      </c>
      <c r="C89" s="23" t="e">
        <f>SUMIF(Table4[date],Table3[[#This Row],[Date]],Table4[Total_sold])</f>
        <v>#N/A</v>
      </c>
      <c r="D89" s="6" t="e">
        <f>SUMIF(Table4[date],'Summary Per Day'!A89,Table4[profit])</f>
        <v>#N/A</v>
      </c>
      <c r="H89" t="e">
        <f t="shared" si="23"/>
        <v>#N/A</v>
      </c>
      <c r="I89" t="e">
        <f t="shared" si="24"/>
        <v>#N/A</v>
      </c>
    </row>
    <row r="90" spans="1:9" x14ac:dyDescent="0.25">
      <c r="A90" s="39">
        <f t="shared" si="16"/>
        <v>45576</v>
      </c>
      <c r="B90" s="8">
        <f>SUMIF(Table5[date_of_purchase],'Summary Per Day'!A90,Table5[total_spent])</f>
        <v>0</v>
      </c>
      <c r="C90" s="23" t="e">
        <f>SUMIF(Table4[date],Table3[[#This Row],[Date]],Table4[Total_sold])</f>
        <v>#N/A</v>
      </c>
      <c r="D90" s="6" t="e">
        <f>SUMIF(Table4[date],'Summary Per Day'!A90,Table4[profit])</f>
        <v>#N/A</v>
      </c>
      <c r="H90" t="e">
        <f t="shared" si="23"/>
        <v>#N/A</v>
      </c>
      <c r="I90" t="e">
        <f t="shared" si="24"/>
        <v>#N/A</v>
      </c>
    </row>
    <row r="91" spans="1:9" x14ac:dyDescent="0.25">
      <c r="A91" s="39">
        <f t="shared" si="16"/>
        <v>45577</v>
      </c>
      <c r="B91" s="8">
        <f>SUMIF(Table5[date_of_purchase],'Summary Per Day'!A91,Table5[total_spent])</f>
        <v>0</v>
      </c>
      <c r="C91" s="23" t="e">
        <f>SUMIF(Table4[date],Table3[[#This Row],[Date]],Table4[Total_sold])</f>
        <v>#N/A</v>
      </c>
      <c r="D91" s="6" t="e">
        <f>SUMIF(Table4[date],'Summary Per Day'!A91,Table4[profit])</f>
        <v>#N/A</v>
      </c>
      <c r="H91" t="e">
        <f t="shared" si="23"/>
        <v>#N/A</v>
      </c>
      <c r="I91" t="e">
        <f t="shared" si="24"/>
        <v>#N/A</v>
      </c>
    </row>
    <row r="92" spans="1:9" x14ac:dyDescent="0.25">
      <c r="A92" s="39">
        <f t="shared" si="16"/>
        <v>45578</v>
      </c>
      <c r="B92" s="8">
        <f>SUMIF(Table5[date_of_purchase],'Summary Per Day'!A92,Table5[total_spent])</f>
        <v>0</v>
      </c>
      <c r="C92" s="23" t="e">
        <f>SUMIF(Table4[date],Table3[[#This Row],[Date]],Table4[Total_sold])</f>
        <v>#N/A</v>
      </c>
      <c r="D92" s="6" t="e">
        <f>SUMIF(Table4[date],'Summary Per Day'!A92,Table4[profit])</f>
        <v>#N/A</v>
      </c>
      <c r="H92" t="e">
        <f t="shared" si="23"/>
        <v>#N/A</v>
      </c>
      <c r="I92" t="e">
        <f t="shared" si="24"/>
        <v>#N/A</v>
      </c>
    </row>
    <row r="93" spans="1:9" x14ac:dyDescent="0.25">
      <c r="A93" s="39">
        <f t="shared" si="16"/>
        <v>45579</v>
      </c>
      <c r="B93" s="8">
        <f>SUMIF(Table5[date_of_purchase],'Summary Per Day'!A93,Table5[total_spent])</f>
        <v>0</v>
      </c>
      <c r="C93" s="23">
        <f>SUMIF(Table4[date],Table3[[#This Row],[Date]],Table4[Total_sold])</f>
        <v>2685</v>
      </c>
      <c r="D93" s="6">
        <f>SUMIF(Table4[date],'Summary Per Day'!A93,Table4[profit])</f>
        <v>618.33111111111123</v>
      </c>
      <c r="H93">
        <f t="shared" si="23"/>
        <v>278.24900000000008</v>
      </c>
      <c r="I93">
        <f t="shared" si="24"/>
        <v>340.0821111111112</v>
      </c>
    </row>
    <row r="94" spans="1:9" x14ac:dyDescent="0.25">
      <c r="A94" s="39">
        <f t="shared" si="16"/>
        <v>45580</v>
      </c>
      <c r="B94" s="8">
        <f>SUMIF(Table5[date_of_purchase],'Summary Per Day'!A94,Table5[total_spent])</f>
        <v>0</v>
      </c>
      <c r="C94" s="23" t="e">
        <f>SUMIF(Table4[date],Table3[[#This Row],[Date]],Table4[Total_sold])</f>
        <v>#N/A</v>
      </c>
      <c r="D94" s="6" t="e">
        <f>SUMIF(Table4[date],'Summary Per Day'!A94,Table4[profit])</f>
        <v>#N/A</v>
      </c>
      <c r="H94" t="e">
        <f t="shared" si="23"/>
        <v>#N/A</v>
      </c>
      <c r="I94" t="e">
        <f t="shared" si="24"/>
        <v>#N/A</v>
      </c>
    </row>
    <row r="95" spans="1:9" x14ac:dyDescent="0.25">
      <c r="A95" s="39">
        <f t="shared" si="16"/>
        <v>45581</v>
      </c>
      <c r="B95" s="8">
        <f>SUMIF(Table5[date_of_purchase],'Summary Per Day'!A95,Table5[total_spent])</f>
        <v>0</v>
      </c>
      <c r="C95" s="23">
        <f>SUMIF(Table4[date],Table3[[#This Row],[Date]],Table4[Total_sold])</f>
        <v>3080</v>
      </c>
      <c r="D95" s="6">
        <f>SUMIF(Table4[date],'Summary Per Day'!A95,Table4[profit])</f>
        <v>650.25317460317456</v>
      </c>
      <c r="H95">
        <f t="shared" si="23"/>
        <v>292.61392857142857</v>
      </c>
      <c r="I95">
        <f t="shared" si="24"/>
        <v>357.63924603174604</v>
      </c>
    </row>
    <row r="96" spans="1:9" x14ac:dyDescent="0.25">
      <c r="A96" s="39">
        <f t="shared" si="16"/>
        <v>45582</v>
      </c>
      <c r="B96" s="8">
        <f>SUMIF(Table5[date_of_purchase],'Summary Per Day'!A96,Table5[total_spent])</f>
        <v>0</v>
      </c>
      <c r="C96" s="23">
        <f>SUMIF(Table4[date],Table3[[#This Row],[Date]],Table4[Total_sold])</f>
        <v>2686</v>
      </c>
      <c r="D96" s="6">
        <f>SUMIF(Table4[date],'Summary Per Day'!A96,Table4[profit])</f>
        <v>559.93095238095236</v>
      </c>
      <c r="H96">
        <f t="shared" si="23"/>
        <v>251.96892857142856</v>
      </c>
      <c r="I96">
        <f t="shared" si="24"/>
        <v>307.96202380952383</v>
      </c>
    </row>
    <row r="97" spans="1:9" x14ac:dyDescent="0.25">
      <c r="A97" s="39">
        <f t="shared" si="16"/>
        <v>45583</v>
      </c>
      <c r="B97" s="8">
        <f>SUMIF(Table5[date_of_purchase],'Summary Per Day'!A97,Table5[total_spent])</f>
        <v>0</v>
      </c>
      <c r="C97" s="23">
        <f>SUMIF(Table4[date],Table3[[#This Row],[Date]],Table4[Total_sold])</f>
        <v>1330</v>
      </c>
      <c r="D97" s="6">
        <f>SUMIF(Table4[date],'Summary Per Day'!A97,Table4[profit])</f>
        <v>291.31150793650795</v>
      </c>
      <c r="H97">
        <f t="shared" si="23"/>
        <v>131.09017857142859</v>
      </c>
      <c r="I97">
        <f t="shared" si="24"/>
        <v>160.22132936507938</v>
      </c>
    </row>
    <row r="98" spans="1:9" x14ac:dyDescent="0.25">
      <c r="A98" s="39">
        <f t="shared" si="16"/>
        <v>45584</v>
      </c>
      <c r="B98" s="8">
        <f>SUMIF(Table5[date_of_purchase],'Summary Per Day'!A98,Table5[total_spent])</f>
        <v>0</v>
      </c>
      <c r="C98" s="23">
        <f>SUMIF(Table4[date],Table3[[#This Row],[Date]],Table4[Total_sold])</f>
        <v>1820</v>
      </c>
      <c r="D98" s="6">
        <f>SUMIF(Table4[date],'Summary Per Day'!A98,Table4[profit])</f>
        <v>447.75222222222214</v>
      </c>
      <c r="H98">
        <f t="shared" si="23"/>
        <v>201.48849999999996</v>
      </c>
      <c r="I98">
        <f t="shared" si="24"/>
        <v>246.26372222222219</v>
      </c>
    </row>
    <row r="99" spans="1:9" x14ac:dyDescent="0.25">
      <c r="A99" s="39">
        <f t="shared" si="16"/>
        <v>45585</v>
      </c>
      <c r="B99" s="8">
        <f>SUMIF(Table5[date_of_purchase],'Summary Per Day'!A99,Table5[total_spent])</f>
        <v>0</v>
      </c>
      <c r="C99" s="23">
        <f>SUMIF(Table4[date],Table3[[#This Row],[Date]],Table4[Total_sold])</f>
        <v>4175</v>
      </c>
      <c r="D99" s="6">
        <f>SUMIF(Table4[date],'Summary Per Day'!A99,Table4[profit])</f>
        <v>889.03095238095227</v>
      </c>
      <c r="H99">
        <f t="shared" si="23"/>
        <v>400.06392857142851</v>
      </c>
      <c r="I99">
        <f t="shared" si="24"/>
        <v>488.96702380952377</v>
      </c>
    </row>
    <row r="100" spans="1:9" x14ac:dyDescent="0.25">
      <c r="A100" s="39">
        <f t="shared" si="16"/>
        <v>45586</v>
      </c>
      <c r="B100" s="8">
        <f>SUMIF(Table5[date_of_purchase],'Summary Per Day'!A100,Table5[total_spent])</f>
        <v>0</v>
      </c>
      <c r="C100" s="23">
        <f>SUMIF(Table4[date],Table3[[#This Row],[Date]],Table4[Total_sold])</f>
        <v>4000</v>
      </c>
      <c r="D100" s="6">
        <f>SUMIF(Table4[date],'Summary Per Day'!A100,Table4[profit])</f>
        <v>957.50666666666666</v>
      </c>
      <c r="H100">
        <f t="shared" si="23"/>
        <v>430.87799999999999</v>
      </c>
      <c r="I100">
        <f t="shared" si="24"/>
        <v>526.62866666666673</v>
      </c>
    </row>
    <row r="101" spans="1:9" x14ac:dyDescent="0.25">
      <c r="A101" s="39">
        <f t="shared" si="16"/>
        <v>45587</v>
      </c>
      <c r="B101" s="8">
        <f>SUMIF(Table5[date_of_purchase],'Summary Per Day'!A101,Table5[total_spent])</f>
        <v>0</v>
      </c>
      <c r="C101" s="23" t="e">
        <f>SUMIF(Table4[date],Table3[[#This Row],[Date]],Table4[Total_sold])</f>
        <v>#N/A</v>
      </c>
      <c r="D101" s="6" t="e">
        <f>SUMIF(Table4[date],'Summary Per Day'!A101,Table4[profit])</f>
        <v>#N/A</v>
      </c>
      <c r="H101" t="e">
        <f t="shared" si="23"/>
        <v>#N/A</v>
      </c>
      <c r="I101" t="e">
        <f t="shared" si="24"/>
        <v>#N/A</v>
      </c>
    </row>
    <row r="102" spans="1:9" x14ac:dyDescent="0.25">
      <c r="A102" s="39">
        <f t="shared" si="16"/>
        <v>45588</v>
      </c>
      <c r="B102" s="8">
        <f>SUMIF(Table5[date_of_purchase],'Summary Per Day'!A102,Table5[total_spent])</f>
        <v>0</v>
      </c>
      <c r="C102" s="23" t="e">
        <f>SUMIF(Table4[date],Table3[[#This Row],[Date]],Table4[Total_sold])</f>
        <v>#N/A</v>
      </c>
      <c r="D102" s="6" t="e">
        <f>SUMIF(Table4[date],'Summary Per Day'!A102,Table4[profit])</f>
        <v>#N/A</v>
      </c>
      <c r="H102" t="e">
        <f t="shared" si="23"/>
        <v>#N/A</v>
      </c>
      <c r="I102" t="e">
        <f t="shared" si="24"/>
        <v>#N/A</v>
      </c>
    </row>
    <row r="103" spans="1:9" x14ac:dyDescent="0.25">
      <c r="A103" s="39">
        <f t="shared" si="16"/>
        <v>45589</v>
      </c>
      <c r="B103" s="8">
        <f>SUMIF(Table5[date_of_purchase],'Summary Per Day'!A103,Table5[total_spent])</f>
        <v>0</v>
      </c>
      <c r="C103" s="23" t="e">
        <f>SUMIF(Table4[date],Table3[[#This Row],[Date]],Table4[Total_sold])</f>
        <v>#N/A</v>
      </c>
      <c r="D103" s="6" t="e">
        <f>SUMIF(Table4[date],'Summary Per Day'!A103,Table4[profit])</f>
        <v>#N/A</v>
      </c>
      <c r="H103" t="e">
        <f t="shared" si="23"/>
        <v>#N/A</v>
      </c>
      <c r="I103" t="e">
        <f t="shared" si="24"/>
        <v>#N/A</v>
      </c>
    </row>
    <row r="104" spans="1:9" x14ac:dyDescent="0.25">
      <c r="A104" s="39">
        <f t="shared" si="16"/>
        <v>45590</v>
      </c>
      <c r="B104" s="8">
        <f>SUMIF(Table5[date_of_purchase],'Summary Per Day'!A104,Table5[total_spent])</f>
        <v>0</v>
      </c>
      <c r="C104" s="23">
        <f>SUMIF(Table4[date],Table3[[#This Row],[Date]],Table4[Total_sold])</f>
        <v>3645</v>
      </c>
      <c r="D104" s="6">
        <f>SUMIF(Table4[date],'Summary Per Day'!A104,Table4[profit])</f>
        <v>823.84357142857129</v>
      </c>
      <c r="H104">
        <f t="shared" si="23"/>
        <v>370.72960714285711</v>
      </c>
      <c r="I104">
        <f t="shared" si="24"/>
        <v>453.11396428571425</v>
      </c>
    </row>
    <row r="105" spans="1:9" x14ac:dyDescent="0.25">
      <c r="A105" s="39">
        <f t="shared" si="16"/>
        <v>45591</v>
      </c>
      <c r="B105" s="8">
        <f>SUMIF(Table5[date_of_purchase],'Summary Per Day'!A105,Table5[total_spent])</f>
        <v>0</v>
      </c>
      <c r="C105" s="23">
        <f>SUMIF(Table4[date],Table3[[#This Row],[Date]],Table4[Total_sold])</f>
        <v>4730</v>
      </c>
      <c r="D105" s="6">
        <f>SUMIF(Table4[date],'Summary Per Day'!A105,Table4[profit])</f>
        <v>1040.2392857142859</v>
      </c>
      <c r="H105">
        <f t="shared" si="23"/>
        <v>468.10767857142866</v>
      </c>
      <c r="I105">
        <f t="shared" si="24"/>
        <v>572.13160714285732</v>
      </c>
    </row>
    <row r="106" spans="1:9" x14ac:dyDescent="0.25">
      <c r="A106" s="39">
        <f t="shared" si="16"/>
        <v>45592</v>
      </c>
      <c r="B106" s="8">
        <f>SUMIF(Table5[date_of_purchase],'Summary Per Day'!A106,Table5[total_spent])</f>
        <v>0</v>
      </c>
      <c r="C106" s="23" t="e">
        <f>SUMIF(Table4[date],Table3[[#This Row],[Date]],Table4[Total_sold])</f>
        <v>#N/A</v>
      </c>
      <c r="D106" s="6" t="e">
        <f>SUMIF(Table4[date],'Summary Per Day'!A106,Table4[profit])</f>
        <v>#N/A</v>
      </c>
      <c r="H106" t="e">
        <f t="shared" si="23"/>
        <v>#N/A</v>
      </c>
      <c r="I106" t="e">
        <f t="shared" si="24"/>
        <v>#N/A</v>
      </c>
    </row>
    <row r="107" spans="1:9" x14ac:dyDescent="0.25">
      <c r="A107" s="39">
        <f t="shared" si="16"/>
        <v>45593</v>
      </c>
      <c r="B107" s="8">
        <f>SUMIF(Table5[date_of_purchase],'Summary Per Day'!A107,Table5[total_spent])</f>
        <v>0</v>
      </c>
      <c r="C107" s="23">
        <f>SUMIF(Table4[date],Table3[[#This Row],[Date]],Table4[Total_sold])</f>
        <v>3500</v>
      </c>
      <c r="D107" s="6">
        <f>SUMIF(Table4[date],'Summary Per Day'!A107,Table4[profit])</f>
        <v>835.99841269841284</v>
      </c>
      <c r="H107">
        <f t="shared" si="23"/>
        <v>376.19928571428579</v>
      </c>
      <c r="I107">
        <f t="shared" si="24"/>
        <v>459.7991269841271</v>
      </c>
    </row>
    <row r="108" spans="1:9" x14ac:dyDescent="0.25">
      <c r="A108" s="39">
        <f t="shared" si="16"/>
        <v>45594</v>
      </c>
      <c r="B108" s="8">
        <f>SUMIF(Table5[date_of_purchase],'Summary Per Day'!A108,Table5[total_spent])</f>
        <v>0</v>
      </c>
      <c r="C108" s="23">
        <f>SUMIF(Table4[date],Table3[[#This Row],[Date]],Table4[Total_sold])</f>
        <v>4295</v>
      </c>
      <c r="D108" s="6">
        <f>SUMIF(Table4[date],'Summary Per Day'!A108,Table4[profit])</f>
        <v>1203.125555555556</v>
      </c>
      <c r="H108">
        <f t="shared" si="23"/>
        <v>541.40650000000028</v>
      </c>
      <c r="I108">
        <f t="shared" si="24"/>
        <v>661.71905555555588</v>
      </c>
    </row>
    <row r="109" spans="1:9" x14ac:dyDescent="0.25">
      <c r="A109" s="39">
        <f t="shared" si="16"/>
        <v>45595</v>
      </c>
      <c r="B109" s="8">
        <f>SUMIF(Table5[date_of_purchase],'Summary Per Day'!A109,Table5[total_spent])</f>
        <v>0</v>
      </c>
      <c r="C109" s="23">
        <f>SUMIF(Table4[date],Table3[[#This Row],[Date]],Table4[Total_sold])</f>
        <v>3995</v>
      </c>
      <c r="D109" s="6">
        <f>SUMIF(Table4[date],'Summary Per Day'!A109,Table4[profit])</f>
        <v>982.47380952380968</v>
      </c>
      <c r="H109">
        <f t="shared" si="23"/>
        <v>442.11321428571438</v>
      </c>
      <c r="I109">
        <f t="shared" si="24"/>
        <v>540.36059523809536</v>
      </c>
    </row>
    <row r="110" spans="1:9" x14ac:dyDescent="0.25">
      <c r="A110" s="39">
        <f t="shared" si="16"/>
        <v>45596</v>
      </c>
      <c r="B110" s="8">
        <f>SUMIF(Table5[date_of_purchase],'Summary Per Day'!A110,Table5[total_spent])</f>
        <v>0</v>
      </c>
      <c r="C110" s="23" t="e">
        <f>SUMIF(Table4[date],Table3[[#This Row],[Date]],Table4[Total_sold])</f>
        <v>#N/A</v>
      </c>
      <c r="D110" s="6" t="e">
        <f>SUMIF(Table4[date],'Summary Per Day'!A110,Table4[profit])</f>
        <v>#N/A</v>
      </c>
      <c r="H110" t="e">
        <f t="shared" si="23"/>
        <v>#N/A</v>
      </c>
      <c r="I110" t="e">
        <f t="shared" si="24"/>
        <v>#N/A</v>
      </c>
    </row>
    <row r="111" spans="1:9" x14ac:dyDescent="0.25">
      <c r="A111" s="39">
        <f t="shared" ref="A111:A135" si="25">A110+1</f>
        <v>45597</v>
      </c>
      <c r="B111" s="8">
        <f>SUMIF(Table5[date_of_purchase],'Summary Per Day'!A111,Table5[total_spent])</f>
        <v>0</v>
      </c>
      <c r="C111" s="23">
        <f>SUMIF(Table4[date],Table3[[#This Row],[Date]],Table4[Total_sold])</f>
        <v>4205</v>
      </c>
      <c r="D111" s="6">
        <f>SUMIF(Table4[date],'Summary Per Day'!A111,Table4[profit])</f>
        <v>895.8784126984126</v>
      </c>
      <c r="H111">
        <f t="shared" si="23"/>
        <v>403.14528571428571</v>
      </c>
      <c r="I111">
        <f t="shared" si="24"/>
        <v>492.73312698412695</v>
      </c>
    </row>
    <row r="112" spans="1:9" x14ac:dyDescent="0.25">
      <c r="A112" s="39">
        <f t="shared" si="25"/>
        <v>45598</v>
      </c>
      <c r="B112" s="8">
        <f>SUMIF(Table5[date_of_purchase],'Summary Per Day'!A112,Table5[total_spent])</f>
        <v>0</v>
      </c>
      <c r="C112" s="23">
        <f>SUMIF(Table4[date],Table3[[#This Row],[Date]],Table4[Total_sold])</f>
        <v>4980</v>
      </c>
      <c r="D112" s="6">
        <f>SUMIF(Table4[date],'Summary Per Day'!A112,Table4[profit])</f>
        <v>1353.158174603175</v>
      </c>
      <c r="H112">
        <f t="shared" si="23"/>
        <v>608.92117857142875</v>
      </c>
      <c r="I112">
        <f t="shared" si="24"/>
        <v>744.23699603174634</v>
      </c>
    </row>
    <row r="113" spans="1:9" x14ac:dyDescent="0.25">
      <c r="A113" s="39">
        <f t="shared" si="25"/>
        <v>45599</v>
      </c>
      <c r="B113" s="8">
        <f>SUMIF(Table5[date_of_purchase],'Summary Per Day'!A113,Table5[total_spent])</f>
        <v>0</v>
      </c>
      <c r="C113" s="23">
        <f>SUMIF(Table4[date],Table3[[#This Row],[Date]],Table4[Total_sold])</f>
        <v>4315</v>
      </c>
      <c r="D113" s="6">
        <f>SUMIF(Table4[date],'Summary Per Day'!A113,Table4[profit])</f>
        <v>898.7600000000001</v>
      </c>
      <c r="H113">
        <f t="shared" ref="H113:H135" si="26">0.45*D113</f>
        <v>404.44200000000006</v>
      </c>
      <c r="I113">
        <f t="shared" ref="I113:I135" si="27">0.55*D113</f>
        <v>494.3180000000001</v>
      </c>
    </row>
    <row r="114" spans="1:9" x14ac:dyDescent="0.25">
      <c r="A114" s="39">
        <f t="shared" si="25"/>
        <v>45600</v>
      </c>
      <c r="B114" s="8">
        <f>SUMIF(Table5[date_of_purchase],'Summary Per Day'!A114,Table5[total_spent])</f>
        <v>0</v>
      </c>
      <c r="C114" s="23">
        <f>SUMIF(Table4[date],Table3[[#This Row],[Date]],Table4[Total_sold])</f>
        <v>5075</v>
      </c>
      <c r="D114" s="6">
        <f>SUMIF(Table4[date],'Summary Per Day'!A114,Table4[profit])</f>
        <v>1324.4666666666667</v>
      </c>
      <c r="H114">
        <f t="shared" si="26"/>
        <v>596.01</v>
      </c>
      <c r="I114">
        <f t="shared" si="27"/>
        <v>728.45666666666671</v>
      </c>
    </row>
    <row r="115" spans="1:9" x14ac:dyDescent="0.25">
      <c r="A115" s="39">
        <f t="shared" si="25"/>
        <v>45601</v>
      </c>
      <c r="B115" s="8">
        <f>SUMIF(Table5[date_of_purchase],'Summary Per Day'!A115,Table5[total_spent])</f>
        <v>0</v>
      </c>
      <c r="C115" s="23">
        <f>SUMIF(Table4[date],Table3[[#This Row],[Date]],Table4[Total_sold])</f>
        <v>3620</v>
      </c>
      <c r="D115" s="6">
        <f>SUMIF(Table4[date],'Summary Per Day'!A115,Table4[profit])</f>
        <v>812.18357142857133</v>
      </c>
      <c r="H115">
        <f t="shared" si="26"/>
        <v>365.48260714285709</v>
      </c>
      <c r="I115">
        <f t="shared" si="27"/>
        <v>446.70096428571429</v>
      </c>
    </row>
    <row r="116" spans="1:9" x14ac:dyDescent="0.25">
      <c r="A116" s="39">
        <f t="shared" si="25"/>
        <v>45602</v>
      </c>
      <c r="B116" s="8">
        <f>SUMIF(Table5[date_of_purchase],'Summary Per Day'!A116,Table5[total_spent])</f>
        <v>0</v>
      </c>
      <c r="C116" s="23">
        <f>SUMIF(Table4[date],Table3[[#This Row],[Date]],Table4[Total_sold])</f>
        <v>2520</v>
      </c>
      <c r="D116" s="6">
        <f>SUMIF(Table4[date],'Summary Per Day'!A116,Table4[profit])</f>
        <v>701.20555555555541</v>
      </c>
      <c r="H116">
        <f t="shared" si="26"/>
        <v>315.54249999999996</v>
      </c>
      <c r="I116">
        <f t="shared" si="27"/>
        <v>385.6630555555555</v>
      </c>
    </row>
    <row r="117" spans="1:9" x14ac:dyDescent="0.25">
      <c r="A117" s="39">
        <f t="shared" si="25"/>
        <v>45603</v>
      </c>
      <c r="B117" s="8">
        <f>SUMIF(Table5[date_of_purchase],'Summary Per Day'!A117,Table5[total_spent])</f>
        <v>0</v>
      </c>
      <c r="C117" s="23">
        <f>SUMIF(Table4[date],Table3[[#This Row],[Date]],Table4[Total_sold])</f>
        <v>2685</v>
      </c>
      <c r="D117" s="6">
        <f>SUMIF(Table4[date],'Summary Per Day'!A117,Table4[profit])</f>
        <v>639.4476190476189</v>
      </c>
      <c r="H117">
        <f t="shared" si="26"/>
        <v>287.75142857142851</v>
      </c>
      <c r="I117">
        <f t="shared" si="27"/>
        <v>351.6961904761904</v>
      </c>
    </row>
    <row r="118" spans="1:9" x14ac:dyDescent="0.25">
      <c r="A118" s="39">
        <f t="shared" si="25"/>
        <v>45604</v>
      </c>
      <c r="B118" s="8">
        <f>SUMIF(Table5[date_of_purchase],'Summary Per Day'!A118,Table5[total_spent])</f>
        <v>0</v>
      </c>
      <c r="C118" s="23">
        <f>SUMIF(Table4[date],Table3[[#This Row],[Date]],Table4[Total_sold])</f>
        <v>3815</v>
      </c>
      <c r="D118" s="6">
        <f>SUMIF(Table4[date],'Summary Per Day'!A118,Table4[profit])</f>
        <v>777.74333333333334</v>
      </c>
      <c r="H118">
        <f t="shared" si="26"/>
        <v>349.98450000000003</v>
      </c>
      <c r="I118">
        <f t="shared" si="27"/>
        <v>427.75883333333337</v>
      </c>
    </row>
    <row r="119" spans="1:9" x14ac:dyDescent="0.25">
      <c r="A119" s="39">
        <f t="shared" si="25"/>
        <v>45605</v>
      </c>
      <c r="B119" s="8">
        <f>SUMIF(Table5[date_of_purchase],'Summary Per Day'!A119,Table5[total_spent])</f>
        <v>0</v>
      </c>
      <c r="C119" s="23">
        <f>SUMIF(Table4[date],Table3[[#This Row],[Date]],Table4[Total_sold])</f>
        <v>2830</v>
      </c>
      <c r="D119" s="6">
        <f>SUMIF(Table4[date],'Summary Per Day'!A119,Table4[profit])</f>
        <v>698.68984126984139</v>
      </c>
      <c r="H119">
        <f t="shared" si="26"/>
        <v>314.41042857142861</v>
      </c>
      <c r="I119">
        <f t="shared" si="27"/>
        <v>384.27941269841278</v>
      </c>
    </row>
    <row r="120" spans="1:9" x14ac:dyDescent="0.25">
      <c r="A120" s="39">
        <f t="shared" si="25"/>
        <v>45606</v>
      </c>
      <c r="B120" s="8">
        <f>SUMIF(Table5[date_of_purchase],'Summary Per Day'!A120,Table5[total_spent])</f>
        <v>0</v>
      </c>
      <c r="C120" s="23">
        <f>SUMIF(Table4[date],Table3[[#This Row],[Date]],Table4[Total_sold])</f>
        <v>4040</v>
      </c>
      <c r="D120" s="6">
        <f>SUMIF(Table4[date],'Summary Per Day'!A120,Table4[profit])</f>
        <v>995.55119047619041</v>
      </c>
      <c r="H120">
        <f t="shared" si="26"/>
        <v>447.99803571428572</v>
      </c>
      <c r="I120">
        <f t="shared" si="27"/>
        <v>547.55315476190481</v>
      </c>
    </row>
    <row r="121" spans="1:9" x14ac:dyDescent="0.25">
      <c r="A121" s="39">
        <f t="shared" si="25"/>
        <v>45607</v>
      </c>
      <c r="B121" s="8">
        <f>SUMIF(Table5[date_of_purchase],'Summary Per Day'!A121,Table5[total_spent])</f>
        <v>0</v>
      </c>
      <c r="C121" s="23">
        <f>SUMIF(Table4[date],Table3[[#This Row],[Date]],Table4[Total_sold])</f>
        <v>3965</v>
      </c>
      <c r="D121" s="6">
        <f>SUMIF(Table4[date],'Summary Per Day'!A121,Table4[profit])</f>
        <v>780.49920634920636</v>
      </c>
      <c r="H121">
        <f t="shared" si="26"/>
        <v>351.2246428571429</v>
      </c>
      <c r="I121">
        <f t="shared" si="27"/>
        <v>429.27456349206352</v>
      </c>
    </row>
    <row r="122" spans="1:9" x14ac:dyDescent="0.25">
      <c r="A122" s="39">
        <f t="shared" si="25"/>
        <v>45608</v>
      </c>
      <c r="B122" s="8">
        <f>SUMIF(Table5[date_of_purchase],'Summary Per Day'!A122,Table5[total_spent])</f>
        <v>0</v>
      </c>
      <c r="C122" s="23">
        <f>SUMIF(Table4[date],Table3[[#This Row],[Date]],Table4[Total_sold])</f>
        <v>3975</v>
      </c>
      <c r="D122" s="6">
        <f>SUMIF(Table4[date],'Summary Per Day'!A122,Table4[profit])</f>
        <v>1013.6793650793651</v>
      </c>
      <c r="H122">
        <f t="shared" si="26"/>
        <v>456.15571428571428</v>
      </c>
      <c r="I122">
        <f t="shared" si="27"/>
        <v>557.52365079365086</v>
      </c>
    </row>
    <row r="123" spans="1:9" x14ac:dyDescent="0.25">
      <c r="A123" s="39">
        <f t="shared" si="25"/>
        <v>45609</v>
      </c>
      <c r="B123" s="8">
        <f>SUMIF(Table5[date_of_purchase],'Summary Per Day'!A123,Table5[total_spent])</f>
        <v>0</v>
      </c>
      <c r="C123" s="23" t="e">
        <f>SUMIF(Table4[date],Table3[[#This Row],[Date]],Table4[Total_sold])</f>
        <v>#N/A</v>
      </c>
      <c r="D123" s="6" t="e">
        <f>SUMIF(Table4[date],'Summary Per Day'!A123,Table4[profit])</f>
        <v>#N/A</v>
      </c>
      <c r="H123" t="e">
        <f t="shared" si="26"/>
        <v>#N/A</v>
      </c>
      <c r="I123" t="e">
        <f t="shared" si="27"/>
        <v>#N/A</v>
      </c>
    </row>
    <row r="124" spans="1:9" x14ac:dyDescent="0.25">
      <c r="A124" s="39">
        <f t="shared" si="25"/>
        <v>45610</v>
      </c>
      <c r="B124" s="8">
        <f>SUMIF(Table5[date_of_purchase],'Summary Per Day'!A124,Table5[total_spent])</f>
        <v>0</v>
      </c>
      <c r="C124" s="23" t="e">
        <f>SUMIF(Table4[date],Table3[[#This Row],[Date]],Table4[Total_sold])</f>
        <v>#N/A</v>
      </c>
      <c r="D124" s="6" t="e">
        <f>SUMIF(Table4[date],'Summary Per Day'!A124,Table4[profit])</f>
        <v>#N/A</v>
      </c>
      <c r="H124" t="e">
        <f t="shared" si="26"/>
        <v>#N/A</v>
      </c>
      <c r="I124" t="e">
        <f t="shared" si="27"/>
        <v>#N/A</v>
      </c>
    </row>
    <row r="125" spans="1:9" x14ac:dyDescent="0.25">
      <c r="A125" s="39">
        <f t="shared" si="25"/>
        <v>45611</v>
      </c>
      <c r="B125" s="8">
        <f>SUMIF(Table5[date_of_purchase],'Summary Per Day'!A125,Table5[total_spent])</f>
        <v>0</v>
      </c>
      <c r="C125" s="23">
        <f>SUMIF(Table4[date],Table3[[#This Row],[Date]],Table4[Total_sold])</f>
        <v>0</v>
      </c>
      <c r="D125" s="6">
        <f>SUMIF(Table4[date],'Summary Per Day'!A125,Table4[profit])</f>
        <v>0</v>
      </c>
      <c r="H125">
        <f t="shared" si="26"/>
        <v>0</v>
      </c>
      <c r="I125">
        <f t="shared" si="27"/>
        <v>0</v>
      </c>
    </row>
    <row r="126" spans="1:9" x14ac:dyDescent="0.25">
      <c r="A126" s="39">
        <f t="shared" si="25"/>
        <v>45612</v>
      </c>
      <c r="B126" s="8">
        <f>SUMIF(Table5[date_of_purchase],'Summary Per Day'!A126,Table5[total_spent])</f>
        <v>0</v>
      </c>
      <c r="C126" s="23">
        <f>SUMIF(Table4[date],Table3[[#This Row],[Date]],Table4[Total_sold])</f>
        <v>0</v>
      </c>
      <c r="D126" s="6">
        <f>SUMIF(Table4[date],'Summary Per Day'!A126,Table4[profit])</f>
        <v>0</v>
      </c>
      <c r="H126">
        <f t="shared" si="26"/>
        <v>0</v>
      </c>
      <c r="I126">
        <f t="shared" si="27"/>
        <v>0</v>
      </c>
    </row>
    <row r="127" spans="1:9" x14ac:dyDescent="0.25">
      <c r="A127" s="39">
        <f t="shared" si="25"/>
        <v>45613</v>
      </c>
      <c r="B127" s="8">
        <f>SUMIF(Table5[date_of_purchase],'Summary Per Day'!A127,Table5[total_spent])</f>
        <v>0</v>
      </c>
      <c r="C127" s="23">
        <f>SUMIF(Table4[date],Table3[[#This Row],[Date]],Table4[Total_sold])</f>
        <v>0</v>
      </c>
      <c r="D127" s="6">
        <f>SUMIF(Table4[date],'Summary Per Day'!A127,Table4[profit])</f>
        <v>0</v>
      </c>
      <c r="H127">
        <f t="shared" si="26"/>
        <v>0</v>
      </c>
      <c r="I127">
        <f t="shared" si="27"/>
        <v>0</v>
      </c>
    </row>
    <row r="128" spans="1:9" x14ac:dyDescent="0.25">
      <c r="A128" s="39">
        <f t="shared" si="25"/>
        <v>45614</v>
      </c>
      <c r="B128" s="8">
        <f>SUMIF(Table5[date_of_purchase],'Summary Per Day'!A128,Table5[total_spent])</f>
        <v>0</v>
      </c>
      <c r="C128" s="23">
        <f>SUMIF(Table4[date],Table3[[#This Row],[Date]],Table4[Total_sold])</f>
        <v>0</v>
      </c>
      <c r="D128" s="6">
        <f>SUMIF(Table4[date],'Summary Per Day'!A128,Table4[profit])</f>
        <v>0</v>
      </c>
      <c r="H128">
        <f t="shared" si="26"/>
        <v>0</v>
      </c>
      <c r="I128">
        <f t="shared" si="27"/>
        <v>0</v>
      </c>
    </row>
    <row r="129" spans="1:9" x14ac:dyDescent="0.25">
      <c r="A129" s="39">
        <f t="shared" si="25"/>
        <v>45615</v>
      </c>
      <c r="B129" s="8">
        <f>SUMIF(Table5[date_of_purchase],'Summary Per Day'!A129,Table5[total_spent])</f>
        <v>0</v>
      </c>
      <c r="C129" s="23">
        <f>SUMIF(Table4[date],Table3[[#This Row],[Date]],Table4[Total_sold])</f>
        <v>0</v>
      </c>
      <c r="D129" s="6">
        <f>SUMIF(Table4[date],'Summary Per Day'!A129,Table4[profit])</f>
        <v>0</v>
      </c>
      <c r="H129">
        <f t="shared" si="26"/>
        <v>0</v>
      </c>
      <c r="I129">
        <f t="shared" si="27"/>
        <v>0</v>
      </c>
    </row>
    <row r="130" spans="1:9" x14ac:dyDescent="0.25">
      <c r="A130" s="39">
        <f t="shared" si="25"/>
        <v>45616</v>
      </c>
      <c r="B130" s="8">
        <f>SUMIF(Table5[date_of_purchase],'Summary Per Day'!A130,Table5[total_spent])</f>
        <v>0</v>
      </c>
      <c r="C130" s="23">
        <f>SUMIF(Table4[date],Table3[[#This Row],[Date]],Table4[Total_sold])</f>
        <v>0</v>
      </c>
      <c r="D130" s="6">
        <f>SUMIF(Table4[date],'Summary Per Day'!A130,Table4[profit])</f>
        <v>0</v>
      </c>
      <c r="H130">
        <f t="shared" si="26"/>
        <v>0</v>
      </c>
      <c r="I130">
        <f t="shared" si="27"/>
        <v>0</v>
      </c>
    </row>
    <row r="131" spans="1:9" x14ac:dyDescent="0.25">
      <c r="A131" s="39">
        <f t="shared" si="25"/>
        <v>45617</v>
      </c>
      <c r="B131" s="8">
        <f>SUMIF(Table5[date_of_purchase],'Summary Per Day'!A131,Table5[total_spent])</f>
        <v>0</v>
      </c>
      <c r="C131" s="23">
        <f>SUMIF(Table4[date],Table3[[#This Row],[Date]],Table4[Total_sold])</f>
        <v>0</v>
      </c>
      <c r="D131" s="6">
        <f>SUMIF(Table4[date],'Summary Per Day'!A131,Table4[profit])</f>
        <v>0</v>
      </c>
      <c r="H131">
        <f t="shared" si="26"/>
        <v>0</v>
      </c>
      <c r="I131">
        <f t="shared" si="27"/>
        <v>0</v>
      </c>
    </row>
    <row r="132" spans="1:9" x14ac:dyDescent="0.25">
      <c r="A132" s="39">
        <f t="shared" si="25"/>
        <v>45618</v>
      </c>
      <c r="B132" s="8">
        <f>SUMIF(Table5[date_of_purchase],'Summary Per Day'!A132,Table5[total_spent])</f>
        <v>0</v>
      </c>
      <c r="C132" s="23">
        <f>SUMIF(Table4[date],Table3[[#This Row],[Date]],Table4[Total_sold])</f>
        <v>0</v>
      </c>
      <c r="D132" s="6">
        <f>SUMIF(Table4[date],'Summary Per Day'!A132,Table4[profit])</f>
        <v>0</v>
      </c>
      <c r="H132">
        <f t="shared" si="26"/>
        <v>0</v>
      </c>
      <c r="I132">
        <f t="shared" si="27"/>
        <v>0</v>
      </c>
    </row>
    <row r="133" spans="1:9" x14ac:dyDescent="0.25">
      <c r="A133" s="39">
        <f t="shared" si="25"/>
        <v>45619</v>
      </c>
      <c r="B133" s="8">
        <f>SUMIF(Table5[date_of_purchase],'Summary Per Day'!A133,Table5[total_spent])</f>
        <v>0</v>
      </c>
      <c r="C133" s="23">
        <f>SUMIF(Table4[date],Table3[[#This Row],[Date]],Table4[Total_sold])</f>
        <v>0</v>
      </c>
      <c r="D133" s="6">
        <f>SUMIF(Table4[date],'Summary Per Day'!A133,Table4[profit])</f>
        <v>0</v>
      </c>
      <c r="H133">
        <f t="shared" si="26"/>
        <v>0</v>
      </c>
      <c r="I133">
        <f t="shared" si="27"/>
        <v>0</v>
      </c>
    </row>
    <row r="134" spans="1:9" x14ac:dyDescent="0.25">
      <c r="A134" s="39">
        <f t="shared" si="25"/>
        <v>45620</v>
      </c>
      <c r="B134" s="8">
        <f>SUMIF(Table5[date_of_purchase],'Summary Per Day'!A134,Table5[total_spent])</f>
        <v>0</v>
      </c>
      <c r="C134" s="23">
        <f>SUMIF(Table4[date],Table3[[#This Row],[Date]],Table4[Total_sold])</f>
        <v>0</v>
      </c>
      <c r="D134" s="6">
        <f>SUMIF(Table4[date],'Summary Per Day'!A134,Table4[profit])</f>
        <v>0</v>
      </c>
      <c r="H134">
        <f t="shared" si="26"/>
        <v>0</v>
      </c>
      <c r="I134">
        <f t="shared" si="27"/>
        <v>0</v>
      </c>
    </row>
    <row r="135" spans="1:9" x14ac:dyDescent="0.25">
      <c r="A135" s="39">
        <f t="shared" si="25"/>
        <v>45621</v>
      </c>
      <c r="B135" s="8">
        <f>SUMIF(Table5[date_of_purchase],'Summary Per Day'!A135,Table5[total_spent])</f>
        <v>0</v>
      </c>
      <c r="C135" s="23">
        <f>SUMIF(Table4[date],Table3[[#This Row],[Date]],Table4[Total_sold])</f>
        <v>0</v>
      </c>
      <c r="D135" s="6">
        <f>SUMIF(Table4[date],'Summary Per Day'!A135,Table4[profit])</f>
        <v>0</v>
      </c>
      <c r="H135">
        <f t="shared" si="26"/>
        <v>0</v>
      </c>
      <c r="I135">
        <f t="shared" si="27"/>
        <v>0</v>
      </c>
    </row>
  </sheetData>
  <phoneticPr fontId="1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7B9CE-678E-4B10-BC47-7649EE00C326}">
  <sheetPr codeName="Sheet6"/>
  <dimension ref="A3:D921"/>
  <sheetViews>
    <sheetView workbookViewId="0">
      <selection activeCell="A3" sqref="A3"/>
    </sheetView>
  </sheetViews>
  <sheetFormatPr defaultRowHeight="15" x14ac:dyDescent="0.25"/>
  <cols>
    <col min="1" max="1" width="19.85546875" bestFit="1" customWidth="1"/>
    <col min="2" max="3" width="7.42578125" bestFit="1" customWidth="1"/>
    <col min="4" max="5" width="10.28515625" bestFit="1" customWidth="1"/>
  </cols>
  <sheetData>
    <row r="3" spans="1:4" x14ac:dyDescent="0.25">
      <c r="A3" s="2" t="s">
        <v>373</v>
      </c>
      <c r="B3" s="2" t="s">
        <v>488</v>
      </c>
      <c r="C3" s="2" t="s">
        <v>374</v>
      </c>
      <c r="D3" t="s">
        <v>489</v>
      </c>
    </row>
    <row r="4" spans="1:4" x14ac:dyDescent="0.25">
      <c r="A4" s="1">
        <v>45488</v>
      </c>
      <c r="B4" t="s">
        <v>490</v>
      </c>
      <c r="C4" s="35" t="s">
        <v>491</v>
      </c>
      <c r="D4">
        <v>6</v>
      </c>
    </row>
    <row r="5" spans="1:4" x14ac:dyDescent="0.25">
      <c r="A5" s="1">
        <v>45488</v>
      </c>
      <c r="B5" t="s">
        <v>492</v>
      </c>
      <c r="D5">
        <v>6</v>
      </c>
    </row>
    <row r="6" spans="1:4" x14ac:dyDescent="0.25">
      <c r="A6" s="1">
        <v>45488</v>
      </c>
      <c r="B6" t="s">
        <v>493</v>
      </c>
      <c r="C6" s="35" t="s">
        <v>494</v>
      </c>
      <c r="D6">
        <v>1</v>
      </c>
    </row>
    <row r="7" spans="1:4" x14ac:dyDescent="0.25">
      <c r="A7" s="1">
        <v>45488</v>
      </c>
      <c r="B7" t="s">
        <v>495</v>
      </c>
      <c r="D7">
        <v>1</v>
      </c>
    </row>
    <row r="8" spans="1:4" x14ac:dyDescent="0.25">
      <c r="A8" s="1">
        <v>45488</v>
      </c>
      <c r="B8" t="s">
        <v>496</v>
      </c>
      <c r="C8" s="35" t="s">
        <v>497</v>
      </c>
      <c r="D8">
        <v>1</v>
      </c>
    </row>
    <row r="9" spans="1:4" x14ac:dyDescent="0.25">
      <c r="A9" s="1">
        <v>45488</v>
      </c>
      <c r="B9" t="s">
        <v>496</v>
      </c>
      <c r="C9" s="35" t="s">
        <v>498</v>
      </c>
      <c r="D9">
        <v>1</v>
      </c>
    </row>
    <row r="10" spans="1:4" x14ac:dyDescent="0.25">
      <c r="A10" s="1">
        <v>45488</v>
      </c>
      <c r="B10" t="s">
        <v>496</v>
      </c>
      <c r="C10" s="35" t="s">
        <v>499</v>
      </c>
      <c r="D10">
        <v>1</v>
      </c>
    </row>
    <row r="11" spans="1:4" x14ac:dyDescent="0.25">
      <c r="A11" s="1">
        <v>45488</v>
      </c>
      <c r="B11" t="s">
        <v>496</v>
      </c>
      <c r="C11" s="35" t="s">
        <v>500</v>
      </c>
      <c r="D11">
        <v>1</v>
      </c>
    </row>
    <row r="12" spans="1:4" x14ac:dyDescent="0.25">
      <c r="A12" s="1">
        <v>45488</v>
      </c>
      <c r="B12" t="s">
        <v>501</v>
      </c>
      <c r="D12">
        <v>4</v>
      </c>
    </row>
    <row r="13" spans="1:4" x14ac:dyDescent="0.25">
      <c r="A13" s="1">
        <v>45488</v>
      </c>
      <c r="B13" t="s">
        <v>502</v>
      </c>
      <c r="C13" s="35" t="s">
        <v>503</v>
      </c>
      <c r="D13">
        <v>2</v>
      </c>
    </row>
    <row r="14" spans="1:4" x14ac:dyDescent="0.25">
      <c r="A14" s="1">
        <v>45488</v>
      </c>
      <c r="B14" t="s">
        <v>504</v>
      </c>
      <c r="D14">
        <v>2</v>
      </c>
    </row>
    <row r="15" spans="1:4" x14ac:dyDescent="0.25">
      <c r="A15" s="1">
        <v>45488</v>
      </c>
      <c r="B15" t="s">
        <v>505</v>
      </c>
      <c r="C15" s="35" t="s">
        <v>506</v>
      </c>
      <c r="D15">
        <v>2</v>
      </c>
    </row>
    <row r="16" spans="1:4" x14ac:dyDescent="0.25">
      <c r="A16" s="1">
        <v>45488</v>
      </c>
      <c r="B16" t="s">
        <v>505</v>
      </c>
      <c r="C16" s="35" t="s">
        <v>503</v>
      </c>
      <c r="D16">
        <v>3</v>
      </c>
    </row>
    <row r="17" spans="1:4" x14ac:dyDescent="0.25">
      <c r="A17" s="1">
        <v>45488</v>
      </c>
      <c r="B17" t="s">
        <v>507</v>
      </c>
      <c r="D17">
        <v>5</v>
      </c>
    </row>
    <row r="18" spans="1:4" x14ac:dyDescent="0.25">
      <c r="A18" s="1">
        <v>45488</v>
      </c>
      <c r="B18" t="s">
        <v>508</v>
      </c>
      <c r="C18" s="35" t="s">
        <v>509</v>
      </c>
      <c r="D18">
        <v>3</v>
      </c>
    </row>
    <row r="19" spans="1:4" x14ac:dyDescent="0.25">
      <c r="A19" s="1">
        <v>45488</v>
      </c>
      <c r="B19" t="s">
        <v>508</v>
      </c>
      <c r="C19" s="35" t="s">
        <v>510</v>
      </c>
      <c r="D19">
        <v>1</v>
      </c>
    </row>
    <row r="20" spans="1:4" x14ac:dyDescent="0.25">
      <c r="A20" s="1">
        <v>45488</v>
      </c>
      <c r="B20" t="s">
        <v>508</v>
      </c>
      <c r="C20" s="35" t="s">
        <v>511</v>
      </c>
      <c r="D20">
        <v>6</v>
      </c>
    </row>
    <row r="21" spans="1:4" x14ac:dyDescent="0.25">
      <c r="A21" s="1">
        <v>45488</v>
      </c>
      <c r="B21" t="s">
        <v>512</v>
      </c>
      <c r="D21">
        <v>10</v>
      </c>
    </row>
    <row r="22" spans="1:4" x14ac:dyDescent="0.25">
      <c r="A22" s="1">
        <v>45488</v>
      </c>
      <c r="B22" t="s">
        <v>513</v>
      </c>
      <c r="C22" s="35" t="s">
        <v>514</v>
      </c>
      <c r="D22">
        <v>2</v>
      </c>
    </row>
    <row r="23" spans="1:4" x14ac:dyDescent="0.25">
      <c r="A23" s="1">
        <v>45488</v>
      </c>
      <c r="B23" t="s">
        <v>513</v>
      </c>
      <c r="C23" s="35" t="s">
        <v>515</v>
      </c>
      <c r="D23">
        <v>2</v>
      </c>
    </row>
    <row r="24" spans="1:4" x14ac:dyDescent="0.25">
      <c r="A24" s="1">
        <v>45488</v>
      </c>
      <c r="B24" t="s">
        <v>516</v>
      </c>
      <c r="D24">
        <v>4</v>
      </c>
    </row>
    <row r="25" spans="1:4" x14ac:dyDescent="0.25">
      <c r="A25" s="1">
        <v>45488</v>
      </c>
      <c r="B25" t="s">
        <v>517</v>
      </c>
      <c r="C25" s="35" t="s">
        <v>518</v>
      </c>
      <c r="D25">
        <v>1</v>
      </c>
    </row>
    <row r="26" spans="1:4" x14ac:dyDescent="0.25">
      <c r="A26" s="1">
        <v>45488</v>
      </c>
      <c r="B26" t="s">
        <v>519</v>
      </c>
      <c r="D26">
        <v>1</v>
      </c>
    </row>
    <row r="27" spans="1:4" x14ac:dyDescent="0.25">
      <c r="A27" s="1">
        <v>45488</v>
      </c>
      <c r="B27" t="s">
        <v>520</v>
      </c>
      <c r="C27" s="35" t="s">
        <v>514</v>
      </c>
      <c r="D27">
        <v>3.25</v>
      </c>
    </row>
    <row r="28" spans="1:4" x14ac:dyDescent="0.25">
      <c r="A28" s="1">
        <v>45488</v>
      </c>
      <c r="B28" t="s">
        <v>520</v>
      </c>
      <c r="C28" s="35" t="s">
        <v>521</v>
      </c>
      <c r="D28">
        <v>1</v>
      </c>
    </row>
    <row r="29" spans="1:4" x14ac:dyDescent="0.25">
      <c r="A29" s="1">
        <v>45488</v>
      </c>
      <c r="B29" t="s">
        <v>522</v>
      </c>
      <c r="D29">
        <v>4.25</v>
      </c>
    </row>
    <row r="30" spans="1:4" x14ac:dyDescent="0.25">
      <c r="A30" s="1">
        <v>45488</v>
      </c>
      <c r="B30" t="s">
        <v>523</v>
      </c>
      <c r="C30" s="35" t="s">
        <v>524</v>
      </c>
      <c r="D30">
        <v>1</v>
      </c>
    </row>
    <row r="31" spans="1:4" x14ac:dyDescent="0.25">
      <c r="A31" s="1">
        <v>45488</v>
      </c>
      <c r="B31" t="s">
        <v>523</v>
      </c>
      <c r="C31" s="35" t="s">
        <v>491</v>
      </c>
      <c r="D31">
        <v>2</v>
      </c>
    </row>
    <row r="32" spans="1:4" x14ac:dyDescent="0.25">
      <c r="A32" s="1">
        <v>45488</v>
      </c>
      <c r="B32" t="s">
        <v>525</v>
      </c>
      <c r="D32">
        <v>3</v>
      </c>
    </row>
    <row r="33" spans="1:4" x14ac:dyDescent="0.25">
      <c r="A33" s="1">
        <v>45488</v>
      </c>
      <c r="B33" t="s">
        <v>526</v>
      </c>
      <c r="C33" s="35" t="s">
        <v>527</v>
      </c>
      <c r="D33">
        <v>1</v>
      </c>
    </row>
    <row r="34" spans="1:4" x14ac:dyDescent="0.25">
      <c r="A34" s="1">
        <v>45488</v>
      </c>
      <c r="B34" t="s">
        <v>526</v>
      </c>
      <c r="C34" s="35" t="s">
        <v>514</v>
      </c>
      <c r="D34">
        <v>2</v>
      </c>
    </row>
    <row r="35" spans="1:4" x14ac:dyDescent="0.25">
      <c r="A35" s="1">
        <v>45488</v>
      </c>
      <c r="B35" t="s">
        <v>526</v>
      </c>
      <c r="C35" s="35" t="s">
        <v>528</v>
      </c>
      <c r="D35">
        <v>1</v>
      </c>
    </row>
    <row r="36" spans="1:4" x14ac:dyDescent="0.25">
      <c r="A36" s="1">
        <v>45488</v>
      </c>
      <c r="B36" t="s">
        <v>529</v>
      </c>
      <c r="D36">
        <v>4</v>
      </c>
    </row>
    <row r="37" spans="1:4" x14ac:dyDescent="0.25">
      <c r="A37" s="1">
        <v>45488</v>
      </c>
      <c r="B37" t="s">
        <v>530</v>
      </c>
      <c r="C37" s="35" t="s">
        <v>494</v>
      </c>
      <c r="D37">
        <v>1</v>
      </c>
    </row>
    <row r="38" spans="1:4" x14ac:dyDescent="0.25">
      <c r="A38" s="1">
        <v>45488</v>
      </c>
      <c r="B38" t="s">
        <v>530</v>
      </c>
      <c r="C38" s="35" t="s">
        <v>531</v>
      </c>
      <c r="D38">
        <v>7</v>
      </c>
    </row>
    <row r="39" spans="1:4" x14ac:dyDescent="0.25">
      <c r="A39" s="1">
        <v>45488</v>
      </c>
      <c r="B39" t="s">
        <v>530</v>
      </c>
      <c r="C39" s="35" t="s">
        <v>524</v>
      </c>
      <c r="D39">
        <v>2</v>
      </c>
    </row>
    <row r="40" spans="1:4" x14ac:dyDescent="0.25">
      <c r="A40" s="1">
        <v>45488</v>
      </c>
      <c r="B40" t="s">
        <v>530</v>
      </c>
      <c r="C40" s="35" t="s">
        <v>532</v>
      </c>
      <c r="D40">
        <v>1</v>
      </c>
    </row>
    <row r="41" spans="1:4" x14ac:dyDescent="0.25">
      <c r="A41" s="1">
        <v>45488</v>
      </c>
      <c r="B41" t="s">
        <v>533</v>
      </c>
      <c r="D41">
        <v>11</v>
      </c>
    </row>
    <row r="42" spans="1:4" x14ac:dyDescent="0.25">
      <c r="A42" s="1">
        <v>45489</v>
      </c>
      <c r="B42" t="s">
        <v>493</v>
      </c>
      <c r="C42" s="35" t="s">
        <v>534</v>
      </c>
      <c r="D42">
        <v>3</v>
      </c>
    </row>
    <row r="43" spans="1:4" x14ac:dyDescent="0.25">
      <c r="A43" s="1">
        <v>45489</v>
      </c>
      <c r="B43" t="s">
        <v>493</v>
      </c>
      <c r="C43" s="35" t="s">
        <v>535</v>
      </c>
      <c r="D43">
        <v>10</v>
      </c>
    </row>
    <row r="44" spans="1:4" x14ac:dyDescent="0.25">
      <c r="A44" s="1">
        <v>45489</v>
      </c>
      <c r="B44" t="s">
        <v>495</v>
      </c>
      <c r="D44">
        <v>13</v>
      </c>
    </row>
    <row r="45" spans="1:4" x14ac:dyDescent="0.25">
      <c r="A45" s="1">
        <v>45489</v>
      </c>
      <c r="B45" t="s">
        <v>536</v>
      </c>
      <c r="C45" s="35" t="s">
        <v>494</v>
      </c>
      <c r="D45">
        <v>1</v>
      </c>
    </row>
    <row r="46" spans="1:4" x14ac:dyDescent="0.25">
      <c r="A46" s="1">
        <v>45489</v>
      </c>
      <c r="B46" t="s">
        <v>536</v>
      </c>
      <c r="C46" s="35" t="s">
        <v>537</v>
      </c>
      <c r="D46">
        <v>4</v>
      </c>
    </row>
    <row r="47" spans="1:4" x14ac:dyDescent="0.25">
      <c r="A47" s="1">
        <v>45489</v>
      </c>
      <c r="B47" t="s">
        <v>536</v>
      </c>
      <c r="C47" s="35" t="s">
        <v>538</v>
      </c>
      <c r="D47">
        <v>4</v>
      </c>
    </row>
    <row r="48" spans="1:4" x14ac:dyDescent="0.25">
      <c r="A48" s="1">
        <v>45489</v>
      </c>
      <c r="B48" t="s">
        <v>536</v>
      </c>
      <c r="C48" s="35" t="s">
        <v>539</v>
      </c>
      <c r="D48">
        <v>1</v>
      </c>
    </row>
    <row r="49" spans="1:4" x14ac:dyDescent="0.25">
      <c r="A49" s="1">
        <v>45489</v>
      </c>
      <c r="B49" t="s">
        <v>540</v>
      </c>
      <c r="D49">
        <v>10</v>
      </c>
    </row>
    <row r="50" spans="1:4" x14ac:dyDescent="0.25">
      <c r="A50" s="1">
        <v>45489</v>
      </c>
      <c r="B50" t="s">
        <v>496</v>
      </c>
      <c r="C50" s="35" t="s">
        <v>532</v>
      </c>
      <c r="D50">
        <v>1</v>
      </c>
    </row>
    <row r="51" spans="1:4" x14ac:dyDescent="0.25">
      <c r="A51" s="1">
        <v>45489</v>
      </c>
      <c r="B51" t="s">
        <v>496</v>
      </c>
      <c r="C51" s="35" t="s">
        <v>528</v>
      </c>
      <c r="D51">
        <v>3</v>
      </c>
    </row>
    <row r="52" spans="1:4" x14ac:dyDescent="0.25">
      <c r="A52" s="1">
        <v>45489</v>
      </c>
      <c r="B52" t="s">
        <v>501</v>
      </c>
      <c r="D52">
        <v>4</v>
      </c>
    </row>
    <row r="53" spans="1:4" x14ac:dyDescent="0.25">
      <c r="A53" s="1">
        <v>45489</v>
      </c>
      <c r="B53" t="s">
        <v>502</v>
      </c>
      <c r="C53" s="35" t="s">
        <v>541</v>
      </c>
      <c r="D53">
        <v>2</v>
      </c>
    </row>
    <row r="54" spans="1:4" x14ac:dyDescent="0.25">
      <c r="A54" s="1">
        <v>45489</v>
      </c>
      <c r="B54" t="s">
        <v>502</v>
      </c>
      <c r="C54" s="35" t="s">
        <v>511</v>
      </c>
      <c r="D54">
        <v>2</v>
      </c>
    </row>
    <row r="55" spans="1:4" x14ac:dyDescent="0.25">
      <c r="A55" s="1">
        <v>45489</v>
      </c>
      <c r="B55" t="s">
        <v>504</v>
      </c>
      <c r="D55">
        <v>4</v>
      </c>
    </row>
    <row r="56" spans="1:4" x14ac:dyDescent="0.25">
      <c r="A56" s="1">
        <v>45489</v>
      </c>
      <c r="B56" t="s">
        <v>505</v>
      </c>
      <c r="C56" s="35" t="s">
        <v>542</v>
      </c>
      <c r="D56">
        <v>2</v>
      </c>
    </row>
    <row r="57" spans="1:4" x14ac:dyDescent="0.25">
      <c r="A57" s="1">
        <v>45489</v>
      </c>
      <c r="B57" t="s">
        <v>507</v>
      </c>
      <c r="D57">
        <v>2</v>
      </c>
    </row>
    <row r="58" spans="1:4" x14ac:dyDescent="0.25">
      <c r="A58" s="1">
        <v>45489</v>
      </c>
      <c r="B58" t="s">
        <v>543</v>
      </c>
      <c r="C58" s="35" t="s">
        <v>515</v>
      </c>
      <c r="D58">
        <v>7</v>
      </c>
    </row>
    <row r="59" spans="1:4" x14ac:dyDescent="0.25">
      <c r="A59" s="1">
        <v>45489</v>
      </c>
      <c r="B59" t="s">
        <v>543</v>
      </c>
      <c r="C59" s="35" t="s">
        <v>544</v>
      </c>
      <c r="D59">
        <v>4</v>
      </c>
    </row>
    <row r="60" spans="1:4" x14ac:dyDescent="0.25">
      <c r="A60" s="1">
        <v>45489</v>
      </c>
      <c r="B60" t="s">
        <v>543</v>
      </c>
      <c r="C60" s="35" t="s">
        <v>545</v>
      </c>
      <c r="D60">
        <v>5</v>
      </c>
    </row>
    <row r="61" spans="1:4" x14ac:dyDescent="0.25">
      <c r="A61" s="1">
        <v>45489</v>
      </c>
      <c r="B61" t="s">
        <v>546</v>
      </c>
      <c r="D61">
        <v>16</v>
      </c>
    </row>
    <row r="62" spans="1:4" x14ac:dyDescent="0.25">
      <c r="A62" s="1">
        <v>45489</v>
      </c>
      <c r="B62" t="s">
        <v>508</v>
      </c>
      <c r="C62" s="35" t="s">
        <v>506</v>
      </c>
      <c r="D62">
        <v>5</v>
      </c>
    </row>
    <row r="63" spans="1:4" x14ac:dyDescent="0.25">
      <c r="A63" s="1">
        <v>45489</v>
      </c>
      <c r="B63" t="s">
        <v>508</v>
      </c>
      <c r="C63" s="35" t="s">
        <v>547</v>
      </c>
      <c r="D63">
        <v>2</v>
      </c>
    </row>
    <row r="64" spans="1:4" x14ac:dyDescent="0.25">
      <c r="A64" s="1">
        <v>45489</v>
      </c>
      <c r="B64" t="s">
        <v>508</v>
      </c>
      <c r="C64" s="35" t="s">
        <v>515</v>
      </c>
      <c r="D64">
        <v>9</v>
      </c>
    </row>
    <row r="65" spans="1:4" x14ac:dyDescent="0.25">
      <c r="A65" s="1">
        <v>45489</v>
      </c>
      <c r="B65" t="s">
        <v>508</v>
      </c>
      <c r="C65" s="35" t="s">
        <v>539</v>
      </c>
      <c r="D65">
        <v>1</v>
      </c>
    </row>
    <row r="66" spans="1:4" x14ac:dyDescent="0.25">
      <c r="A66" s="1">
        <v>45489</v>
      </c>
      <c r="B66" t="s">
        <v>512</v>
      </c>
      <c r="D66">
        <v>17</v>
      </c>
    </row>
    <row r="67" spans="1:4" x14ac:dyDescent="0.25">
      <c r="A67" s="1">
        <v>45489</v>
      </c>
      <c r="B67" t="s">
        <v>513</v>
      </c>
      <c r="C67" s="35" t="s">
        <v>499</v>
      </c>
      <c r="D67">
        <v>1</v>
      </c>
    </row>
    <row r="68" spans="1:4" x14ac:dyDescent="0.25">
      <c r="A68" s="1">
        <v>45489</v>
      </c>
      <c r="B68" t="s">
        <v>516</v>
      </c>
      <c r="D68">
        <v>1</v>
      </c>
    </row>
    <row r="69" spans="1:4" x14ac:dyDescent="0.25">
      <c r="A69" s="1">
        <v>45489</v>
      </c>
      <c r="B69" t="s">
        <v>517</v>
      </c>
      <c r="C69" s="35" t="s">
        <v>548</v>
      </c>
      <c r="D69">
        <v>1</v>
      </c>
    </row>
    <row r="70" spans="1:4" x14ac:dyDescent="0.25">
      <c r="A70" s="1">
        <v>45489</v>
      </c>
      <c r="B70" t="s">
        <v>517</v>
      </c>
      <c r="C70" s="35" t="s">
        <v>549</v>
      </c>
      <c r="D70">
        <v>3</v>
      </c>
    </row>
    <row r="71" spans="1:4" x14ac:dyDescent="0.25">
      <c r="A71" s="1">
        <v>45489</v>
      </c>
      <c r="B71" t="s">
        <v>517</v>
      </c>
      <c r="C71" s="35" t="s">
        <v>550</v>
      </c>
      <c r="D71">
        <v>2</v>
      </c>
    </row>
    <row r="72" spans="1:4" x14ac:dyDescent="0.25">
      <c r="A72" s="1">
        <v>45489</v>
      </c>
      <c r="B72" t="s">
        <v>519</v>
      </c>
      <c r="D72">
        <v>6</v>
      </c>
    </row>
    <row r="73" spans="1:4" x14ac:dyDescent="0.25">
      <c r="A73" s="1">
        <v>45489</v>
      </c>
      <c r="B73" t="s">
        <v>520</v>
      </c>
      <c r="C73" s="35" t="s">
        <v>551</v>
      </c>
      <c r="D73">
        <v>10</v>
      </c>
    </row>
    <row r="74" spans="1:4" x14ac:dyDescent="0.25">
      <c r="A74" s="1">
        <v>45489</v>
      </c>
      <c r="B74" t="s">
        <v>520</v>
      </c>
      <c r="C74" s="35" t="s">
        <v>552</v>
      </c>
      <c r="D74">
        <v>2</v>
      </c>
    </row>
    <row r="75" spans="1:4" x14ac:dyDescent="0.25">
      <c r="A75" s="1">
        <v>45489</v>
      </c>
      <c r="B75" t="s">
        <v>520</v>
      </c>
      <c r="C75" s="35" t="s">
        <v>511</v>
      </c>
      <c r="D75">
        <v>3</v>
      </c>
    </row>
    <row r="76" spans="1:4" x14ac:dyDescent="0.25">
      <c r="A76" s="1">
        <v>45489</v>
      </c>
      <c r="B76" t="s">
        <v>520</v>
      </c>
      <c r="C76" s="35" t="s">
        <v>542</v>
      </c>
      <c r="D76">
        <v>1</v>
      </c>
    </row>
    <row r="77" spans="1:4" x14ac:dyDescent="0.25">
      <c r="A77" s="1">
        <v>45489</v>
      </c>
      <c r="B77" t="s">
        <v>522</v>
      </c>
      <c r="D77">
        <v>16</v>
      </c>
    </row>
    <row r="78" spans="1:4" x14ac:dyDescent="0.25">
      <c r="A78" s="1">
        <v>45489</v>
      </c>
      <c r="B78" t="s">
        <v>523</v>
      </c>
      <c r="C78" s="35" t="s">
        <v>553</v>
      </c>
      <c r="D78">
        <v>4</v>
      </c>
    </row>
    <row r="79" spans="1:4" x14ac:dyDescent="0.25">
      <c r="A79" s="1">
        <v>45489</v>
      </c>
      <c r="B79" t="s">
        <v>523</v>
      </c>
      <c r="C79" s="35" t="s">
        <v>514</v>
      </c>
      <c r="D79">
        <v>1</v>
      </c>
    </row>
    <row r="80" spans="1:4" x14ac:dyDescent="0.25">
      <c r="A80" s="1">
        <v>45489</v>
      </c>
      <c r="B80" t="s">
        <v>523</v>
      </c>
      <c r="C80" s="35" t="s">
        <v>552</v>
      </c>
      <c r="D80">
        <v>4</v>
      </c>
    </row>
    <row r="81" spans="1:4" x14ac:dyDescent="0.25">
      <c r="A81" s="1">
        <v>45489</v>
      </c>
      <c r="B81" t="s">
        <v>523</v>
      </c>
      <c r="C81" s="35" t="s">
        <v>515</v>
      </c>
      <c r="D81">
        <v>2</v>
      </c>
    </row>
    <row r="82" spans="1:4" x14ac:dyDescent="0.25">
      <c r="A82" s="1">
        <v>45489</v>
      </c>
      <c r="B82" t="s">
        <v>523</v>
      </c>
      <c r="C82" s="35" t="s">
        <v>528</v>
      </c>
      <c r="D82">
        <v>2</v>
      </c>
    </row>
    <row r="83" spans="1:4" x14ac:dyDescent="0.25">
      <c r="A83" s="1">
        <v>45489</v>
      </c>
      <c r="B83" t="s">
        <v>523</v>
      </c>
      <c r="C83" s="35" t="s">
        <v>554</v>
      </c>
      <c r="D83">
        <v>2</v>
      </c>
    </row>
    <row r="84" spans="1:4" x14ac:dyDescent="0.25">
      <c r="A84" s="1">
        <v>45489</v>
      </c>
      <c r="B84" t="s">
        <v>523</v>
      </c>
      <c r="C84" s="35" t="s">
        <v>491</v>
      </c>
      <c r="D84">
        <v>1</v>
      </c>
    </row>
    <row r="85" spans="1:4" x14ac:dyDescent="0.25">
      <c r="A85" s="1">
        <v>45489</v>
      </c>
      <c r="B85" t="s">
        <v>525</v>
      </c>
      <c r="D85">
        <v>16</v>
      </c>
    </row>
    <row r="86" spans="1:4" x14ac:dyDescent="0.25">
      <c r="A86" s="1">
        <v>45489</v>
      </c>
      <c r="B86" t="s">
        <v>526</v>
      </c>
      <c r="C86" s="35" t="s">
        <v>534</v>
      </c>
      <c r="D86">
        <v>1</v>
      </c>
    </row>
    <row r="87" spans="1:4" x14ac:dyDescent="0.25">
      <c r="A87" s="1">
        <v>45489</v>
      </c>
      <c r="B87" t="s">
        <v>526</v>
      </c>
      <c r="C87" s="35" t="s">
        <v>555</v>
      </c>
      <c r="D87">
        <v>2</v>
      </c>
    </row>
    <row r="88" spans="1:4" x14ac:dyDescent="0.25">
      <c r="A88" s="1">
        <v>45489</v>
      </c>
      <c r="B88" t="s">
        <v>526</v>
      </c>
      <c r="C88" s="35" t="s">
        <v>556</v>
      </c>
      <c r="D88">
        <v>1</v>
      </c>
    </row>
    <row r="89" spans="1:4" x14ac:dyDescent="0.25">
      <c r="A89" s="1">
        <v>45489</v>
      </c>
      <c r="B89" t="s">
        <v>526</v>
      </c>
      <c r="C89" s="35" t="s">
        <v>531</v>
      </c>
      <c r="D89">
        <v>4</v>
      </c>
    </row>
    <row r="90" spans="1:4" x14ac:dyDescent="0.25">
      <c r="A90" s="1">
        <v>45489</v>
      </c>
      <c r="B90" t="s">
        <v>526</v>
      </c>
      <c r="C90" s="35" t="s">
        <v>557</v>
      </c>
      <c r="D90">
        <v>4</v>
      </c>
    </row>
    <row r="91" spans="1:4" x14ac:dyDescent="0.25">
      <c r="A91" s="1">
        <v>45489</v>
      </c>
      <c r="B91" t="s">
        <v>526</v>
      </c>
      <c r="C91" s="35" t="s">
        <v>558</v>
      </c>
      <c r="D91">
        <v>1</v>
      </c>
    </row>
    <row r="92" spans="1:4" x14ac:dyDescent="0.25">
      <c r="A92" s="1">
        <v>45489</v>
      </c>
      <c r="B92" t="s">
        <v>526</v>
      </c>
      <c r="C92" s="35" t="s">
        <v>559</v>
      </c>
      <c r="D92">
        <v>2</v>
      </c>
    </row>
    <row r="93" spans="1:4" x14ac:dyDescent="0.25">
      <c r="A93" s="1">
        <v>45489</v>
      </c>
      <c r="B93" t="s">
        <v>526</v>
      </c>
      <c r="C93" s="35" t="s">
        <v>514</v>
      </c>
      <c r="D93">
        <v>9</v>
      </c>
    </row>
    <row r="94" spans="1:4" x14ac:dyDescent="0.25">
      <c r="A94" s="1">
        <v>45489</v>
      </c>
      <c r="B94" t="s">
        <v>526</v>
      </c>
      <c r="C94" s="35" t="s">
        <v>500</v>
      </c>
      <c r="D94">
        <v>1</v>
      </c>
    </row>
    <row r="95" spans="1:4" x14ac:dyDescent="0.25">
      <c r="A95" s="1">
        <v>45489</v>
      </c>
      <c r="B95" t="s">
        <v>529</v>
      </c>
      <c r="D95">
        <v>25</v>
      </c>
    </row>
    <row r="96" spans="1:4" x14ac:dyDescent="0.25">
      <c r="A96" s="1">
        <v>45489</v>
      </c>
      <c r="B96" t="s">
        <v>530</v>
      </c>
      <c r="C96" s="35" t="s">
        <v>494</v>
      </c>
      <c r="D96">
        <v>2</v>
      </c>
    </row>
    <row r="97" spans="1:4" x14ac:dyDescent="0.25">
      <c r="A97" s="1">
        <v>45489</v>
      </c>
      <c r="B97" t="s">
        <v>530</v>
      </c>
      <c r="C97" s="35" t="s">
        <v>514</v>
      </c>
      <c r="D97">
        <v>2</v>
      </c>
    </row>
    <row r="98" spans="1:4" x14ac:dyDescent="0.25">
      <c r="A98" s="1">
        <v>45489</v>
      </c>
      <c r="B98" t="s">
        <v>533</v>
      </c>
      <c r="D98">
        <v>4</v>
      </c>
    </row>
    <row r="99" spans="1:4" x14ac:dyDescent="0.25">
      <c r="A99" s="1">
        <v>45490</v>
      </c>
      <c r="B99" t="s">
        <v>536</v>
      </c>
      <c r="C99" s="35" t="s">
        <v>558</v>
      </c>
      <c r="D99">
        <v>1</v>
      </c>
    </row>
    <row r="100" spans="1:4" x14ac:dyDescent="0.25">
      <c r="A100" s="1">
        <v>45490</v>
      </c>
      <c r="B100" t="s">
        <v>536</v>
      </c>
      <c r="C100" s="35" t="s">
        <v>560</v>
      </c>
      <c r="D100">
        <v>1</v>
      </c>
    </row>
    <row r="101" spans="1:4" x14ac:dyDescent="0.25">
      <c r="A101" s="1">
        <v>45490</v>
      </c>
      <c r="B101" t="s">
        <v>536</v>
      </c>
      <c r="C101" s="35" t="s">
        <v>554</v>
      </c>
      <c r="D101">
        <v>3</v>
      </c>
    </row>
    <row r="102" spans="1:4" x14ac:dyDescent="0.25">
      <c r="A102" s="1">
        <v>45490</v>
      </c>
      <c r="B102" t="s">
        <v>540</v>
      </c>
      <c r="D102">
        <v>5</v>
      </c>
    </row>
    <row r="103" spans="1:4" x14ac:dyDescent="0.25">
      <c r="A103" s="1">
        <v>45490</v>
      </c>
      <c r="B103" t="s">
        <v>496</v>
      </c>
      <c r="C103" s="35" t="s">
        <v>550</v>
      </c>
      <c r="D103">
        <v>1</v>
      </c>
    </row>
    <row r="104" spans="1:4" x14ac:dyDescent="0.25">
      <c r="A104" s="1">
        <v>45490</v>
      </c>
      <c r="B104" t="s">
        <v>501</v>
      </c>
      <c r="D104">
        <v>1</v>
      </c>
    </row>
    <row r="105" spans="1:4" x14ac:dyDescent="0.25">
      <c r="A105" s="1">
        <v>45490</v>
      </c>
      <c r="B105" t="s">
        <v>502</v>
      </c>
      <c r="C105" s="35" t="s">
        <v>561</v>
      </c>
      <c r="D105">
        <v>1</v>
      </c>
    </row>
    <row r="106" spans="1:4" x14ac:dyDescent="0.25">
      <c r="A106" s="1">
        <v>45490</v>
      </c>
      <c r="B106" t="s">
        <v>502</v>
      </c>
      <c r="C106" s="35" t="s">
        <v>562</v>
      </c>
      <c r="D106">
        <v>2</v>
      </c>
    </row>
    <row r="107" spans="1:4" x14ac:dyDescent="0.25">
      <c r="A107" s="1">
        <v>45490</v>
      </c>
      <c r="B107" t="s">
        <v>504</v>
      </c>
      <c r="D107">
        <v>3</v>
      </c>
    </row>
    <row r="108" spans="1:4" x14ac:dyDescent="0.25">
      <c r="A108" s="1">
        <v>45490</v>
      </c>
      <c r="B108" t="s">
        <v>505</v>
      </c>
      <c r="C108" s="35" t="s">
        <v>563</v>
      </c>
      <c r="D108">
        <v>4</v>
      </c>
    </row>
    <row r="109" spans="1:4" x14ac:dyDescent="0.25">
      <c r="A109" s="1">
        <v>45490</v>
      </c>
      <c r="B109" t="s">
        <v>505</v>
      </c>
      <c r="C109" s="35" t="s">
        <v>518</v>
      </c>
      <c r="D109">
        <v>1</v>
      </c>
    </row>
    <row r="110" spans="1:4" x14ac:dyDescent="0.25">
      <c r="A110" s="1">
        <v>45490</v>
      </c>
      <c r="B110" t="s">
        <v>507</v>
      </c>
      <c r="D110">
        <v>5</v>
      </c>
    </row>
    <row r="111" spans="1:4" x14ac:dyDescent="0.25">
      <c r="A111" s="1">
        <v>45490</v>
      </c>
      <c r="B111" t="s">
        <v>543</v>
      </c>
      <c r="C111" s="35" t="s">
        <v>547</v>
      </c>
      <c r="D111">
        <v>7.25</v>
      </c>
    </row>
    <row r="112" spans="1:4" x14ac:dyDescent="0.25">
      <c r="A112" s="1">
        <v>45490</v>
      </c>
      <c r="B112" t="s">
        <v>543</v>
      </c>
      <c r="C112" s="35" t="s">
        <v>550</v>
      </c>
      <c r="D112">
        <v>3</v>
      </c>
    </row>
    <row r="113" spans="1:4" x14ac:dyDescent="0.25">
      <c r="A113" s="1">
        <v>45490</v>
      </c>
      <c r="B113" t="s">
        <v>546</v>
      </c>
      <c r="D113">
        <v>10.25</v>
      </c>
    </row>
    <row r="114" spans="1:4" x14ac:dyDescent="0.25">
      <c r="A114" s="1">
        <v>45490</v>
      </c>
      <c r="B114" t="s">
        <v>508</v>
      </c>
      <c r="C114" s="35" t="s">
        <v>509</v>
      </c>
      <c r="D114">
        <v>1</v>
      </c>
    </row>
    <row r="115" spans="1:4" x14ac:dyDescent="0.25">
      <c r="A115" s="1">
        <v>45490</v>
      </c>
      <c r="B115" t="s">
        <v>508</v>
      </c>
      <c r="C115" s="35" t="s">
        <v>542</v>
      </c>
      <c r="D115">
        <v>0.25</v>
      </c>
    </row>
    <row r="116" spans="1:4" x14ac:dyDescent="0.25">
      <c r="A116" s="1">
        <v>45490</v>
      </c>
      <c r="B116" t="s">
        <v>512</v>
      </c>
      <c r="D116">
        <v>1.25</v>
      </c>
    </row>
    <row r="117" spans="1:4" x14ac:dyDescent="0.25">
      <c r="A117" s="1">
        <v>45490</v>
      </c>
      <c r="B117" t="s">
        <v>517</v>
      </c>
      <c r="C117" s="35" t="s">
        <v>564</v>
      </c>
      <c r="D117">
        <v>2</v>
      </c>
    </row>
    <row r="118" spans="1:4" x14ac:dyDescent="0.25">
      <c r="A118" s="1">
        <v>45490</v>
      </c>
      <c r="B118" t="s">
        <v>517</v>
      </c>
      <c r="C118" s="35" t="s">
        <v>553</v>
      </c>
      <c r="D118">
        <v>1</v>
      </c>
    </row>
    <row r="119" spans="1:4" x14ac:dyDescent="0.25">
      <c r="A119" s="1">
        <v>45490</v>
      </c>
      <c r="B119" t="s">
        <v>519</v>
      </c>
      <c r="D119">
        <v>3</v>
      </c>
    </row>
    <row r="120" spans="1:4" x14ac:dyDescent="0.25">
      <c r="A120" s="1">
        <v>45490</v>
      </c>
      <c r="B120" t="s">
        <v>523</v>
      </c>
      <c r="C120" s="35" t="s">
        <v>527</v>
      </c>
      <c r="D120">
        <v>1</v>
      </c>
    </row>
    <row r="121" spans="1:4" x14ac:dyDescent="0.25">
      <c r="A121" s="1">
        <v>45490</v>
      </c>
      <c r="B121" t="s">
        <v>523</v>
      </c>
      <c r="C121" s="35" t="s">
        <v>518</v>
      </c>
      <c r="D121">
        <v>12</v>
      </c>
    </row>
    <row r="122" spans="1:4" x14ac:dyDescent="0.25">
      <c r="A122" s="1">
        <v>45490</v>
      </c>
      <c r="B122" t="s">
        <v>523</v>
      </c>
      <c r="C122" s="35" t="s">
        <v>559</v>
      </c>
      <c r="D122">
        <v>1</v>
      </c>
    </row>
    <row r="123" spans="1:4" x14ac:dyDescent="0.25">
      <c r="A123" s="1">
        <v>45490</v>
      </c>
      <c r="B123" t="s">
        <v>523</v>
      </c>
      <c r="C123" s="35" t="s">
        <v>514</v>
      </c>
      <c r="D123">
        <v>1</v>
      </c>
    </row>
    <row r="124" spans="1:4" x14ac:dyDescent="0.25">
      <c r="A124" s="1">
        <v>45490</v>
      </c>
      <c r="B124" t="s">
        <v>525</v>
      </c>
      <c r="D124">
        <v>15</v>
      </c>
    </row>
    <row r="125" spans="1:4" x14ac:dyDescent="0.25">
      <c r="A125" s="1">
        <v>45490</v>
      </c>
      <c r="B125" t="s">
        <v>526</v>
      </c>
      <c r="C125" s="35" t="s">
        <v>506</v>
      </c>
      <c r="D125">
        <v>1</v>
      </c>
    </row>
    <row r="126" spans="1:4" x14ac:dyDescent="0.25">
      <c r="A126" s="1">
        <v>45490</v>
      </c>
      <c r="B126" t="s">
        <v>526</v>
      </c>
      <c r="C126" s="35" t="s">
        <v>565</v>
      </c>
      <c r="D126">
        <v>1.75</v>
      </c>
    </row>
    <row r="127" spans="1:4" x14ac:dyDescent="0.25">
      <c r="A127" s="1">
        <v>45490</v>
      </c>
      <c r="B127" t="s">
        <v>529</v>
      </c>
      <c r="D127">
        <v>2.75</v>
      </c>
    </row>
    <row r="128" spans="1:4" x14ac:dyDescent="0.25">
      <c r="A128" s="1">
        <v>45490</v>
      </c>
      <c r="B128" t="s">
        <v>530</v>
      </c>
      <c r="C128" s="35" t="s">
        <v>561</v>
      </c>
      <c r="D128">
        <v>1</v>
      </c>
    </row>
    <row r="129" spans="1:4" x14ac:dyDescent="0.25">
      <c r="A129" s="1">
        <v>45490</v>
      </c>
      <c r="B129" t="s">
        <v>533</v>
      </c>
      <c r="D129">
        <v>1</v>
      </c>
    </row>
    <row r="130" spans="1:4" x14ac:dyDescent="0.25">
      <c r="A130" s="1">
        <v>45491</v>
      </c>
      <c r="B130" t="s">
        <v>490</v>
      </c>
      <c r="C130" s="35" t="s">
        <v>554</v>
      </c>
      <c r="D130">
        <v>4</v>
      </c>
    </row>
    <row r="131" spans="1:4" x14ac:dyDescent="0.25">
      <c r="A131" s="1">
        <v>45491</v>
      </c>
      <c r="B131" t="s">
        <v>492</v>
      </c>
      <c r="D131">
        <v>4</v>
      </c>
    </row>
    <row r="132" spans="1:4" x14ac:dyDescent="0.25">
      <c r="A132" s="1">
        <v>45491</v>
      </c>
      <c r="B132" t="s">
        <v>493</v>
      </c>
      <c r="C132" s="35" t="s">
        <v>506</v>
      </c>
      <c r="D132">
        <v>3</v>
      </c>
    </row>
    <row r="133" spans="1:4" x14ac:dyDescent="0.25">
      <c r="A133" s="1">
        <v>45491</v>
      </c>
      <c r="B133" t="s">
        <v>493</v>
      </c>
      <c r="C133" s="35" t="s">
        <v>550</v>
      </c>
      <c r="D133">
        <v>4</v>
      </c>
    </row>
    <row r="134" spans="1:4" x14ac:dyDescent="0.25">
      <c r="A134" s="1">
        <v>45491</v>
      </c>
      <c r="B134" t="s">
        <v>495</v>
      </c>
      <c r="D134">
        <v>7</v>
      </c>
    </row>
    <row r="135" spans="1:4" x14ac:dyDescent="0.25">
      <c r="A135" s="1">
        <v>45491</v>
      </c>
      <c r="B135" t="s">
        <v>536</v>
      </c>
      <c r="C135" s="35" t="s">
        <v>539</v>
      </c>
      <c r="D135">
        <v>4.2</v>
      </c>
    </row>
    <row r="136" spans="1:4" x14ac:dyDescent="0.25">
      <c r="A136" s="1">
        <v>45491</v>
      </c>
      <c r="B136" t="s">
        <v>540</v>
      </c>
      <c r="D136">
        <v>4.2</v>
      </c>
    </row>
    <row r="137" spans="1:4" x14ac:dyDescent="0.25">
      <c r="A137" s="1">
        <v>45491</v>
      </c>
      <c r="B137" t="s">
        <v>496</v>
      </c>
      <c r="C137" s="35" t="s">
        <v>521</v>
      </c>
      <c r="D137">
        <v>6</v>
      </c>
    </row>
    <row r="138" spans="1:4" x14ac:dyDescent="0.25">
      <c r="A138" s="1">
        <v>45491</v>
      </c>
      <c r="B138" t="s">
        <v>501</v>
      </c>
      <c r="D138">
        <v>6</v>
      </c>
    </row>
    <row r="139" spans="1:4" x14ac:dyDescent="0.25">
      <c r="A139" s="1">
        <v>45491</v>
      </c>
      <c r="B139" t="s">
        <v>502</v>
      </c>
      <c r="C139" s="35" t="s">
        <v>494</v>
      </c>
      <c r="D139">
        <v>2</v>
      </c>
    </row>
    <row r="140" spans="1:4" x14ac:dyDescent="0.25">
      <c r="A140" s="1">
        <v>45491</v>
      </c>
      <c r="B140" t="s">
        <v>502</v>
      </c>
      <c r="C140" s="35" t="s">
        <v>515</v>
      </c>
      <c r="D140">
        <v>2</v>
      </c>
    </row>
    <row r="141" spans="1:4" x14ac:dyDescent="0.25">
      <c r="A141" s="1">
        <v>45491</v>
      </c>
      <c r="B141" t="s">
        <v>502</v>
      </c>
      <c r="C141" s="35" t="s">
        <v>521</v>
      </c>
      <c r="D141">
        <v>3</v>
      </c>
    </row>
    <row r="142" spans="1:4" x14ac:dyDescent="0.25">
      <c r="A142" s="1">
        <v>45491</v>
      </c>
      <c r="B142" t="s">
        <v>504</v>
      </c>
      <c r="D142">
        <v>7</v>
      </c>
    </row>
    <row r="143" spans="1:4" x14ac:dyDescent="0.25">
      <c r="A143" s="1">
        <v>45491</v>
      </c>
      <c r="B143" t="s">
        <v>505</v>
      </c>
      <c r="C143" s="35" t="s">
        <v>565</v>
      </c>
      <c r="D143">
        <v>1</v>
      </c>
    </row>
    <row r="144" spans="1:4" x14ac:dyDescent="0.25">
      <c r="A144" s="1">
        <v>45491</v>
      </c>
      <c r="B144" t="s">
        <v>507</v>
      </c>
      <c r="D144">
        <v>1</v>
      </c>
    </row>
    <row r="145" spans="1:4" x14ac:dyDescent="0.25">
      <c r="A145" s="1">
        <v>45491</v>
      </c>
      <c r="B145" t="s">
        <v>543</v>
      </c>
      <c r="C145" s="35" t="s">
        <v>560</v>
      </c>
      <c r="D145">
        <v>2</v>
      </c>
    </row>
    <row r="146" spans="1:4" x14ac:dyDescent="0.25">
      <c r="A146" s="1">
        <v>45491</v>
      </c>
      <c r="B146" t="s">
        <v>546</v>
      </c>
      <c r="D146">
        <v>2</v>
      </c>
    </row>
    <row r="147" spans="1:4" x14ac:dyDescent="0.25">
      <c r="A147" s="1">
        <v>45491</v>
      </c>
      <c r="B147" t="s">
        <v>508</v>
      </c>
      <c r="C147" s="35" t="s">
        <v>534</v>
      </c>
      <c r="D147">
        <v>1</v>
      </c>
    </row>
    <row r="148" spans="1:4" x14ac:dyDescent="0.25">
      <c r="A148" s="1">
        <v>45491</v>
      </c>
      <c r="B148" t="s">
        <v>508</v>
      </c>
      <c r="C148" s="35" t="s">
        <v>497</v>
      </c>
      <c r="D148">
        <v>1.5</v>
      </c>
    </row>
    <row r="149" spans="1:4" x14ac:dyDescent="0.25">
      <c r="A149" s="1">
        <v>45491</v>
      </c>
      <c r="B149" t="s">
        <v>512</v>
      </c>
      <c r="D149">
        <v>2.5</v>
      </c>
    </row>
    <row r="150" spans="1:4" x14ac:dyDescent="0.25">
      <c r="A150" s="1">
        <v>45491</v>
      </c>
      <c r="B150" t="s">
        <v>513</v>
      </c>
      <c r="C150" s="35" t="s">
        <v>538</v>
      </c>
      <c r="D150">
        <v>11</v>
      </c>
    </row>
    <row r="151" spans="1:4" x14ac:dyDescent="0.25">
      <c r="A151" s="1">
        <v>45491</v>
      </c>
      <c r="B151" t="s">
        <v>516</v>
      </c>
      <c r="D151">
        <v>11</v>
      </c>
    </row>
    <row r="152" spans="1:4" x14ac:dyDescent="0.25">
      <c r="A152" s="1">
        <v>45491</v>
      </c>
      <c r="B152" t="s">
        <v>517</v>
      </c>
      <c r="C152" s="35" t="s">
        <v>509</v>
      </c>
      <c r="D152">
        <v>2</v>
      </c>
    </row>
    <row r="153" spans="1:4" x14ac:dyDescent="0.25">
      <c r="A153" s="1">
        <v>45491</v>
      </c>
      <c r="B153" t="s">
        <v>517</v>
      </c>
      <c r="C153" s="35" t="s">
        <v>560</v>
      </c>
      <c r="D153">
        <v>1</v>
      </c>
    </row>
    <row r="154" spans="1:4" x14ac:dyDescent="0.25">
      <c r="A154" s="1">
        <v>45491</v>
      </c>
      <c r="B154" t="s">
        <v>517</v>
      </c>
      <c r="C154" s="35" t="s">
        <v>554</v>
      </c>
      <c r="D154">
        <v>1</v>
      </c>
    </row>
    <row r="155" spans="1:4" x14ac:dyDescent="0.25">
      <c r="A155" s="1">
        <v>45491</v>
      </c>
      <c r="B155" t="s">
        <v>519</v>
      </c>
      <c r="D155">
        <v>4</v>
      </c>
    </row>
    <row r="156" spans="1:4" x14ac:dyDescent="0.25">
      <c r="A156" s="1">
        <v>45491</v>
      </c>
      <c r="B156" t="s">
        <v>520</v>
      </c>
      <c r="C156" s="35" t="s">
        <v>494</v>
      </c>
      <c r="D156">
        <v>2</v>
      </c>
    </row>
    <row r="157" spans="1:4" x14ac:dyDescent="0.25">
      <c r="A157" s="1">
        <v>45491</v>
      </c>
      <c r="B157" t="s">
        <v>520</v>
      </c>
      <c r="C157" s="35" t="s">
        <v>566</v>
      </c>
      <c r="D157">
        <v>1</v>
      </c>
    </row>
    <row r="158" spans="1:4" x14ac:dyDescent="0.25">
      <c r="A158" s="1">
        <v>45491</v>
      </c>
      <c r="B158" t="s">
        <v>522</v>
      </c>
      <c r="D158">
        <v>3</v>
      </c>
    </row>
    <row r="159" spans="1:4" x14ac:dyDescent="0.25">
      <c r="A159" s="1">
        <v>45491</v>
      </c>
      <c r="B159" t="s">
        <v>523</v>
      </c>
      <c r="C159" s="35" t="s">
        <v>566</v>
      </c>
      <c r="D159">
        <v>9.5</v>
      </c>
    </row>
    <row r="160" spans="1:4" x14ac:dyDescent="0.25">
      <c r="A160" s="1">
        <v>45491</v>
      </c>
      <c r="B160" t="s">
        <v>523</v>
      </c>
      <c r="C160" s="35" t="s">
        <v>562</v>
      </c>
      <c r="D160">
        <v>2</v>
      </c>
    </row>
    <row r="161" spans="1:4" x14ac:dyDescent="0.25">
      <c r="A161" s="1">
        <v>45491</v>
      </c>
      <c r="B161" t="s">
        <v>525</v>
      </c>
      <c r="D161">
        <v>11.5</v>
      </c>
    </row>
    <row r="162" spans="1:4" x14ac:dyDescent="0.25">
      <c r="A162" s="1">
        <v>45491</v>
      </c>
      <c r="B162" t="s">
        <v>526</v>
      </c>
      <c r="C162" s="35" t="s">
        <v>534</v>
      </c>
      <c r="D162">
        <v>6.5</v>
      </c>
    </row>
    <row r="163" spans="1:4" x14ac:dyDescent="0.25">
      <c r="A163" s="1">
        <v>45491</v>
      </c>
      <c r="B163" t="s">
        <v>526</v>
      </c>
      <c r="C163" s="35" t="s">
        <v>494</v>
      </c>
      <c r="D163">
        <v>3</v>
      </c>
    </row>
    <row r="164" spans="1:4" x14ac:dyDescent="0.25">
      <c r="A164" s="1">
        <v>45491</v>
      </c>
      <c r="B164" t="s">
        <v>526</v>
      </c>
      <c r="C164" s="35" t="s">
        <v>561</v>
      </c>
      <c r="D164">
        <v>2</v>
      </c>
    </row>
    <row r="165" spans="1:4" x14ac:dyDescent="0.25">
      <c r="A165" s="1">
        <v>45491</v>
      </c>
      <c r="B165" t="s">
        <v>526</v>
      </c>
      <c r="C165" s="35" t="s">
        <v>510</v>
      </c>
      <c r="D165">
        <v>1</v>
      </c>
    </row>
    <row r="166" spans="1:4" x14ac:dyDescent="0.25">
      <c r="A166" s="1">
        <v>45491</v>
      </c>
      <c r="B166" t="s">
        <v>526</v>
      </c>
      <c r="C166" s="35" t="s">
        <v>499</v>
      </c>
      <c r="D166">
        <v>2</v>
      </c>
    </row>
    <row r="167" spans="1:4" x14ac:dyDescent="0.25">
      <c r="A167" s="1">
        <v>45491</v>
      </c>
      <c r="B167" t="s">
        <v>529</v>
      </c>
      <c r="D167">
        <v>14.5</v>
      </c>
    </row>
    <row r="168" spans="1:4" x14ac:dyDescent="0.25">
      <c r="A168" s="1">
        <v>45491</v>
      </c>
      <c r="B168" t="s">
        <v>530</v>
      </c>
      <c r="C168" s="35" t="s">
        <v>528</v>
      </c>
      <c r="D168">
        <v>3</v>
      </c>
    </row>
    <row r="169" spans="1:4" x14ac:dyDescent="0.25">
      <c r="A169" s="1">
        <v>45491</v>
      </c>
      <c r="B169" t="s">
        <v>530</v>
      </c>
      <c r="C169" s="35" t="s">
        <v>554</v>
      </c>
      <c r="D169">
        <v>1</v>
      </c>
    </row>
    <row r="170" spans="1:4" x14ac:dyDescent="0.25">
      <c r="A170" s="1">
        <v>45491</v>
      </c>
      <c r="B170" t="s">
        <v>530</v>
      </c>
      <c r="C170" s="35" t="s">
        <v>541</v>
      </c>
      <c r="D170">
        <v>1</v>
      </c>
    </row>
    <row r="171" spans="1:4" x14ac:dyDescent="0.25">
      <c r="A171" s="1">
        <v>45491</v>
      </c>
      <c r="B171" t="s">
        <v>530</v>
      </c>
      <c r="C171" s="35" t="s">
        <v>544</v>
      </c>
      <c r="D171">
        <v>1</v>
      </c>
    </row>
    <row r="172" spans="1:4" x14ac:dyDescent="0.25">
      <c r="A172" s="1">
        <v>45491</v>
      </c>
      <c r="B172" t="s">
        <v>533</v>
      </c>
      <c r="D172">
        <v>6</v>
      </c>
    </row>
    <row r="173" spans="1:4" x14ac:dyDescent="0.25">
      <c r="A173" s="1">
        <v>45492</v>
      </c>
      <c r="B173" t="s">
        <v>493</v>
      </c>
      <c r="C173" s="35" t="s">
        <v>534</v>
      </c>
      <c r="D173">
        <v>3</v>
      </c>
    </row>
    <row r="174" spans="1:4" x14ac:dyDescent="0.25">
      <c r="A174" s="1">
        <v>45492</v>
      </c>
      <c r="B174" t="s">
        <v>493</v>
      </c>
      <c r="C174" s="35" t="s">
        <v>557</v>
      </c>
      <c r="D174">
        <v>1</v>
      </c>
    </row>
    <row r="175" spans="1:4" x14ac:dyDescent="0.25">
      <c r="A175" s="1">
        <v>45492</v>
      </c>
      <c r="B175" t="s">
        <v>493</v>
      </c>
      <c r="C175" s="35" t="s">
        <v>560</v>
      </c>
      <c r="D175">
        <v>1</v>
      </c>
    </row>
    <row r="176" spans="1:4" x14ac:dyDescent="0.25">
      <c r="A176" s="1">
        <v>45492</v>
      </c>
      <c r="B176" t="s">
        <v>493</v>
      </c>
      <c r="C176" s="35" t="s">
        <v>544</v>
      </c>
      <c r="D176">
        <v>1</v>
      </c>
    </row>
    <row r="177" spans="1:4" x14ac:dyDescent="0.25">
      <c r="A177" s="1">
        <v>45492</v>
      </c>
      <c r="B177" t="s">
        <v>495</v>
      </c>
      <c r="D177">
        <v>6</v>
      </c>
    </row>
    <row r="178" spans="1:4" x14ac:dyDescent="0.25">
      <c r="A178" s="1">
        <v>45492</v>
      </c>
      <c r="B178" t="s">
        <v>536</v>
      </c>
      <c r="C178" s="35" t="s">
        <v>563</v>
      </c>
      <c r="D178">
        <v>1</v>
      </c>
    </row>
    <row r="179" spans="1:4" x14ac:dyDescent="0.25">
      <c r="A179" s="1">
        <v>45492</v>
      </c>
      <c r="B179" t="s">
        <v>540</v>
      </c>
      <c r="D179">
        <v>1</v>
      </c>
    </row>
    <row r="180" spans="1:4" x14ac:dyDescent="0.25">
      <c r="A180" s="1">
        <v>45492</v>
      </c>
      <c r="B180" t="s">
        <v>496</v>
      </c>
      <c r="C180" s="35" t="s">
        <v>510</v>
      </c>
      <c r="D180">
        <v>2</v>
      </c>
    </row>
    <row r="181" spans="1:4" x14ac:dyDescent="0.25">
      <c r="A181" s="1">
        <v>45492</v>
      </c>
      <c r="B181" t="s">
        <v>496</v>
      </c>
      <c r="C181" s="35" t="s">
        <v>567</v>
      </c>
      <c r="D181">
        <v>3</v>
      </c>
    </row>
    <row r="182" spans="1:4" x14ac:dyDescent="0.25">
      <c r="A182" s="1">
        <v>45492</v>
      </c>
      <c r="B182" t="s">
        <v>501</v>
      </c>
      <c r="D182">
        <v>5</v>
      </c>
    </row>
    <row r="183" spans="1:4" x14ac:dyDescent="0.25">
      <c r="A183" s="1">
        <v>45492</v>
      </c>
      <c r="B183" t="s">
        <v>505</v>
      </c>
      <c r="C183" s="35" t="s">
        <v>557</v>
      </c>
      <c r="D183">
        <v>2</v>
      </c>
    </row>
    <row r="184" spans="1:4" x14ac:dyDescent="0.25">
      <c r="A184" s="1">
        <v>45492</v>
      </c>
      <c r="B184" t="s">
        <v>505</v>
      </c>
      <c r="C184" s="35" t="s">
        <v>568</v>
      </c>
      <c r="D184">
        <v>0.25</v>
      </c>
    </row>
    <row r="185" spans="1:4" x14ac:dyDescent="0.25">
      <c r="A185" s="1">
        <v>45492</v>
      </c>
      <c r="B185" t="s">
        <v>507</v>
      </c>
      <c r="D185">
        <v>2.25</v>
      </c>
    </row>
    <row r="186" spans="1:4" x14ac:dyDescent="0.25">
      <c r="A186" s="1">
        <v>45492</v>
      </c>
      <c r="B186" t="s">
        <v>543</v>
      </c>
      <c r="C186" s="35" t="s">
        <v>497</v>
      </c>
      <c r="D186">
        <v>8</v>
      </c>
    </row>
    <row r="187" spans="1:4" x14ac:dyDescent="0.25">
      <c r="A187" s="1">
        <v>45492</v>
      </c>
      <c r="B187" t="s">
        <v>546</v>
      </c>
      <c r="D187">
        <v>8</v>
      </c>
    </row>
    <row r="188" spans="1:4" x14ac:dyDescent="0.25">
      <c r="A188" s="1">
        <v>45492</v>
      </c>
      <c r="B188" t="s">
        <v>508</v>
      </c>
      <c r="C188" s="35" t="s">
        <v>551</v>
      </c>
      <c r="D188">
        <v>3</v>
      </c>
    </row>
    <row r="189" spans="1:4" x14ac:dyDescent="0.25">
      <c r="A189" s="1">
        <v>45492</v>
      </c>
      <c r="B189" t="s">
        <v>508</v>
      </c>
      <c r="C189" s="35" t="s">
        <v>514</v>
      </c>
      <c r="D189">
        <v>3</v>
      </c>
    </row>
    <row r="190" spans="1:4" x14ac:dyDescent="0.25">
      <c r="A190" s="1">
        <v>45492</v>
      </c>
      <c r="B190" t="s">
        <v>512</v>
      </c>
      <c r="D190">
        <v>6</v>
      </c>
    </row>
    <row r="191" spans="1:4" x14ac:dyDescent="0.25">
      <c r="A191" s="1">
        <v>45492</v>
      </c>
      <c r="B191" t="s">
        <v>513</v>
      </c>
      <c r="C191" s="35" t="s">
        <v>494</v>
      </c>
      <c r="D191">
        <v>1</v>
      </c>
    </row>
    <row r="192" spans="1:4" x14ac:dyDescent="0.25">
      <c r="A192" s="1">
        <v>45492</v>
      </c>
      <c r="B192" t="s">
        <v>513</v>
      </c>
      <c r="C192" s="35" t="s">
        <v>566</v>
      </c>
      <c r="D192">
        <v>3</v>
      </c>
    </row>
    <row r="193" spans="1:4" x14ac:dyDescent="0.25">
      <c r="A193" s="1">
        <v>45492</v>
      </c>
      <c r="B193" t="s">
        <v>513</v>
      </c>
      <c r="C193" s="35" t="s">
        <v>569</v>
      </c>
      <c r="D193">
        <v>2</v>
      </c>
    </row>
    <row r="194" spans="1:4" x14ac:dyDescent="0.25">
      <c r="A194" s="1">
        <v>45492</v>
      </c>
      <c r="B194" t="s">
        <v>513</v>
      </c>
      <c r="C194" s="35" t="s">
        <v>532</v>
      </c>
      <c r="D194">
        <v>3</v>
      </c>
    </row>
    <row r="195" spans="1:4" x14ac:dyDescent="0.25">
      <c r="A195" s="1">
        <v>45492</v>
      </c>
      <c r="B195" t="s">
        <v>513</v>
      </c>
      <c r="C195" s="35" t="s">
        <v>537</v>
      </c>
      <c r="D195">
        <v>2</v>
      </c>
    </row>
    <row r="196" spans="1:4" x14ac:dyDescent="0.25">
      <c r="A196" s="1">
        <v>45492</v>
      </c>
      <c r="B196" t="s">
        <v>516</v>
      </c>
      <c r="D196">
        <v>11</v>
      </c>
    </row>
    <row r="197" spans="1:4" x14ac:dyDescent="0.25">
      <c r="A197" s="1">
        <v>45492</v>
      </c>
      <c r="B197" t="s">
        <v>517</v>
      </c>
      <c r="C197" s="35" t="s">
        <v>555</v>
      </c>
      <c r="D197">
        <v>1</v>
      </c>
    </row>
    <row r="198" spans="1:4" x14ac:dyDescent="0.25">
      <c r="A198" s="1">
        <v>45492</v>
      </c>
      <c r="B198" t="s">
        <v>517</v>
      </c>
      <c r="C198" s="35" t="s">
        <v>527</v>
      </c>
      <c r="D198">
        <v>2</v>
      </c>
    </row>
    <row r="199" spans="1:4" x14ac:dyDescent="0.25">
      <c r="A199" s="1">
        <v>45492</v>
      </c>
      <c r="B199" t="s">
        <v>517</v>
      </c>
      <c r="C199" s="35" t="s">
        <v>563</v>
      </c>
      <c r="D199">
        <v>3</v>
      </c>
    </row>
    <row r="200" spans="1:4" x14ac:dyDescent="0.25">
      <c r="A200" s="1">
        <v>45492</v>
      </c>
      <c r="B200" t="s">
        <v>517</v>
      </c>
      <c r="C200" s="35" t="s">
        <v>545</v>
      </c>
      <c r="D200">
        <v>2</v>
      </c>
    </row>
    <row r="201" spans="1:4" x14ac:dyDescent="0.25">
      <c r="A201" s="1">
        <v>45492</v>
      </c>
      <c r="B201" t="s">
        <v>519</v>
      </c>
      <c r="D201">
        <v>8</v>
      </c>
    </row>
    <row r="202" spans="1:4" x14ac:dyDescent="0.25">
      <c r="A202" s="1">
        <v>45492</v>
      </c>
      <c r="B202" t="s">
        <v>520</v>
      </c>
      <c r="C202" s="35" t="s">
        <v>570</v>
      </c>
      <c r="D202">
        <v>2</v>
      </c>
    </row>
    <row r="203" spans="1:4" x14ac:dyDescent="0.25">
      <c r="A203" s="1">
        <v>45492</v>
      </c>
      <c r="B203" t="s">
        <v>520</v>
      </c>
      <c r="C203" s="35" t="s">
        <v>541</v>
      </c>
      <c r="D203">
        <v>7.25</v>
      </c>
    </row>
    <row r="204" spans="1:4" x14ac:dyDescent="0.25">
      <c r="A204" s="1">
        <v>45492</v>
      </c>
      <c r="B204" t="s">
        <v>522</v>
      </c>
      <c r="D204">
        <v>9.25</v>
      </c>
    </row>
    <row r="205" spans="1:4" x14ac:dyDescent="0.25">
      <c r="A205" s="1">
        <v>45492</v>
      </c>
      <c r="B205" t="s">
        <v>523</v>
      </c>
      <c r="C205" s="35" t="s">
        <v>498</v>
      </c>
      <c r="D205">
        <v>2</v>
      </c>
    </row>
    <row r="206" spans="1:4" x14ac:dyDescent="0.25">
      <c r="A206" s="1">
        <v>45492</v>
      </c>
      <c r="B206" t="s">
        <v>523</v>
      </c>
      <c r="C206" s="35" t="s">
        <v>541</v>
      </c>
      <c r="D206">
        <v>2.5</v>
      </c>
    </row>
    <row r="207" spans="1:4" x14ac:dyDescent="0.25">
      <c r="A207" s="1">
        <v>45492</v>
      </c>
      <c r="B207" t="s">
        <v>525</v>
      </c>
      <c r="D207">
        <v>4.5</v>
      </c>
    </row>
    <row r="208" spans="1:4" x14ac:dyDescent="0.25">
      <c r="A208" s="1">
        <v>45492</v>
      </c>
      <c r="B208" t="s">
        <v>526</v>
      </c>
      <c r="C208" s="35" t="s">
        <v>534</v>
      </c>
      <c r="D208">
        <v>1</v>
      </c>
    </row>
    <row r="209" spans="1:4" x14ac:dyDescent="0.25">
      <c r="A209" s="1">
        <v>45492</v>
      </c>
      <c r="B209" t="s">
        <v>526</v>
      </c>
      <c r="C209" s="35" t="s">
        <v>532</v>
      </c>
      <c r="D209">
        <v>2</v>
      </c>
    </row>
    <row r="210" spans="1:4" x14ac:dyDescent="0.25">
      <c r="A210" s="1">
        <v>45492</v>
      </c>
      <c r="B210" t="s">
        <v>526</v>
      </c>
      <c r="C210" s="35" t="s">
        <v>571</v>
      </c>
      <c r="D210">
        <v>2</v>
      </c>
    </row>
    <row r="211" spans="1:4" x14ac:dyDescent="0.25">
      <c r="A211" s="1">
        <v>45492</v>
      </c>
      <c r="B211" t="s">
        <v>526</v>
      </c>
      <c r="C211" s="35" t="s">
        <v>561</v>
      </c>
      <c r="D211">
        <v>5</v>
      </c>
    </row>
    <row r="212" spans="1:4" x14ac:dyDescent="0.25">
      <c r="A212" s="1">
        <v>45492</v>
      </c>
      <c r="B212" t="s">
        <v>526</v>
      </c>
      <c r="C212" s="35" t="s">
        <v>568</v>
      </c>
      <c r="D212">
        <v>0.25</v>
      </c>
    </row>
    <row r="213" spans="1:4" x14ac:dyDescent="0.25">
      <c r="A213" s="1">
        <v>45492</v>
      </c>
      <c r="B213" t="s">
        <v>526</v>
      </c>
      <c r="C213" s="35" t="s">
        <v>565</v>
      </c>
      <c r="D213">
        <v>1</v>
      </c>
    </row>
    <row r="214" spans="1:4" x14ac:dyDescent="0.25">
      <c r="A214" s="1">
        <v>45492</v>
      </c>
      <c r="B214" t="s">
        <v>529</v>
      </c>
      <c r="D214">
        <v>11.25</v>
      </c>
    </row>
    <row r="215" spans="1:4" x14ac:dyDescent="0.25">
      <c r="A215" s="1">
        <v>45492</v>
      </c>
      <c r="B215" t="s">
        <v>530</v>
      </c>
      <c r="C215" s="35" t="s">
        <v>527</v>
      </c>
      <c r="D215">
        <v>1.25</v>
      </c>
    </row>
    <row r="216" spans="1:4" x14ac:dyDescent="0.25">
      <c r="A216" s="1">
        <v>45492</v>
      </c>
      <c r="B216" t="s">
        <v>530</v>
      </c>
      <c r="C216" s="35" t="s">
        <v>571</v>
      </c>
      <c r="D216">
        <v>1</v>
      </c>
    </row>
    <row r="217" spans="1:4" x14ac:dyDescent="0.25">
      <c r="A217" s="1">
        <v>45492</v>
      </c>
      <c r="B217" t="s">
        <v>530</v>
      </c>
      <c r="C217" s="35" t="s">
        <v>559</v>
      </c>
      <c r="D217">
        <v>3</v>
      </c>
    </row>
    <row r="218" spans="1:4" x14ac:dyDescent="0.25">
      <c r="A218" s="1">
        <v>45492</v>
      </c>
      <c r="B218" t="s">
        <v>530</v>
      </c>
      <c r="C218" s="35" t="s">
        <v>541</v>
      </c>
      <c r="D218">
        <v>2</v>
      </c>
    </row>
    <row r="219" spans="1:4" x14ac:dyDescent="0.25">
      <c r="A219" s="1">
        <v>45492</v>
      </c>
      <c r="B219" t="s">
        <v>530</v>
      </c>
      <c r="C219" s="35" t="s">
        <v>521</v>
      </c>
      <c r="D219">
        <v>2</v>
      </c>
    </row>
    <row r="220" spans="1:4" x14ac:dyDescent="0.25">
      <c r="A220" s="1">
        <v>45492</v>
      </c>
      <c r="B220" t="s">
        <v>533</v>
      </c>
      <c r="D220">
        <v>9.25</v>
      </c>
    </row>
    <row r="221" spans="1:4" x14ac:dyDescent="0.25">
      <c r="A221" s="1">
        <v>45493</v>
      </c>
      <c r="B221" t="s">
        <v>490</v>
      </c>
      <c r="C221" s="35" t="s">
        <v>572</v>
      </c>
      <c r="D221">
        <v>4</v>
      </c>
    </row>
    <row r="222" spans="1:4" x14ac:dyDescent="0.25">
      <c r="A222" s="1">
        <v>45493</v>
      </c>
      <c r="B222" t="s">
        <v>492</v>
      </c>
      <c r="D222">
        <v>4</v>
      </c>
    </row>
    <row r="223" spans="1:4" x14ac:dyDescent="0.25">
      <c r="A223" s="1">
        <v>45493</v>
      </c>
      <c r="B223" t="s">
        <v>493</v>
      </c>
      <c r="C223" s="35" t="s">
        <v>550</v>
      </c>
      <c r="D223">
        <v>1</v>
      </c>
    </row>
    <row r="224" spans="1:4" x14ac:dyDescent="0.25">
      <c r="A224" s="1">
        <v>45493</v>
      </c>
      <c r="B224" t="s">
        <v>493</v>
      </c>
      <c r="C224" s="35" t="s">
        <v>539</v>
      </c>
      <c r="D224">
        <v>2</v>
      </c>
    </row>
    <row r="225" spans="1:4" x14ac:dyDescent="0.25">
      <c r="A225" s="1">
        <v>45493</v>
      </c>
      <c r="B225" t="s">
        <v>495</v>
      </c>
      <c r="D225">
        <v>3</v>
      </c>
    </row>
    <row r="226" spans="1:4" x14ac:dyDescent="0.25">
      <c r="A226" s="1">
        <v>45493</v>
      </c>
      <c r="B226" t="s">
        <v>536</v>
      </c>
      <c r="C226" s="35" t="s">
        <v>532</v>
      </c>
      <c r="D226">
        <v>3</v>
      </c>
    </row>
    <row r="227" spans="1:4" x14ac:dyDescent="0.25">
      <c r="A227" s="1">
        <v>45493</v>
      </c>
      <c r="B227" t="s">
        <v>536</v>
      </c>
      <c r="C227" s="35" t="s">
        <v>564</v>
      </c>
      <c r="D227">
        <v>3</v>
      </c>
    </row>
    <row r="228" spans="1:4" x14ac:dyDescent="0.25">
      <c r="A228" s="1">
        <v>45493</v>
      </c>
      <c r="B228" t="s">
        <v>536</v>
      </c>
      <c r="C228" s="35" t="s">
        <v>506</v>
      </c>
      <c r="D228">
        <v>2</v>
      </c>
    </row>
    <row r="229" spans="1:4" x14ac:dyDescent="0.25">
      <c r="A229" s="1">
        <v>45493</v>
      </c>
      <c r="B229" t="s">
        <v>536</v>
      </c>
      <c r="C229" s="35" t="s">
        <v>568</v>
      </c>
      <c r="D229">
        <v>3</v>
      </c>
    </row>
    <row r="230" spans="1:4" x14ac:dyDescent="0.25">
      <c r="A230" s="1">
        <v>45493</v>
      </c>
      <c r="B230" t="s">
        <v>536</v>
      </c>
      <c r="C230" s="35" t="s">
        <v>565</v>
      </c>
      <c r="D230">
        <v>1</v>
      </c>
    </row>
    <row r="231" spans="1:4" x14ac:dyDescent="0.25">
      <c r="A231" s="1">
        <v>45493</v>
      </c>
      <c r="B231" t="s">
        <v>540</v>
      </c>
      <c r="D231">
        <v>12</v>
      </c>
    </row>
    <row r="232" spans="1:4" x14ac:dyDescent="0.25">
      <c r="A232" s="1">
        <v>45493</v>
      </c>
      <c r="B232" t="s">
        <v>496</v>
      </c>
      <c r="C232" s="35" t="s">
        <v>557</v>
      </c>
      <c r="D232">
        <v>2</v>
      </c>
    </row>
    <row r="233" spans="1:4" x14ac:dyDescent="0.25">
      <c r="A233" s="1">
        <v>45493</v>
      </c>
      <c r="B233" t="s">
        <v>496</v>
      </c>
      <c r="C233" s="35" t="s">
        <v>551</v>
      </c>
      <c r="D233">
        <v>1</v>
      </c>
    </row>
    <row r="234" spans="1:4" x14ac:dyDescent="0.25">
      <c r="A234" s="1">
        <v>45493</v>
      </c>
      <c r="B234" t="s">
        <v>496</v>
      </c>
      <c r="C234" s="35" t="s">
        <v>573</v>
      </c>
      <c r="D234">
        <v>1</v>
      </c>
    </row>
    <row r="235" spans="1:4" x14ac:dyDescent="0.25">
      <c r="A235" s="1">
        <v>45493</v>
      </c>
      <c r="B235" t="s">
        <v>496</v>
      </c>
      <c r="C235" s="35" t="s">
        <v>565</v>
      </c>
      <c r="D235">
        <v>2</v>
      </c>
    </row>
    <row r="236" spans="1:4" x14ac:dyDescent="0.25">
      <c r="A236" s="1">
        <v>45493</v>
      </c>
      <c r="B236" t="s">
        <v>501</v>
      </c>
      <c r="D236">
        <v>6</v>
      </c>
    </row>
    <row r="237" spans="1:4" x14ac:dyDescent="0.25">
      <c r="A237" s="1">
        <v>45493</v>
      </c>
      <c r="B237" t="s">
        <v>502</v>
      </c>
      <c r="C237" s="35" t="s">
        <v>494</v>
      </c>
      <c r="D237">
        <v>2</v>
      </c>
    </row>
    <row r="238" spans="1:4" x14ac:dyDescent="0.25">
      <c r="A238" s="1">
        <v>45493</v>
      </c>
      <c r="B238" t="s">
        <v>502</v>
      </c>
      <c r="C238" s="35" t="s">
        <v>537</v>
      </c>
      <c r="D238">
        <v>3</v>
      </c>
    </row>
    <row r="239" spans="1:4" x14ac:dyDescent="0.25">
      <c r="A239" s="1">
        <v>45493</v>
      </c>
      <c r="B239" t="s">
        <v>502</v>
      </c>
      <c r="C239" s="35" t="s">
        <v>500</v>
      </c>
      <c r="D239">
        <v>3</v>
      </c>
    </row>
    <row r="240" spans="1:4" x14ac:dyDescent="0.25">
      <c r="A240" s="1">
        <v>45493</v>
      </c>
      <c r="B240" t="s">
        <v>504</v>
      </c>
      <c r="D240">
        <v>8</v>
      </c>
    </row>
    <row r="241" spans="1:4" x14ac:dyDescent="0.25">
      <c r="A241" s="1">
        <v>45493</v>
      </c>
      <c r="B241" t="s">
        <v>505</v>
      </c>
      <c r="C241" s="35" t="s">
        <v>565</v>
      </c>
      <c r="D241">
        <v>6</v>
      </c>
    </row>
    <row r="242" spans="1:4" x14ac:dyDescent="0.25">
      <c r="A242" s="1">
        <v>45493</v>
      </c>
      <c r="B242" t="s">
        <v>507</v>
      </c>
      <c r="D242">
        <v>6</v>
      </c>
    </row>
    <row r="243" spans="1:4" x14ac:dyDescent="0.25">
      <c r="A243" s="1">
        <v>45493</v>
      </c>
      <c r="B243" t="s">
        <v>543</v>
      </c>
      <c r="C243" s="35" t="s">
        <v>564</v>
      </c>
      <c r="D243">
        <v>1</v>
      </c>
    </row>
    <row r="244" spans="1:4" x14ac:dyDescent="0.25">
      <c r="A244" s="1">
        <v>45493</v>
      </c>
      <c r="B244" t="s">
        <v>543</v>
      </c>
      <c r="C244" s="35" t="s">
        <v>574</v>
      </c>
      <c r="D244">
        <v>3</v>
      </c>
    </row>
    <row r="245" spans="1:4" x14ac:dyDescent="0.25">
      <c r="A245" s="1">
        <v>45493</v>
      </c>
      <c r="B245" t="s">
        <v>543</v>
      </c>
      <c r="C245" s="35" t="s">
        <v>573</v>
      </c>
      <c r="D245">
        <v>1.5</v>
      </c>
    </row>
    <row r="246" spans="1:4" x14ac:dyDescent="0.25">
      <c r="A246" s="1">
        <v>45493</v>
      </c>
      <c r="B246" t="s">
        <v>546</v>
      </c>
      <c r="D246">
        <v>5.5</v>
      </c>
    </row>
    <row r="247" spans="1:4" x14ac:dyDescent="0.25">
      <c r="A247" s="1">
        <v>45493</v>
      </c>
      <c r="B247" t="s">
        <v>508</v>
      </c>
      <c r="C247" s="35" t="s">
        <v>534</v>
      </c>
      <c r="D247">
        <v>2</v>
      </c>
    </row>
    <row r="248" spans="1:4" x14ac:dyDescent="0.25">
      <c r="A248" s="1">
        <v>45493</v>
      </c>
      <c r="B248" t="s">
        <v>508</v>
      </c>
      <c r="C248" s="35" t="s">
        <v>535</v>
      </c>
      <c r="D248">
        <v>7</v>
      </c>
    </row>
    <row r="249" spans="1:4" x14ac:dyDescent="0.25">
      <c r="A249" s="1">
        <v>45493</v>
      </c>
      <c r="B249" t="s">
        <v>508</v>
      </c>
      <c r="C249" s="35" t="s">
        <v>548</v>
      </c>
      <c r="D249">
        <v>8</v>
      </c>
    </row>
    <row r="250" spans="1:4" x14ac:dyDescent="0.25">
      <c r="A250" s="1">
        <v>45493</v>
      </c>
      <c r="B250" t="s">
        <v>508</v>
      </c>
      <c r="C250" s="35" t="s">
        <v>570</v>
      </c>
      <c r="D250">
        <v>6</v>
      </c>
    </row>
    <row r="251" spans="1:4" x14ac:dyDescent="0.25">
      <c r="A251" s="1">
        <v>45493</v>
      </c>
      <c r="B251" t="s">
        <v>508</v>
      </c>
      <c r="C251" s="35" t="s">
        <v>497</v>
      </c>
      <c r="D251">
        <v>1</v>
      </c>
    </row>
    <row r="252" spans="1:4" x14ac:dyDescent="0.25">
      <c r="A252" s="1">
        <v>45493</v>
      </c>
      <c r="B252" t="s">
        <v>512</v>
      </c>
      <c r="D252">
        <v>24</v>
      </c>
    </row>
    <row r="253" spans="1:4" x14ac:dyDescent="0.25">
      <c r="A253" s="1">
        <v>45493</v>
      </c>
      <c r="B253" t="s">
        <v>513</v>
      </c>
      <c r="C253" s="35" t="s">
        <v>511</v>
      </c>
      <c r="D253">
        <v>0.5</v>
      </c>
    </row>
    <row r="254" spans="1:4" x14ac:dyDescent="0.25">
      <c r="A254" s="1">
        <v>45493</v>
      </c>
      <c r="B254" t="s">
        <v>516</v>
      </c>
      <c r="D254">
        <v>0.5</v>
      </c>
    </row>
    <row r="255" spans="1:4" x14ac:dyDescent="0.25">
      <c r="A255" s="1">
        <v>45493</v>
      </c>
      <c r="B255" t="s">
        <v>517</v>
      </c>
      <c r="C255" s="35" t="s">
        <v>561</v>
      </c>
      <c r="D255">
        <v>4</v>
      </c>
    </row>
    <row r="256" spans="1:4" x14ac:dyDescent="0.25">
      <c r="A256" s="1">
        <v>45493</v>
      </c>
      <c r="B256" t="s">
        <v>517</v>
      </c>
      <c r="C256" s="35" t="s">
        <v>528</v>
      </c>
      <c r="D256">
        <v>2</v>
      </c>
    </row>
    <row r="257" spans="1:4" x14ac:dyDescent="0.25">
      <c r="A257" s="1">
        <v>45493</v>
      </c>
      <c r="B257" t="s">
        <v>517</v>
      </c>
      <c r="C257" s="35" t="s">
        <v>498</v>
      </c>
      <c r="D257">
        <v>1</v>
      </c>
    </row>
    <row r="258" spans="1:4" x14ac:dyDescent="0.25">
      <c r="A258" s="1">
        <v>45493</v>
      </c>
      <c r="B258" t="s">
        <v>517</v>
      </c>
      <c r="C258" s="35" t="s">
        <v>567</v>
      </c>
      <c r="D258">
        <v>3</v>
      </c>
    </row>
    <row r="259" spans="1:4" x14ac:dyDescent="0.25">
      <c r="A259" s="1">
        <v>45493</v>
      </c>
      <c r="B259" t="s">
        <v>519</v>
      </c>
      <c r="D259">
        <v>10</v>
      </c>
    </row>
    <row r="260" spans="1:4" x14ac:dyDescent="0.25">
      <c r="A260" s="1">
        <v>45493</v>
      </c>
      <c r="B260" t="s">
        <v>520</v>
      </c>
      <c r="C260" s="35" t="s">
        <v>553</v>
      </c>
      <c r="D260">
        <v>1</v>
      </c>
    </row>
    <row r="261" spans="1:4" x14ac:dyDescent="0.25">
      <c r="A261" s="1">
        <v>45493</v>
      </c>
      <c r="B261" t="s">
        <v>520</v>
      </c>
      <c r="C261" s="35" t="s">
        <v>550</v>
      </c>
      <c r="D261">
        <v>2</v>
      </c>
    </row>
    <row r="262" spans="1:4" x14ac:dyDescent="0.25">
      <c r="A262" s="1">
        <v>45493</v>
      </c>
      <c r="B262" t="s">
        <v>522</v>
      </c>
      <c r="D262">
        <v>3</v>
      </c>
    </row>
    <row r="263" spans="1:4" x14ac:dyDescent="0.25">
      <c r="A263" s="1">
        <v>45493</v>
      </c>
      <c r="B263" t="s">
        <v>523</v>
      </c>
      <c r="C263" s="35" t="s">
        <v>510</v>
      </c>
      <c r="D263">
        <v>2</v>
      </c>
    </row>
    <row r="264" spans="1:4" x14ac:dyDescent="0.25">
      <c r="A264" s="1">
        <v>45493</v>
      </c>
      <c r="B264" t="s">
        <v>523</v>
      </c>
      <c r="C264" s="35" t="s">
        <v>497</v>
      </c>
      <c r="D264">
        <v>1</v>
      </c>
    </row>
    <row r="265" spans="1:4" x14ac:dyDescent="0.25">
      <c r="A265" s="1">
        <v>45493</v>
      </c>
      <c r="B265" t="s">
        <v>525</v>
      </c>
      <c r="D265">
        <v>3</v>
      </c>
    </row>
    <row r="266" spans="1:4" x14ac:dyDescent="0.25">
      <c r="A266" s="1">
        <v>45493</v>
      </c>
      <c r="B266" t="s">
        <v>526</v>
      </c>
      <c r="C266" s="35" t="s">
        <v>514</v>
      </c>
      <c r="D266">
        <v>33.5</v>
      </c>
    </row>
    <row r="267" spans="1:4" x14ac:dyDescent="0.25">
      <c r="A267" s="1">
        <v>45493</v>
      </c>
      <c r="B267" t="s">
        <v>526</v>
      </c>
      <c r="C267" s="35" t="s">
        <v>573</v>
      </c>
      <c r="D267">
        <v>7</v>
      </c>
    </row>
    <row r="268" spans="1:4" x14ac:dyDescent="0.25">
      <c r="A268" s="1">
        <v>45493</v>
      </c>
      <c r="B268" t="s">
        <v>529</v>
      </c>
      <c r="D268">
        <v>40.5</v>
      </c>
    </row>
    <row r="269" spans="1:4" x14ac:dyDescent="0.25">
      <c r="A269" s="1">
        <v>45493</v>
      </c>
      <c r="B269" t="s">
        <v>530</v>
      </c>
      <c r="C269" s="35" t="s">
        <v>537</v>
      </c>
      <c r="D269">
        <v>0.5</v>
      </c>
    </row>
    <row r="270" spans="1:4" x14ac:dyDescent="0.25">
      <c r="A270" s="1">
        <v>45493</v>
      </c>
      <c r="B270" t="s">
        <v>530</v>
      </c>
      <c r="C270" s="35" t="s">
        <v>514</v>
      </c>
      <c r="D270">
        <v>5</v>
      </c>
    </row>
    <row r="271" spans="1:4" x14ac:dyDescent="0.25">
      <c r="A271" s="1">
        <v>45493</v>
      </c>
      <c r="B271" t="s">
        <v>530</v>
      </c>
      <c r="C271" s="35" t="s">
        <v>528</v>
      </c>
      <c r="D271">
        <v>2</v>
      </c>
    </row>
    <row r="272" spans="1:4" x14ac:dyDescent="0.25">
      <c r="A272" s="1">
        <v>45493</v>
      </c>
      <c r="B272" t="s">
        <v>530</v>
      </c>
      <c r="C272" s="35" t="s">
        <v>575</v>
      </c>
      <c r="D272">
        <v>2</v>
      </c>
    </row>
    <row r="273" spans="1:4" x14ac:dyDescent="0.25">
      <c r="A273" s="1">
        <v>45493</v>
      </c>
      <c r="B273" t="s">
        <v>533</v>
      </c>
      <c r="D273">
        <v>9.5</v>
      </c>
    </row>
    <row r="274" spans="1:4" x14ac:dyDescent="0.25">
      <c r="A274" s="1">
        <v>45494</v>
      </c>
      <c r="B274" t="s">
        <v>490</v>
      </c>
      <c r="C274" s="35" t="s">
        <v>550</v>
      </c>
      <c r="D274">
        <v>3</v>
      </c>
    </row>
    <row r="275" spans="1:4" x14ac:dyDescent="0.25">
      <c r="A275" s="1">
        <v>45494</v>
      </c>
      <c r="B275" t="s">
        <v>490</v>
      </c>
      <c r="C275" s="35" t="s">
        <v>565</v>
      </c>
      <c r="D275">
        <v>5</v>
      </c>
    </row>
    <row r="276" spans="1:4" x14ac:dyDescent="0.25">
      <c r="A276" s="1">
        <v>45494</v>
      </c>
      <c r="B276" t="s">
        <v>490</v>
      </c>
      <c r="C276" s="35" t="s">
        <v>539</v>
      </c>
      <c r="D276">
        <v>2</v>
      </c>
    </row>
    <row r="277" spans="1:4" x14ac:dyDescent="0.25">
      <c r="A277" s="1">
        <v>45494</v>
      </c>
      <c r="B277" t="s">
        <v>492</v>
      </c>
      <c r="D277">
        <v>10</v>
      </c>
    </row>
    <row r="278" spans="1:4" x14ac:dyDescent="0.25">
      <c r="A278" s="1">
        <v>45494</v>
      </c>
      <c r="B278" t="s">
        <v>493</v>
      </c>
      <c r="C278" s="35" t="s">
        <v>548</v>
      </c>
      <c r="D278">
        <v>1</v>
      </c>
    </row>
    <row r="279" spans="1:4" x14ac:dyDescent="0.25">
      <c r="A279" s="1">
        <v>45494</v>
      </c>
      <c r="B279" t="s">
        <v>493</v>
      </c>
      <c r="C279" s="35" t="s">
        <v>511</v>
      </c>
      <c r="D279">
        <v>1</v>
      </c>
    </row>
    <row r="280" spans="1:4" x14ac:dyDescent="0.25">
      <c r="A280" s="1">
        <v>45494</v>
      </c>
      <c r="B280" t="s">
        <v>495</v>
      </c>
      <c r="D280">
        <v>2</v>
      </c>
    </row>
    <row r="281" spans="1:4" x14ac:dyDescent="0.25">
      <c r="A281" s="1">
        <v>45494</v>
      </c>
      <c r="B281" t="s">
        <v>536</v>
      </c>
      <c r="C281" s="35" t="s">
        <v>561</v>
      </c>
      <c r="D281">
        <v>3</v>
      </c>
    </row>
    <row r="282" spans="1:4" x14ac:dyDescent="0.25">
      <c r="A282" s="1">
        <v>45494</v>
      </c>
      <c r="B282" t="s">
        <v>536</v>
      </c>
      <c r="C282" s="35" t="s">
        <v>554</v>
      </c>
      <c r="D282">
        <v>6</v>
      </c>
    </row>
    <row r="283" spans="1:4" x14ac:dyDescent="0.25">
      <c r="A283" s="1">
        <v>45494</v>
      </c>
      <c r="B283" t="s">
        <v>536</v>
      </c>
      <c r="C283" s="35" t="s">
        <v>500</v>
      </c>
      <c r="D283">
        <v>6</v>
      </c>
    </row>
    <row r="284" spans="1:4" x14ac:dyDescent="0.25">
      <c r="A284" s="1">
        <v>45494</v>
      </c>
      <c r="B284" t="s">
        <v>540</v>
      </c>
      <c r="D284">
        <v>15</v>
      </c>
    </row>
    <row r="285" spans="1:4" x14ac:dyDescent="0.25">
      <c r="A285" s="1">
        <v>45494</v>
      </c>
      <c r="B285" t="s">
        <v>496</v>
      </c>
      <c r="C285" s="35" t="s">
        <v>564</v>
      </c>
      <c r="D285">
        <v>2</v>
      </c>
    </row>
    <row r="286" spans="1:4" x14ac:dyDescent="0.25">
      <c r="A286" s="1">
        <v>45494</v>
      </c>
      <c r="B286" t="s">
        <v>496</v>
      </c>
      <c r="C286" s="35" t="s">
        <v>553</v>
      </c>
      <c r="D286">
        <v>8</v>
      </c>
    </row>
    <row r="287" spans="1:4" x14ac:dyDescent="0.25">
      <c r="A287" s="1">
        <v>45494</v>
      </c>
      <c r="B287" t="s">
        <v>496</v>
      </c>
      <c r="C287" s="35" t="s">
        <v>514</v>
      </c>
      <c r="D287">
        <v>2</v>
      </c>
    </row>
    <row r="288" spans="1:4" x14ac:dyDescent="0.25">
      <c r="A288" s="1">
        <v>45494</v>
      </c>
      <c r="B288" t="s">
        <v>501</v>
      </c>
      <c r="D288">
        <v>12</v>
      </c>
    </row>
    <row r="289" spans="1:4" x14ac:dyDescent="0.25">
      <c r="A289" s="1">
        <v>45494</v>
      </c>
      <c r="B289" t="s">
        <v>502</v>
      </c>
      <c r="C289" s="35" t="s">
        <v>556</v>
      </c>
      <c r="D289">
        <v>2</v>
      </c>
    </row>
    <row r="290" spans="1:4" x14ac:dyDescent="0.25">
      <c r="A290" s="1">
        <v>45494</v>
      </c>
      <c r="B290" t="s">
        <v>502</v>
      </c>
      <c r="C290" s="35" t="s">
        <v>541</v>
      </c>
      <c r="D290">
        <v>1</v>
      </c>
    </row>
    <row r="291" spans="1:4" x14ac:dyDescent="0.25">
      <c r="A291" s="1">
        <v>45494</v>
      </c>
      <c r="B291" t="s">
        <v>504</v>
      </c>
      <c r="D291">
        <v>3</v>
      </c>
    </row>
    <row r="292" spans="1:4" x14ac:dyDescent="0.25">
      <c r="A292" s="1">
        <v>45494</v>
      </c>
      <c r="B292" t="s">
        <v>505</v>
      </c>
      <c r="C292" s="35" t="s">
        <v>551</v>
      </c>
      <c r="D292">
        <v>4</v>
      </c>
    </row>
    <row r="293" spans="1:4" x14ac:dyDescent="0.25">
      <c r="A293" s="1">
        <v>45494</v>
      </c>
      <c r="B293" t="s">
        <v>505</v>
      </c>
      <c r="C293" s="35" t="s">
        <v>503</v>
      </c>
      <c r="D293">
        <v>2</v>
      </c>
    </row>
    <row r="294" spans="1:4" x14ac:dyDescent="0.25">
      <c r="A294" s="1">
        <v>45494</v>
      </c>
      <c r="B294" t="s">
        <v>507</v>
      </c>
      <c r="D294">
        <v>6</v>
      </c>
    </row>
    <row r="295" spans="1:4" x14ac:dyDescent="0.25">
      <c r="A295" s="1">
        <v>45494</v>
      </c>
      <c r="B295" t="s">
        <v>543</v>
      </c>
      <c r="C295" s="35" t="s">
        <v>549</v>
      </c>
      <c r="D295">
        <v>1</v>
      </c>
    </row>
    <row r="296" spans="1:4" x14ac:dyDescent="0.25">
      <c r="A296" s="1">
        <v>45494</v>
      </c>
      <c r="B296" t="s">
        <v>546</v>
      </c>
      <c r="D296">
        <v>1</v>
      </c>
    </row>
    <row r="297" spans="1:4" x14ac:dyDescent="0.25">
      <c r="A297" s="1">
        <v>45494</v>
      </c>
      <c r="B297" t="s">
        <v>508</v>
      </c>
      <c r="C297" s="35" t="s">
        <v>514</v>
      </c>
      <c r="D297">
        <v>4</v>
      </c>
    </row>
    <row r="298" spans="1:4" x14ac:dyDescent="0.25">
      <c r="A298" s="1">
        <v>45494</v>
      </c>
      <c r="B298" t="s">
        <v>508</v>
      </c>
      <c r="C298" s="35" t="s">
        <v>550</v>
      </c>
      <c r="D298">
        <v>1</v>
      </c>
    </row>
    <row r="299" spans="1:4" x14ac:dyDescent="0.25">
      <c r="A299" s="1">
        <v>45494</v>
      </c>
      <c r="B299" t="s">
        <v>512</v>
      </c>
      <c r="D299">
        <v>5</v>
      </c>
    </row>
    <row r="300" spans="1:4" x14ac:dyDescent="0.25">
      <c r="A300" s="1">
        <v>45494</v>
      </c>
      <c r="B300" t="s">
        <v>513</v>
      </c>
      <c r="C300" s="35" t="s">
        <v>553</v>
      </c>
      <c r="D300">
        <v>9</v>
      </c>
    </row>
    <row r="301" spans="1:4" x14ac:dyDescent="0.25">
      <c r="A301" s="1">
        <v>45494</v>
      </c>
      <c r="B301" t="s">
        <v>513</v>
      </c>
      <c r="C301" s="35" t="s">
        <v>538</v>
      </c>
      <c r="D301">
        <v>4</v>
      </c>
    </row>
    <row r="302" spans="1:4" x14ac:dyDescent="0.25">
      <c r="A302" s="1">
        <v>45494</v>
      </c>
      <c r="B302" t="s">
        <v>513</v>
      </c>
      <c r="C302" s="35" t="s">
        <v>511</v>
      </c>
      <c r="D302">
        <v>1</v>
      </c>
    </row>
    <row r="303" spans="1:4" x14ac:dyDescent="0.25">
      <c r="A303" s="1">
        <v>45494</v>
      </c>
      <c r="B303" t="s">
        <v>516</v>
      </c>
      <c r="D303">
        <v>14</v>
      </c>
    </row>
    <row r="304" spans="1:4" x14ac:dyDescent="0.25">
      <c r="A304" s="1">
        <v>45494</v>
      </c>
      <c r="B304" t="s">
        <v>517</v>
      </c>
      <c r="C304" s="35" t="s">
        <v>573</v>
      </c>
      <c r="D304">
        <v>2.25</v>
      </c>
    </row>
    <row r="305" spans="1:4" x14ac:dyDescent="0.25">
      <c r="A305" s="1">
        <v>45494</v>
      </c>
      <c r="B305" t="s">
        <v>519</v>
      </c>
      <c r="D305">
        <v>2.25</v>
      </c>
    </row>
    <row r="306" spans="1:4" x14ac:dyDescent="0.25">
      <c r="A306" s="1">
        <v>45494</v>
      </c>
      <c r="B306" t="s">
        <v>520</v>
      </c>
      <c r="C306" s="35" t="s">
        <v>553</v>
      </c>
      <c r="D306">
        <v>3</v>
      </c>
    </row>
    <row r="307" spans="1:4" x14ac:dyDescent="0.25">
      <c r="A307" s="1">
        <v>45494</v>
      </c>
      <c r="B307" t="s">
        <v>520</v>
      </c>
      <c r="C307" s="35" t="s">
        <v>562</v>
      </c>
      <c r="D307">
        <v>2</v>
      </c>
    </row>
    <row r="308" spans="1:4" x14ac:dyDescent="0.25">
      <c r="A308" s="1">
        <v>45494</v>
      </c>
      <c r="B308" t="s">
        <v>520</v>
      </c>
      <c r="C308" s="35" t="s">
        <v>550</v>
      </c>
      <c r="D308">
        <v>5</v>
      </c>
    </row>
    <row r="309" spans="1:4" x14ac:dyDescent="0.25">
      <c r="A309" s="1">
        <v>45494</v>
      </c>
      <c r="B309" t="s">
        <v>522</v>
      </c>
      <c r="D309">
        <v>10</v>
      </c>
    </row>
    <row r="310" spans="1:4" x14ac:dyDescent="0.25">
      <c r="A310" s="1">
        <v>45494</v>
      </c>
      <c r="B310" t="s">
        <v>523</v>
      </c>
      <c r="C310" s="35" t="s">
        <v>555</v>
      </c>
      <c r="D310">
        <v>0.25</v>
      </c>
    </row>
    <row r="311" spans="1:4" x14ac:dyDescent="0.25">
      <c r="A311" s="1">
        <v>45494</v>
      </c>
      <c r="B311" t="s">
        <v>523</v>
      </c>
      <c r="C311" s="35" t="s">
        <v>497</v>
      </c>
      <c r="D311">
        <v>8</v>
      </c>
    </row>
    <row r="312" spans="1:4" x14ac:dyDescent="0.25">
      <c r="A312" s="1">
        <v>45494</v>
      </c>
      <c r="B312" t="s">
        <v>523</v>
      </c>
      <c r="C312" s="35" t="s">
        <v>554</v>
      </c>
      <c r="D312">
        <v>4</v>
      </c>
    </row>
    <row r="313" spans="1:4" x14ac:dyDescent="0.25">
      <c r="A313" s="1">
        <v>45494</v>
      </c>
      <c r="B313" t="s">
        <v>523</v>
      </c>
      <c r="C313" s="35" t="s">
        <v>567</v>
      </c>
      <c r="D313">
        <v>3</v>
      </c>
    </row>
    <row r="314" spans="1:4" x14ac:dyDescent="0.25">
      <c r="A314" s="1">
        <v>45494</v>
      </c>
      <c r="B314" t="s">
        <v>525</v>
      </c>
      <c r="D314">
        <v>15.25</v>
      </c>
    </row>
    <row r="315" spans="1:4" x14ac:dyDescent="0.25">
      <c r="A315" s="1">
        <v>45494</v>
      </c>
      <c r="B315" t="s">
        <v>526</v>
      </c>
      <c r="C315" s="35" t="s">
        <v>552</v>
      </c>
      <c r="D315">
        <v>1</v>
      </c>
    </row>
    <row r="316" spans="1:4" x14ac:dyDescent="0.25">
      <c r="A316" s="1">
        <v>45494</v>
      </c>
      <c r="B316" t="s">
        <v>529</v>
      </c>
      <c r="D316">
        <v>1</v>
      </c>
    </row>
    <row r="317" spans="1:4" x14ac:dyDescent="0.25">
      <c r="A317" s="1">
        <v>45494</v>
      </c>
      <c r="B317" t="s">
        <v>530</v>
      </c>
      <c r="C317" s="35" t="s">
        <v>551</v>
      </c>
      <c r="D317">
        <v>2</v>
      </c>
    </row>
    <row r="318" spans="1:4" x14ac:dyDescent="0.25">
      <c r="A318" s="1">
        <v>45494</v>
      </c>
      <c r="B318" t="s">
        <v>530</v>
      </c>
      <c r="C318" s="35" t="s">
        <v>510</v>
      </c>
      <c r="D318">
        <v>1</v>
      </c>
    </row>
    <row r="319" spans="1:4" x14ac:dyDescent="0.25">
      <c r="A319" s="1">
        <v>45494</v>
      </c>
      <c r="B319" t="s">
        <v>533</v>
      </c>
      <c r="D319">
        <v>3</v>
      </c>
    </row>
    <row r="320" spans="1:4" x14ac:dyDescent="0.25">
      <c r="A320" s="1">
        <v>45495</v>
      </c>
      <c r="B320" t="s">
        <v>490</v>
      </c>
      <c r="C320" s="35" t="s">
        <v>570</v>
      </c>
      <c r="D320">
        <v>3</v>
      </c>
    </row>
    <row r="321" spans="1:4" x14ac:dyDescent="0.25">
      <c r="A321" s="1">
        <v>45495</v>
      </c>
      <c r="B321" t="s">
        <v>490</v>
      </c>
      <c r="C321" s="35" t="s">
        <v>568</v>
      </c>
      <c r="D321">
        <v>1</v>
      </c>
    </row>
    <row r="322" spans="1:4" x14ac:dyDescent="0.25">
      <c r="A322" s="1">
        <v>45495</v>
      </c>
      <c r="B322" t="s">
        <v>492</v>
      </c>
      <c r="D322">
        <v>4</v>
      </c>
    </row>
    <row r="323" spans="1:4" x14ac:dyDescent="0.25">
      <c r="A323" s="1">
        <v>45495</v>
      </c>
      <c r="B323" t="s">
        <v>493</v>
      </c>
      <c r="C323" s="35" t="s">
        <v>509</v>
      </c>
      <c r="D323">
        <v>1</v>
      </c>
    </row>
    <row r="324" spans="1:4" x14ac:dyDescent="0.25">
      <c r="A324" s="1">
        <v>45495</v>
      </c>
      <c r="B324" t="s">
        <v>493</v>
      </c>
      <c r="C324" s="35" t="s">
        <v>570</v>
      </c>
      <c r="D324">
        <v>1</v>
      </c>
    </row>
    <row r="325" spans="1:4" x14ac:dyDescent="0.25">
      <c r="A325" s="1">
        <v>45495</v>
      </c>
      <c r="B325" t="s">
        <v>493</v>
      </c>
      <c r="C325" s="35" t="s">
        <v>562</v>
      </c>
      <c r="D325">
        <v>1</v>
      </c>
    </row>
    <row r="326" spans="1:4" x14ac:dyDescent="0.25">
      <c r="A326" s="1">
        <v>45495</v>
      </c>
      <c r="B326" t="s">
        <v>493</v>
      </c>
      <c r="C326" s="35" t="s">
        <v>539</v>
      </c>
      <c r="D326">
        <v>2</v>
      </c>
    </row>
    <row r="327" spans="1:4" x14ac:dyDescent="0.25">
      <c r="A327" s="1">
        <v>45495</v>
      </c>
      <c r="B327" t="s">
        <v>495</v>
      </c>
      <c r="D327">
        <v>5</v>
      </c>
    </row>
    <row r="328" spans="1:4" x14ac:dyDescent="0.25">
      <c r="A328" s="1">
        <v>45495</v>
      </c>
      <c r="B328" t="s">
        <v>536</v>
      </c>
      <c r="C328" s="35" t="s">
        <v>527</v>
      </c>
      <c r="D328">
        <v>2</v>
      </c>
    </row>
    <row r="329" spans="1:4" x14ac:dyDescent="0.25">
      <c r="A329" s="1">
        <v>45495</v>
      </c>
      <c r="B329" t="s">
        <v>536</v>
      </c>
      <c r="C329" s="35" t="s">
        <v>547</v>
      </c>
      <c r="D329">
        <v>1</v>
      </c>
    </row>
    <row r="330" spans="1:4" x14ac:dyDescent="0.25">
      <c r="A330" s="1">
        <v>45495</v>
      </c>
      <c r="B330" t="s">
        <v>540</v>
      </c>
      <c r="D330">
        <v>3</v>
      </c>
    </row>
    <row r="331" spans="1:4" x14ac:dyDescent="0.25">
      <c r="A331" s="1">
        <v>45495</v>
      </c>
      <c r="B331" t="s">
        <v>496</v>
      </c>
      <c r="C331" s="35" t="s">
        <v>563</v>
      </c>
      <c r="D331">
        <v>2</v>
      </c>
    </row>
    <row r="332" spans="1:4" x14ac:dyDescent="0.25">
      <c r="A332" s="1">
        <v>45495</v>
      </c>
      <c r="B332" t="s">
        <v>496</v>
      </c>
      <c r="C332" s="35" t="s">
        <v>499</v>
      </c>
      <c r="D332">
        <v>2</v>
      </c>
    </row>
    <row r="333" spans="1:4" x14ac:dyDescent="0.25">
      <c r="A333" s="1">
        <v>45495</v>
      </c>
      <c r="B333" t="s">
        <v>501</v>
      </c>
      <c r="D333">
        <v>4</v>
      </c>
    </row>
    <row r="334" spans="1:4" x14ac:dyDescent="0.25">
      <c r="A334" s="1">
        <v>45495</v>
      </c>
      <c r="B334" t="s">
        <v>502</v>
      </c>
      <c r="C334" s="35" t="s">
        <v>575</v>
      </c>
      <c r="D334">
        <v>0.5</v>
      </c>
    </row>
    <row r="335" spans="1:4" x14ac:dyDescent="0.25">
      <c r="A335" s="1">
        <v>45495</v>
      </c>
      <c r="B335" t="s">
        <v>504</v>
      </c>
      <c r="D335">
        <v>0.5</v>
      </c>
    </row>
    <row r="336" spans="1:4" x14ac:dyDescent="0.25">
      <c r="A336" s="1">
        <v>45495</v>
      </c>
      <c r="B336" t="s">
        <v>543</v>
      </c>
      <c r="C336" s="35" t="s">
        <v>497</v>
      </c>
      <c r="D336">
        <v>10</v>
      </c>
    </row>
    <row r="337" spans="1:4" x14ac:dyDescent="0.25">
      <c r="A337" s="1">
        <v>45495</v>
      </c>
      <c r="B337" t="s">
        <v>543</v>
      </c>
      <c r="C337" s="35" t="s">
        <v>515</v>
      </c>
      <c r="D337">
        <v>3</v>
      </c>
    </row>
    <row r="338" spans="1:4" x14ac:dyDescent="0.25">
      <c r="A338" s="1">
        <v>45495</v>
      </c>
      <c r="B338" t="s">
        <v>546</v>
      </c>
      <c r="D338">
        <v>13</v>
      </c>
    </row>
    <row r="339" spans="1:4" x14ac:dyDescent="0.25">
      <c r="A339" s="1">
        <v>45495</v>
      </c>
      <c r="B339" t="s">
        <v>508</v>
      </c>
      <c r="C339" s="35" t="s">
        <v>569</v>
      </c>
      <c r="D339">
        <v>3</v>
      </c>
    </row>
    <row r="340" spans="1:4" x14ac:dyDescent="0.25">
      <c r="A340" s="1">
        <v>45495</v>
      </c>
      <c r="B340" t="s">
        <v>508</v>
      </c>
      <c r="C340" s="35" t="s">
        <v>570</v>
      </c>
      <c r="D340">
        <v>2</v>
      </c>
    </row>
    <row r="341" spans="1:4" x14ac:dyDescent="0.25">
      <c r="A341" s="1">
        <v>45495</v>
      </c>
      <c r="B341" t="s">
        <v>508</v>
      </c>
      <c r="C341" s="35" t="s">
        <v>568</v>
      </c>
      <c r="D341">
        <v>3</v>
      </c>
    </row>
    <row r="342" spans="1:4" x14ac:dyDescent="0.25">
      <c r="A342" s="1">
        <v>45495</v>
      </c>
      <c r="B342" t="s">
        <v>508</v>
      </c>
      <c r="C342" s="35" t="s">
        <v>549</v>
      </c>
      <c r="D342">
        <v>1</v>
      </c>
    </row>
    <row r="343" spans="1:4" x14ac:dyDescent="0.25">
      <c r="A343" s="1">
        <v>45495</v>
      </c>
      <c r="B343" t="s">
        <v>508</v>
      </c>
      <c r="C343" s="35" t="s">
        <v>575</v>
      </c>
      <c r="D343">
        <v>2</v>
      </c>
    </row>
    <row r="344" spans="1:4" x14ac:dyDescent="0.25">
      <c r="A344" s="1">
        <v>45495</v>
      </c>
      <c r="B344" t="s">
        <v>512</v>
      </c>
      <c r="D344">
        <v>11</v>
      </c>
    </row>
    <row r="345" spans="1:4" x14ac:dyDescent="0.25">
      <c r="A345" s="1">
        <v>45495</v>
      </c>
      <c r="B345" t="s">
        <v>513</v>
      </c>
      <c r="C345" s="35" t="s">
        <v>542</v>
      </c>
      <c r="D345">
        <v>2</v>
      </c>
    </row>
    <row r="346" spans="1:4" x14ac:dyDescent="0.25">
      <c r="A346" s="1">
        <v>45495</v>
      </c>
      <c r="B346" t="s">
        <v>516</v>
      </c>
      <c r="D346">
        <v>2</v>
      </c>
    </row>
    <row r="347" spans="1:4" x14ac:dyDescent="0.25">
      <c r="A347" s="1">
        <v>45495</v>
      </c>
      <c r="B347" t="s">
        <v>517</v>
      </c>
      <c r="C347" s="35" t="s">
        <v>510</v>
      </c>
      <c r="D347">
        <v>1</v>
      </c>
    </row>
    <row r="348" spans="1:4" x14ac:dyDescent="0.25">
      <c r="A348" s="1">
        <v>45495</v>
      </c>
      <c r="B348" t="s">
        <v>519</v>
      </c>
      <c r="D348">
        <v>1</v>
      </c>
    </row>
    <row r="349" spans="1:4" x14ac:dyDescent="0.25">
      <c r="A349" s="1">
        <v>45495</v>
      </c>
      <c r="B349" t="s">
        <v>520</v>
      </c>
      <c r="C349" s="35" t="s">
        <v>574</v>
      </c>
      <c r="D349">
        <v>2</v>
      </c>
    </row>
    <row r="350" spans="1:4" x14ac:dyDescent="0.25">
      <c r="A350" s="1">
        <v>45495</v>
      </c>
      <c r="B350" t="s">
        <v>522</v>
      </c>
      <c r="D350">
        <v>2</v>
      </c>
    </row>
    <row r="351" spans="1:4" x14ac:dyDescent="0.25">
      <c r="A351" s="1">
        <v>45495</v>
      </c>
      <c r="B351" t="s">
        <v>523</v>
      </c>
      <c r="C351" s="35" t="s">
        <v>500</v>
      </c>
      <c r="D351">
        <v>1</v>
      </c>
    </row>
    <row r="352" spans="1:4" x14ac:dyDescent="0.25">
      <c r="A352" s="1">
        <v>45495</v>
      </c>
      <c r="B352" t="s">
        <v>523</v>
      </c>
      <c r="C352" s="35" t="s">
        <v>550</v>
      </c>
      <c r="D352">
        <v>8</v>
      </c>
    </row>
    <row r="353" spans="1:4" x14ac:dyDescent="0.25">
      <c r="A353" s="1">
        <v>45495</v>
      </c>
      <c r="B353" t="s">
        <v>525</v>
      </c>
      <c r="D353">
        <v>9</v>
      </c>
    </row>
    <row r="354" spans="1:4" x14ac:dyDescent="0.25">
      <c r="A354" s="1">
        <v>45495</v>
      </c>
      <c r="B354" t="s">
        <v>526</v>
      </c>
      <c r="C354" s="35" t="s">
        <v>531</v>
      </c>
      <c r="D354">
        <v>1</v>
      </c>
    </row>
    <row r="355" spans="1:4" x14ac:dyDescent="0.25">
      <c r="A355" s="1">
        <v>45495</v>
      </c>
      <c r="B355" t="s">
        <v>526</v>
      </c>
      <c r="C355" s="35" t="s">
        <v>538</v>
      </c>
      <c r="D355">
        <v>1</v>
      </c>
    </row>
    <row r="356" spans="1:4" x14ac:dyDescent="0.25">
      <c r="A356" s="1">
        <v>45495</v>
      </c>
      <c r="B356" t="s">
        <v>526</v>
      </c>
      <c r="C356" s="35" t="s">
        <v>498</v>
      </c>
      <c r="D356">
        <v>2</v>
      </c>
    </row>
    <row r="357" spans="1:4" x14ac:dyDescent="0.25">
      <c r="A357" s="1">
        <v>45495</v>
      </c>
      <c r="B357" t="s">
        <v>526</v>
      </c>
      <c r="C357" s="35" t="s">
        <v>573</v>
      </c>
      <c r="D357">
        <v>1</v>
      </c>
    </row>
    <row r="358" spans="1:4" x14ac:dyDescent="0.25">
      <c r="A358" s="1">
        <v>45495</v>
      </c>
      <c r="B358" t="s">
        <v>529</v>
      </c>
      <c r="D358">
        <v>5</v>
      </c>
    </row>
    <row r="359" spans="1:4" x14ac:dyDescent="0.25">
      <c r="A359" s="1">
        <v>45495</v>
      </c>
      <c r="B359" t="s">
        <v>530</v>
      </c>
      <c r="C359" s="35" t="s">
        <v>555</v>
      </c>
      <c r="D359">
        <v>16</v>
      </c>
    </row>
    <row r="360" spans="1:4" x14ac:dyDescent="0.25">
      <c r="A360" s="1">
        <v>45495</v>
      </c>
      <c r="B360" t="s">
        <v>530</v>
      </c>
      <c r="C360" s="35" t="s">
        <v>566</v>
      </c>
      <c r="D360">
        <v>0.25</v>
      </c>
    </row>
    <row r="361" spans="1:4" x14ac:dyDescent="0.25">
      <c r="A361" s="1">
        <v>45495</v>
      </c>
      <c r="B361" t="s">
        <v>530</v>
      </c>
      <c r="C361" s="35" t="s">
        <v>563</v>
      </c>
      <c r="D361">
        <v>1</v>
      </c>
    </row>
    <row r="362" spans="1:4" x14ac:dyDescent="0.25">
      <c r="A362" s="1">
        <v>45495</v>
      </c>
      <c r="B362" t="s">
        <v>530</v>
      </c>
      <c r="C362" s="35" t="s">
        <v>532</v>
      </c>
      <c r="D362">
        <v>5</v>
      </c>
    </row>
    <row r="363" spans="1:4" x14ac:dyDescent="0.25">
      <c r="A363" s="1">
        <v>45495</v>
      </c>
      <c r="B363" t="s">
        <v>530</v>
      </c>
      <c r="C363" s="35" t="s">
        <v>553</v>
      </c>
      <c r="D363">
        <v>1</v>
      </c>
    </row>
    <row r="364" spans="1:4" x14ac:dyDescent="0.25">
      <c r="A364" s="1">
        <v>45495</v>
      </c>
      <c r="B364" t="s">
        <v>530</v>
      </c>
      <c r="C364" s="35" t="s">
        <v>544</v>
      </c>
      <c r="D364">
        <v>2</v>
      </c>
    </row>
    <row r="365" spans="1:4" x14ac:dyDescent="0.25">
      <c r="A365" s="1">
        <v>45495</v>
      </c>
      <c r="B365" t="s">
        <v>530</v>
      </c>
      <c r="C365" s="35" t="s">
        <v>567</v>
      </c>
    </row>
    <row r="366" spans="1:4" x14ac:dyDescent="0.25">
      <c r="A366" s="1">
        <v>45495</v>
      </c>
      <c r="B366" t="s">
        <v>533</v>
      </c>
      <c r="D366">
        <v>25.25</v>
      </c>
    </row>
    <row r="367" spans="1:4" x14ac:dyDescent="0.25">
      <c r="A367" s="1">
        <v>45496</v>
      </c>
      <c r="B367" t="s">
        <v>493</v>
      </c>
      <c r="C367" s="35" t="s">
        <v>510</v>
      </c>
      <c r="D367">
        <v>1</v>
      </c>
    </row>
    <row r="368" spans="1:4" x14ac:dyDescent="0.25">
      <c r="A368" s="1">
        <v>45496</v>
      </c>
      <c r="B368" t="s">
        <v>493</v>
      </c>
      <c r="C368" s="35" t="s">
        <v>568</v>
      </c>
      <c r="D368">
        <v>2</v>
      </c>
    </row>
    <row r="369" spans="1:4" x14ac:dyDescent="0.25">
      <c r="A369" s="1">
        <v>45496</v>
      </c>
      <c r="B369" t="s">
        <v>495</v>
      </c>
      <c r="D369">
        <v>3</v>
      </c>
    </row>
    <row r="370" spans="1:4" x14ac:dyDescent="0.25">
      <c r="A370" s="1">
        <v>45496</v>
      </c>
      <c r="B370" t="s">
        <v>536</v>
      </c>
      <c r="C370" s="35" t="s">
        <v>563</v>
      </c>
      <c r="D370">
        <v>4</v>
      </c>
    </row>
    <row r="371" spans="1:4" x14ac:dyDescent="0.25">
      <c r="A371" s="1">
        <v>45496</v>
      </c>
      <c r="B371" t="s">
        <v>536</v>
      </c>
      <c r="C371" s="35" t="s">
        <v>510</v>
      </c>
      <c r="D371">
        <v>2</v>
      </c>
    </row>
    <row r="372" spans="1:4" x14ac:dyDescent="0.25">
      <c r="A372" s="1">
        <v>45496</v>
      </c>
      <c r="B372" t="s">
        <v>536</v>
      </c>
      <c r="C372" s="35" t="s">
        <v>560</v>
      </c>
      <c r="D372">
        <v>1</v>
      </c>
    </row>
    <row r="373" spans="1:4" x14ac:dyDescent="0.25">
      <c r="A373" s="1">
        <v>45496</v>
      </c>
      <c r="B373" t="s">
        <v>536</v>
      </c>
      <c r="C373" s="35" t="s">
        <v>497</v>
      </c>
      <c r="D373">
        <v>1</v>
      </c>
    </row>
    <row r="374" spans="1:4" x14ac:dyDescent="0.25">
      <c r="A374" s="1">
        <v>45496</v>
      </c>
      <c r="B374" t="s">
        <v>536</v>
      </c>
      <c r="C374" s="35" t="s">
        <v>547</v>
      </c>
      <c r="D374">
        <v>1</v>
      </c>
    </row>
    <row r="375" spans="1:4" x14ac:dyDescent="0.25">
      <c r="A375" s="1">
        <v>45496</v>
      </c>
      <c r="B375" t="s">
        <v>536</v>
      </c>
      <c r="C375" s="35" t="s">
        <v>541</v>
      </c>
      <c r="D375">
        <v>7</v>
      </c>
    </row>
    <row r="376" spans="1:4" x14ac:dyDescent="0.25">
      <c r="A376" s="1">
        <v>45496</v>
      </c>
      <c r="B376" t="s">
        <v>536</v>
      </c>
      <c r="C376" s="35" t="s">
        <v>568</v>
      </c>
      <c r="D376">
        <v>2</v>
      </c>
    </row>
    <row r="377" spans="1:4" x14ac:dyDescent="0.25">
      <c r="A377" s="1">
        <v>45496</v>
      </c>
      <c r="B377" t="s">
        <v>540</v>
      </c>
      <c r="D377">
        <v>18</v>
      </c>
    </row>
    <row r="378" spans="1:4" x14ac:dyDescent="0.25">
      <c r="A378" s="1">
        <v>45496</v>
      </c>
      <c r="B378" t="s">
        <v>496</v>
      </c>
      <c r="C378" s="35" t="s">
        <v>576</v>
      </c>
      <c r="D378">
        <v>1</v>
      </c>
    </row>
    <row r="379" spans="1:4" x14ac:dyDescent="0.25">
      <c r="A379" s="1">
        <v>45496</v>
      </c>
      <c r="B379" t="s">
        <v>496</v>
      </c>
      <c r="C379" s="35" t="s">
        <v>545</v>
      </c>
      <c r="D379">
        <v>2</v>
      </c>
    </row>
    <row r="380" spans="1:4" x14ac:dyDescent="0.25">
      <c r="A380" s="1">
        <v>45496</v>
      </c>
      <c r="B380" t="s">
        <v>501</v>
      </c>
      <c r="D380">
        <v>3</v>
      </c>
    </row>
    <row r="381" spans="1:4" x14ac:dyDescent="0.25">
      <c r="A381" s="1">
        <v>45496</v>
      </c>
      <c r="B381" t="s">
        <v>502</v>
      </c>
      <c r="C381" s="35" t="s">
        <v>550</v>
      </c>
      <c r="D381">
        <v>3</v>
      </c>
    </row>
    <row r="382" spans="1:4" x14ac:dyDescent="0.25">
      <c r="A382" s="1">
        <v>45496</v>
      </c>
      <c r="B382" t="s">
        <v>502</v>
      </c>
      <c r="C382" s="35" t="s">
        <v>576</v>
      </c>
      <c r="D382">
        <v>4</v>
      </c>
    </row>
    <row r="383" spans="1:4" x14ac:dyDescent="0.25">
      <c r="A383" s="1">
        <v>45496</v>
      </c>
      <c r="B383" t="s">
        <v>504</v>
      </c>
      <c r="D383">
        <v>7</v>
      </c>
    </row>
    <row r="384" spans="1:4" x14ac:dyDescent="0.25">
      <c r="A384" s="1">
        <v>45496</v>
      </c>
      <c r="B384" t="s">
        <v>505</v>
      </c>
      <c r="C384" s="35" t="s">
        <v>559</v>
      </c>
      <c r="D384">
        <v>1</v>
      </c>
    </row>
    <row r="385" spans="1:4" x14ac:dyDescent="0.25">
      <c r="A385" s="1">
        <v>45496</v>
      </c>
      <c r="B385" t="s">
        <v>505</v>
      </c>
      <c r="C385" s="35" t="s">
        <v>528</v>
      </c>
      <c r="D385">
        <v>2</v>
      </c>
    </row>
    <row r="386" spans="1:4" x14ac:dyDescent="0.25">
      <c r="A386" s="1">
        <v>45496</v>
      </c>
      <c r="B386" t="s">
        <v>507</v>
      </c>
      <c r="D386">
        <v>3</v>
      </c>
    </row>
    <row r="387" spans="1:4" x14ac:dyDescent="0.25">
      <c r="A387" s="1">
        <v>45496</v>
      </c>
      <c r="B387" t="s">
        <v>543</v>
      </c>
      <c r="C387" s="35" t="s">
        <v>572</v>
      </c>
      <c r="D387">
        <v>3</v>
      </c>
    </row>
    <row r="388" spans="1:4" x14ac:dyDescent="0.25">
      <c r="A388" s="1">
        <v>45496</v>
      </c>
      <c r="B388" t="s">
        <v>546</v>
      </c>
      <c r="D388">
        <v>3</v>
      </c>
    </row>
    <row r="389" spans="1:4" x14ac:dyDescent="0.25">
      <c r="A389" s="1">
        <v>45496</v>
      </c>
      <c r="B389" t="s">
        <v>508</v>
      </c>
      <c r="C389" s="35" t="s">
        <v>509</v>
      </c>
      <c r="D389">
        <v>2</v>
      </c>
    </row>
    <row r="390" spans="1:4" x14ac:dyDescent="0.25">
      <c r="A390" s="1">
        <v>45496</v>
      </c>
      <c r="B390" t="s">
        <v>508</v>
      </c>
      <c r="C390" s="35" t="s">
        <v>527</v>
      </c>
      <c r="D390">
        <v>4</v>
      </c>
    </row>
    <row r="391" spans="1:4" x14ac:dyDescent="0.25">
      <c r="A391" s="1">
        <v>45496</v>
      </c>
      <c r="B391" t="s">
        <v>512</v>
      </c>
      <c r="D391">
        <v>6</v>
      </c>
    </row>
    <row r="392" spans="1:4" x14ac:dyDescent="0.25">
      <c r="A392" s="1">
        <v>45496</v>
      </c>
      <c r="B392" t="s">
        <v>513</v>
      </c>
      <c r="C392" s="35" t="s">
        <v>569</v>
      </c>
      <c r="D392">
        <v>4</v>
      </c>
    </row>
    <row r="393" spans="1:4" x14ac:dyDescent="0.25">
      <c r="A393" s="1">
        <v>45496</v>
      </c>
      <c r="B393" t="s">
        <v>513</v>
      </c>
      <c r="C393" s="35" t="s">
        <v>541</v>
      </c>
      <c r="D393">
        <v>1</v>
      </c>
    </row>
    <row r="394" spans="1:4" x14ac:dyDescent="0.25">
      <c r="A394" s="1">
        <v>45496</v>
      </c>
      <c r="B394" t="s">
        <v>513</v>
      </c>
      <c r="C394" s="35" t="s">
        <v>500</v>
      </c>
      <c r="D394">
        <v>2</v>
      </c>
    </row>
    <row r="395" spans="1:4" x14ac:dyDescent="0.25">
      <c r="A395" s="1">
        <v>45496</v>
      </c>
      <c r="B395" t="s">
        <v>516</v>
      </c>
      <c r="D395">
        <v>7</v>
      </c>
    </row>
    <row r="396" spans="1:4" x14ac:dyDescent="0.25">
      <c r="A396" s="1">
        <v>45496</v>
      </c>
      <c r="B396" t="s">
        <v>517</v>
      </c>
      <c r="C396" s="35" t="s">
        <v>577</v>
      </c>
      <c r="D396">
        <v>1</v>
      </c>
    </row>
    <row r="397" spans="1:4" x14ac:dyDescent="0.25">
      <c r="A397" s="1">
        <v>45496</v>
      </c>
      <c r="B397" t="s">
        <v>517</v>
      </c>
      <c r="C397" s="35" t="s">
        <v>554</v>
      </c>
      <c r="D397">
        <v>4</v>
      </c>
    </row>
    <row r="398" spans="1:4" x14ac:dyDescent="0.25">
      <c r="A398" s="1">
        <v>45496</v>
      </c>
      <c r="B398" t="s">
        <v>517</v>
      </c>
      <c r="C398" s="35" t="s">
        <v>550</v>
      </c>
      <c r="D398">
        <v>3</v>
      </c>
    </row>
    <row r="399" spans="1:4" x14ac:dyDescent="0.25">
      <c r="A399" s="1">
        <v>45496</v>
      </c>
      <c r="B399" t="s">
        <v>519</v>
      </c>
      <c r="D399">
        <v>8</v>
      </c>
    </row>
    <row r="400" spans="1:4" x14ac:dyDescent="0.25">
      <c r="A400" s="1">
        <v>45496</v>
      </c>
      <c r="B400" t="s">
        <v>520</v>
      </c>
      <c r="C400" s="35" t="s">
        <v>549</v>
      </c>
      <c r="D400">
        <v>2</v>
      </c>
    </row>
    <row r="401" spans="1:4" x14ac:dyDescent="0.25">
      <c r="A401" s="1">
        <v>45496</v>
      </c>
      <c r="B401" t="s">
        <v>522</v>
      </c>
      <c r="D401">
        <v>2</v>
      </c>
    </row>
    <row r="402" spans="1:4" x14ac:dyDescent="0.25">
      <c r="A402" s="1">
        <v>45496</v>
      </c>
      <c r="B402" t="s">
        <v>523</v>
      </c>
      <c r="C402" s="35" t="s">
        <v>570</v>
      </c>
      <c r="D402">
        <v>4</v>
      </c>
    </row>
    <row r="403" spans="1:4" x14ac:dyDescent="0.25">
      <c r="A403" s="1">
        <v>45496</v>
      </c>
      <c r="B403" t="s">
        <v>523</v>
      </c>
      <c r="C403" s="35" t="s">
        <v>552</v>
      </c>
      <c r="D403">
        <v>2</v>
      </c>
    </row>
    <row r="404" spans="1:4" x14ac:dyDescent="0.25">
      <c r="A404" s="1">
        <v>45496</v>
      </c>
      <c r="B404" t="s">
        <v>523</v>
      </c>
      <c r="C404" s="35" t="s">
        <v>511</v>
      </c>
      <c r="D404">
        <v>4</v>
      </c>
    </row>
    <row r="405" spans="1:4" x14ac:dyDescent="0.25">
      <c r="A405" s="1">
        <v>45496</v>
      </c>
      <c r="B405" t="s">
        <v>523</v>
      </c>
      <c r="C405" s="35" t="s">
        <v>575</v>
      </c>
      <c r="D405">
        <v>3</v>
      </c>
    </row>
    <row r="406" spans="1:4" x14ac:dyDescent="0.25">
      <c r="A406" s="1">
        <v>45496</v>
      </c>
      <c r="B406" t="s">
        <v>525</v>
      </c>
      <c r="D406">
        <v>13</v>
      </c>
    </row>
    <row r="407" spans="1:4" x14ac:dyDescent="0.25">
      <c r="A407" s="1">
        <v>45496</v>
      </c>
      <c r="B407" t="s">
        <v>526</v>
      </c>
      <c r="C407" s="35" t="s">
        <v>494</v>
      </c>
    </row>
    <row r="408" spans="1:4" x14ac:dyDescent="0.25">
      <c r="A408" s="1">
        <v>45496</v>
      </c>
      <c r="B408" t="s">
        <v>526</v>
      </c>
      <c r="C408" s="35" t="s">
        <v>559</v>
      </c>
      <c r="D408">
        <v>12</v>
      </c>
    </row>
    <row r="409" spans="1:4" x14ac:dyDescent="0.25">
      <c r="A409" s="1">
        <v>45496</v>
      </c>
      <c r="B409" t="s">
        <v>526</v>
      </c>
      <c r="C409" s="35" t="s">
        <v>537</v>
      </c>
      <c r="D409">
        <v>2</v>
      </c>
    </row>
    <row r="410" spans="1:4" x14ac:dyDescent="0.25">
      <c r="A410" s="1">
        <v>45496</v>
      </c>
      <c r="B410" t="s">
        <v>526</v>
      </c>
      <c r="C410" s="35" t="s">
        <v>552</v>
      </c>
      <c r="D410">
        <v>2</v>
      </c>
    </row>
    <row r="411" spans="1:4" x14ac:dyDescent="0.25">
      <c r="A411" s="1">
        <v>45496</v>
      </c>
      <c r="B411" t="s">
        <v>526</v>
      </c>
      <c r="C411" s="35" t="s">
        <v>547</v>
      </c>
      <c r="D411">
        <v>1</v>
      </c>
    </row>
    <row r="412" spans="1:4" x14ac:dyDescent="0.25">
      <c r="A412" s="1">
        <v>45496</v>
      </c>
      <c r="B412" t="s">
        <v>526</v>
      </c>
      <c r="C412" s="35" t="s">
        <v>515</v>
      </c>
      <c r="D412">
        <v>1</v>
      </c>
    </row>
    <row r="413" spans="1:4" x14ac:dyDescent="0.25">
      <c r="A413" s="1">
        <v>45496</v>
      </c>
      <c r="B413" t="s">
        <v>529</v>
      </c>
      <c r="D413">
        <v>18</v>
      </c>
    </row>
    <row r="414" spans="1:4" x14ac:dyDescent="0.25">
      <c r="A414" s="1">
        <v>45496</v>
      </c>
      <c r="B414" t="s">
        <v>530</v>
      </c>
      <c r="C414" s="35" t="s">
        <v>577</v>
      </c>
    </row>
    <row r="415" spans="1:4" x14ac:dyDescent="0.25">
      <c r="A415" s="1">
        <v>45496</v>
      </c>
      <c r="B415" t="s">
        <v>530</v>
      </c>
      <c r="C415" s="35" t="s">
        <v>527</v>
      </c>
      <c r="D415">
        <v>1</v>
      </c>
    </row>
    <row r="416" spans="1:4" x14ac:dyDescent="0.25">
      <c r="A416" s="1">
        <v>45496</v>
      </c>
      <c r="B416" t="s">
        <v>530</v>
      </c>
      <c r="C416" s="35" t="s">
        <v>535</v>
      </c>
      <c r="D416">
        <v>1</v>
      </c>
    </row>
    <row r="417" spans="1:4" x14ac:dyDescent="0.25">
      <c r="A417" s="1">
        <v>45496</v>
      </c>
      <c r="B417" t="s">
        <v>533</v>
      </c>
      <c r="D417">
        <v>2</v>
      </c>
    </row>
    <row r="418" spans="1:4" x14ac:dyDescent="0.25">
      <c r="A418" s="1">
        <v>45497</v>
      </c>
      <c r="B418" t="s">
        <v>493</v>
      </c>
      <c r="C418" s="35" t="s">
        <v>559</v>
      </c>
      <c r="D418">
        <v>1</v>
      </c>
    </row>
    <row r="419" spans="1:4" x14ac:dyDescent="0.25">
      <c r="A419" s="1">
        <v>45497</v>
      </c>
      <c r="B419" t="s">
        <v>495</v>
      </c>
      <c r="D419">
        <v>1</v>
      </c>
    </row>
    <row r="420" spans="1:4" x14ac:dyDescent="0.25">
      <c r="A420" s="1">
        <v>45497</v>
      </c>
      <c r="B420" t="s">
        <v>536</v>
      </c>
      <c r="C420" s="35" t="s">
        <v>524</v>
      </c>
      <c r="D420">
        <v>1</v>
      </c>
    </row>
    <row r="421" spans="1:4" x14ac:dyDescent="0.25">
      <c r="A421" s="1">
        <v>45497</v>
      </c>
      <c r="B421" t="s">
        <v>536</v>
      </c>
      <c r="C421" s="35" t="s">
        <v>571</v>
      </c>
      <c r="D421">
        <v>1</v>
      </c>
    </row>
    <row r="422" spans="1:4" x14ac:dyDescent="0.25">
      <c r="A422" s="1">
        <v>45497</v>
      </c>
      <c r="B422" t="s">
        <v>536</v>
      </c>
      <c r="C422" s="35" t="s">
        <v>514</v>
      </c>
      <c r="D422">
        <v>1</v>
      </c>
    </row>
    <row r="423" spans="1:4" x14ac:dyDescent="0.25">
      <c r="A423" s="1">
        <v>45497</v>
      </c>
      <c r="B423" t="s">
        <v>540</v>
      </c>
      <c r="D423">
        <v>3</v>
      </c>
    </row>
    <row r="424" spans="1:4" x14ac:dyDescent="0.25">
      <c r="A424" s="1">
        <v>45497</v>
      </c>
      <c r="B424" t="s">
        <v>496</v>
      </c>
      <c r="C424" s="35" t="s">
        <v>557</v>
      </c>
      <c r="D424">
        <v>4</v>
      </c>
    </row>
    <row r="425" spans="1:4" x14ac:dyDescent="0.25">
      <c r="A425" s="1">
        <v>45497</v>
      </c>
      <c r="B425" t="s">
        <v>496</v>
      </c>
      <c r="C425" s="35" t="s">
        <v>514</v>
      </c>
      <c r="D425">
        <v>2</v>
      </c>
    </row>
    <row r="426" spans="1:4" x14ac:dyDescent="0.25">
      <c r="A426" s="1">
        <v>45497</v>
      </c>
      <c r="B426" t="s">
        <v>501</v>
      </c>
      <c r="D426">
        <v>6</v>
      </c>
    </row>
    <row r="427" spans="1:4" x14ac:dyDescent="0.25">
      <c r="A427" s="1">
        <v>45497</v>
      </c>
      <c r="B427" t="s">
        <v>502</v>
      </c>
      <c r="C427" s="35" t="s">
        <v>559</v>
      </c>
      <c r="D427">
        <v>1</v>
      </c>
    </row>
    <row r="428" spans="1:4" x14ac:dyDescent="0.25">
      <c r="A428" s="1">
        <v>45497</v>
      </c>
      <c r="B428" t="s">
        <v>502</v>
      </c>
      <c r="C428" s="35" t="s">
        <v>560</v>
      </c>
      <c r="D428">
        <v>1</v>
      </c>
    </row>
    <row r="429" spans="1:4" x14ac:dyDescent="0.25">
      <c r="A429" s="1">
        <v>45497</v>
      </c>
      <c r="B429" t="s">
        <v>502</v>
      </c>
      <c r="C429" s="35" t="s">
        <v>550</v>
      </c>
      <c r="D429">
        <v>4</v>
      </c>
    </row>
    <row r="430" spans="1:4" x14ac:dyDescent="0.25">
      <c r="A430" s="1">
        <v>45497</v>
      </c>
      <c r="B430" t="s">
        <v>502</v>
      </c>
      <c r="C430" s="35" t="s">
        <v>521</v>
      </c>
      <c r="D430">
        <v>3</v>
      </c>
    </row>
    <row r="431" spans="1:4" x14ac:dyDescent="0.25">
      <c r="A431" s="1">
        <v>45497</v>
      </c>
      <c r="B431" t="s">
        <v>504</v>
      </c>
      <c r="D431">
        <v>9</v>
      </c>
    </row>
    <row r="432" spans="1:4" x14ac:dyDescent="0.25">
      <c r="A432" s="1">
        <v>45497</v>
      </c>
      <c r="B432" t="s">
        <v>505</v>
      </c>
      <c r="C432" s="35" t="s">
        <v>545</v>
      </c>
      <c r="D432">
        <v>2</v>
      </c>
    </row>
    <row r="433" spans="1:4" x14ac:dyDescent="0.25">
      <c r="A433" s="1">
        <v>45497</v>
      </c>
      <c r="B433" t="s">
        <v>507</v>
      </c>
      <c r="D433">
        <v>2</v>
      </c>
    </row>
    <row r="434" spans="1:4" x14ac:dyDescent="0.25">
      <c r="A434" s="1">
        <v>45497</v>
      </c>
      <c r="B434" t="s">
        <v>543</v>
      </c>
      <c r="C434" s="35" t="s">
        <v>538</v>
      </c>
      <c r="D434">
        <v>1</v>
      </c>
    </row>
    <row r="435" spans="1:4" x14ac:dyDescent="0.25">
      <c r="A435" s="1">
        <v>45497</v>
      </c>
      <c r="B435" t="s">
        <v>543</v>
      </c>
      <c r="C435" s="35" t="s">
        <v>541</v>
      </c>
      <c r="D435">
        <v>15</v>
      </c>
    </row>
    <row r="436" spans="1:4" x14ac:dyDescent="0.25">
      <c r="A436" s="1">
        <v>45497</v>
      </c>
      <c r="B436" t="s">
        <v>546</v>
      </c>
      <c r="D436">
        <v>16</v>
      </c>
    </row>
    <row r="437" spans="1:4" x14ac:dyDescent="0.25">
      <c r="A437" s="1">
        <v>45497</v>
      </c>
      <c r="B437" t="s">
        <v>508</v>
      </c>
      <c r="C437" s="35" t="s">
        <v>561</v>
      </c>
      <c r="D437">
        <v>2</v>
      </c>
    </row>
    <row r="438" spans="1:4" x14ac:dyDescent="0.25">
      <c r="A438" s="1">
        <v>45497</v>
      </c>
      <c r="B438" t="s">
        <v>508</v>
      </c>
      <c r="C438" s="35" t="s">
        <v>518</v>
      </c>
      <c r="D438">
        <v>7</v>
      </c>
    </row>
    <row r="439" spans="1:4" x14ac:dyDescent="0.25">
      <c r="A439" s="1">
        <v>45497</v>
      </c>
      <c r="B439" t="s">
        <v>508</v>
      </c>
      <c r="C439" s="35" t="s">
        <v>514</v>
      </c>
      <c r="D439">
        <v>4</v>
      </c>
    </row>
    <row r="440" spans="1:4" x14ac:dyDescent="0.25">
      <c r="A440" s="1">
        <v>45497</v>
      </c>
      <c r="B440" t="s">
        <v>512</v>
      </c>
      <c r="D440">
        <v>13</v>
      </c>
    </row>
    <row r="441" spans="1:4" x14ac:dyDescent="0.25">
      <c r="A441" s="1">
        <v>45497</v>
      </c>
      <c r="B441" t="s">
        <v>513</v>
      </c>
      <c r="C441" s="35" t="s">
        <v>514</v>
      </c>
      <c r="D441">
        <v>1</v>
      </c>
    </row>
    <row r="442" spans="1:4" x14ac:dyDescent="0.25">
      <c r="A442" s="1">
        <v>45497</v>
      </c>
      <c r="B442" t="s">
        <v>513</v>
      </c>
      <c r="C442" s="35" t="s">
        <v>550</v>
      </c>
      <c r="D442">
        <v>1</v>
      </c>
    </row>
    <row r="443" spans="1:4" x14ac:dyDescent="0.25">
      <c r="A443" s="1">
        <v>45497</v>
      </c>
      <c r="B443" t="s">
        <v>516</v>
      </c>
      <c r="D443">
        <v>2</v>
      </c>
    </row>
    <row r="444" spans="1:4" x14ac:dyDescent="0.25">
      <c r="A444" s="1">
        <v>45497</v>
      </c>
      <c r="B444" t="s">
        <v>517</v>
      </c>
      <c r="C444" s="35" t="s">
        <v>527</v>
      </c>
      <c r="D444">
        <v>2</v>
      </c>
    </row>
    <row r="445" spans="1:4" x14ac:dyDescent="0.25">
      <c r="A445" s="1">
        <v>45497</v>
      </c>
      <c r="B445" t="s">
        <v>517</v>
      </c>
      <c r="C445" s="35" t="s">
        <v>506</v>
      </c>
      <c r="D445">
        <v>2</v>
      </c>
    </row>
    <row r="446" spans="1:4" x14ac:dyDescent="0.25">
      <c r="A446" s="1">
        <v>45497</v>
      </c>
      <c r="B446" t="s">
        <v>519</v>
      </c>
      <c r="D446">
        <v>4</v>
      </c>
    </row>
    <row r="447" spans="1:4" x14ac:dyDescent="0.25">
      <c r="A447" s="1">
        <v>45497</v>
      </c>
      <c r="B447" t="s">
        <v>520</v>
      </c>
      <c r="C447" s="35" t="s">
        <v>575</v>
      </c>
      <c r="D447">
        <v>8</v>
      </c>
    </row>
    <row r="448" spans="1:4" x14ac:dyDescent="0.25">
      <c r="A448" s="1">
        <v>45497</v>
      </c>
      <c r="B448" t="s">
        <v>522</v>
      </c>
      <c r="D448">
        <v>8</v>
      </c>
    </row>
    <row r="449" spans="1:4" x14ac:dyDescent="0.25">
      <c r="A449" s="1">
        <v>45497</v>
      </c>
      <c r="B449" t="s">
        <v>523</v>
      </c>
      <c r="C449" s="35" t="s">
        <v>498</v>
      </c>
      <c r="D449">
        <v>1</v>
      </c>
    </row>
    <row r="450" spans="1:4" x14ac:dyDescent="0.25">
      <c r="A450" s="1">
        <v>45497</v>
      </c>
      <c r="B450" t="s">
        <v>523</v>
      </c>
      <c r="C450" s="35" t="s">
        <v>542</v>
      </c>
      <c r="D450">
        <v>3</v>
      </c>
    </row>
    <row r="451" spans="1:4" x14ac:dyDescent="0.25">
      <c r="A451" s="1">
        <v>45497</v>
      </c>
      <c r="B451" t="s">
        <v>523</v>
      </c>
      <c r="C451" s="35" t="s">
        <v>568</v>
      </c>
      <c r="D451">
        <v>10</v>
      </c>
    </row>
    <row r="452" spans="1:4" x14ac:dyDescent="0.25">
      <c r="A452" s="1">
        <v>45497</v>
      </c>
      <c r="B452" t="s">
        <v>523</v>
      </c>
      <c r="C452" s="35" t="s">
        <v>549</v>
      </c>
      <c r="D452">
        <v>11</v>
      </c>
    </row>
    <row r="453" spans="1:4" x14ac:dyDescent="0.25">
      <c r="A453" s="1">
        <v>45497</v>
      </c>
      <c r="B453" t="s">
        <v>523</v>
      </c>
      <c r="C453" s="35" t="s">
        <v>544</v>
      </c>
      <c r="D453">
        <v>2</v>
      </c>
    </row>
    <row r="454" spans="1:4" x14ac:dyDescent="0.25">
      <c r="A454" s="1">
        <v>45497</v>
      </c>
      <c r="B454" t="s">
        <v>523</v>
      </c>
      <c r="C454" s="35" t="s">
        <v>521</v>
      </c>
      <c r="D454">
        <v>2</v>
      </c>
    </row>
    <row r="455" spans="1:4" x14ac:dyDescent="0.25">
      <c r="A455" s="1">
        <v>45497</v>
      </c>
      <c r="B455" t="s">
        <v>523</v>
      </c>
      <c r="C455" s="35" t="s">
        <v>567</v>
      </c>
      <c r="D455">
        <v>1</v>
      </c>
    </row>
    <row r="456" spans="1:4" x14ac:dyDescent="0.25">
      <c r="A456" s="1">
        <v>45497</v>
      </c>
      <c r="B456" t="s">
        <v>525</v>
      </c>
      <c r="D456">
        <v>30</v>
      </c>
    </row>
    <row r="457" spans="1:4" x14ac:dyDescent="0.25">
      <c r="A457" s="1">
        <v>45497</v>
      </c>
      <c r="B457" t="s">
        <v>526</v>
      </c>
      <c r="C457" s="35" t="s">
        <v>566</v>
      </c>
      <c r="D457">
        <v>2</v>
      </c>
    </row>
    <row r="458" spans="1:4" x14ac:dyDescent="0.25">
      <c r="A458" s="1">
        <v>45497</v>
      </c>
      <c r="B458" t="s">
        <v>526</v>
      </c>
      <c r="C458" s="35" t="s">
        <v>532</v>
      </c>
      <c r="D458">
        <v>0.25</v>
      </c>
    </row>
    <row r="459" spans="1:4" x14ac:dyDescent="0.25">
      <c r="A459" s="1">
        <v>45497</v>
      </c>
      <c r="B459" t="s">
        <v>526</v>
      </c>
      <c r="C459" s="35" t="s">
        <v>564</v>
      </c>
      <c r="D459">
        <v>2</v>
      </c>
    </row>
    <row r="460" spans="1:4" x14ac:dyDescent="0.25">
      <c r="A460" s="1">
        <v>45497</v>
      </c>
      <c r="B460" t="s">
        <v>526</v>
      </c>
      <c r="C460" s="35" t="s">
        <v>499</v>
      </c>
      <c r="D460">
        <v>1</v>
      </c>
    </row>
    <row r="461" spans="1:4" x14ac:dyDescent="0.25">
      <c r="A461" s="1">
        <v>45497</v>
      </c>
      <c r="B461" t="s">
        <v>526</v>
      </c>
      <c r="C461" s="35" t="s">
        <v>573</v>
      </c>
      <c r="D461">
        <v>2</v>
      </c>
    </row>
    <row r="462" spans="1:4" x14ac:dyDescent="0.25">
      <c r="A462" s="1">
        <v>45497</v>
      </c>
      <c r="B462" t="s">
        <v>529</v>
      </c>
      <c r="D462">
        <v>7.25</v>
      </c>
    </row>
    <row r="463" spans="1:4" x14ac:dyDescent="0.25">
      <c r="A463" s="1">
        <v>45497</v>
      </c>
      <c r="B463" t="s">
        <v>530</v>
      </c>
      <c r="C463" s="35" t="s">
        <v>494</v>
      </c>
      <c r="D463">
        <v>2</v>
      </c>
    </row>
    <row r="464" spans="1:4" x14ac:dyDescent="0.25">
      <c r="A464" s="1">
        <v>45497</v>
      </c>
      <c r="B464" t="s">
        <v>530</v>
      </c>
      <c r="C464" s="35" t="s">
        <v>514</v>
      </c>
      <c r="D464">
        <v>2</v>
      </c>
    </row>
    <row r="465" spans="1:4" x14ac:dyDescent="0.25">
      <c r="A465" s="1">
        <v>45497</v>
      </c>
      <c r="B465" t="s">
        <v>530</v>
      </c>
      <c r="C465" s="35" t="s">
        <v>550</v>
      </c>
      <c r="D465">
        <v>3</v>
      </c>
    </row>
    <row r="466" spans="1:4" x14ac:dyDescent="0.25">
      <c r="A466" s="1">
        <v>45497</v>
      </c>
      <c r="B466" t="s">
        <v>533</v>
      </c>
      <c r="D466">
        <v>7</v>
      </c>
    </row>
    <row r="467" spans="1:4" x14ac:dyDescent="0.25">
      <c r="A467" s="1">
        <v>45498</v>
      </c>
      <c r="B467" t="s">
        <v>536</v>
      </c>
      <c r="C467" s="35" t="s">
        <v>527</v>
      </c>
      <c r="D467">
        <v>2</v>
      </c>
    </row>
    <row r="468" spans="1:4" x14ac:dyDescent="0.25">
      <c r="A468" s="1">
        <v>45498</v>
      </c>
      <c r="B468" t="s">
        <v>540</v>
      </c>
      <c r="D468">
        <v>2</v>
      </c>
    </row>
    <row r="469" spans="1:4" x14ac:dyDescent="0.25">
      <c r="A469" s="1">
        <v>45498</v>
      </c>
      <c r="B469" t="s">
        <v>496</v>
      </c>
      <c r="C469" s="35" t="s">
        <v>554</v>
      </c>
      <c r="D469">
        <v>1</v>
      </c>
    </row>
    <row r="470" spans="1:4" x14ac:dyDescent="0.25">
      <c r="A470" s="1">
        <v>45498</v>
      </c>
      <c r="B470" t="s">
        <v>501</v>
      </c>
      <c r="D470">
        <v>1</v>
      </c>
    </row>
    <row r="471" spans="1:4" x14ac:dyDescent="0.25">
      <c r="A471" s="1">
        <v>45498</v>
      </c>
      <c r="B471" t="s">
        <v>502</v>
      </c>
      <c r="C471" s="35" t="s">
        <v>553</v>
      </c>
      <c r="D471">
        <v>3</v>
      </c>
    </row>
    <row r="472" spans="1:4" x14ac:dyDescent="0.25">
      <c r="A472" s="1">
        <v>45498</v>
      </c>
      <c r="B472" t="s">
        <v>502</v>
      </c>
      <c r="C472" s="35" t="s">
        <v>539</v>
      </c>
      <c r="D472">
        <v>2</v>
      </c>
    </row>
    <row r="473" spans="1:4" x14ac:dyDescent="0.25">
      <c r="A473" s="1">
        <v>45498</v>
      </c>
      <c r="B473" t="s">
        <v>504</v>
      </c>
      <c r="D473">
        <v>5</v>
      </c>
    </row>
    <row r="474" spans="1:4" x14ac:dyDescent="0.25">
      <c r="A474" s="1">
        <v>45498</v>
      </c>
      <c r="B474" t="s">
        <v>505</v>
      </c>
      <c r="C474" s="35" t="s">
        <v>575</v>
      </c>
    </row>
    <row r="475" spans="1:4" x14ac:dyDescent="0.25">
      <c r="A475" s="1">
        <v>45498</v>
      </c>
      <c r="B475" t="s">
        <v>507</v>
      </c>
    </row>
    <row r="476" spans="1:4" x14ac:dyDescent="0.25">
      <c r="A476" s="1">
        <v>45498</v>
      </c>
      <c r="B476" t="s">
        <v>543</v>
      </c>
      <c r="C476" s="35" t="s">
        <v>491</v>
      </c>
      <c r="D476">
        <v>7</v>
      </c>
    </row>
    <row r="477" spans="1:4" x14ac:dyDescent="0.25">
      <c r="A477" s="1">
        <v>45498</v>
      </c>
      <c r="B477" t="s">
        <v>543</v>
      </c>
      <c r="C477" s="35" t="s">
        <v>500</v>
      </c>
      <c r="D477">
        <v>6</v>
      </c>
    </row>
    <row r="478" spans="1:4" x14ac:dyDescent="0.25">
      <c r="A478" s="1">
        <v>45498</v>
      </c>
      <c r="B478" t="s">
        <v>546</v>
      </c>
      <c r="D478">
        <v>13</v>
      </c>
    </row>
    <row r="479" spans="1:4" x14ac:dyDescent="0.25">
      <c r="A479" s="1">
        <v>45498</v>
      </c>
      <c r="B479" t="s">
        <v>508</v>
      </c>
      <c r="C479" s="35" t="s">
        <v>515</v>
      </c>
      <c r="D479">
        <v>3</v>
      </c>
    </row>
    <row r="480" spans="1:4" x14ac:dyDescent="0.25">
      <c r="A480" s="1">
        <v>45498</v>
      </c>
      <c r="B480" t="s">
        <v>512</v>
      </c>
      <c r="D480">
        <v>3</v>
      </c>
    </row>
    <row r="481" spans="1:4" x14ac:dyDescent="0.25">
      <c r="A481" s="1">
        <v>45498</v>
      </c>
      <c r="B481" t="s">
        <v>513</v>
      </c>
      <c r="C481" s="35" t="s">
        <v>566</v>
      </c>
      <c r="D481">
        <v>3</v>
      </c>
    </row>
    <row r="482" spans="1:4" x14ac:dyDescent="0.25">
      <c r="A482" s="1">
        <v>45498</v>
      </c>
      <c r="B482" t="s">
        <v>513</v>
      </c>
      <c r="C482" s="35" t="s">
        <v>527</v>
      </c>
      <c r="D482">
        <v>2</v>
      </c>
    </row>
    <row r="483" spans="1:4" x14ac:dyDescent="0.25">
      <c r="A483" s="1">
        <v>45498</v>
      </c>
      <c r="B483" t="s">
        <v>513</v>
      </c>
      <c r="C483" s="35" t="s">
        <v>574</v>
      </c>
      <c r="D483">
        <v>4</v>
      </c>
    </row>
    <row r="484" spans="1:4" x14ac:dyDescent="0.25">
      <c r="A484" s="1">
        <v>45498</v>
      </c>
      <c r="B484" t="s">
        <v>516</v>
      </c>
      <c r="D484">
        <v>9</v>
      </c>
    </row>
    <row r="485" spans="1:4" x14ac:dyDescent="0.25">
      <c r="A485" s="1">
        <v>45498</v>
      </c>
      <c r="B485" t="s">
        <v>517</v>
      </c>
      <c r="C485" s="35" t="s">
        <v>509</v>
      </c>
      <c r="D485">
        <v>3</v>
      </c>
    </row>
    <row r="486" spans="1:4" x14ac:dyDescent="0.25">
      <c r="A486" s="1">
        <v>45498</v>
      </c>
      <c r="B486" t="s">
        <v>517</v>
      </c>
      <c r="C486" s="35" t="s">
        <v>500</v>
      </c>
      <c r="D486">
        <v>11</v>
      </c>
    </row>
    <row r="487" spans="1:4" x14ac:dyDescent="0.25">
      <c r="A487" s="1">
        <v>45498</v>
      </c>
      <c r="B487" t="s">
        <v>517</v>
      </c>
      <c r="C487" s="35" t="s">
        <v>549</v>
      </c>
      <c r="D487">
        <v>1</v>
      </c>
    </row>
    <row r="488" spans="1:4" x14ac:dyDescent="0.25">
      <c r="A488" s="1">
        <v>45498</v>
      </c>
      <c r="B488" t="s">
        <v>519</v>
      </c>
      <c r="D488">
        <v>15</v>
      </c>
    </row>
    <row r="489" spans="1:4" x14ac:dyDescent="0.25">
      <c r="A489" s="1">
        <v>45498</v>
      </c>
      <c r="B489" t="s">
        <v>520</v>
      </c>
      <c r="C489" s="35" t="s">
        <v>553</v>
      </c>
      <c r="D489">
        <v>3</v>
      </c>
    </row>
    <row r="490" spans="1:4" x14ac:dyDescent="0.25">
      <c r="A490" s="1">
        <v>45498</v>
      </c>
      <c r="B490" t="s">
        <v>520</v>
      </c>
      <c r="C490" s="35" t="s">
        <v>576</v>
      </c>
      <c r="D490">
        <v>22</v>
      </c>
    </row>
    <row r="491" spans="1:4" x14ac:dyDescent="0.25">
      <c r="A491" s="1">
        <v>45498</v>
      </c>
      <c r="B491" t="s">
        <v>522</v>
      </c>
      <c r="D491">
        <v>25</v>
      </c>
    </row>
    <row r="492" spans="1:4" x14ac:dyDescent="0.25">
      <c r="A492" s="1">
        <v>45498</v>
      </c>
      <c r="B492" t="s">
        <v>523</v>
      </c>
      <c r="C492" s="35" t="s">
        <v>566</v>
      </c>
      <c r="D492">
        <v>3</v>
      </c>
    </row>
    <row r="493" spans="1:4" x14ac:dyDescent="0.25">
      <c r="A493" s="1">
        <v>45498</v>
      </c>
      <c r="B493" t="s">
        <v>523</v>
      </c>
      <c r="C493" s="35" t="s">
        <v>532</v>
      </c>
      <c r="D493">
        <v>1</v>
      </c>
    </row>
    <row r="494" spans="1:4" x14ac:dyDescent="0.25">
      <c r="A494" s="1">
        <v>45498</v>
      </c>
      <c r="B494" t="s">
        <v>523</v>
      </c>
      <c r="C494" s="35" t="s">
        <v>537</v>
      </c>
      <c r="D494">
        <v>1</v>
      </c>
    </row>
    <row r="495" spans="1:4" x14ac:dyDescent="0.25">
      <c r="A495" s="1">
        <v>45498</v>
      </c>
      <c r="B495" t="s">
        <v>523</v>
      </c>
      <c r="C495" s="35" t="s">
        <v>545</v>
      </c>
      <c r="D495">
        <v>1</v>
      </c>
    </row>
    <row r="496" spans="1:4" x14ac:dyDescent="0.25">
      <c r="A496" s="1">
        <v>45498</v>
      </c>
      <c r="B496" t="s">
        <v>525</v>
      </c>
      <c r="D496">
        <v>6</v>
      </c>
    </row>
    <row r="497" spans="1:4" x14ac:dyDescent="0.25">
      <c r="A497" s="1">
        <v>45498</v>
      </c>
      <c r="B497" t="s">
        <v>526</v>
      </c>
      <c r="C497" s="35" t="s">
        <v>532</v>
      </c>
      <c r="D497">
        <v>1</v>
      </c>
    </row>
    <row r="498" spans="1:4" x14ac:dyDescent="0.25">
      <c r="A498" s="1">
        <v>45498</v>
      </c>
      <c r="B498" t="s">
        <v>526</v>
      </c>
      <c r="C498" s="35" t="s">
        <v>535</v>
      </c>
      <c r="D498">
        <v>2</v>
      </c>
    </row>
    <row r="499" spans="1:4" x14ac:dyDescent="0.25">
      <c r="A499" s="1">
        <v>45498</v>
      </c>
      <c r="B499" t="s">
        <v>526</v>
      </c>
      <c r="C499" s="35" t="s">
        <v>497</v>
      </c>
      <c r="D499">
        <v>2</v>
      </c>
    </row>
    <row r="500" spans="1:4" x14ac:dyDescent="0.25">
      <c r="A500" s="1">
        <v>45498</v>
      </c>
      <c r="B500" t="s">
        <v>526</v>
      </c>
      <c r="C500" s="35" t="s">
        <v>498</v>
      </c>
      <c r="D500">
        <v>1</v>
      </c>
    </row>
    <row r="501" spans="1:4" x14ac:dyDescent="0.25">
      <c r="A501" s="1">
        <v>45498</v>
      </c>
      <c r="B501" t="s">
        <v>526</v>
      </c>
      <c r="C501" s="35" t="s">
        <v>541</v>
      </c>
      <c r="D501">
        <v>6</v>
      </c>
    </row>
    <row r="502" spans="1:4" x14ac:dyDescent="0.25">
      <c r="A502" s="1">
        <v>45498</v>
      </c>
      <c r="B502" t="s">
        <v>526</v>
      </c>
      <c r="C502" s="35" t="s">
        <v>500</v>
      </c>
      <c r="D502">
        <v>1</v>
      </c>
    </row>
    <row r="503" spans="1:4" x14ac:dyDescent="0.25">
      <c r="A503" s="1">
        <v>45498</v>
      </c>
      <c r="B503" t="s">
        <v>526</v>
      </c>
      <c r="C503" s="35" t="s">
        <v>576</v>
      </c>
      <c r="D503">
        <v>4</v>
      </c>
    </row>
    <row r="504" spans="1:4" x14ac:dyDescent="0.25">
      <c r="A504" s="1">
        <v>45498</v>
      </c>
      <c r="B504" t="s">
        <v>529</v>
      </c>
      <c r="D504">
        <v>17</v>
      </c>
    </row>
    <row r="505" spans="1:4" x14ac:dyDescent="0.25">
      <c r="A505" s="1">
        <v>45498</v>
      </c>
      <c r="B505" t="s">
        <v>530</v>
      </c>
      <c r="C505" s="35" t="s">
        <v>534</v>
      </c>
      <c r="D505">
        <v>2</v>
      </c>
    </row>
    <row r="506" spans="1:4" x14ac:dyDescent="0.25">
      <c r="A506" s="1">
        <v>45498</v>
      </c>
      <c r="B506" t="s">
        <v>530</v>
      </c>
      <c r="C506" s="35" t="s">
        <v>561</v>
      </c>
      <c r="D506">
        <v>3.25</v>
      </c>
    </row>
    <row r="507" spans="1:4" x14ac:dyDescent="0.25">
      <c r="A507" s="1">
        <v>45498</v>
      </c>
      <c r="B507" t="s">
        <v>533</v>
      </c>
      <c r="D507">
        <v>5.25</v>
      </c>
    </row>
    <row r="508" spans="1:4" x14ac:dyDescent="0.25">
      <c r="A508" s="1">
        <v>45499</v>
      </c>
      <c r="B508" t="s">
        <v>493</v>
      </c>
      <c r="C508" s="35" t="s">
        <v>524</v>
      </c>
      <c r="D508">
        <v>1</v>
      </c>
    </row>
    <row r="509" spans="1:4" x14ac:dyDescent="0.25">
      <c r="A509" s="1">
        <v>45499</v>
      </c>
      <c r="B509" t="s">
        <v>493</v>
      </c>
      <c r="C509" s="35" t="s">
        <v>532</v>
      </c>
      <c r="D509">
        <v>2</v>
      </c>
    </row>
    <row r="510" spans="1:4" x14ac:dyDescent="0.25">
      <c r="A510" s="1">
        <v>45499</v>
      </c>
      <c r="B510" t="s">
        <v>493</v>
      </c>
      <c r="C510" s="35" t="s">
        <v>514</v>
      </c>
      <c r="D510">
        <v>1</v>
      </c>
    </row>
    <row r="511" spans="1:4" x14ac:dyDescent="0.25">
      <c r="A511" s="1">
        <v>45499</v>
      </c>
      <c r="B511" t="s">
        <v>493</v>
      </c>
      <c r="C511" s="35" t="s">
        <v>498</v>
      </c>
      <c r="D511">
        <v>2</v>
      </c>
    </row>
    <row r="512" spans="1:4" x14ac:dyDescent="0.25">
      <c r="A512" s="1">
        <v>45499</v>
      </c>
      <c r="B512" t="s">
        <v>493</v>
      </c>
      <c r="C512" s="35" t="s">
        <v>575</v>
      </c>
      <c r="D512">
        <v>1</v>
      </c>
    </row>
    <row r="513" spans="1:4" x14ac:dyDescent="0.25">
      <c r="A513" s="1">
        <v>45499</v>
      </c>
      <c r="B513" t="s">
        <v>495</v>
      </c>
      <c r="D513">
        <v>7</v>
      </c>
    </row>
    <row r="514" spans="1:4" x14ac:dyDescent="0.25">
      <c r="A514" s="1">
        <v>45499</v>
      </c>
      <c r="B514" t="s">
        <v>536</v>
      </c>
      <c r="C514" s="35" t="s">
        <v>509</v>
      </c>
      <c r="D514">
        <v>2</v>
      </c>
    </row>
    <row r="515" spans="1:4" x14ac:dyDescent="0.25">
      <c r="A515" s="1">
        <v>45499</v>
      </c>
      <c r="B515" t="s">
        <v>536</v>
      </c>
      <c r="C515" s="35" t="s">
        <v>548</v>
      </c>
      <c r="D515">
        <v>3</v>
      </c>
    </row>
    <row r="516" spans="1:4" x14ac:dyDescent="0.25">
      <c r="A516" s="1">
        <v>45499</v>
      </c>
      <c r="B516" t="s">
        <v>536</v>
      </c>
      <c r="C516" s="35" t="s">
        <v>510</v>
      </c>
      <c r="D516">
        <v>2</v>
      </c>
    </row>
    <row r="517" spans="1:4" x14ac:dyDescent="0.25">
      <c r="A517" s="1">
        <v>45499</v>
      </c>
      <c r="B517" t="s">
        <v>536</v>
      </c>
      <c r="C517" s="35" t="s">
        <v>549</v>
      </c>
      <c r="D517">
        <v>1</v>
      </c>
    </row>
    <row r="518" spans="1:4" x14ac:dyDescent="0.25">
      <c r="A518" s="1">
        <v>45499</v>
      </c>
      <c r="B518" t="s">
        <v>536</v>
      </c>
      <c r="C518" s="35" t="s">
        <v>550</v>
      </c>
      <c r="D518">
        <v>2</v>
      </c>
    </row>
    <row r="519" spans="1:4" x14ac:dyDescent="0.25">
      <c r="A519" s="1">
        <v>45499</v>
      </c>
      <c r="B519" t="s">
        <v>540</v>
      </c>
      <c r="D519">
        <v>10</v>
      </c>
    </row>
    <row r="520" spans="1:4" x14ac:dyDescent="0.25">
      <c r="A520" s="1">
        <v>45499</v>
      </c>
      <c r="B520" t="s">
        <v>496</v>
      </c>
      <c r="C520" s="35" t="s">
        <v>564</v>
      </c>
      <c r="D520">
        <v>1</v>
      </c>
    </row>
    <row r="521" spans="1:4" x14ac:dyDescent="0.25">
      <c r="A521" s="1">
        <v>45499</v>
      </c>
      <c r="B521" t="s">
        <v>501</v>
      </c>
      <c r="D521">
        <v>1</v>
      </c>
    </row>
    <row r="522" spans="1:4" x14ac:dyDescent="0.25">
      <c r="A522" s="1">
        <v>45499</v>
      </c>
      <c r="B522" t="s">
        <v>505</v>
      </c>
      <c r="C522" s="35" t="s">
        <v>527</v>
      </c>
      <c r="D522">
        <v>2</v>
      </c>
    </row>
    <row r="523" spans="1:4" x14ac:dyDescent="0.25">
      <c r="A523" s="1">
        <v>45499</v>
      </c>
      <c r="B523" t="s">
        <v>505</v>
      </c>
      <c r="C523" s="35" t="s">
        <v>558</v>
      </c>
      <c r="D523">
        <v>1</v>
      </c>
    </row>
    <row r="524" spans="1:4" x14ac:dyDescent="0.25">
      <c r="A524" s="1">
        <v>45499</v>
      </c>
      <c r="B524" t="s">
        <v>507</v>
      </c>
      <c r="D524">
        <v>3</v>
      </c>
    </row>
    <row r="525" spans="1:4" x14ac:dyDescent="0.25">
      <c r="A525" s="1">
        <v>45499</v>
      </c>
      <c r="B525" t="s">
        <v>543</v>
      </c>
      <c r="C525" s="35" t="s">
        <v>577</v>
      </c>
      <c r="D525">
        <v>0.5</v>
      </c>
    </row>
    <row r="526" spans="1:4" x14ac:dyDescent="0.25">
      <c r="A526" s="1">
        <v>45499</v>
      </c>
      <c r="B526" t="s">
        <v>543</v>
      </c>
      <c r="C526" s="35" t="s">
        <v>574</v>
      </c>
      <c r="D526">
        <v>2</v>
      </c>
    </row>
    <row r="527" spans="1:4" x14ac:dyDescent="0.25">
      <c r="A527" s="1">
        <v>45499</v>
      </c>
      <c r="B527" t="s">
        <v>546</v>
      </c>
      <c r="D527">
        <v>2.5</v>
      </c>
    </row>
    <row r="528" spans="1:4" x14ac:dyDescent="0.25">
      <c r="A528" s="1">
        <v>45499</v>
      </c>
      <c r="B528" t="s">
        <v>508</v>
      </c>
      <c r="C528" s="35" t="s">
        <v>576</v>
      </c>
      <c r="D528">
        <v>2.5</v>
      </c>
    </row>
    <row r="529" spans="1:4" x14ac:dyDescent="0.25">
      <c r="A529" s="1">
        <v>45499</v>
      </c>
      <c r="B529" t="s">
        <v>512</v>
      </c>
      <c r="D529">
        <v>2.5</v>
      </c>
    </row>
    <row r="530" spans="1:4" x14ac:dyDescent="0.25">
      <c r="A530" s="1">
        <v>45499</v>
      </c>
      <c r="B530" t="s">
        <v>513</v>
      </c>
      <c r="C530" s="35" t="s">
        <v>574</v>
      </c>
      <c r="D530">
        <v>3</v>
      </c>
    </row>
    <row r="531" spans="1:4" x14ac:dyDescent="0.25">
      <c r="A531" s="1">
        <v>45499</v>
      </c>
      <c r="B531" t="s">
        <v>513</v>
      </c>
      <c r="C531" s="35" t="s">
        <v>561</v>
      </c>
      <c r="D531">
        <v>1</v>
      </c>
    </row>
    <row r="532" spans="1:4" x14ac:dyDescent="0.25">
      <c r="A532" s="1">
        <v>45499</v>
      </c>
      <c r="B532" t="s">
        <v>513</v>
      </c>
      <c r="C532" s="35" t="s">
        <v>514</v>
      </c>
      <c r="D532">
        <v>1</v>
      </c>
    </row>
    <row r="533" spans="1:4" x14ac:dyDescent="0.25">
      <c r="A533" s="1">
        <v>45499</v>
      </c>
      <c r="B533" t="s">
        <v>513</v>
      </c>
      <c r="C533" s="35" t="s">
        <v>497</v>
      </c>
      <c r="D533">
        <v>2</v>
      </c>
    </row>
    <row r="534" spans="1:4" x14ac:dyDescent="0.25">
      <c r="A534" s="1">
        <v>45499</v>
      </c>
      <c r="B534" t="s">
        <v>513</v>
      </c>
      <c r="C534" s="35" t="s">
        <v>528</v>
      </c>
      <c r="D534">
        <v>1</v>
      </c>
    </row>
    <row r="535" spans="1:4" x14ac:dyDescent="0.25">
      <c r="A535" s="1">
        <v>45499</v>
      </c>
      <c r="B535" t="s">
        <v>516</v>
      </c>
      <c r="D535">
        <v>8</v>
      </c>
    </row>
    <row r="536" spans="1:4" x14ac:dyDescent="0.25">
      <c r="A536" s="1">
        <v>45499</v>
      </c>
      <c r="B536" t="s">
        <v>520</v>
      </c>
      <c r="C536" s="35" t="s">
        <v>559</v>
      </c>
      <c r="D536">
        <v>1</v>
      </c>
    </row>
    <row r="537" spans="1:4" x14ac:dyDescent="0.25">
      <c r="A537" s="1">
        <v>45499</v>
      </c>
      <c r="B537" t="s">
        <v>522</v>
      </c>
      <c r="D537">
        <v>1</v>
      </c>
    </row>
    <row r="538" spans="1:4" x14ac:dyDescent="0.25">
      <c r="A538" s="1">
        <v>45499</v>
      </c>
      <c r="B538" t="s">
        <v>523</v>
      </c>
      <c r="C538" s="35" t="s">
        <v>500</v>
      </c>
      <c r="D538">
        <v>3</v>
      </c>
    </row>
    <row r="539" spans="1:4" x14ac:dyDescent="0.25">
      <c r="A539" s="1">
        <v>45499</v>
      </c>
      <c r="B539" t="s">
        <v>525</v>
      </c>
      <c r="D539">
        <v>3</v>
      </c>
    </row>
    <row r="540" spans="1:4" x14ac:dyDescent="0.25">
      <c r="A540" s="1">
        <v>45499</v>
      </c>
      <c r="B540" t="s">
        <v>526</v>
      </c>
      <c r="C540" s="35" t="s">
        <v>506</v>
      </c>
      <c r="D540">
        <v>2</v>
      </c>
    </row>
    <row r="541" spans="1:4" x14ac:dyDescent="0.25">
      <c r="A541" s="1">
        <v>45499</v>
      </c>
      <c r="B541" t="s">
        <v>526</v>
      </c>
      <c r="C541" s="35" t="s">
        <v>499</v>
      </c>
      <c r="D541">
        <v>2</v>
      </c>
    </row>
    <row r="542" spans="1:4" x14ac:dyDescent="0.25">
      <c r="A542" s="1">
        <v>45499</v>
      </c>
      <c r="B542" t="s">
        <v>526</v>
      </c>
      <c r="C542" s="35" t="s">
        <v>550</v>
      </c>
      <c r="D542">
        <v>2</v>
      </c>
    </row>
    <row r="543" spans="1:4" x14ac:dyDescent="0.25">
      <c r="A543" s="1">
        <v>45499</v>
      </c>
      <c r="B543" t="s">
        <v>526</v>
      </c>
      <c r="C543" s="35" t="s">
        <v>565</v>
      </c>
      <c r="D543">
        <v>1</v>
      </c>
    </row>
    <row r="544" spans="1:4" x14ac:dyDescent="0.25">
      <c r="A544" s="1">
        <v>45499</v>
      </c>
      <c r="B544" t="s">
        <v>529</v>
      </c>
      <c r="D544">
        <v>7</v>
      </c>
    </row>
    <row r="545" spans="1:4" x14ac:dyDescent="0.25">
      <c r="A545" s="1">
        <v>45499</v>
      </c>
      <c r="B545" t="s">
        <v>530</v>
      </c>
      <c r="C545" s="35" t="s">
        <v>531</v>
      </c>
      <c r="D545">
        <v>3</v>
      </c>
    </row>
    <row r="546" spans="1:4" x14ac:dyDescent="0.25">
      <c r="A546" s="1">
        <v>45499</v>
      </c>
      <c r="B546" t="s">
        <v>530</v>
      </c>
      <c r="C546" s="35" t="s">
        <v>563</v>
      </c>
      <c r="D546">
        <v>0.5</v>
      </c>
    </row>
    <row r="547" spans="1:4" x14ac:dyDescent="0.25">
      <c r="A547" s="1">
        <v>45499</v>
      </c>
      <c r="B547" t="s">
        <v>530</v>
      </c>
      <c r="C547" s="35" t="s">
        <v>564</v>
      </c>
      <c r="D547">
        <v>1</v>
      </c>
    </row>
    <row r="548" spans="1:4" x14ac:dyDescent="0.25">
      <c r="A548" s="1">
        <v>45499</v>
      </c>
      <c r="B548" t="s">
        <v>530</v>
      </c>
      <c r="C548" s="35" t="s">
        <v>551</v>
      </c>
      <c r="D548">
        <v>8</v>
      </c>
    </row>
    <row r="549" spans="1:4" x14ac:dyDescent="0.25">
      <c r="A549" s="1">
        <v>45499</v>
      </c>
      <c r="B549" t="s">
        <v>530</v>
      </c>
      <c r="C549" s="35" t="s">
        <v>506</v>
      </c>
      <c r="D549">
        <v>2</v>
      </c>
    </row>
    <row r="550" spans="1:4" x14ac:dyDescent="0.25">
      <c r="A550" s="1">
        <v>45499</v>
      </c>
      <c r="B550" t="s">
        <v>530</v>
      </c>
      <c r="C550" s="35" t="s">
        <v>554</v>
      </c>
      <c r="D550">
        <v>2</v>
      </c>
    </row>
    <row r="551" spans="1:4" x14ac:dyDescent="0.25">
      <c r="A551" s="1">
        <v>45499</v>
      </c>
      <c r="B551" t="s">
        <v>530</v>
      </c>
      <c r="C551" s="35" t="s">
        <v>575</v>
      </c>
      <c r="D551">
        <v>5</v>
      </c>
    </row>
    <row r="552" spans="1:4" x14ac:dyDescent="0.25">
      <c r="A552" s="1">
        <v>45499</v>
      </c>
      <c r="B552" t="s">
        <v>530</v>
      </c>
      <c r="C552" s="35" t="s">
        <v>544</v>
      </c>
      <c r="D552">
        <v>4</v>
      </c>
    </row>
    <row r="553" spans="1:4" x14ac:dyDescent="0.25">
      <c r="A553" s="1">
        <v>45499</v>
      </c>
      <c r="B553" t="s">
        <v>533</v>
      </c>
      <c r="D553">
        <v>25.5</v>
      </c>
    </row>
    <row r="554" spans="1:4" x14ac:dyDescent="0.25">
      <c r="A554" s="1">
        <v>45500</v>
      </c>
      <c r="B554" t="s">
        <v>493</v>
      </c>
      <c r="C554" s="35" t="s">
        <v>524</v>
      </c>
      <c r="D554">
        <v>1</v>
      </c>
    </row>
    <row r="555" spans="1:4" x14ac:dyDescent="0.25">
      <c r="A555" s="1">
        <v>45500</v>
      </c>
      <c r="B555" t="s">
        <v>493</v>
      </c>
      <c r="C555" s="35" t="s">
        <v>569</v>
      </c>
      <c r="D555">
        <v>6</v>
      </c>
    </row>
    <row r="556" spans="1:4" x14ac:dyDescent="0.25">
      <c r="A556" s="1">
        <v>45500</v>
      </c>
      <c r="B556" t="s">
        <v>493</v>
      </c>
      <c r="C556" s="35" t="s">
        <v>561</v>
      </c>
      <c r="D556">
        <v>1</v>
      </c>
    </row>
    <row r="557" spans="1:4" x14ac:dyDescent="0.25">
      <c r="A557" s="1">
        <v>45500</v>
      </c>
      <c r="B557" t="s">
        <v>493</v>
      </c>
      <c r="C557" s="35" t="s">
        <v>510</v>
      </c>
      <c r="D557">
        <v>4</v>
      </c>
    </row>
    <row r="558" spans="1:4" x14ac:dyDescent="0.25">
      <c r="A558" s="1">
        <v>45500</v>
      </c>
      <c r="B558" t="s">
        <v>493</v>
      </c>
      <c r="C558" s="35" t="s">
        <v>559</v>
      </c>
      <c r="D558">
        <v>3</v>
      </c>
    </row>
    <row r="559" spans="1:4" x14ac:dyDescent="0.25">
      <c r="A559" s="1">
        <v>45500</v>
      </c>
      <c r="B559" t="s">
        <v>493</v>
      </c>
      <c r="C559" s="35" t="s">
        <v>514</v>
      </c>
      <c r="D559">
        <v>1</v>
      </c>
    </row>
    <row r="560" spans="1:4" x14ac:dyDescent="0.25">
      <c r="A560" s="1">
        <v>45500</v>
      </c>
      <c r="B560" t="s">
        <v>493</v>
      </c>
      <c r="C560" s="35" t="s">
        <v>515</v>
      </c>
      <c r="D560">
        <v>2</v>
      </c>
    </row>
    <row r="561" spans="1:4" x14ac:dyDescent="0.25">
      <c r="A561" s="1">
        <v>45500</v>
      </c>
      <c r="B561" t="s">
        <v>495</v>
      </c>
      <c r="D561">
        <v>18</v>
      </c>
    </row>
    <row r="562" spans="1:4" x14ac:dyDescent="0.25">
      <c r="A562" s="1">
        <v>45500</v>
      </c>
      <c r="B562" t="s">
        <v>536</v>
      </c>
      <c r="C562" s="35" t="s">
        <v>577</v>
      </c>
      <c r="D562">
        <v>4</v>
      </c>
    </row>
    <row r="563" spans="1:4" x14ac:dyDescent="0.25">
      <c r="A563" s="1">
        <v>45500</v>
      </c>
      <c r="B563" t="s">
        <v>536</v>
      </c>
      <c r="C563" s="35" t="s">
        <v>549</v>
      </c>
      <c r="D563">
        <v>1.2</v>
      </c>
    </row>
    <row r="564" spans="1:4" x14ac:dyDescent="0.25">
      <c r="A564" s="1">
        <v>45500</v>
      </c>
      <c r="B564" t="s">
        <v>536</v>
      </c>
      <c r="C564" s="35" t="s">
        <v>539</v>
      </c>
      <c r="D564">
        <v>10</v>
      </c>
    </row>
    <row r="565" spans="1:4" x14ac:dyDescent="0.25">
      <c r="A565" s="1">
        <v>45500</v>
      </c>
      <c r="B565" t="s">
        <v>536</v>
      </c>
      <c r="C565" s="35" t="s">
        <v>576</v>
      </c>
      <c r="D565">
        <v>1</v>
      </c>
    </row>
    <row r="566" spans="1:4" x14ac:dyDescent="0.25">
      <c r="A566" s="1">
        <v>45500</v>
      </c>
      <c r="B566" t="s">
        <v>540</v>
      </c>
      <c r="D566">
        <v>16.2</v>
      </c>
    </row>
    <row r="567" spans="1:4" x14ac:dyDescent="0.25">
      <c r="A567" s="1">
        <v>45500</v>
      </c>
      <c r="B567" t="s">
        <v>496</v>
      </c>
      <c r="C567" s="35" t="s">
        <v>556</v>
      </c>
      <c r="D567">
        <v>3</v>
      </c>
    </row>
    <row r="568" spans="1:4" x14ac:dyDescent="0.25">
      <c r="A568" s="1">
        <v>45500</v>
      </c>
      <c r="B568" t="s">
        <v>496</v>
      </c>
      <c r="C568" s="35" t="s">
        <v>571</v>
      </c>
      <c r="D568">
        <v>3</v>
      </c>
    </row>
    <row r="569" spans="1:4" x14ac:dyDescent="0.25">
      <c r="A569" s="1">
        <v>45500</v>
      </c>
      <c r="B569" t="s">
        <v>496</v>
      </c>
      <c r="C569" s="35" t="s">
        <v>518</v>
      </c>
      <c r="D569">
        <v>1</v>
      </c>
    </row>
    <row r="570" spans="1:4" x14ac:dyDescent="0.25">
      <c r="A570" s="1">
        <v>45500</v>
      </c>
      <c r="B570" t="s">
        <v>496</v>
      </c>
      <c r="C570" s="35" t="s">
        <v>559</v>
      </c>
      <c r="D570">
        <v>2</v>
      </c>
    </row>
    <row r="571" spans="1:4" x14ac:dyDescent="0.25">
      <c r="A571" s="1">
        <v>45500</v>
      </c>
      <c r="B571" t="s">
        <v>496</v>
      </c>
      <c r="C571" s="35" t="s">
        <v>538</v>
      </c>
      <c r="D571">
        <v>4</v>
      </c>
    </row>
    <row r="572" spans="1:4" x14ac:dyDescent="0.25">
      <c r="A572" s="1">
        <v>45500</v>
      </c>
      <c r="B572" t="s">
        <v>501</v>
      </c>
      <c r="D572">
        <v>13</v>
      </c>
    </row>
    <row r="573" spans="1:4" x14ac:dyDescent="0.25">
      <c r="A573" s="1">
        <v>45500</v>
      </c>
      <c r="B573" t="s">
        <v>502</v>
      </c>
      <c r="C573" s="35" t="s">
        <v>542</v>
      </c>
      <c r="D573">
        <v>1</v>
      </c>
    </row>
    <row r="574" spans="1:4" x14ac:dyDescent="0.25">
      <c r="A574" s="1">
        <v>45500</v>
      </c>
      <c r="B574" t="s">
        <v>502</v>
      </c>
      <c r="C574" s="35" t="s">
        <v>539</v>
      </c>
      <c r="D574">
        <v>1</v>
      </c>
    </row>
    <row r="575" spans="1:4" x14ac:dyDescent="0.25">
      <c r="A575" s="1">
        <v>45500</v>
      </c>
      <c r="B575" t="s">
        <v>504</v>
      </c>
      <c r="D575">
        <v>2</v>
      </c>
    </row>
    <row r="576" spans="1:4" x14ac:dyDescent="0.25">
      <c r="A576" s="1">
        <v>45500</v>
      </c>
      <c r="B576" t="s">
        <v>505</v>
      </c>
      <c r="C576" s="35" t="s">
        <v>532</v>
      </c>
      <c r="D576">
        <v>3</v>
      </c>
    </row>
    <row r="577" spans="1:4" x14ac:dyDescent="0.25">
      <c r="A577" s="1">
        <v>45500</v>
      </c>
      <c r="B577" t="s">
        <v>505</v>
      </c>
      <c r="C577" s="35" t="s">
        <v>562</v>
      </c>
      <c r="D577">
        <v>2.5</v>
      </c>
    </row>
    <row r="578" spans="1:4" x14ac:dyDescent="0.25">
      <c r="A578" s="1">
        <v>45500</v>
      </c>
      <c r="B578" t="s">
        <v>505</v>
      </c>
      <c r="C578" s="35" t="s">
        <v>549</v>
      </c>
      <c r="D578">
        <v>1</v>
      </c>
    </row>
    <row r="579" spans="1:4" x14ac:dyDescent="0.25">
      <c r="A579" s="1">
        <v>45500</v>
      </c>
      <c r="B579" t="s">
        <v>507</v>
      </c>
      <c r="D579">
        <v>6.5</v>
      </c>
    </row>
    <row r="580" spans="1:4" x14ac:dyDescent="0.25">
      <c r="A580" s="1">
        <v>45500</v>
      </c>
      <c r="B580" t="s">
        <v>543</v>
      </c>
      <c r="C580" s="35" t="s">
        <v>506</v>
      </c>
      <c r="D580">
        <v>7</v>
      </c>
    </row>
    <row r="581" spans="1:4" x14ac:dyDescent="0.25">
      <c r="A581" s="1">
        <v>45500</v>
      </c>
      <c r="B581" t="s">
        <v>543</v>
      </c>
      <c r="C581" s="35" t="s">
        <v>503</v>
      </c>
      <c r="D581">
        <v>7</v>
      </c>
    </row>
    <row r="582" spans="1:4" x14ac:dyDescent="0.25">
      <c r="A582" s="1">
        <v>45500</v>
      </c>
      <c r="B582" t="s">
        <v>546</v>
      </c>
      <c r="D582">
        <v>14</v>
      </c>
    </row>
    <row r="583" spans="1:4" x14ac:dyDescent="0.25">
      <c r="A583" s="1">
        <v>45500</v>
      </c>
      <c r="B583" t="s">
        <v>508</v>
      </c>
      <c r="C583" s="35" t="s">
        <v>551</v>
      </c>
      <c r="D583">
        <v>8</v>
      </c>
    </row>
    <row r="584" spans="1:4" x14ac:dyDescent="0.25">
      <c r="A584" s="1">
        <v>45500</v>
      </c>
      <c r="B584" t="s">
        <v>512</v>
      </c>
      <c r="D584">
        <v>8</v>
      </c>
    </row>
    <row r="585" spans="1:4" x14ac:dyDescent="0.25">
      <c r="A585" s="1">
        <v>45500</v>
      </c>
      <c r="B585" t="s">
        <v>513</v>
      </c>
      <c r="C585" s="35" t="s">
        <v>563</v>
      </c>
      <c r="D585">
        <v>0.5</v>
      </c>
    </row>
    <row r="586" spans="1:4" x14ac:dyDescent="0.25">
      <c r="A586" s="1">
        <v>45500</v>
      </c>
      <c r="B586" t="s">
        <v>513</v>
      </c>
      <c r="C586" s="35" t="s">
        <v>549</v>
      </c>
      <c r="D586">
        <v>4</v>
      </c>
    </row>
    <row r="587" spans="1:4" x14ac:dyDescent="0.25">
      <c r="A587" s="1">
        <v>45500</v>
      </c>
      <c r="B587" t="s">
        <v>516</v>
      </c>
      <c r="D587">
        <v>4.5</v>
      </c>
    </row>
    <row r="588" spans="1:4" x14ac:dyDescent="0.25">
      <c r="A588" s="1">
        <v>45500</v>
      </c>
      <c r="B588" t="s">
        <v>517</v>
      </c>
      <c r="C588" s="35" t="s">
        <v>558</v>
      </c>
    </row>
    <row r="589" spans="1:4" x14ac:dyDescent="0.25">
      <c r="A589" s="1">
        <v>45500</v>
      </c>
      <c r="B589" t="s">
        <v>517</v>
      </c>
      <c r="C589" s="35" t="s">
        <v>549</v>
      </c>
      <c r="D589">
        <v>12</v>
      </c>
    </row>
    <row r="590" spans="1:4" x14ac:dyDescent="0.25">
      <c r="A590" s="1">
        <v>45500</v>
      </c>
      <c r="B590" t="s">
        <v>519</v>
      </c>
      <c r="D590">
        <v>12</v>
      </c>
    </row>
    <row r="591" spans="1:4" x14ac:dyDescent="0.25">
      <c r="A591" s="1">
        <v>45500</v>
      </c>
      <c r="B591" t="s">
        <v>520</v>
      </c>
      <c r="C591" s="35" t="s">
        <v>556</v>
      </c>
      <c r="D591">
        <v>2</v>
      </c>
    </row>
    <row r="592" spans="1:4" x14ac:dyDescent="0.25">
      <c r="A592" s="1">
        <v>45500</v>
      </c>
      <c r="B592" t="s">
        <v>522</v>
      </c>
      <c r="D592">
        <v>2</v>
      </c>
    </row>
    <row r="593" spans="1:4" x14ac:dyDescent="0.25">
      <c r="A593" s="1">
        <v>45500</v>
      </c>
      <c r="B593" t="s">
        <v>523</v>
      </c>
      <c r="C593" s="35" t="s">
        <v>571</v>
      </c>
      <c r="D593">
        <v>3</v>
      </c>
    </row>
    <row r="594" spans="1:4" x14ac:dyDescent="0.25">
      <c r="A594" s="1">
        <v>45500</v>
      </c>
      <c r="B594" t="s">
        <v>523</v>
      </c>
      <c r="C594" s="35" t="s">
        <v>514</v>
      </c>
    </row>
    <row r="595" spans="1:4" x14ac:dyDescent="0.25">
      <c r="A595" s="1">
        <v>45500</v>
      </c>
      <c r="B595" t="s">
        <v>525</v>
      </c>
      <c r="D595">
        <v>3</v>
      </c>
    </row>
    <row r="596" spans="1:4" x14ac:dyDescent="0.25">
      <c r="A596" s="1">
        <v>45500</v>
      </c>
      <c r="B596" t="s">
        <v>526</v>
      </c>
      <c r="C596" s="35" t="s">
        <v>555</v>
      </c>
      <c r="D596">
        <v>1</v>
      </c>
    </row>
    <row r="597" spans="1:4" x14ac:dyDescent="0.25">
      <c r="A597" s="1">
        <v>45500</v>
      </c>
      <c r="B597" t="s">
        <v>526</v>
      </c>
      <c r="C597" s="35" t="s">
        <v>551</v>
      </c>
      <c r="D597">
        <v>1</v>
      </c>
    </row>
    <row r="598" spans="1:4" x14ac:dyDescent="0.25">
      <c r="A598" s="1">
        <v>45500</v>
      </c>
      <c r="B598" t="s">
        <v>526</v>
      </c>
      <c r="C598" s="35" t="s">
        <v>521</v>
      </c>
      <c r="D598">
        <v>11</v>
      </c>
    </row>
    <row r="599" spans="1:4" x14ac:dyDescent="0.25">
      <c r="A599" s="1">
        <v>45500</v>
      </c>
      <c r="B599" t="s">
        <v>529</v>
      </c>
      <c r="D599">
        <v>13</v>
      </c>
    </row>
    <row r="600" spans="1:4" x14ac:dyDescent="0.25">
      <c r="A600" s="1">
        <v>45500</v>
      </c>
      <c r="B600" t="s">
        <v>530</v>
      </c>
      <c r="C600" s="35" t="s">
        <v>534</v>
      </c>
      <c r="D600">
        <v>4</v>
      </c>
    </row>
    <row r="601" spans="1:4" x14ac:dyDescent="0.25">
      <c r="A601" s="1">
        <v>45500</v>
      </c>
      <c r="B601" t="s">
        <v>530</v>
      </c>
      <c r="C601" s="35" t="s">
        <v>557</v>
      </c>
      <c r="D601">
        <v>1</v>
      </c>
    </row>
    <row r="602" spans="1:4" x14ac:dyDescent="0.25">
      <c r="A602" s="1">
        <v>45500</v>
      </c>
      <c r="B602" t="s">
        <v>530</v>
      </c>
      <c r="C602" s="35" t="s">
        <v>553</v>
      </c>
      <c r="D602">
        <v>9</v>
      </c>
    </row>
    <row r="603" spans="1:4" x14ac:dyDescent="0.25">
      <c r="A603" s="1">
        <v>45500</v>
      </c>
      <c r="B603" t="s">
        <v>530</v>
      </c>
      <c r="C603" s="35" t="s">
        <v>552</v>
      </c>
      <c r="D603">
        <v>3</v>
      </c>
    </row>
    <row r="604" spans="1:4" x14ac:dyDescent="0.25">
      <c r="A604" s="1">
        <v>45500</v>
      </c>
      <c r="B604" t="s">
        <v>533</v>
      </c>
      <c r="D604">
        <v>17</v>
      </c>
    </row>
    <row r="605" spans="1:4" x14ac:dyDescent="0.25">
      <c r="A605" s="1">
        <v>45501</v>
      </c>
      <c r="B605" t="s">
        <v>493</v>
      </c>
      <c r="C605" s="35" t="s">
        <v>514</v>
      </c>
      <c r="D605">
        <v>8</v>
      </c>
    </row>
    <row r="606" spans="1:4" x14ac:dyDescent="0.25">
      <c r="A606" s="1">
        <v>45501</v>
      </c>
      <c r="B606" t="s">
        <v>493</v>
      </c>
      <c r="C606" s="35" t="s">
        <v>542</v>
      </c>
      <c r="D606">
        <v>1</v>
      </c>
    </row>
    <row r="607" spans="1:4" x14ac:dyDescent="0.25">
      <c r="A607" s="1">
        <v>45501</v>
      </c>
      <c r="B607" t="s">
        <v>495</v>
      </c>
      <c r="D607">
        <v>9</v>
      </c>
    </row>
    <row r="608" spans="1:4" x14ac:dyDescent="0.25">
      <c r="A608" s="1">
        <v>45501</v>
      </c>
      <c r="B608" t="s">
        <v>536</v>
      </c>
      <c r="C608" s="35" t="s">
        <v>567</v>
      </c>
      <c r="D608">
        <v>3</v>
      </c>
    </row>
    <row r="609" spans="1:4" x14ac:dyDescent="0.25">
      <c r="A609" s="1">
        <v>45501</v>
      </c>
      <c r="B609" t="s">
        <v>540</v>
      </c>
      <c r="D609">
        <v>3</v>
      </c>
    </row>
    <row r="610" spans="1:4" x14ac:dyDescent="0.25">
      <c r="A610" s="1">
        <v>45501</v>
      </c>
      <c r="B610" t="s">
        <v>496</v>
      </c>
      <c r="C610" s="35" t="s">
        <v>515</v>
      </c>
      <c r="D610">
        <v>1</v>
      </c>
    </row>
    <row r="611" spans="1:4" x14ac:dyDescent="0.25">
      <c r="A611" s="1">
        <v>45501</v>
      </c>
      <c r="B611" t="s">
        <v>496</v>
      </c>
      <c r="C611" s="35" t="s">
        <v>567</v>
      </c>
      <c r="D611">
        <v>2</v>
      </c>
    </row>
    <row r="612" spans="1:4" x14ac:dyDescent="0.25">
      <c r="A612" s="1">
        <v>45501</v>
      </c>
      <c r="B612" t="s">
        <v>501</v>
      </c>
      <c r="D612">
        <v>3</v>
      </c>
    </row>
    <row r="613" spans="1:4" x14ac:dyDescent="0.25">
      <c r="A613" s="1">
        <v>45501</v>
      </c>
      <c r="B613" t="s">
        <v>502</v>
      </c>
      <c r="C613" s="35" t="s">
        <v>571</v>
      </c>
      <c r="D613">
        <v>14</v>
      </c>
    </row>
    <row r="614" spans="1:4" x14ac:dyDescent="0.25">
      <c r="A614" s="1">
        <v>45501</v>
      </c>
      <c r="B614" t="s">
        <v>504</v>
      </c>
      <c r="D614">
        <v>14</v>
      </c>
    </row>
    <row r="615" spans="1:4" x14ac:dyDescent="0.25">
      <c r="A615" s="1">
        <v>45501</v>
      </c>
      <c r="B615" t="s">
        <v>505</v>
      </c>
      <c r="C615" s="35" t="s">
        <v>494</v>
      </c>
      <c r="D615">
        <v>1</v>
      </c>
    </row>
    <row r="616" spans="1:4" x14ac:dyDescent="0.25">
      <c r="A616" s="1">
        <v>45501</v>
      </c>
      <c r="B616" t="s">
        <v>505</v>
      </c>
      <c r="C616" s="35" t="s">
        <v>518</v>
      </c>
      <c r="D616">
        <v>3</v>
      </c>
    </row>
    <row r="617" spans="1:4" x14ac:dyDescent="0.25">
      <c r="A617" s="1">
        <v>45501</v>
      </c>
      <c r="B617" t="s">
        <v>505</v>
      </c>
      <c r="C617" s="35" t="s">
        <v>499</v>
      </c>
      <c r="D617">
        <v>1</v>
      </c>
    </row>
    <row r="618" spans="1:4" x14ac:dyDescent="0.25">
      <c r="A618" s="1">
        <v>45501</v>
      </c>
      <c r="B618" t="s">
        <v>507</v>
      </c>
      <c r="D618">
        <v>5</v>
      </c>
    </row>
    <row r="619" spans="1:4" x14ac:dyDescent="0.25">
      <c r="A619" s="1">
        <v>45501</v>
      </c>
      <c r="B619" t="s">
        <v>543</v>
      </c>
      <c r="C619" s="35" t="s">
        <v>563</v>
      </c>
      <c r="D619">
        <v>7.2</v>
      </c>
    </row>
    <row r="620" spans="1:4" x14ac:dyDescent="0.25">
      <c r="A620" s="1">
        <v>45501</v>
      </c>
      <c r="B620" t="s">
        <v>543</v>
      </c>
      <c r="C620" s="35" t="s">
        <v>569</v>
      </c>
      <c r="D620">
        <v>2</v>
      </c>
    </row>
    <row r="621" spans="1:4" x14ac:dyDescent="0.25">
      <c r="A621" s="1">
        <v>45501</v>
      </c>
      <c r="B621" t="s">
        <v>546</v>
      </c>
      <c r="D621">
        <v>9.1999999999999993</v>
      </c>
    </row>
    <row r="622" spans="1:4" x14ac:dyDescent="0.25">
      <c r="A622" s="1">
        <v>45501</v>
      </c>
      <c r="B622" t="s">
        <v>508</v>
      </c>
      <c r="C622" s="35" t="s">
        <v>556</v>
      </c>
      <c r="D622">
        <v>1</v>
      </c>
    </row>
    <row r="623" spans="1:4" x14ac:dyDescent="0.25">
      <c r="A623" s="1">
        <v>45501</v>
      </c>
      <c r="B623" t="s">
        <v>508</v>
      </c>
      <c r="C623" s="35" t="s">
        <v>557</v>
      </c>
      <c r="D623">
        <v>2</v>
      </c>
    </row>
    <row r="624" spans="1:4" x14ac:dyDescent="0.25">
      <c r="A624" s="1">
        <v>45501</v>
      </c>
      <c r="B624" t="s">
        <v>508</v>
      </c>
      <c r="C624" s="35" t="s">
        <v>560</v>
      </c>
      <c r="D624">
        <v>5</v>
      </c>
    </row>
    <row r="625" spans="1:4" x14ac:dyDescent="0.25">
      <c r="A625" s="1">
        <v>45501</v>
      </c>
      <c r="B625" t="s">
        <v>508</v>
      </c>
      <c r="C625" s="35" t="s">
        <v>562</v>
      </c>
      <c r="D625">
        <v>5</v>
      </c>
    </row>
    <row r="626" spans="1:4" x14ac:dyDescent="0.25">
      <c r="A626" s="1">
        <v>45501</v>
      </c>
      <c r="B626" t="s">
        <v>512</v>
      </c>
      <c r="D626">
        <v>13</v>
      </c>
    </row>
    <row r="627" spans="1:4" x14ac:dyDescent="0.25">
      <c r="A627" s="1">
        <v>45501</v>
      </c>
      <c r="B627" t="s">
        <v>513</v>
      </c>
      <c r="C627" s="35" t="s">
        <v>541</v>
      </c>
      <c r="D627">
        <v>3</v>
      </c>
    </row>
    <row r="628" spans="1:4" x14ac:dyDescent="0.25">
      <c r="A628" s="1">
        <v>45501</v>
      </c>
      <c r="B628" t="s">
        <v>516</v>
      </c>
      <c r="D628">
        <v>3</v>
      </c>
    </row>
    <row r="629" spans="1:4" x14ac:dyDescent="0.25">
      <c r="A629" s="1">
        <v>45501</v>
      </c>
      <c r="B629" t="s">
        <v>517</v>
      </c>
      <c r="C629" s="35" t="s">
        <v>537</v>
      </c>
      <c r="D629">
        <v>2</v>
      </c>
    </row>
    <row r="630" spans="1:4" x14ac:dyDescent="0.25">
      <c r="A630" s="1">
        <v>45501</v>
      </c>
      <c r="B630" t="s">
        <v>517</v>
      </c>
      <c r="C630" s="35" t="s">
        <v>514</v>
      </c>
      <c r="D630">
        <v>1</v>
      </c>
    </row>
    <row r="631" spans="1:4" x14ac:dyDescent="0.25">
      <c r="A631" s="1">
        <v>45501</v>
      </c>
      <c r="B631" t="s">
        <v>517</v>
      </c>
      <c r="C631" s="35" t="s">
        <v>515</v>
      </c>
      <c r="D631">
        <v>15</v>
      </c>
    </row>
    <row r="632" spans="1:4" x14ac:dyDescent="0.25">
      <c r="A632" s="1">
        <v>45501</v>
      </c>
      <c r="B632" t="s">
        <v>517</v>
      </c>
      <c r="C632" s="35" t="s">
        <v>503</v>
      </c>
      <c r="D632">
        <v>1</v>
      </c>
    </row>
    <row r="633" spans="1:4" x14ac:dyDescent="0.25">
      <c r="A633" s="1">
        <v>45501</v>
      </c>
      <c r="B633" t="s">
        <v>517</v>
      </c>
      <c r="C633" s="35" t="s">
        <v>562</v>
      </c>
      <c r="D633">
        <v>4</v>
      </c>
    </row>
    <row r="634" spans="1:4" x14ac:dyDescent="0.25">
      <c r="A634" s="1">
        <v>45501</v>
      </c>
      <c r="B634" t="s">
        <v>519</v>
      </c>
      <c r="D634">
        <v>23</v>
      </c>
    </row>
    <row r="635" spans="1:4" x14ac:dyDescent="0.25">
      <c r="A635" s="1">
        <v>45501</v>
      </c>
      <c r="B635" t="s">
        <v>520</v>
      </c>
      <c r="C635" s="35" t="s">
        <v>499</v>
      </c>
      <c r="D635">
        <v>3</v>
      </c>
    </row>
    <row r="636" spans="1:4" x14ac:dyDescent="0.25">
      <c r="A636" s="1">
        <v>45501</v>
      </c>
      <c r="B636" t="s">
        <v>520</v>
      </c>
      <c r="C636" s="35" t="s">
        <v>567</v>
      </c>
      <c r="D636">
        <v>3</v>
      </c>
    </row>
    <row r="637" spans="1:4" x14ac:dyDescent="0.25">
      <c r="A637" s="1">
        <v>45501</v>
      </c>
      <c r="B637" t="s">
        <v>522</v>
      </c>
      <c r="D637">
        <v>6</v>
      </c>
    </row>
    <row r="638" spans="1:4" x14ac:dyDescent="0.25">
      <c r="A638" s="1">
        <v>45501</v>
      </c>
      <c r="B638" t="s">
        <v>523</v>
      </c>
      <c r="C638" s="35" t="s">
        <v>494</v>
      </c>
      <c r="D638">
        <v>1</v>
      </c>
    </row>
    <row r="639" spans="1:4" x14ac:dyDescent="0.25">
      <c r="A639" s="1">
        <v>45501</v>
      </c>
      <c r="B639" t="s">
        <v>523</v>
      </c>
      <c r="C639" s="35" t="s">
        <v>515</v>
      </c>
      <c r="D639">
        <v>1</v>
      </c>
    </row>
    <row r="640" spans="1:4" x14ac:dyDescent="0.25">
      <c r="A640" s="1">
        <v>45501</v>
      </c>
      <c r="B640" t="s">
        <v>525</v>
      </c>
      <c r="D640">
        <v>2</v>
      </c>
    </row>
    <row r="641" spans="1:4" x14ac:dyDescent="0.25">
      <c r="A641" s="1">
        <v>45501</v>
      </c>
      <c r="B641" t="s">
        <v>526</v>
      </c>
      <c r="C641" s="35" t="s">
        <v>561</v>
      </c>
      <c r="D641">
        <v>0.25</v>
      </c>
    </row>
    <row r="642" spans="1:4" x14ac:dyDescent="0.25">
      <c r="A642" s="1">
        <v>45501</v>
      </c>
      <c r="B642" t="s">
        <v>526</v>
      </c>
      <c r="C642" s="35" t="s">
        <v>560</v>
      </c>
      <c r="D642">
        <v>1</v>
      </c>
    </row>
    <row r="643" spans="1:4" x14ac:dyDescent="0.25">
      <c r="A643" s="1">
        <v>45501</v>
      </c>
      <c r="B643" t="s">
        <v>526</v>
      </c>
      <c r="C643" s="35" t="s">
        <v>514</v>
      </c>
      <c r="D643">
        <v>8</v>
      </c>
    </row>
    <row r="644" spans="1:4" x14ac:dyDescent="0.25">
      <c r="A644" s="1">
        <v>45501</v>
      </c>
      <c r="B644" t="s">
        <v>526</v>
      </c>
      <c r="C644" s="35" t="s">
        <v>554</v>
      </c>
      <c r="D644">
        <v>3</v>
      </c>
    </row>
    <row r="645" spans="1:4" x14ac:dyDescent="0.25">
      <c r="A645" s="1">
        <v>45501</v>
      </c>
      <c r="B645" t="s">
        <v>526</v>
      </c>
      <c r="C645" s="35" t="s">
        <v>562</v>
      </c>
      <c r="D645">
        <v>2</v>
      </c>
    </row>
    <row r="646" spans="1:4" x14ac:dyDescent="0.25">
      <c r="A646" s="1">
        <v>45501</v>
      </c>
      <c r="B646" t="s">
        <v>529</v>
      </c>
      <c r="D646">
        <v>14.25</v>
      </c>
    </row>
    <row r="647" spans="1:4" x14ac:dyDescent="0.25">
      <c r="A647" s="1">
        <v>45501</v>
      </c>
      <c r="B647" t="s">
        <v>530</v>
      </c>
      <c r="C647" s="35" t="s">
        <v>571</v>
      </c>
      <c r="D647">
        <v>4</v>
      </c>
    </row>
    <row r="648" spans="1:4" x14ac:dyDescent="0.25">
      <c r="A648" s="1">
        <v>45501</v>
      </c>
      <c r="B648" t="s">
        <v>533</v>
      </c>
      <c r="D648">
        <v>4</v>
      </c>
    </row>
    <row r="649" spans="1:4" x14ac:dyDescent="0.25">
      <c r="A649" s="1">
        <v>45502</v>
      </c>
      <c r="B649" t="s">
        <v>493</v>
      </c>
      <c r="C649" s="35" t="s">
        <v>553</v>
      </c>
      <c r="D649">
        <v>2</v>
      </c>
    </row>
    <row r="650" spans="1:4" x14ac:dyDescent="0.25">
      <c r="A650" s="1">
        <v>45502</v>
      </c>
      <c r="B650" t="s">
        <v>493</v>
      </c>
      <c r="C650" s="35" t="s">
        <v>568</v>
      </c>
      <c r="D650">
        <v>2</v>
      </c>
    </row>
    <row r="651" spans="1:4" x14ac:dyDescent="0.25">
      <c r="A651" s="1">
        <v>45502</v>
      </c>
      <c r="B651" t="s">
        <v>493</v>
      </c>
      <c r="C651" s="35" t="s">
        <v>544</v>
      </c>
      <c r="D651">
        <v>2</v>
      </c>
    </row>
    <row r="652" spans="1:4" x14ac:dyDescent="0.25">
      <c r="A652" s="1">
        <v>45502</v>
      </c>
      <c r="B652" t="s">
        <v>495</v>
      </c>
      <c r="D652">
        <v>6</v>
      </c>
    </row>
    <row r="653" spans="1:4" x14ac:dyDescent="0.25">
      <c r="A653" s="1">
        <v>45502</v>
      </c>
      <c r="B653" t="s">
        <v>536</v>
      </c>
      <c r="C653" s="35" t="s">
        <v>539</v>
      </c>
      <c r="D653">
        <v>1</v>
      </c>
    </row>
    <row r="654" spans="1:4" x14ac:dyDescent="0.25">
      <c r="A654" s="1">
        <v>45502</v>
      </c>
      <c r="B654" t="s">
        <v>540</v>
      </c>
      <c r="D654">
        <v>1</v>
      </c>
    </row>
    <row r="655" spans="1:4" x14ac:dyDescent="0.25">
      <c r="A655" s="1">
        <v>45502</v>
      </c>
      <c r="B655" t="s">
        <v>496</v>
      </c>
      <c r="C655" s="35" t="s">
        <v>571</v>
      </c>
      <c r="D655">
        <v>2</v>
      </c>
    </row>
    <row r="656" spans="1:4" x14ac:dyDescent="0.25">
      <c r="A656" s="1">
        <v>45502</v>
      </c>
      <c r="B656" t="s">
        <v>496</v>
      </c>
      <c r="C656" s="35" t="s">
        <v>561</v>
      </c>
      <c r="D656">
        <v>1</v>
      </c>
    </row>
    <row r="657" spans="1:4" x14ac:dyDescent="0.25">
      <c r="A657" s="1">
        <v>45502</v>
      </c>
      <c r="B657" t="s">
        <v>496</v>
      </c>
      <c r="C657" s="35" t="s">
        <v>538</v>
      </c>
      <c r="D657">
        <v>2</v>
      </c>
    </row>
    <row r="658" spans="1:4" x14ac:dyDescent="0.25">
      <c r="A658" s="1">
        <v>45502</v>
      </c>
      <c r="B658" t="s">
        <v>496</v>
      </c>
      <c r="C658" s="35" t="s">
        <v>565</v>
      </c>
      <c r="D658">
        <v>2</v>
      </c>
    </row>
    <row r="659" spans="1:4" x14ac:dyDescent="0.25">
      <c r="A659" s="1">
        <v>45502</v>
      </c>
      <c r="B659" t="s">
        <v>501</v>
      </c>
      <c r="D659">
        <v>7</v>
      </c>
    </row>
    <row r="660" spans="1:4" x14ac:dyDescent="0.25">
      <c r="A660" s="1">
        <v>45502</v>
      </c>
      <c r="B660" t="s">
        <v>502</v>
      </c>
      <c r="C660" s="35" t="s">
        <v>545</v>
      </c>
      <c r="D660">
        <v>2</v>
      </c>
    </row>
    <row r="661" spans="1:4" x14ac:dyDescent="0.25">
      <c r="A661" s="1">
        <v>45502</v>
      </c>
      <c r="B661" t="s">
        <v>504</v>
      </c>
      <c r="D661">
        <v>2</v>
      </c>
    </row>
    <row r="662" spans="1:4" x14ac:dyDescent="0.25">
      <c r="A662" s="1">
        <v>45502</v>
      </c>
      <c r="B662" t="s">
        <v>505</v>
      </c>
      <c r="C662" s="35" t="s">
        <v>559</v>
      </c>
      <c r="D662">
        <v>5</v>
      </c>
    </row>
    <row r="663" spans="1:4" x14ac:dyDescent="0.25">
      <c r="A663" s="1">
        <v>45502</v>
      </c>
      <c r="B663" t="s">
        <v>505</v>
      </c>
      <c r="C663" s="35" t="s">
        <v>515</v>
      </c>
      <c r="D663">
        <v>4.5</v>
      </c>
    </row>
    <row r="664" spans="1:4" x14ac:dyDescent="0.25">
      <c r="A664" s="1">
        <v>45502</v>
      </c>
      <c r="B664" t="s">
        <v>507</v>
      </c>
      <c r="D664">
        <v>9.5</v>
      </c>
    </row>
    <row r="665" spans="1:4" x14ac:dyDescent="0.25">
      <c r="A665" s="1">
        <v>45502</v>
      </c>
      <c r="B665" t="s">
        <v>508</v>
      </c>
      <c r="C665" s="35" t="s">
        <v>555</v>
      </c>
      <c r="D665">
        <v>7</v>
      </c>
    </row>
    <row r="666" spans="1:4" x14ac:dyDescent="0.25">
      <c r="A666" s="1">
        <v>45502</v>
      </c>
      <c r="B666" t="s">
        <v>508</v>
      </c>
      <c r="C666" s="35" t="s">
        <v>518</v>
      </c>
      <c r="D666">
        <v>2</v>
      </c>
    </row>
    <row r="667" spans="1:4" x14ac:dyDescent="0.25">
      <c r="A667" s="1">
        <v>45502</v>
      </c>
      <c r="B667" t="s">
        <v>512</v>
      </c>
      <c r="D667">
        <v>9</v>
      </c>
    </row>
    <row r="668" spans="1:4" x14ac:dyDescent="0.25">
      <c r="A668" s="1">
        <v>45502</v>
      </c>
      <c r="B668" t="s">
        <v>513</v>
      </c>
      <c r="C668" s="35" t="s">
        <v>531</v>
      </c>
      <c r="D668">
        <v>1</v>
      </c>
    </row>
    <row r="669" spans="1:4" x14ac:dyDescent="0.25">
      <c r="A669" s="1">
        <v>45502</v>
      </c>
      <c r="B669" t="s">
        <v>516</v>
      </c>
      <c r="D669">
        <v>1</v>
      </c>
    </row>
    <row r="670" spans="1:4" x14ac:dyDescent="0.25">
      <c r="A670" s="1">
        <v>45502</v>
      </c>
      <c r="B670" t="s">
        <v>517</v>
      </c>
      <c r="C670" s="35" t="s">
        <v>570</v>
      </c>
      <c r="D670">
        <v>1</v>
      </c>
    </row>
    <row r="671" spans="1:4" x14ac:dyDescent="0.25">
      <c r="A671" s="1">
        <v>45502</v>
      </c>
      <c r="B671" t="s">
        <v>517</v>
      </c>
      <c r="C671" s="35" t="s">
        <v>539</v>
      </c>
      <c r="D671">
        <v>4</v>
      </c>
    </row>
    <row r="672" spans="1:4" x14ac:dyDescent="0.25">
      <c r="A672" s="1">
        <v>45502</v>
      </c>
      <c r="B672" t="s">
        <v>519</v>
      </c>
      <c r="D672">
        <v>5</v>
      </c>
    </row>
    <row r="673" spans="1:4" x14ac:dyDescent="0.25">
      <c r="A673" s="1">
        <v>45502</v>
      </c>
      <c r="B673" t="s">
        <v>523</v>
      </c>
      <c r="C673" s="35" t="s">
        <v>537</v>
      </c>
      <c r="D673">
        <v>2</v>
      </c>
    </row>
    <row r="674" spans="1:4" x14ac:dyDescent="0.25">
      <c r="A674" s="1">
        <v>45502</v>
      </c>
      <c r="B674" t="s">
        <v>523</v>
      </c>
      <c r="C674" s="35" t="s">
        <v>568</v>
      </c>
      <c r="D674">
        <v>8</v>
      </c>
    </row>
    <row r="675" spans="1:4" x14ac:dyDescent="0.25">
      <c r="A675" s="1">
        <v>45502</v>
      </c>
      <c r="B675" t="s">
        <v>525</v>
      </c>
      <c r="D675">
        <v>10</v>
      </c>
    </row>
    <row r="676" spans="1:4" x14ac:dyDescent="0.25">
      <c r="A676" s="1">
        <v>45502</v>
      </c>
      <c r="B676" t="s">
        <v>526</v>
      </c>
      <c r="C676" s="35" t="s">
        <v>527</v>
      </c>
      <c r="D676">
        <v>2</v>
      </c>
    </row>
    <row r="677" spans="1:4" x14ac:dyDescent="0.25">
      <c r="A677" s="1">
        <v>45502</v>
      </c>
      <c r="B677" t="s">
        <v>526</v>
      </c>
      <c r="C677" s="35" t="s">
        <v>569</v>
      </c>
      <c r="D677">
        <v>2</v>
      </c>
    </row>
    <row r="678" spans="1:4" x14ac:dyDescent="0.25">
      <c r="A678" s="1">
        <v>45502</v>
      </c>
      <c r="B678" t="s">
        <v>526</v>
      </c>
      <c r="C678" s="35" t="s">
        <v>503</v>
      </c>
      <c r="D678">
        <v>4</v>
      </c>
    </row>
    <row r="679" spans="1:4" x14ac:dyDescent="0.25">
      <c r="A679" s="1">
        <v>45502</v>
      </c>
      <c r="B679" t="s">
        <v>529</v>
      </c>
      <c r="D679">
        <v>8</v>
      </c>
    </row>
    <row r="680" spans="1:4" x14ac:dyDescent="0.25">
      <c r="A680" s="1">
        <v>45502</v>
      </c>
      <c r="B680" t="s">
        <v>530</v>
      </c>
      <c r="C680" s="35" t="s">
        <v>524</v>
      </c>
      <c r="D680">
        <v>5</v>
      </c>
    </row>
    <row r="681" spans="1:4" x14ac:dyDescent="0.25">
      <c r="A681" s="1">
        <v>45502</v>
      </c>
      <c r="B681" t="s">
        <v>530</v>
      </c>
      <c r="C681" s="35" t="s">
        <v>570</v>
      </c>
      <c r="D681">
        <v>2</v>
      </c>
    </row>
    <row r="682" spans="1:4" x14ac:dyDescent="0.25">
      <c r="A682" s="1">
        <v>45502</v>
      </c>
      <c r="B682" t="s">
        <v>533</v>
      </c>
      <c r="D682">
        <v>7</v>
      </c>
    </row>
    <row r="683" spans="1:4" x14ac:dyDescent="0.25">
      <c r="A683" s="1">
        <v>45503</v>
      </c>
      <c r="B683" t="s">
        <v>490</v>
      </c>
      <c r="C683" s="35" t="s">
        <v>499</v>
      </c>
      <c r="D683">
        <v>1</v>
      </c>
    </row>
    <row r="684" spans="1:4" x14ac:dyDescent="0.25">
      <c r="A684" s="1">
        <v>45503</v>
      </c>
      <c r="B684" t="s">
        <v>490</v>
      </c>
      <c r="C684" s="35" t="s">
        <v>511</v>
      </c>
      <c r="D684">
        <v>6</v>
      </c>
    </row>
    <row r="685" spans="1:4" x14ac:dyDescent="0.25">
      <c r="A685" s="1">
        <v>45503</v>
      </c>
      <c r="B685" t="s">
        <v>492</v>
      </c>
      <c r="D685">
        <v>7</v>
      </c>
    </row>
    <row r="686" spans="1:4" x14ac:dyDescent="0.25">
      <c r="A686" s="1">
        <v>45503</v>
      </c>
      <c r="B686" t="s">
        <v>493</v>
      </c>
      <c r="C686" s="35" t="s">
        <v>553</v>
      </c>
      <c r="D686">
        <v>2</v>
      </c>
    </row>
    <row r="687" spans="1:4" x14ac:dyDescent="0.25">
      <c r="A687" s="1">
        <v>45503</v>
      </c>
      <c r="B687" t="s">
        <v>493</v>
      </c>
      <c r="C687" s="35" t="s">
        <v>511</v>
      </c>
      <c r="D687">
        <v>1</v>
      </c>
    </row>
    <row r="688" spans="1:4" x14ac:dyDescent="0.25">
      <c r="A688" s="1">
        <v>45503</v>
      </c>
      <c r="B688" t="s">
        <v>495</v>
      </c>
      <c r="D688">
        <v>3</v>
      </c>
    </row>
    <row r="689" spans="1:4" x14ac:dyDescent="0.25">
      <c r="A689" s="1">
        <v>45503</v>
      </c>
      <c r="B689" t="s">
        <v>536</v>
      </c>
      <c r="C689" s="35" t="s">
        <v>524</v>
      </c>
      <c r="D689">
        <v>2</v>
      </c>
    </row>
    <row r="690" spans="1:4" x14ac:dyDescent="0.25">
      <c r="A690" s="1">
        <v>45503</v>
      </c>
      <c r="B690" t="s">
        <v>536</v>
      </c>
      <c r="C690" s="35" t="s">
        <v>569</v>
      </c>
      <c r="D690">
        <v>3</v>
      </c>
    </row>
    <row r="691" spans="1:4" x14ac:dyDescent="0.25">
      <c r="A691" s="1">
        <v>45503</v>
      </c>
      <c r="B691" t="s">
        <v>540</v>
      </c>
      <c r="D691">
        <v>5</v>
      </c>
    </row>
    <row r="692" spans="1:4" x14ac:dyDescent="0.25">
      <c r="A692" s="1">
        <v>45503</v>
      </c>
      <c r="B692" t="s">
        <v>496</v>
      </c>
      <c r="C692" s="35" t="s">
        <v>494</v>
      </c>
      <c r="D692">
        <v>1</v>
      </c>
    </row>
    <row r="693" spans="1:4" x14ac:dyDescent="0.25">
      <c r="A693" s="1">
        <v>45503</v>
      </c>
      <c r="B693" t="s">
        <v>496</v>
      </c>
      <c r="C693" s="35" t="s">
        <v>561</v>
      </c>
      <c r="D693">
        <v>1</v>
      </c>
    </row>
    <row r="694" spans="1:4" x14ac:dyDescent="0.25">
      <c r="A694" s="1">
        <v>45503</v>
      </c>
      <c r="B694" t="s">
        <v>496</v>
      </c>
      <c r="C694" s="35" t="s">
        <v>573</v>
      </c>
      <c r="D694">
        <v>7</v>
      </c>
    </row>
    <row r="695" spans="1:4" x14ac:dyDescent="0.25">
      <c r="A695" s="1">
        <v>45503</v>
      </c>
      <c r="B695" t="s">
        <v>496</v>
      </c>
      <c r="C695" s="35" t="s">
        <v>549</v>
      </c>
      <c r="D695">
        <v>1</v>
      </c>
    </row>
    <row r="696" spans="1:4" x14ac:dyDescent="0.25">
      <c r="A696" s="1">
        <v>45503</v>
      </c>
      <c r="B696" t="s">
        <v>501</v>
      </c>
      <c r="D696">
        <v>10</v>
      </c>
    </row>
    <row r="697" spans="1:4" x14ac:dyDescent="0.25">
      <c r="A697" s="1">
        <v>45503</v>
      </c>
      <c r="B697" t="s">
        <v>502</v>
      </c>
      <c r="C697" s="35" t="s">
        <v>541</v>
      </c>
      <c r="D697">
        <v>2</v>
      </c>
    </row>
    <row r="698" spans="1:4" x14ac:dyDescent="0.25">
      <c r="A698" s="1">
        <v>45503</v>
      </c>
      <c r="B698" t="s">
        <v>504</v>
      </c>
      <c r="D698">
        <v>2</v>
      </c>
    </row>
    <row r="699" spans="1:4" x14ac:dyDescent="0.25">
      <c r="A699" s="1">
        <v>45503</v>
      </c>
      <c r="B699" t="s">
        <v>505</v>
      </c>
      <c r="C699" s="35" t="s">
        <v>556</v>
      </c>
      <c r="D699">
        <v>8</v>
      </c>
    </row>
    <row r="700" spans="1:4" x14ac:dyDescent="0.25">
      <c r="A700" s="1">
        <v>45503</v>
      </c>
      <c r="B700" t="s">
        <v>505</v>
      </c>
      <c r="C700" s="35" t="s">
        <v>498</v>
      </c>
      <c r="D700">
        <v>5</v>
      </c>
    </row>
    <row r="701" spans="1:4" x14ac:dyDescent="0.25">
      <c r="A701" s="1">
        <v>45503</v>
      </c>
      <c r="B701" t="s">
        <v>507</v>
      </c>
      <c r="D701">
        <v>13</v>
      </c>
    </row>
    <row r="702" spans="1:4" x14ac:dyDescent="0.25">
      <c r="A702" s="1">
        <v>45503</v>
      </c>
      <c r="B702" t="s">
        <v>543</v>
      </c>
      <c r="C702" s="35" t="s">
        <v>532</v>
      </c>
      <c r="D702">
        <v>2</v>
      </c>
    </row>
    <row r="703" spans="1:4" x14ac:dyDescent="0.25">
      <c r="A703" s="1">
        <v>45503</v>
      </c>
      <c r="B703" t="s">
        <v>543</v>
      </c>
      <c r="C703" s="35" t="s">
        <v>564</v>
      </c>
      <c r="D703">
        <v>2</v>
      </c>
    </row>
    <row r="704" spans="1:4" x14ac:dyDescent="0.25">
      <c r="A704" s="1">
        <v>45503</v>
      </c>
      <c r="B704" t="s">
        <v>543</v>
      </c>
      <c r="C704" s="35" t="s">
        <v>535</v>
      </c>
      <c r="D704">
        <v>31</v>
      </c>
    </row>
    <row r="705" spans="1:4" x14ac:dyDescent="0.25">
      <c r="A705" s="1">
        <v>45503</v>
      </c>
      <c r="B705" t="s">
        <v>546</v>
      </c>
      <c r="D705">
        <v>35</v>
      </c>
    </row>
    <row r="706" spans="1:4" x14ac:dyDescent="0.25">
      <c r="A706" s="1">
        <v>45503</v>
      </c>
      <c r="B706" t="s">
        <v>508</v>
      </c>
      <c r="C706" s="35" t="s">
        <v>566</v>
      </c>
      <c r="D706">
        <v>1</v>
      </c>
    </row>
    <row r="707" spans="1:4" x14ac:dyDescent="0.25">
      <c r="A707" s="1">
        <v>45503</v>
      </c>
      <c r="B707" t="s">
        <v>512</v>
      </c>
      <c r="D707">
        <v>1</v>
      </c>
    </row>
    <row r="708" spans="1:4" x14ac:dyDescent="0.25">
      <c r="A708" s="1">
        <v>45503</v>
      </c>
      <c r="B708" t="s">
        <v>520</v>
      </c>
      <c r="C708" s="35" t="s">
        <v>575</v>
      </c>
      <c r="D708">
        <v>1</v>
      </c>
    </row>
    <row r="709" spans="1:4" x14ac:dyDescent="0.25">
      <c r="A709" s="1">
        <v>45503</v>
      </c>
      <c r="B709" t="s">
        <v>520</v>
      </c>
      <c r="C709" s="35" t="s">
        <v>539</v>
      </c>
      <c r="D709">
        <v>3</v>
      </c>
    </row>
    <row r="710" spans="1:4" x14ac:dyDescent="0.25">
      <c r="A710" s="1">
        <v>45503</v>
      </c>
      <c r="B710" t="s">
        <v>520</v>
      </c>
      <c r="C710" s="35" t="s">
        <v>576</v>
      </c>
      <c r="D710">
        <v>8</v>
      </c>
    </row>
    <row r="711" spans="1:4" x14ac:dyDescent="0.25">
      <c r="A711" s="1">
        <v>45503</v>
      </c>
      <c r="B711" t="s">
        <v>522</v>
      </c>
      <c r="D711">
        <v>12</v>
      </c>
    </row>
    <row r="712" spans="1:4" x14ac:dyDescent="0.25">
      <c r="A712" s="1">
        <v>45503</v>
      </c>
      <c r="B712" t="s">
        <v>523</v>
      </c>
      <c r="C712" s="35" t="s">
        <v>537</v>
      </c>
      <c r="D712">
        <v>9</v>
      </c>
    </row>
    <row r="713" spans="1:4" x14ac:dyDescent="0.25">
      <c r="A713" s="1">
        <v>45503</v>
      </c>
      <c r="B713" t="s">
        <v>523</v>
      </c>
      <c r="C713" s="35" t="s">
        <v>498</v>
      </c>
      <c r="D713">
        <v>0.25</v>
      </c>
    </row>
    <row r="714" spans="1:4" x14ac:dyDescent="0.25">
      <c r="A714" s="1">
        <v>45503</v>
      </c>
      <c r="B714" t="s">
        <v>523</v>
      </c>
      <c r="C714" s="35" t="s">
        <v>503</v>
      </c>
      <c r="D714">
        <v>4</v>
      </c>
    </row>
    <row r="715" spans="1:4" x14ac:dyDescent="0.25">
      <c r="A715" s="1">
        <v>45503</v>
      </c>
      <c r="B715" t="s">
        <v>525</v>
      </c>
      <c r="D715">
        <v>13.25</v>
      </c>
    </row>
    <row r="716" spans="1:4" x14ac:dyDescent="0.25">
      <c r="A716" s="1">
        <v>45503</v>
      </c>
      <c r="B716" t="s">
        <v>526</v>
      </c>
      <c r="C716" s="35" t="s">
        <v>559</v>
      </c>
      <c r="D716">
        <v>1</v>
      </c>
    </row>
    <row r="717" spans="1:4" x14ac:dyDescent="0.25">
      <c r="A717" s="1">
        <v>45503</v>
      </c>
      <c r="B717" t="s">
        <v>526</v>
      </c>
      <c r="C717" s="35" t="s">
        <v>506</v>
      </c>
      <c r="D717">
        <v>4</v>
      </c>
    </row>
    <row r="718" spans="1:4" x14ac:dyDescent="0.25">
      <c r="A718" s="1">
        <v>45503</v>
      </c>
      <c r="B718" t="s">
        <v>529</v>
      </c>
      <c r="D718">
        <v>5</v>
      </c>
    </row>
    <row r="719" spans="1:4" x14ac:dyDescent="0.25">
      <c r="A719" s="1">
        <v>45503</v>
      </c>
      <c r="B719" t="s">
        <v>530</v>
      </c>
      <c r="C719" s="35" t="s">
        <v>531</v>
      </c>
      <c r="D719">
        <v>15</v>
      </c>
    </row>
    <row r="720" spans="1:4" x14ac:dyDescent="0.25">
      <c r="A720" s="1">
        <v>45503</v>
      </c>
      <c r="B720" t="s">
        <v>530</v>
      </c>
      <c r="C720" s="35" t="s">
        <v>570</v>
      </c>
      <c r="D720">
        <v>9</v>
      </c>
    </row>
    <row r="721" spans="1:4" x14ac:dyDescent="0.25">
      <c r="A721" s="1">
        <v>45503</v>
      </c>
      <c r="B721" t="s">
        <v>533</v>
      </c>
      <c r="D721">
        <v>24</v>
      </c>
    </row>
    <row r="722" spans="1:4" x14ac:dyDescent="0.25">
      <c r="A722" s="1">
        <v>45504</v>
      </c>
      <c r="B722" t="s">
        <v>490</v>
      </c>
      <c r="C722" s="35" t="s">
        <v>550</v>
      </c>
      <c r="D722">
        <v>1</v>
      </c>
    </row>
    <row r="723" spans="1:4" x14ac:dyDescent="0.25">
      <c r="A723" s="1">
        <v>45504</v>
      </c>
      <c r="B723" t="s">
        <v>492</v>
      </c>
      <c r="D723">
        <v>1</v>
      </c>
    </row>
    <row r="724" spans="1:4" x14ac:dyDescent="0.25">
      <c r="A724" s="1">
        <v>45504</v>
      </c>
      <c r="B724" t="s">
        <v>493</v>
      </c>
      <c r="C724" s="35" t="s">
        <v>547</v>
      </c>
      <c r="D724">
        <v>1</v>
      </c>
    </row>
    <row r="725" spans="1:4" x14ac:dyDescent="0.25">
      <c r="A725" s="1">
        <v>45504</v>
      </c>
      <c r="B725" t="s">
        <v>493</v>
      </c>
      <c r="C725" s="35" t="s">
        <v>511</v>
      </c>
      <c r="D725">
        <v>1</v>
      </c>
    </row>
    <row r="726" spans="1:4" x14ac:dyDescent="0.25">
      <c r="A726" s="1">
        <v>45504</v>
      </c>
      <c r="B726" t="s">
        <v>495</v>
      </c>
      <c r="D726">
        <v>2</v>
      </c>
    </row>
    <row r="727" spans="1:4" x14ac:dyDescent="0.25">
      <c r="A727" s="1">
        <v>45504</v>
      </c>
      <c r="B727" t="s">
        <v>496</v>
      </c>
      <c r="C727" s="35" t="s">
        <v>494</v>
      </c>
      <c r="D727">
        <v>2</v>
      </c>
    </row>
    <row r="728" spans="1:4" x14ac:dyDescent="0.25">
      <c r="A728" s="1">
        <v>45504</v>
      </c>
      <c r="B728" t="s">
        <v>496</v>
      </c>
      <c r="C728" s="35" t="s">
        <v>577</v>
      </c>
      <c r="D728">
        <v>1</v>
      </c>
    </row>
    <row r="729" spans="1:4" x14ac:dyDescent="0.25">
      <c r="A729" s="1">
        <v>45504</v>
      </c>
      <c r="B729" t="s">
        <v>501</v>
      </c>
      <c r="D729">
        <v>3</v>
      </c>
    </row>
    <row r="730" spans="1:4" x14ac:dyDescent="0.25">
      <c r="A730" s="1">
        <v>45504</v>
      </c>
      <c r="B730" t="s">
        <v>502</v>
      </c>
      <c r="C730" s="35" t="s">
        <v>563</v>
      </c>
      <c r="D730">
        <v>2</v>
      </c>
    </row>
    <row r="731" spans="1:4" x14ac:dyDescent="0.25">
      <c r="A731" s="1">
        <v>45504</v>
      </c>
      <c r="B731" t="s">
        <v>502</v>
      </c>
      <c r="C731" s="35" t="s">
        <v>569</v>
      </c>
      <c r="D731">
        <v>2</v>
      </c>
    </row>
    <row r="732" spans="1:4" x14ac:dyDescent="0.25">
      <c r="A732" s="1">
        <v>45504</v>
      </c>
      <c r="B732" t="s">
        <v>502</v>
      </c>
      <c r="C732" s="35" t="s">
        <v>551</v>
      </c>
      <c r="D732">
        <v>1</v>
      </c>
    </row>
    <row r="733" spans="1:4" x14ac:dyDescent="0.25">
      <c r="A733" s="1">
        <v>45504</v>
      </c>
      <c r="B733" t="s">
        <v>502</v>
      </c>
      <c r="C733" s="35" t="s">
        <v>572</v>
      </c>
      <c r="D733">
        <v>2</v>
      </c>
    </row>
    <row r="734" spans="1:4" x14ac:dyDescent="0.25">
      <c r="A734" s="1">
        <v>45504</v>
      </c>
      <c r="B734" t="s">
        <v>504</v>
      </c>
      <c r="D734">
        <v>7</v>
      </c>
    </row>
    <row r="735" spans="1:4" x14ac:dyDescent="0.25">
      <c r="A735" s="1">
        <v>45504</v>
      </c>
      <c r="B735" t="s">
        <v>505</v>
      </c>
      <c r="C735" s="35" t="s">
        <v>509</v>
      </c>
      <c r="D735">
        <v>14</v>
      </c>
    </row>
    <row r="736" spans="1:4" x14ac:dyDescent="0.25">
      <c r="A736" s="1">
        <v>45504</v>
      </c>
      <c r="B736" t="s">
        <v>505</v>
      </c>
      <c r="C736" s="35" t="s">
        <v>499</v>
      </c>
      <c r="D736">
        <v>2</v>
      </c>
    </row>
    <row r="737" spans="1:4" x14ac:dyDescent="0.25">
      <c r="A737" s="1">
        <v>45504</v>
      </c>
      <c r="B737" t="s">
        <v>505</v>
      </c>
      <c r="C737" s="35" t="s">
        <v>541</v>
      </c>
      <c r="D737">
        <v>6</v>
      </c>
    </row>
    <row r="738" spans="1:4" x14ac:dyDescent="0.25">
      <c r="A738" s="1">
        <v>45504</v>
      </c>
      <c r="B738" t="s">
        <v>505</v>
      </c>
      <c r="C738" s="35" t="s">
        <v>511</v>
      </c>
      <c r="D738">
        <v>2</v>
      </c>
    </row>
    <row r="739" spans="1:4" x14ac:dyDescent="0.25">
      <c r="A739" s="1">
        <v>45504</v>
      </c>
      <c r="B739" t="s">
        <v>505</v>
      </c>
      <c r="C739" s="35" t="s">
        <v>550</v>
      </c>
      <c r="D739">
        <v>7</v>
      </c>
    </row>
    <row r="740" spans="1:4" x14ac:dyDescent="0.25">
      <c r="A740" s="1">
        <v>45504</v>
      </c>
      <c r="B740" t="s">
        <v>507</v>
      </c>
      <c r="D740">
        <v>31</v>
      </c>
    </row>
    <row r="741" spans="1:4" x14ac:dyDescent="0.25">
      <c r="A741" s="1">
        <v>45504</v>
      </c>
      <c r="B741" t="s">
        <v>543</v>
      </c>
      <c r="C741" s="35" t="s">
        <v>556</v>
      </c>
      <c r="D741">
        <v>5</v>
      </c>
    </row>
    <row r="742" spans="1:4" x14ac:dyDescent="0.25">
      <c r="A742" s="1">
        <v>45504</v>
      </c>
      <c r="B742" t="s">
        <v>546</v>
      </c>
      <c r="D742">
        <v>5</v>
      </c>
    </row>
    <row r="743" spans="1:4" x14ac:dyDescent="0.25">
      <c r="A743" s="1">
        <v>45504</v>
      </c>
      <c r="B743" t="s">
        <v>508</v>
      </c>
      <c r="C743" s="35" t="s">
        <v>509</v>
      </c>
      <c r="D743">
        <v>15</v>
      </c>
    </row>
    <row r="744" spans="1:4" x14ac:dyDescent="0.25">
      <c r="A744" s="1">
        <v>45504</v>
      </c>
      <c r="B744" t="s">
        <v>508</v>
      </c>
      <c r="C744" s="35" t="s">
        <v>499</v>
      </c>
      <c r="D744">
        <v>3</v>
      </c>
    </row>
    <row r="745" spans="1:4" x14ac:dyDescent="0.25">
      <c r="A745" s="1">
        <v>45504</v>
      </c>
      <c r="B745" t="s">
        <v>508</v>
      </c>
      <c r="C745" s="35" t="s">
        <v>575</v>
      </c>
      <c r="D745">
        <v>2</v>
      </c>
    </row>
    <row r="746" spans="1:4" x14ac:dyDescent="0.25">
      <c r="A746" s="1">
        <v>45504</v>
      </c>
      <c r="B746" t="s">
        <v>512</v>
      </c>
      <c r="D746">
        <v>20</v>
      </c>
    </row>
    <row r="747" spans="1:4" x14ac:dyDescent="0.25">
      <c r="A747" s="1">
        <v>45504</v>
      </c>
      <c r="B747" t="s">
        <v>513</v>
      </c>
      <c r="C747" s="35" t="s">
        <v>499</v>
      </c>
      <c r="D747">
        <v>2</v>
      </c>
    </row>
    <row r="748" spans="1:4" x14ac:dyDescent="0.25">
      <c r="A748" s="1">
        <v>45504</v>
      </c>
      <c r="B748" t="s">
        <v>516</v>
      </c>
      <c r="D748">
        <v>2</v>
      </c>
    </row>
    <row r="749" spans="1:4" x14ac:dyDescent="0.25">
      <c r="A749" s="1">
        <v>45504</v>
      </c>
      <c r="B749" t="s">
        <v>517</v>
      </c>
      <c r="C749" s="35" t="s">
        <v>553</v>
      </c>
      <c r="D749">
        <v>1</v>
      </c>
    </row>
    <row r="750" spans="1:4" x14ac:dyDescent="0.25">
      <c r="A750" s="1">
        <v>45504</v>
      </c>
      <c r="B750" t="s">
        <v>517</v>
      </c>
      <c r="C750" s="35" t="s">
        <v>559</v>
      </c>
      <c r="D750">
        <v>1</v>
      </c>
    </row>
    <row r="751" spans="1:4" x14ac:dyDescent="0.25">
      <c r="A751" s="1">
        <v>45504</v>
      </c>
      <c r="B751" t="s">
        <v>517</v>
      </c>
      <c r="C751" s="35" t="s">
        <v>538</v>
      </c>
      <c r="D751">
        <v>4</v>
      </c>
    </row>
    <row r="752" spans="1:4" x14ac:dyDescent="0.25">
      <c r="A752" s="1">
        <v>45504</v>
      </c>
      <c r="B752" t="s">
        <v>517</v>
      </c>
      <c r="C752" s="35" t="s">
        <v>550</v>
      </c>
      <c r="D752">
        <v>2</v>
      </c>
    </row>
    <row r="753" spans="1:4" x14ac:dyDescent="0.25">
      <c r="A753" s="1">
        <v>45504</v>
      </c>
      <c r="B753" t="s">
        <v>519</v>
      </c>
      <c r="D753">
        <v>8</v>
      </c>
    </row>
    <row r="754" spans="1:4" x14ac:dyDescent="0.25">
      <c r="A754" s="1">
        <v>45504</v>
      </c>
      <c r="B754" t="s">
        <v>520</v>
      </c>
      <c r="C754" s="35" t="s">
        <v>550</v>
      </c>
      <c r="D754">
        <v>6</v>
      </c>
    </row>
    <row r="755" spans="1:4" x14ac:dyDescent="0.25">
      <c r="A755" s="1">
        <v>45504</v>
      </c>
      <c r="B755" t="s">
        <v>520</v>
      </c>
      <c r="C755" s="35" t="s">
        <v>521</v>
      </c>
      <c r="D755">
        <v>2</v>
      </c>
    </row>
    <row r="756" spans="1:4" x14ac:dyDescent="0.25">
      <c r="A756" s="1">
        <v>45504</v>
      </c>
      <c r="B756" t="s">
        <v>522</v>
      </c>
      <c r="D756">
        <v>8</v>
      </c>
    </row>
    <row r="757" spans="1:4" x14ac:dyDescent="0.25">
      <c r="A757" s="1">
        <v>45504</v>
      </c>
      <c r="B757" t="s">
        <v>523</v>
      </c>
      <c r="C757" s="35" t="s">
        <v>555</v>
      </c>
      <c r="D757">
        <v>12</v>
      </c>
    </row>
    <row r="758" spans="1:4" x14ac:dyDescent="0.25">
      <c r="A758" s="1">
        <v>45504</v>
      </c>
      <c r="B758" t="s">
        <v>523</v>
      </c>
      <c r="C758" s="35" t="s">
        <v>527</v>
      </c>
      <c r="D758">
        <v>1</v>
      </c>
    </row>
    <row r="759" spans="1:4" x14ac:dyDescent="0.25">
      <c r="A759" s="1">
        <v>45504</v>
      </c>
      <c r="B759" t="s">
        <v>523</v>
      </c>
      <c r="C759" s="35" t="s">
        <v>499</v>
      </c>
      <c r="D759">
        <v>2</v>
      </c>
    </row>
    <row r="760" spans="1:4" x14ac:dyDescent="0.25">
      <c r="A760" s="1">
        <v>45504</v>
      </c>
      <c r="B760" t="s">
        <v>523</v>
      </c>
      <c r="C760" s="35" t="s">
        <v>550</v>
      </c>
      <c r="D760">
        <v>8</v>
      </c>
    </row>
    <row r="761" spans="1:4" x14ac:dyDescent="0.25">
      <c r="A761" s="1">
        <v>45504</v>
      </c>
      <c r="B761" t="s">
        <v>523</v>
      </c>
      <c r="C761" s="35" t="s">
        <v>565</v>
      </c>
      <c r="D761">
        <v>3</v>
      </c>
    </row>
    <row r="762" spans="1:4" x14ac:dyDescent="0.25">
      <c r="A762" s="1">
        <v>45504</v>
      </c>
      <c r="B762" t="s">
        <v>525</v>
      </c>
      <c r="D762">
        <v>26</v>
      </c>
    </row>
    <row r="763" spans="1:4" x14ac:dyDescent="0.25">
      <c r="A763" s="1">
        <v>45504</v>
      </c>
      <c r="B763" t="s">
        <v>526</v>
      </c>
      <c r="C763" s="35" t="s">
        <v>564</v>
      </c>
      <c r="D763">
        <v>5</v>
      </c>
    </row>
    <row r="764" spans="1:4" x14ac:dyDescent="0.25">
      <c r="A764" s="1">
        <v>45504</v>
      </c>
      <c r="B764" t="s">
        <v>526</v>
      </c>
      <c r="C764" s="35" t="s">
        <v>537</v>
      </c>
      <c r="D764">
        <v>2.2000000000000002</v>
      </c>
    </row>
    <row r="765" spans="1:4" x14ac:dyDescent="0.25">
      <c r="A765" s="1">
        <v>45504</v>
      </c>
      <c r="B765" t="s">
        <v>529</v>
      </c>
      <c r="D765">
        <v>7.2</v>
      </c>
    </row>
    <row r="766" spans="1:4" x14ac:dyDescent="0.25">
      <c r="A766" s="1">
        <v>45504</v>
      </c>
      <c r="B766" t="s">
        <v>530</v>
      </c>
      <c r="C766" s="35" t="s">
        <v>524</v>
      </c>
      <c r="D766">
        <v>6.25</v>
      </c>
    </row>
    <row r="767" spans="1:4" x14ac:dyDescent="0.25">
      <c r="A767" s="1">
        <v>45504</v>
      </c>
      <c r="B767" t="s">
        <v>533</v>
      </c>
      <c r="D767">
        <v>6.25</v>
      </c>
    </row>
    <row r="768" spans="1:4" x14ac:dyDescent="0.25">
      <c r="A768" s="1">
        <v>45505</v>
      </c>
      <c r="B768" t="s">
        <v>490</v>
      </c>
      <c r="C768" s="35" t="s">
        <v>539</v>
      </c>
      <c r="D768">
        <v>1</v>
      </c>
    </row>
    <row r="769" spans="1:4" x14ac:dyDescent="0.25">
      <c r="A769" s="1">
        <v>45505</v>
      </c>
      <c r="B769" t="s">
        <v>492</v>
      </c>
      <c r="D769">
        <v>1</v>
      </c>
    </row>
    <row r="770" spans="1:4" x14ac:dyDescent="0.25">
      <c r="A770" s="1">
        <v>45505</v>
      </c>
      <c r="B770" t="s">
        <v>493</v>
      </c>
      <c r="C770" s="35" t="s">
        <v>569</v>
      </c>
      <c r="D770">
        <v>5</v>
      </c>
    </row>
    <row r="771" spans="1:4" x14ac:dyDescent="0.25">
      <c r="A771" s="1">
        <v>45505</v>
      </c>
      <c r="B771" t="s">
        <v>493</v>
      </c>
      <c r="C771" s="35" t="s">
        <v>553</v>
      </c>
      <c r="D771">
        <v>3</v>
      </c>
    </row>
    <row r="772" spans="1:4" x14ac:dyDescent="0.25">
      <c r="A772" s="1">
        <v>45505</v>
      </c>
      <c r="B772" t="s">
        <v>493</v>
      </c>
      <c r="C772" s="35" t="s">
        <v>498</v>
      </c>
      <c r="D772">
        <v>4</v>
      </c>
    </row>
    <row r="773" spans="1:4" x14ac:dyDescent="0.25">
      <c r="A773" s="1">
        <v>45505</v>
      </c>
      <c r="B773" t="s">
        <v>495</v>
      </c>
      <c r="D773">
        <v>12</v>
      </c>
    </row>
    <row r="774" spans="1:4" x14ac:dyDescent="0.25">
      <c r="A774" s="1">
        <v>45505</v>
      </c>
      <c r="B774" t="s">
        <v>536</v>
      </c>
      <c r="C774" s="35" t="s">
        <v>558</v>
      </c>
      <c r="D774">
        <v>41</v>
      </c>
    </row>
    <row r="775" spans="1:4" x14ac:dyDescent="0.25">
      <c r="A775" s="1">
        <v>45505</v>
      </c>
      <c r="B775" t="s">
        <v>536</v>
      </c>
      <c r="C775" s="35" t="s">
        <v>552</v>
      </c>
      <c r="D775">
        <v>1</v>
      </c>
    </row>
    <row r="776" spans="1:4" x14ac:dyDescent="0.25">
      <c r="A776" s="1">
        <v>45505</v>
      </c>
      <c r="B776" t="s">
        <v>536</v>
      </c>
      <c r="C776" s="35" t="s">
        <v>515</v>
      </c>
      <c r="D776">
        <v>1</v>
      </c>
    </row>
    <row r="777" spans="1:4" x14ac:dyDescent="0.25">
      <c r="A777" s="1">
        <v>45505</v>
      </c>
      <c r="B777" t="s">
        <v>536</v>
      </c>
      <c r="C777" s="35" t="s">
        <v>554</v>
      </c>
      <c r="D777">
        <v>1.5</v>
      </c>
    </row>
    <row r="778" spans="1:4" x14ac:dyDescent="0.25">
      <c r="A778" s="1">
        <v>45505</v>
      </c>
      <c r="B778" t="s">
        <v>536</v>
      </c>
      <c r="C778" s="35" t="s">
        <v>550</v>
      </c>
      <c r="D778">
        <v>2</v>
      </c>
    </row>
    <row r="779" spans="1:4" x14ac:dyDescent="0.25">
      <c r="A779" s="1">
        <v>45505</v>
      </c>
      <c r="B779" t="s">
        <v>540</v>
      </c>
      <c r="D779">
        <v>46.5</v>
      </c>
    </row>
    <row r="780" spans="1:4" x14ac:dyDescent="0.25">
      <c r="A780" s="1">
        <v>45505</v>
      </c>
      <c r="B780" t="s">
        <v>496</v>
      </c>
      <c r="C780" s="35" t="s">
        <v>500</v>
      </c>
      <c r="D780">
        <v>3</v>
      </c>
    </row>
    <row r="781" spans="1:4" x14ac:dyDescent="0.25">
      <c r="A781" s="1">
        <v>45505</v>
      </c>
      <c r="B781" t="s">
        <v>501</v>
      </c>
      <c r="D781">
        <v>3</v>
      </c>
    </row>
    <row r="782" spans="1:4" x14ac:dyDescent="0.25">
      <c r="A782" s="1">
        <v>45505</v>
      </c>
      <c r="B782" t="s">
        <v>502</v>
      </c>
      <c r="C782" s="35" t="s">
        <v>559</v>
      </c>
      <c r="D782">
        <v>1</v>
      </c>
    </row>
    <row r="783" spans="1:4" x14ac:dyDescent="0.25">
      <c r="A783" s="1">
        <v>45505</v>
      </c>
      <c r="B783" t="s">
        <v>502</v>
      </c>
      <c r="C783" s="35" t="s">
        <v>554</v>
      </c>
      <c r="D783">
        <v>0.5</v>
      </c>
    </row>
    <row r="784" spans="1:4" x14ac:dyDescent="0.25">
      <c r="A784" s="1">
        <v>45505</v>
      </c>
      <c r="B784" t="s">
        <v>504</v>
      </c>
      <c r="D784">
        <v>1.5</v>
      </c>
    </row>
    <row r="785" spans="1:4" x14ac:dyDescent="0.25">
      <c r="A785" s="1">
        <v>45505</v>
      </c>
      <c r="B785" t="s">
        <v>505</v>
      </c>
      <c r="C785" s="35" t="s">
        <v>573</v>
      </c>
      <c r="D785">
        <v>1</v>
      </c>
    </row>
    <row r="786" spans="1:4" x14ac:dyDescent="0.25">
      <c r="A786" s="1">
        <v>45505</v>
      </c>
      <c r="B786" t="s">
        <v>507</v>
      </c>
      <c r="D786">
        <v>1</v>
      </c>
    </row>
    <row r="787" spans="1:4" x14ac:dyDescent="0.25">
      <c r="A787" s="1">
        <v>45505</v>
      </c>
      <c r="B787" t="s">
        <v>543</v>
      </c>
      <c r="C787" s="35" t="s">
        <v>535</v>
      </c>
      <c r="D787">
        <v>3</v>
      </c>
    </row>
    <row r="788" spans="1:4" x14ac:dyDescent="0.25">
      <c r="A788" s="1">
        <v>45505</v>
      </c>
      <c r="B788" t="s">
        <v>543</v>
      </c>
      <c r="C788" s="35" t="s">
        <v>538</v>
      </c>
      <c r="D788">
        <v>2</v>
      </c>
    </row>
    <row r="789" spans="1:4" x14ac:dyDescent="0.25">
      <c r="A789" s="1">
        <v>45505</v>
      </c>
      <c r="B789" t="s">
        <v>543</v>
      </c>
      <c r="C789" s="35" t="s">
        <v>515</v>
      </c>
      <c r="D789">
        <v>1</v>
      </c>
    </row>
    <row r="790" spans="1:4" x14ac:dyDescent="0.25">
      <c r="A790" s="1">
        <v>45505</v>
      </c>
      <c r="B790" t="s">
        <v>546</v>
      </c>
      <c r="D790">
        <v>6</v>
      </c>
    </row>
    <row r="791" spans="1:4" x14ac:dyDescent="0.25">
      <c r="A791" s="1">
        <v>45505</v>
      </c>
      <c r="B791" t="s">
        <v>508</v>
      </c>
      <c r="C791" s="35" t="s">
        <v>571</v>
      </c>
      <c r="D791">
        <v>6.25</v>
      </c>
    </row>
    <row r="792" spans="1:4" x14ac:dyDescent="0.25">
      <c r="A792" s="1">
        <v>45505</v>
      </c>
      <c r="B792" t="s">
        <v>508</v>
      </c>
      <c r="C792" s="35" t="s">
        <v>567</v>
      </c>
      <c r="D792">
        <v>4</v>
      </c>
    </row>
    <row r="793" spans="1:4" x14ac:dyDescent="0.25">
      <c r="A793" s="1">
        <v>45505</v>
      </c>
      <c r="B793" t="s">
        <v>512</v>
      </c>
      <c r="D793">
        <v>10.25</v>
      </c>
    </row>
    <row r="794" spans="1:4" x14ac:dyDescent="0.25">
      <c r="A794" s="1">
        <v>45505</v>
      </c>
      <c r="B794" t="s">
        <v>513</v>
      </c>
      <c r="C794" s="35" t="s">
        <v>574</v>
      </c>
      <c r="D794">
        <v>13</v>
      </c>
    </row>
    <row r="795" spans="1:4" x14ac:dyDescent="0.25">
      <c r="A795" s="1">
        <v>45505</v>
      </c>
      <c r="B795" t="s">
        <v>513</v>
      </c>
      <c r="C795" s="35" t="s">
        <v>571</v>
      </c>
      <c r="D795">
        <v>2</v>
      </c>
    </row>
    <row r="796" spans="1:4" x14ac:dyDescent="0.25">
      <c r="A796" s="1">
        <v>45505</v>
      </c>
      <c r="B796" t="s">
        <v>513</v>
      </c>
      <c r="C796" s="35" t="s">
        <v>518</v>
      </c>
    </row>
    <row r="797" spans="1:4" x14ac:dyDescent="0.25">
      <c r="A797" s="1">
        <v>45505</v>
      </c>
      <c r="B797" t="s">
        <v>513</v>
      </c>
      <c r="C797" s="35" t="s">
        <v>575</v>
      </c>
      <c r="D797">
        <v>13</v>
      </c>
    </row>
    <row r="798" spans="1:4" x14ac:dyDescent="0.25">
      <c r="A798" s="1">
        <v>45505</v>
      </c>
      <c r="B798" t="s">
        <v>513</v>
      </c>
      <c r="C798" s="35" t="s">
        <v>576</v>
      </c>
    </row>
    <row r="799" spans="1:4" x14ac:dyDescent="0.25">
      <c r="A799" s="1">
        <v>45505</v>
      </c>
      <c r="B799" t="s">
        <v>516</v>
      </c>
      <c r="D799">
        <v>28</v>
      </c>
    </row>
    <row r="800" spans="1:4" x14ac:dyDescent="0.25">
      <c r="A800" s="1">
        <v>45505</v>
      </c>
      <c r="B800" t="s">
        <v>517</v>
      </c>
      <c r="C800" s="35" t="s">
        <v>556</v>
      </c>
      <c r="D800">
        <v>3</v>
      </c>
    </row>
    <row r="801" spans="1:4" x14ac:dyDescent="0.25">
      <c r="A801" s="1">
        <v>45505</v>
      </c>
      <c r="B801" t="s">
        <v>517</v>
      </c>
      <c r="C801" s="35" t="s">
        <v>521</v>
      </c>
      <c r="D801">
        <v>1</v>
      </c>
    </row>
    <row r="802" spans="1:4" x14ac:dyDescent="0.25">
      <c r="A802" s="1">
        <v>45505</v>
      </c>
      <c r="B802" t="s">
        <v>517</v>
      </c>
      <c r="C802" s="35" t="s">
        <v>539</v>
      </c>
      <c r="D802">
        <v>1</v>
      </c>
    </row>
    <row r="803" spans="1:4" x14ac:dyDescent="0.25">
      <c r="A803" s="1">
        <v>45505</v>
      </c>
      <c r="B803" t="s">
        <v>519</v>
      </c>
      <c r="D803">
        <v>5</v>
      </c>
    </row>
    <row r="804" spans="1:4" x14ac:dyDescent="0.25">
      <c r="A804" s="1">
        <v>45505</v>
      </c>
      <c r="B804" t="s">
        <v>520</v>
      </c>
      <c r="C804" s="35" t="s">
        <v>531</v>
      </c>
      <c r="D804">
        <v>1</v>
      </c>
    </row>
    <row r="805" spans="1:4" x14ac:dyDescent="0.25">
      <c r="A805" s="1">
        <v>45505</v>
      </c>
      <c r="B805" t="s">
        <v>520</v>
      </c>
      <c r="C805" s="35" t="s">
        <v>535</v>
      </c>
      <c r="D805">
        <v>2</v>
      </c>
    </row>
    <row r="806" spans="1:4" x14ac:dyDescent="0.25">
      <c r="A806" s="1">
        <v>45505</v>
      </c>
      <c r="B806" t="s">
        <v>520</v>
      </c>
      <c r="C806" s="35" t="s">
        <v>491</v>
      </c>
      <c r="D806">
        <v>20</v>
      </c>
    </row>
    <row r="807" spans="1:4" x14ac:dyDescent="0.25">
      <c r="A807" s="1">
        <v>45505</v>
      </c>
      <c r="B807" t="s">
        <v>522</v>
      </c>
      <c r="D807">
        <v>23</v>
      </c>
    </row>
    <row r="808" spans="1:4" x14ac:dyDescent="0.25">
      <c r="A808" s="1">
        <v>45505</v>
      </c>
      <c r="B808" t="s">
        <v>523</v>
      </c>
      <c r="C808" s="35" t="s">
        <v>555</v>
      </c>
      <c r="D808">
        <v>4</v>
      </c>
    </row>
    <row r="809" spans="1:4" x14ac:dyDescent="0.25">
      <c r="A809" s="1">
        <v>45505</v>
      </c>
      <c r="B809" t="s">
        <v>523</v>
      </c>
      <c r="C809" s="35" t="s">
        <v>564</v>
      </c>
      <c r="D809">
        <v>5</v>
      </c>
    </row>
    <row r="810" spans="1:4" x14ac:dyDescent="0.25">
      <c r="A810" s="1">
        <v>45505</v>
      </c>
      <c r="B810" t="s">
        <v>523</v>
      </c>
      <c r="C810" s="35" t="s">
        <v>551</v>
      </c>
      <c r="D810">
        <v>3</v>
      </c>
    </row>
    <row r="811" spans="1:4" x14ac:dyDescent="0.25">
      <c r="A811" s="1">
        <v>45505</v>
      </c>
      <c r="B811" t="s">
        <v>523</v>
      </c>
      <c r="C811" s="35" t="s">
        <v>514</v>
      </c>
      <c r="D811">
        <v>1</v>
      </c>
    </row>
    <row r="812" spans="1:4" x14ac:dyDescent="0.25">
      <c r="A812" s="1">
        <v>45505</v>
      </c>
      <c r="B812" t="s">
        <v>523</v>
      </c>
      <c r="C812" s="35" t="s">
        <v>503</v>
      </c>
      <c r="D812">
        <v>3</v>
      </c>
    </row>
    <row r="813" spans="1:4" x14ac:dyDescent="0.25">
      <c r="A813" s="1">
        <v>45505</v>
      </c>
      <c r="B813" t="s">
        <v>525</v>
      </c>
      <c r="D813">
        <v>16</v>
      </c>
    </row>
    <row r="814" spans="1:4" x14ac:dyDescent="0.25">
      <c r="A814" s="1">
        <v>45505</v>
      </c>
      <c r="B814" t="s">
        <v>526</v>
      </c>
      <c r="C814" s="35" t="s">
        <v>534</v>
      </c>
      <c r="D814">
        <v>4</v>
      </c>
    </row>
    <row r="815" spans="1:4" x14ac:dyDescent="0.25">
      <c r="A815" s="1">
        <v>45505</v>
      </c>
      <c r="B815" t="s">
        <v>526</v>
      </c>
      <c r="C815" s="35" t="s">
        <v>555</v>
      </c>
      <c r="D815">
        <v>1</v>
      </c>
    </row>
    <row r="816" spans="1:4" x14ac:dyDescent="0.25">
      <c r="A816" s="1">
        <v>45505</v>
      </c>
      <c r="B816" t="s">
        <v>526</v>
      </c>
      <c r="C816" s="35" t="s">
        <v>532</v>
      </c>
      <c r="D816">
        <v>10</v>
      </c>
    </row>
    <row r="817" spans="1:4" x14ac:dyDescent="0.25">
      <c r="A817" s="1">
        <v>45505</v>
      </c>
      <c r="B817" t="s">
        <v>526</v>
      </c>
      <c r="C817" s="35" t="s">
        <v>574</v>
      </c>
      <c r="D817">
        <v>2</v>
      </c>
    </row>
    <row r="818" spans="1:4" x14ac:dyDescent="0.25">
      <c r="A818" s="1">
        <v>45505</v>
      </c>
      <c r="B818" t="s">
        <v>526</v>
      </c>
      <c r="C818" s="35" t="s">
        <v>538</v>
      </c>
      <c r="D818">
        <v>1</v>
      </c>
    </row>
    <row r="819" spans="1:4" x14ac:dyDescent="0.25">
      <c r="A819" s="1">
        <v>45505</v>
      </c>
      <c r="B819" t="s">
        <v>526</v>
      </c>
      <c r="C819" s="35" t="s">
        <v>528</v>
      </c>
      <c r="D819">
        <v>1</v>
      </c>
    </row>
    <row r="820" spans="1:4" x14ac:dyDescent="0.25">
      <c r="A820" s="1">
        <v>45505</v>
      </c>
      <c r="B820" t="s">
        <v>526</v>
      </c>
      <c r="C820" s="35" t="s">
        <v>575</v>
      </c>
      <c r="D820">
        <v>5</v>
      </c>
    </row>
    <row r="821" spans="1:4" x14ac:dyDescent="0.25">
      <c r="A821" s="1">
        <v>45505</v>
      </c>
      <c r="B821" t="s">
        <v>529</v>
      </c>
      <c r="D821">
        <v>24</v>
      </c>
    </row>
    <row r="822" spans="1:4" x14ac:dyDescent="0.25">
      <c r="A822" s="1">
        <v>45505</v>
      </c>
      <c r="B822" t="s">
        <v>530</v>
      </c>
      <c r="C822" s="35" t="s">
        <v>556</v>
      </c>
      <c r="D822">
        <v>3</v>
      </c>
    </row>
    <row r="823" spans="1:4" x14ac:dyDescent="0.25">
      <c r="A823" s="1">
        <v>45505</v>
      </c>
      <c r="B823" t="s">
        <v>530</v>
      </c>
      <c r="C823" s="35" t="s">
        <v>528</v>
      </c>
      <c r="D823">
        <v>0.25</v>
      </c>
    </row>
    <row r="824" spans="1:4" x14ac:dyDescent="0.25">
      <c r="A824" s="1">
        <v>45505</v>
      </c>
      <c r="B824" t="s">
        <v>533</v>
      </c>
      <c r="D824">
        <v>3.25</v>
      </c>
    </row>
    <row r="825" spans="1:4" x14ac:dyDescent="0.25">
      <c r="A825" s="1">
        <v>45506</v>
      </c>
      <c r="B825" t="s">
        <v>578</v>
      </c>
      <c r="C825" s="35" t="s">
        <v>562</v>
      </c>
      <c r="D825">
        <v>2</v>
      </c>
    </row>
    <row r="826" spans="1:4" x14ac:dyDescent="0.25">
      <c r="A826" s="1">
        <v>45506</v>
      </c>
      <c r="B826" t="s">
        <v>578</v>
      </c>
      <c r="C826" s="35" t="s">
        <v>511</v>
      </c>
      <c r="D826">
        <v>2</v>
      </c>
    </row>
    <row r="827" spans="1:4" x14ac:dyDescent="0.25">
      <c r="A827" s="1">
        <v>45506</v>
      </c>
      <c r="B827" t="s">
        <v>579</v>
      </c>
      <c r="D827">
        <v>4</v>
      </c>
    </row>
    <row r="828" spans="1:4" x14ac:dyDescent="0.25">
      <c r="A828" s="1">
        <v>45506</v>
      </c>
      <c r="B828" t="s">
        <v>493</v>
      </c>
      <c r="C828" s="35" t="s">
        <v>510</v>
      </c>
      <c r="D828">
        <v>1</v>
      </c>
    </row>
    <row r="829" spans="1:4" x14ac:dyDescent="0.25">
      <c r="A829" s="1">
        <v>45506</v>
      </c>
      <c r="B829" t="s">
        <v>493</v>
      </c>
      <c r="C829" s="35" t="s">
        <v>554</v>
      </c>
      <c r="D829">
        <v>3</v>
      </c>
    </row>
    <row r="830" spans="1:4" x14ac:dyDescent="0.25">
      <c r="A830" s="1">
        <v>45506</v>
      </c>
      <c r="B830" t="s">
        <v>493</v>
      </c>
      <c r="C830" s="35" t="s">
        <v>568</v>
      </c>
      <c r="D830">
        <v>2</v>
      </c>
    </row>
    <row r="831" spans="1:4" x14ac:dyDescent="0.25">
      <c r="A831" s="1">
        <v>45506</v>
      </c>
      <c r="B831" t="s">
        <v>495</v>
      </c>
      <c r="D831">
        <v>6</v>
      </c>
    </row>
    <row r="832" spans="1:4" x14ac:dyDescent="0.25">
      <c r="A832" s="1">
        <v>45506</v>
      </c>
      <c r="B832" t="s">
        <v>536</v>
      </c>
      <c r="C832" s="35" t="s">
        <v>514</v>
      </c>
      <c r="D832">
        <v>2</v>
      </c>
    </row>
    <row r="833" spans="1:4" x14ac:dyDescent="0.25">
      <c r="A833" s="1">
        <v>45506</v>
      </c>
      <c r="B833" t="s">
        <v>536</v>
      </c>
      <c r="C833" s="35" t="s">
        <v>539</v>
      </c>
      <c r="D833">
        <v>2</v>
      </c>
    </row>
    <row r="834" spans="1:4" x14ac:dyDescent="0.25">
      <c r="A834" s="1">
        <v>45506</v>
      </c>
      <c r="B834" t="s">
        <v>536</v>
      </c>
      <c r="C834" s="35" t="s">
        <v>567</v>
      </c>
      <c r="D834">
        <v>4</v>
      </c>
    </row>
    <row r="835" spans="1:4" x14ac:dyDescent="0.25">
      <c r="A835" s="1">
        <v>45506</v>
      </c>
      <c r="B835" t="s">
        <v>536</v>
      </c>
      <c r="C835" s="35" t="s">
        <v>576</v>
      </c>
      <c r="D835">
        <v>1</v>
      </c>
    </row>
    <row r="836" spans="1:4" x14ac:dyDescent="0.25">
      <c r="A836" s="1">
        <v>45506</v>
      </c>
      <c r="B836" t="s">
        <v>540</v>
      </c>
      <c r="D836">
        <v>9</v>
      </c>
    </row>
    <row r="837" spans="1:4" x14ac:dyDescent="0.25">
      <c r="A837" s="1">
        <v>45506</v>
      </c>
      <c r="B837" t="s">
        <v>496</v>
      </c>
      <c r="C837" s="35" t="s">
        <v>499</v>
      </c>
      <c r="D837">
        <v>4</v>
      </c>
    </row>
    <row r="838" spans="1:4" x14ac:dyDescent="0.25">
      <c r="A838" s="1">
        <v>45506</v>
      </c>
      <c r="B838" t="s">
        <v>501</v>
      </c>
      <c r="D838">
        <v>4</v>
      </c>
    </row>
    <row r="839" spans="1:4" x14ac:dyDescent="0.25">
      <c r="A839" s="1">
        <v>45506</v>
      </c>
      <c r="B839" t="s">
        <v>502</v>
      </c>
      <c r="C839" s="35" t="s">
        <v>568</v>
      </c>
      <c r="D839">
        <v>1</v>
      </c>
    </row>
    <row r="840" spans="1:4" x14ac:dyDescent="0.25">
      <c r="A840" s="1">
        <v>45506</v>
      </c>
      <c r="B840" t="s">
        <v>502</v>
      </c>
      <c r="C840" s="35" t="s">
        <v>549</v>
      </c>
      <c r="D840">
        <v>2</v>
      </c>
    </row>
    <row r="841" spans="1:4" x14ac:dyDescent="0.25">
      <c r="A841" s="1">
        <v>45506</v>
      </c>
      <c r="B841" t="s">
        <v>504</v>
      </c>
      <c r="D841">
        <v>3</v>
      </c>
    </row>
    <row r="842" spans="1:4" x14ac:dyDescent="0.25">
      <c r="A842" s="1">
        <v>45506</v>
      </c>
      <c r="B842" t="s">
        <v>505</v>
      </c>
      <c r="C842" s="35" t="s">
        <v>497</v>
      </c>
      <c r="D842">
        <v>1</v>
      </c>
    </row>
    <row r="843" spans="1:4" x14ac:dyDescent="0.25">
      <c r="A843" s="1">
        <v>45506</v>
      </c>
      <c r="B843" t="s">
        <v>507</v>
      </c>
      <c r="D843">
        <v>1</v>
      </c>
    </row>
    <row r="844" spans="1:4" x14ac:dyDescent="0.25">
      <c r="A844" s="1">
        <v>45506</v>
      </c>
      <c r="B844" t="s">
        <v>543</v>
      </c>
      <c r="C844" s="35" t="s">
        <v>511</v>
      </c>
      <c r="D844">
        <v>1</v>
      </c>
    </row>
    <row r="845" spans="1:4" x14ac:dyDescent="0.25">
      <c r="A845" s="1">
        <v>45506</v>
      </c>
      <c r="B845" t="s">
        <v>546</v>
      </c>
      <c r="D845">
        <v>1</v>
      </c>
    </row>
    <row r="846" spans="1:4" x14ac:dyDescent="0.25">
      <c r="A846" s="1">
        <v>45506</v>
      </c>
      <c r="B846" t="s">
        <v>508</v>
      </c>
      <c r="C846" s="35" t="s">
        <v>577</v>
      </c>
      <c r="D846">
        <v>1</v>
      </c>
    </row>
    <row r="847" spans="1:4" x14ac:dyDescent="0.25">
      <c r="A847" s="1">
        <v>45506</v>
      </c>
      <c r="B847" t="s">
        <v>508</v>
      </c>
      <c r="C847" s="35" t="s">
        <v>510</v>
      </c>
      <c r="D847">
        <v>6</v>
      </c>
    </row>
    <row r="848" spans="1:4" x14ac:dyDescent="0.25">
      <c r="A848" s="1">
        <v>45506</v>
      </c>
      <c r="B848" t="s">
        <v>508</v>
      </c>
      <c r="C848" s="35" t="s">
        <v>547</v>
      </c>
      <c r="D848">
        <v>3</v>
      </c>
    </row>
    <row r="849" spans="1:4" x14ac:dyDescent="0.25">
      <c r="A849" s="1">
        <v>45506</v>
      </c>
      <c r="B849" t="s">
        <v>508</v>
      </c>
      <c r="C849" s="35" t="s">
        <v>568</v>
      </c>
      <c r="D849">
        <v>1</v>
      </c>
    </row>
    <row r="850" spans="1:4" x14ac:dyDescent="0.25">
      <c r="A850" s="1">
        <v>45506</v>
      </c>
      <c r="B850" t="s">
        <v>508</v>
      </c>
      <c r="C850" s="35" t="s">
        <v>545</v>
      </c>
      <c r="D850">
        <v>1</v>
      </c>
    </row>
    <row r="851" spans="1:4" x14ac:dyDescent="0.25">
      <c r="A851" s="1">
        <v>45506</v>
      </c>
      <c r="B851" t="s">
        <v>512</v>
      </c>
      <c r="D851">
        <v>12</v>
      </c>
    </row>
    <row r="852" spans="1:4" x14ac:dyDescent="0.25">
      <c r="A852" s="1">
        <v>45506</v>
      </c>
      <c r="B852" t="s">
        <v>513</v>
      </c>
      <c r="C852" s="35" t="s">
        <v>534</v>
      </c>
      <c r="D852">
        <v>4</v>
      </c>
    </row>
    <row r="853" spans="1:4" x14ac:dyDescent="0.25">
      <c r="A853" s="1">
        <v>45506</v>
      </c>
      <c r="B853" t="s">
        <v>516</v>
      </c>
      <c r="D853">
        <v>4</v>
      </c>
    </row>
    <row r="854" spans="1:4" x14ac:dyDescent="0.25">
      <c r="A854" s="1">
        <v>45506</v>
      </c>
      <c r="B854" t="s">
        <v>517</v>
      </c>
      <c r="C854" s="35" t="s">
        <v>547</v>
      </c>
      <c r="D854">
        <v>1</v>
      </c>
    </row>
    <row r="855" spans="1:4" x14ac:dyDescent="0.25">
      <c r="A855" s="1">
        <v>45506</v>
      </c>
      <c r="B855" t="s">
        <v>517</v>
      </c>
      <c r="C855" s="35" t="s">
        <v>549</v>
      </c>
      <c r="D855">
        <v>25</v>
      </c>
    </row>
    <row r="856" spans="1:4" x14ac:dyDescent="0.25">
      <c r="A856" s="1">
        <v>45506</v>
      </c>
      <c r="B856" t="s">
        <v>519</v>
      </c>
      <c r="D856">
        <v>26</v>
      </c>
    </row>
    <row r="857" spans="1:4" x14ac:dyDescent="0.25">
      <c r="A857" s="1">
        <v>45506</v>
      </c>
      <c r="B857" t="s">
        <v>520</v>
      </c>
      <c r="C857" s="35" t="s">
        <v>532</v>
      </c>
      <c r="D857">
        <v>17</v>
      </c>
    </row>
    <row r="858" spans="1:4" x14ac:dyDescent="0.25">
      <c r="A858" s="1">
        <v>45506</v>
      </c>
      <c r="B858" t="s">
        <v>520</v>
      </c>
      <c r="C858" s="35" t="s">
        <v>497</v>
      </c>
      <c r="D858">
        <v>2</v>
      </c>
    </row>
    <row r="859" spans="1:4" x14ac:dyDescent="0.25">
      <c r="A859" s="1">
        <v>45506</v>
      </c>
      <c r="B859" t="s">
        <v>520</v>
      </c>
      <c r="C859" s="35" t="s">
        <v>562</v>
      </c>
      <c r="D859">
        <v>4.75</v>
      </c>
    </row>
    <row r="860" spans="1:4" x14ac:dyDescent="0.25">
      <c r="A860" s="1">
        <v>45506</v>
      </c>
      <c r="B860" t="s">
        <v>522</v>
      </c>
      <c r="D860">
        <v>23.75</v>
      </c>
    </row>
    <row r="861" spans="1:4" x14ac:dyDescent="0.25">
      <c r="A861" s="1">
        <v>45506</v>
      </c>
      <c r="B861" t="s">
        <v>523</v>
      </c>
      <c r="C861" s="35" t="s">
        <v>491</v>
      </c>
      <c r="D861">
        <v>9</v>
      </c>
    </row>
    <row r="862" spans="1:4" x14ac:dyDescent="0.25">
      <c r="A862" s="1">
        <v>45506</v>
      </c>
      <c r="B862" t="s">
        <v>525</v>
      </c>
      <c r="D862">
        <v>9</v>
      </c>
    </row>
    <row r="863" spans="1:4" x14ac:dyDescent="0.25">
      <c r="A863" s="1">
        <v>45506</v>
      </c>
      <c r="B863" t="s">
        <v>526</v>
      </c>
      <c r="C863" s="35" t="s">
        <v>574</v>
      </c>
    </row>
    <row r="864" spans="1:4" x14ac:dyDescent="0.25">
      <c r="A864" s="1">
        <v>45506</v>
      </c>
      <c r="B864" t="s">
        <v>526</v>
      </c>
      <c r="C864" s="35" t="s">
        <v>561</v>
      </c>
    </row>
    <row r="865" spans="1:4" x14ac:dyDescent="0.25">
      <c r="A865" s="1">
        <v>45506</v>
      </c>
      <c r="B865" t="s">
        <v>526</v>
      </c>
      <c r="C865" s="35" t="s">
        <v>576</v>
      </c>
      <c r="D865">
        <v>3</v>
      </c>
    </row>
    <row r="866" spans="1:4" x14ac:dyDescent="0.25">
      <c r="A866" s="1">
        <v>45506</v>
      </c>
      <c r="B866" t="s">
        <v>529</v>
      </c>
      <c r="D866">
        <v>3</v>
      </c>
    </row>
    <row r="867" spans="1:4" x14ac:dyDescent="0.25">
      <c r="A867" s="1">
        <v>45506</v>
      </c>
      <c r="B867" t="s">
        <v>530</v>
      </c>
      <c r="C867" s="35" t="s">
        <v>535</v>
      </c>
      <c r="D867">
        <v>1</v>
      </c>
    </row>
    <row r="868" spans="1:4" x14ac:dyDescent="0.25">
      <c r="A868" s="1">
        <v>45506</v>
      </c>
      <c r="B868" t="s">
        <v>530</v>
      </c>
      <c r="C868" s="35" t="s">
        <v>518</v>
      </c>
      <c r="D868">
        <v>3</v>
      </c>
    </row>
    <row r="869" spans="1:4" x14ac:dyDescent="0.25">
      <c r="A869" s="1">
        <v>45506</v>
      </c>
      <c r="B869" t="s">
        <v>533</v>
      </c>
      <c r="D869">
        <v>4</v>
      </c>
    </row>
    <row r="870" spans="1:4" x14ac:dyDescent="0.25">
      <c r="A870" s="1">
        <v>45507</v>
      </c>
      <c r="B870" t="s">
        <v>493</v>
      </c>
      <c r="C870" s="35" t="s">
        <v>509</v>
      </c>
      <c r="D870">
        <v>2</v>
      </c>
    </row>
    <row r="871" spans="1:4" x14ac:dyDescent="0.25">
      <c r="A871" s="1">
        <v>45507</v>
      </c>
      <c r="B871" t="s">
        <v>493</v>
      </c>
      <c r="C871" s="35" t="s">
        <v>524</v>
      </c>
      <c r="D871">
        <v>6</v>
      </c>
    </row>
    <row r="872" spans="1:4" x14ac:dyDescent="0.25">
      <c r="A872" s="1">
        <v>45507</v>
      </c>
      <c r="B872" t="s">
        <v>493</v>
      </c>
      <c r="C872" s="35" t="s">
        <v>574</v>
      </c>
      <c r="D872">
        <v>2.2000000000000002</v>
      </c>
    </row>
    <row r="873" spans="1:4" x14ac:dyDescent="0.25">
      <c r="A873" s="1">
        <v>45507</v>
      </c>
      <c r="B873" t="s">
        <v>493</v>
      </c>
      <c r="C873" s="35" t="s">
        <v>570</v>
      </c>
      <c r="D873">
        <v>3</v>
      </c>
    </row>
    <row r="874" spans="1:4" x14ac:dyDescent="0.25">
      <c r="A874" s="1">
        <v>45507</v>
      </c>
      <c r="B874" t="s">
        <v>493</v>
      </c>
      <c r="C874" s="35" t="s">
        <v>528</v>
      </c>
      <c r="D874">
        <v>3</v>
      </c>
    </row>
    <row r="875" spans="1:4" x14ac:dyDescent="0.25">
      <c r="A875" s="1">
        <v>45507</v>
      </c>
      <c r="B875" t="s">
        <v>493</v>
      </c>
      <c r="C875" s="35" t="s">
        <v>491</v>
      </c>
      <c r="D875">
        <v>3</v>
      </c>
    </row>
    <row r="876" spans="1:4" x14ac:dyDescent="0.25">
      <c r="A876" s="1">
        <v>45507</v>
      </c>
      <c r="B876" t="s">
        <v>495</v>
      </c>
      <c r="D876">
        <v>19.2</v>
      </c>
    </row>
    <row r="877" spans="1:4" x14ac:dyDescent="0.25">
      <c r="A877" s="1">
        <v>45507</v>
      </c>
      <c r="B877" t="s">
        <v>536</v>
      </c>
      <c r="C877" s="35" t="s">
        <v>556</v>
      </c>
      <c r="D877">
        <v>2</v>
      </c>
    </row>
    <row r="878" spans="1:4" x14ac:dyDescent="0.25">
      <c r="A878" s="1">
        <v>45507</v>
      </c>
      <c r="B878" t="s">
        <v>536</v>
      </c>
      <c r="C878" s="35" t="s">
        <v>574</v>
      </c>
      <c r="D878">
        <v>1</v>
      </c>
    </row>
    <row r="879" spans="1:4" x14ac:dyDescent="0.25">
      <c r="A879" s="1">
        <v>45507</v>
      </c>
      <c r="B879" t="s">
        <v>536</v>
      </c>
      <c r="C879" s="35" t="s">
        <v>537</v>
      </c>
      <c r="D879">
        <v>2</v>
      </c>
    </row>
    <row r="880" spans="1:4" x14ac:dyDescent="0.25">
      <c r="A880" s="1">
        <v>45507</v>
      </c>
      <c r="B880" t="s">
        <v>540</v>
      </c>
      <c r="D880">
        <v>5</v>
      </c>
    </row>
    <row r="881" spans="1:4" x14ac:dyDescent="0.25">
      <c r="A881" s="1">
        <v>45507</v>
      </c>
      <c r="B881" t="s">
        <v>496</v>
      </c>
      <c r="C881" s="35" t="s">
        <v>574</v>
      </c>
      <c r="D881">
        <v>2</v>
      </c>
    </row>
    <row r="882" spans="1:4" x14ac:dyDescent="0.25">
      <c r="A882" s="1">
        <v>45507</v>
      </c>
      <c r="B882" t="s">
        <v>496</v>
      </c>
      <c r="C882" s="35" t="s">
        <v>542</v>
      </c>
      <c r="D882">
        <v>8</v>
      </c>
    </row>
    <row r="883" spans="1:4" x14ac:dyDescent="0.25">
      <c r="A883" s="1">
        <v>45507</v>
      </c>
      <c r="B883" t="s">
        <v>501</v>
      </c>
      <c r="D883">
        <v>10</v>
      </c>
    </row>
    <row r="884" spans="1:4" x14ac:dyDescent="0.25">
      <c r="A884" s="1">
        <v>45507</v>
      </c>
      <c r="B884" t="s">
        <v>502</v>
      </c>
      <c r="C884" s="35" t="s">
        <v>509</v>
      </c>
      <c r="D884">
        <v>1</v>
      </c>
    </row>
    <row r="885" spans="1:4" x14ac:dyDescent="0.25">
      <c r="A885" s="1">
        <v>45507</v>
      </c>
      <c r="B885" t="s">
        <v>502</v>
      </c>
      <c r="C885" s="35" t="s">
        <v>569</v>
      </c>
      <c r="D885">
        <v>1</v>
      </c>
    </row>
    <row r="886" spans="1:4" x14ac:dyDescent="0.25">
      <c r="A886" s="1">
        <v>45507</v>
      </c>
      <c r="B886" t="s">
        <v>502</v>
      </c>
      <c r="C886" s="35" t="s">
        <v>576</v>
      </c>
      <c r="D886">
        <v>3</v>
      </c>
    </row>
    <row r="887" spans="1:4" x14ac:dyDescent="0.25">
      <c r="A887" s="1">
        <v>45507</v>
      </c>
      <c r="B887" t="s">
        <v>504</v>
      </c>
      <c r="D887">
        <v>5</v>
      </c>
    </row>
    <row r="888" spans="1:4" x14ac:dyDescent="0.25">
      <c r="A888" s="1">
        <v>45507</v>
      </c>
      <c r="B888" t="s">
        <v>505</v>
      </c>
      <c r="C888" s="35" t="s">
        <v>534</v>
      </c>
      <c r="D888">
        <v>3</v>
      </c>
    </row>
    <row r="889" spans="1:4" x14ac:dyDescent="0.25">
      <c r="A889" s="1">
        <v>45507</v>
      </c>
      <c r="B889" t="s">
        <v>505</v>
      </c>
      <c r="C889" s="35" t="s">
        <v>531</v>
      </c>
      <c r="D889">
        <v>7</v>
      </c>
    </row>
    <row r="890" spans="1:4" x14ac:dyDescent="0.25">
      <c r="A890" s="1">
        <v>45507</v>
      </c>
      <c r="B890" t="s">
        <v>505</v>
      </c>
      <c r="C890" s="35" t="s">
        <v>499</v>
      </c>
      <c r="D890">
        <v>4</v>
      </c>
    </row>
    <row r="891" spans="1:4" x14ac:dyDescent="0.25">
      <c r="A891" s="1">
        <v>45507</v>
      </c>
      <c r="B891" t="s">
        <v>505</v>
      </c>
      <c r="C891" s="35" t="s">
        <v>542</v>
      </c>
      <c r="D891">
        <v>5</v>
      </c>
    </row>
    <row r="892" spans="1:4" x14ac:dyDescent="0.25">
      <c r="A892" s="1">
        <v>45507</v>
      </c>
      <c r="B892" t="s">
        <v>505</v>
      </c>
      <c r="C892" s="35" t="s">
        <v>565</v>
      </c>
      <c r="D892">
        <v>5</v>
      </c>
    </row>
    <row r="893" spans="1:4" x14ac:dyDescent="0.25">
      <c r="A893" s="1">
        <v>45507</v>
      </c>
      <c r="B893" t="s">
        <v>507</v>
      </c>
      <c r="D893">
        <v>24</v>
      </c>
    </row>
    <row r="894" spans="1:4" x14ac:dyDescent="0.25">
      <c r="A894" s="1">
        <v>45507</v>
      </c>
      <c r="B894" t="s">
        <v>543</v>
      </c>
      <c r="C894" s="35" t="s">
        <v>569</v>
      </c>
      <c r="D894">
        <v>2</v>
      </c>
    </row>
    <row r="895" spans="1:4" x14ac:dyDescent="0.25">
      <c r="A895" s="1">
        <v>45507</v>
      </c>
      <c r="B895" t="s">
        <v>543</v>
      </c>
      <c r="C895" s="35" t="s">
        <v>574</v>
      </c>
      <c r="D895">
        <v>2.5</v>
      </c>
    </row>
    <row r="896" spans="1:4" x14ac:dyDescent="0.25">
      <c r="A896" s="1">
        <v>45507</v>
      </c>
      <c r="B896" t="s">
        <v>543</v>
      </c>
      <c r="C896" s="35" t="s">
        <v>571</v>
      </c>
      <c r="D896">
        <v>3</v>
      </c>
    </row>
    <row r="897" spans="1:4" x14ac:dyDescent="0.25">
      <c r="A897" s="1">
        <v>45507</v>
      </c>
      <c r="B897" t="s">
        <v>543</v>
      </c>
      <c r="C897" s="35" t="s">
        <v>538</v>
      </c>
      <c r="D897">
        <v>5</v>
      </c>
    </row>
    <row r="898" spans="1:4" x14ac:dyDescent="0.25">
      <c r="A898" s="1">
        <v>45507</v>
      </c>
      <c r="B898" t="s">
        <v>543</v>
      </c>
      <c r="C898" s="35" t="s">
        <v>554</v>
      </c>
      <c r="D898">
        <v>7</v>
      </c>
    </row>
    <row r="899" spans="1:4" x14ac:dyDescent="0.25">
      <c r="A899" s="1">
        <v>45507</v>
      </c>
      <c r="B899" t="s">
        <v>543</v>
      </c>
      <c r="C899" s="35" t="s">
        <v>562</v>
      </c>
      <c r="D899">
        <v>3</v>
      </c>
    </row>
    <row r="900" spans="1:4" x14ac:dyDescent="0.25">
      <c r="A900" s="1">
        <v>45507</v>
      </c>
      <c r="B900" t="s">
        <v>543</v>
      </c>
      <c r="C900" s="35" t="s">
        <v>521</v>
      </c>
      <c r="D900">
        <v>7</v>
      </c>
    </row>
    <row r="901" spans="1:4" x14ac:dyDescent="0.25">
      <c r="A901" s="1">
        <v>45507</v>
      </c>
      <c r="B901" t="s">
        <v>546</v>
      </c>
      <c r="D901">
        <v>29.5</v>
      </c>
    </row>
    <row r="902" spans="1:4" x14ac:dyDescent="0.25">
      <c r="A902" s="1">
        <v>45507</v>
      </c>
      <c r="B902" t="s">
        <v>508</v>
      </c>
      <c r="C902" s="35" t="s">
        <v>564</v>
      </c>
      <c r="D902">
        <v>6</v>
      </c>
    </row>
    <row r="903" spans="1:4" x14ac:dyDescent="0.25">
      <c r="A903" s="1">
        <v>45507</v>
      </c>
      <c r="B903" t="s">
        <v>508</v>
      </c>
      <c r="C903" s="35" t="s">
        <v>497</v>
      </c>
      <c r="D903">
        <v>3</v>
      </c>
    </row>
    <row r="904" spans="1:4" x14ac:dyDescent="0.25">
      <c r="A904" s="1">
        <v>45507</v>
      </c>
      <c r="B904" t="s">
        <v>512</v>
      </c>
      <c r="D904">
        <v>9</v>
      </c>
    </row>
    <row r="905" spans="1:4" x14ac:dyDescent="0.25">
      <c r="A905" s="1">
        <v>45507</v>
      </c>
      <c r="B905" t="s">
        <v>513</v>
      </c>
      <c r="C905" s="35" t="s">
        <v>572</v>
      </c>
      <c r="D905">
        <v>1</v>
      </c>
    </row>
    <row r="906" spans="1:4" x14ac:dyDescent="0.25">
      <c r="A906" s="1">
        <v>45507</v>
      </c>
      <c r="B906" t="s">
        <v>516</v>
      </c>
      <c r="D906">
        <v>1</v>
      </c>
    </row>
    <row r="907" spans="1:4" x14ac:dyDescent="0.25">
      <c r="A907" s="1">
        <v>45507</v>
      </c>
      <c r="B907" t="s">
        <v>517</v>
      </c>
      <c r="C907" s="35" t="s">
        <v>552</v>
      </c>
      <c r="D907">
        <v>0.75</v>
      </c>
    </row>
    <row r="908" spans="1:4" x14ac:dyDescent="0.25">
      <c r="A908" s="1">
        <v>45507</v>
      </c>
      <c r="B908" t="s">
        <v>517</v>
      </c>
      <c r="C908" s="35" t="s">
        <v>498</v>
      </c>
      <c r="D908">
        <v>5.75</v>
      </c>
    </row>
    <row r="909" spans="1:4" x14ac:dyDescent="0.25">
      <c r="A909" s="1">
        <v>45507</v>
      </c>
      <c r="B909" t="s">
        <v>517</v>
      </c>
      <c r="C909" s="35" t="s">
        <v>572</v>
      </c>
      <c r="D909">
        <v>2</v>
      </c>
    </row>
    <row r="910" spans="1:4" x14ac:dyDescent="0.25">
      <c r="A910" s="1">
        <v>45507</v>
      </c>
      <c r="B910" t="s">
        <v>519</v>
      </c>
      <c r="D910">
        <v>8.5</v>
      </c>
    </row>
    <row r="911" spans="1:4" x14ac:dyDescent="0.25">
      <c r="A911" s="1">
        <v>45507</v>
      </c>
      <c r="B911" t="s">
        <v>520</v>
      </c>
      <c r="C911" s="35" t="s">
        <v>570</v>
      </c>
      <c r="D911">
        <v>14</v>
      </c>
    </row>
    <row r="912" spans="1:4" x14ac:dyDescent="0.25">
      <c r="A912" s="1">
        <v>45507</v>
      </c>
      <c r="B912" t="s">
        <v>520</v>
      </c>
      <c r="C912" s="35" t="s">
        <v>549</v>
      </c>
      <c r="D912">
        <v>7</v>
      </c>
    </row>
    <row r="913" spans="1:4" x14ac:dyDescent="0.25">
      <c r="A913" s="1">
        <v>45507</v>
      </c>
      <c r="B913" t="s">
        <v>522</v>
      </c>
      <c r="D913">
        <v>21</v>
      </c>
    </row>
    <row r="914" spans="1:4" x14ac:dyDescent="0.25">
      <c r="A914" s="1">
        <v>45507</v>
      </c>
      <c r="B914" t="s">
        <v>523</v>
      </c>
      <c r="C914" s="35" t="s">
        <v>535</v>
      </c>
      <c r="D914">
        <v>1</v>
      </c>
    </row>
    <row r="915" spans="1:4" x14ac:dyDescent="0.25">
      <c r="A915" s="1">
        <v>45507</v>
      </c>
      <c r="B915" t="s">
        <v>523</v>
      </c>
      <c r="C915" s="35" t="s">
        <v>515</v>
      </c>
      <c r="D915">
        <v>3</v>
      </c>
    </row>
    <row r="916" spans="1:4" x14ac:dyDescent="0.25">
      <c r="A916" s="1">
        <v>45507</v>
      </c>
      <c r="B916" t="s">
        <v>525</v>
      </c>
      <c r="D916">
        <v>4</v>
      </c>
    </row>
    <row r="917" spans="1:4" x14ac:dyDescent="0.25">
      <c r="A917" s="1">
        <v>45507</v>
      </c>
      <c r="B917" t="s">
        <v>526</v>
      </c>
      <c r="C917" s="35" t="s">
        <v>552</v>
      </c>
      <c r="D917">
        <v>2</v>
      </c>
    </row>
    <row r="918" spans="1:4" x14ac:dyDescent="0.25">
      <c r="A918" s="1">
        <v>45507</v>
      </c>
      <c r="B918" t="s">
        <v>529</v>
      </c>
      <c r="D918">
        <v>2</v>
      </c>
    </row>
    <row r="919" spans="1:4" x14ac:dyDescent="0.25">
      <c r="A919" s="1">
        <v>45507</v>
      </c>
      <c r="B919" t="s">
        <v>530</v>
      </c>
      <c r="C919" s="35" t="s">
        <v>574</v>
      </c>
      <c r="D919">
        <v>1</v>
      </c>
    </row>
    <row r="920" spans="1:4" x14ac:dyDescent="0.25">
      <c r="A920" s="1">
        <v>45507</v>
      </c>
      <c r="B920" t="s">
        <v>530</v>
      </c>
      <c r="C920" s="35" t="s">
        <v>514</v>
      </c>
      <c r="D920">
        <v>1</v>
      </c>
    </row>
    <row r="921" spans="1:4" x14ac:dyDescent="0.25">
      <c r="A921" s="1">
        <v>45507</v>
      </c>
      <c r="B921" t="s">
        <v>533</v>
      </c>
      <c r="D921">
        <v>2</v>
      </c>
    </row>
  </sheetData>
  <sheetProtection algorithmName="SHA-512" hashValue="2nUfCb/f0lp5hzlmCx0Y2m6/nK0KphW6QQ7X6tyaYIauolvMnvQ8xHztffgztyAa2GEfs234gTb0Ccrij70oSw==" saltValue="tLJ7MdFHMAx3YS5ZSEmMRA==" spinCount="100000" sheet="1" objects="1" scenarios="1"/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2905D5-E8F9-4A34-B702-29911AF2C9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Inventory</vt:lpstr>
      <vt:lpstr>Purchases</vt:lpstr>
      <vt:lpstr>Inventory as of 12th Aug 2024</vt:lpstr>
      <vt:lpstr>Purchases from 13th Aug 2024</vt:lpstr>
      <vt:lpstr>Sales</vt:lpstr>
      <vt:lpstr>Expired + loaned</vt:lpstr>
      <vt:lpstr>Creditors_and_amt</vt:lpstr>
      <vt:lpstr>Summary Per Day</vt:lpstr>
      <vt:lpstr>Time vs item sold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faith jebet</cp:lastModifiedBy>
  <cp:revision/>
  <dcterms:created xsi:type="dcterms:W3CDTF">2024-06-13T11:27:54Z</dcterms:created>
  <dcterms:modified xsi:type="dcterms:W3CDTF">2024-11-15T12:56:08Z</dcterms:modified>
  <cp:category/>
  <cp:contentStatus/>
</cp:coreProperties>
</file>